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dn" sheetId="1" r:id="rId1"/>
    <sheet name="dend dn" sheetId="3" r:id="rId2"/>
    <sheet name="bg dn" sheetId="4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J371" i="4"/>
  <c r="I371"/>
  <c r="H371"/>
  <c r="G369"/>
  <c r="K369" s="1"/>
  <c r="K368"/>
  <c r="M368" s="1"/>
  <c r="G368"/>
  <c r="L368" s="1"/>
  <c r="F368"/>
  <c r="G367"/>
  <c r="K367" s="1"/>
  <c r="K366"/>
  <c r="M366" s="1"/>
  <c r="G366"/>
  <c r="L366" s="1"/>
  <c r="F366"/>
  <c r="G365"/>
  <c r="K365" s="1"/>
  <c r="K364"/>
  <c r="M364" s="1"/>
  <c r="G364"/>
  <c r="L364" s="1"/>
  <c r="F364"/>
  <c r="G363"/>
  <c r="K363" s="1"/>
  <c r="K362"/>
  <c r="M362" s="1"/>
  <c r="G362"/>
  <c r="L362" s="1"/>
  <c r="F362"/>
  <c r="G361"/>
  <c r="K361" s="1"/>
  <c r="K360"/>
  <c r="M360" s="1"/>
  <c r="G360"/>
  <c r="L360" s="1"/>
  <c r="F360"/>
  <c r="G359"/>
  <c r="K359" s="1"/>
  <c r="K358"/>
  <c r="M358" s="1"/>
  <c r="G358"/>
  <c r="L358" s="1"/>
  <c r="F358"/>
  <c r="G357"/>
  <c r="K357" s="1"/>
  <c r="K356"/>
  <c r="M356" s="1"/>
  <c r="G356"/>
  <c r="L356" s="1"/>
  <c r="F356"/>
  <c r="G355"/>
  <c r="K355" s="1"/>
  <c r="K354"/>
  <c r="M354" s="1"/>
  <c r="G354"/>
  <c r="L354" s="1"/>
  <c r="F354"/>
  <c r="G353"/>
  <c r="K353" s="1"/>
  <c r="K352"/>
  <c r="M352" s="1"/>
  <c r="G352"/>
  <c r="L352" s="1"/>
  <c r="F352"/>
  <c r="G351"/>
  <c r="K351" s="1"/>
  <c r="K350"/>
  <c r="M350" s="1"/>
  <c r="G350"/>
  <c r="L350" s="1"/>
  <c r="F350"/>
  <c r="G349"/>
  <c r="K349" s="1"/>
  <c r="K348"/>
  <c r="M348" s="1"/>
  <c r="G348"/>
  <c r="L348" s="1"/>
  <c r="F348"/>
  <c r="G347"/>
  <c r="K347" s="1"/>
  <c r="K346"/>
  <c r="M346" s="1"/>
  <c r="G346"/>
  <c r="L346" s="1"/>
  <c r="F346"/>
  <c r="G345"/>
  <c r="K345" s="1"/>
  <c r="K344"/>
  <c r="M344" s="1"/>
  <c r="G344"/>
  <c r="L344" s="1"/>
  <c r="F344"/>
  <c r="G343"/>
  <c r="K343" s="1"/>
  <c r="K342"/>
  <c r="M342" s="1"/>
  <c r="G342"/>
  <c r="L342" s="1"/>
  <c r="F342"/>
  <c r="G341"/>
  <c r="K341" s="1"/>
  <c r="K340"/>
  <c r="M340" s="1"/>
  <c r="G340"/>
  <c r="L340" s="1"/>
  <c r="F340"/>
  <c r="G339"/>
  <c r="K339" s="1"/>
  <c r="K338"/>
  <c r="M338" s="1"/>
  <c r="G338"/>
  <c r="L338" s="1"/>
  <c r="F338"/>
  <c r="G337"/>
  <c r="K337" s="1"/>
  <c r="K336"/>
  <c r="M336" s="1"/>
  <c r="G336"/>
  <c r="L336" s="1"/>
  <c r="F336"/>
  <c r="G335"/>
  <c r="K335" s="1"/>
  <c r="K334"/>
  <c r="M334" s="1"/>
  <c r="G334"/>
  <c r="L334" s="1"/>
  <c r="F334"/>
  <c r="G333"/>
  <c r="K333" s="1"/>
  <c r="K332"/>
  <c r="M332" s="1"/>
  <c r="G332"/>
  <c r="L332" s="1"/>
  <c r="F332"/>
  <c r="G331"/>
  <c r="K331" s="1"/>
  <c r="K330"/>
  <c r="M330" s="1"/>
  <c r="G330"/>
  <c r="L330" s="1"/>
  <c r="F330"/>
  <c r="G329"/>
  <c r="K329" s="1"/>
  <c r="K328"/>
  <c r="M328" s="1"/>
  <c r="G328"/>
  <c r="L328" s="1"/>
  <c r="F328"/>
  <c r="G327"/>
  <c r="K327" s="1"/>
  <c r="K326"/>
  <c r="M326" s="1"/>
  <c r="G326"/>
  <c r="L326" s="1"/>
  <c r="F326"/>
  <c r="G325"/>
  <c r="K325" s="1"/>
  <c r="K324"/>
  <c r="M324" s="1"/>
  <c r="G324"/>
  <c r="L324" s="1"/>
  <c r="F324"/>
  <c r="G323"/>
  <c r="K323" s="1"/>
  <c r="K322"/>
  <c r="M322" s="1"/>
  <c r="G322"/>
  <c r="L322" s="1"/>
  <c r="F322"/>
  <c r="G321"/>
  <c r="K321" s="1"/>
  <c r="G320"/>
  <c r="K320" s="1"/>
  <c r="G319"/>
  <c r="M319" s="1"/>
  <c r="K318"/>
  <c r="L318" s="1"/>
  <c r="G318"/>
  <c r="M318" s="1"/>
  <c r="F318"/>
  <c r="G317"/>
  <c r="M317" s="1"/>
  <c r="G316"/>
  <c r="K316" s="1"/>
  <c r="G315"/>
  <c r="M315" s="1"/>
  <c r="K314"/>
  <c r="L314" s="1"/>
  <c r="G314"/>
  <c r="M314" s="1"/>
  <c r="F314"/>
  <c r="G313"/>
  <c r="M313" s="1"/>
  <c r="G312"/>
  <c r="K312" s="1"/>
  <c r="G311"/>
  <c r="M311" s="1"/>
  <c r="K310"/>
  <c r="L310" s="1"/>
  <c r="G310"/>
  <c r="M310" s="1"/>
  <c r="F310"/>
  <c r="G309"/>
  <c r="M309" s="1"/>
  <c r="G308"/>
  <c r="K308" s="1"/>
  <c r="G307"/>
  <c r="M307" s="1"/>
  <c r="K306"/>
  <c r="L306" s="1"/>
  <c r="G306"/>
  <c r="M306" s="1"/>
  <c r="F306"/>
  <c r="G305"/>
  <c r="M305" s="1"/>
  <c r="G304"/>
  <c r="K304" s="1"/>
  <c r="G303"/>
  <c r="M303" s="1"/>
  <c r="G302"/>
  <c r="M302" s="1"/>
  <c r="G301"/>
  <c r="G300"/>
  <c r="K300" s="1"/>
  <c r="G299"/>
  <c r="G298"/>
  <c r="M298" s="1"/>
  <c r="G297"/>
  <c r="M297" s="1"/>
  <c r="G296"/>
  <c r="M296" s="1"/>
  <c r="G295"/>
  <c r="M295" s="1"/>
  <c r="E294"/>
  <c r="G294" s="1"/>
  <c r="G293"/>
  <c r="L293" s="1"/>
  <c r="G292"/>
  <c r="K292" s="1"/>
  <c r="G291"/>
  <c r="L291" s="1"/>
  <c r="G290"/>
  <c r="M290" s="1"/>
  <c r="G289"/>
  <c r="M289" s="1"/>
  <c r="G288"/>
  <c r="M288" s="1"/>
  <c r="G287"/>
  <c r="K287" s="1"/>
  <c r="G286"/>
  <c r="M286" s="1"/>
  <c r="K285"/>
  <c r="L285" s="1"/>
  <c r="G285"/>
  <c r="M285" s="1"/>
  <c r="F285"/>
  <c r="G284"/>
  <c r="M284" s="1"/>
  <c r="G283"/>
  <c r="K283" s="1"/>
  <c r="G282"/>
  <c r="M282" s="1"/>
  <c r="K281"/>
  <c r="L281" s="1"/>
  <c r="G281"/>
  <c r="M281" s="1"/>
  <c r="F281"/>
  <c r="G280"/>
  <c r="M280" s="1"/>
  <c r="G279"/>
  <c r="K279" s="1"/>
  <c r="G278"/>
  <c r="M278" s="1"/>
  <c r="G277"/>
  <c r="M277" s="1"/>
  <c r="G276"/>
  <c r="M276" s="1"/>
  <c r="G275"/>
  <c r="K275" s="1"/>
  <c r="G274"/>
  <c r="K274" s="1"/>
  <c r="G273"/>
  <c r="L273" s="1"/>
  <c r="G272"/>
  <c r="K272" s="1"/>
  <c r="G271"/>
  <c r="L271" s="1"/>
  <c r="G270"/>
  <c r="M270" s="1"/>
  <c r="K269"/>
  <c r="L269" s="1"/>
  <c r="G269"/>
  <c r="M269" s="1"/>
  <c r="F269"/>
  <c r="G268"/>
  <c r="M268" s="1"/>
  <c r="G267"/>
  <c r="K267" s="1"/>
  <c r="G266"/>
  <c r="M266" s="1"/>
  <c r="G265"/>
  <c r="L265" s="1"/>
  <c r="G264"/>
  <c r="K264" s="1"/>
  <c r="G263"/>
  <c r="L263" s="1"/>
  <c r="G262"/>
  <c r="K262" s="1"/>
  <c r="G261"/>
  <c r="L261" s="1"/>
  <c r="G260"/>
  <c r="K260" s="1"/>
  <c r="K259"/>
  <c r="L259" s="1"/>
  <c r="G259"/>
  <c r="M259" s="1"/>
  <c r="F259"/>
  <c r="G258"/>
  <c r="M258" s="1"/>
  <c r="G257"/>
  <c r="K257" s="1"/>
  <c r="G256"/>
  <c r="M256" s="1"/>
  <c r="G255"/>
  <c r="M255" s="1"/>
  <c r="G254"/>
  <c r="M254" s="1"/>
  <c r="G253"/>
  <c r="K253" s="1"/>
  <c r="G252"/>
  <c r="M252" s="1"/>
  <c r="G251"/>
  <c r="M251" s="1"/>
  <c r="G250"/>
  <c r="M250" s="1"/>
  <c r="G249"/>
  <c r="K249" s="1"/>
  <c r="G248"/>
  <c r="M248" s="1"/>
  <c r="G247"/>
  <c r="M247" s="1"/>
  <c r="G246"/>
  <c r="M246" s="1"/>
  <c r="G245"/>
  <c r="K245" s="1"/>
  <c r="G244"/>
  <c r="M244" s="1"/>
  <c r="G243"/>
  <c r="M243" s="1"/>
  <c r="G242"/>
  <c r="M242" s="1"/>
  <c r="G241"/>
  <c r="K241" s="1"/>
  <c r="G240"/>
  <c r="M240" s="1"/>
  <c r="G239"/>
  <c r="M239" s="1"/>
  <c r="G238"/>
  <c r="K238" s="1"/>
  <c r="G237"/>
  <c r="L237" s="1"/>
  <c r="G236"/>
  <c r="K236" s="1"/>
  <c r="G235"/>
  <c r="L235" s="1"/>
  <c r="G234"/>
  <c r="K234" s="1"/>
  <c r="G233"/>
  <c r="M233" s="1"/>
  <c r="G232"/>
  <c r="M232" s="1"/>
  <c r="G231"/>
  <c r="M231" s="1"/>
  <c r="G230"/>
  <c r="M230" s="1"/>
  <c r="G229"/>
  <c r="M229" s="1"/>
  <c r="G228"/>
  <c r="M228" s="1"/>
  <c r="K227"/>
  <c r="L227" s="1"/>
  <c r="G227"/>
  <c r="M227" s="1"/>
  <c r="F227"/>
  <c r="G226"/>
  <c r="M226" s="1"/>
  <c r="G225"/>
  <c r="M225" s="1"/>
  <c r="G224"/>
  <c r="M224" s="1"/>
  <c r="K223"/>
  <c r="L223" s="1"/>
  <c r="G223"/>
  <c r="M223" s="1"/>
  <c r="F223"/>
  <c r="G222"/>
  <c r="M222" s="1"/>
  <c r="G221"/>
  <c r="M221" s="1"/>
  <c r="G220"/>
  <c r="M220" s="1"/>
  <c r="K219"/>
  <c r="L219" s="1"/>
  <c r="G219"/>
  <c r="M219" s="1"/>
  <c r="F219"/>
  <c r="G218"/>
  <c r="M218" s="1"/>
  <c r="G217"/>
  <c r="M217" s="1"/>
  <c r="G216"/>
  <c r="M216" s="1"/>
  <c r="G215"/>
  <c r="K215" s="1"/>
  <c r="G214"/>
  <c r="M214" s="1"/>
  <c r="G213"/>
  <c r="M213" s="1"/>
  <c r="G212"/>
  <c r="M212" s="1"/>
  <c r="G211"/>
  <c r="K211" s="1"/>
  <c r="G210"/>
  <c r="K210" s="1"/>
  <c r="G209"/>
  <c r="L209" s="1"/>
  <c r="G208"/>
  <c r="K208" s="1"/>
  <c r="G207"/>
  <c r="L207" s="1"/>
  <c r="G206"/>
  <c r="K206" s="1"/>
  <c r="G205"/>
  <c r="M205" s="1"/>
  <c r="G204"/>
  <c r="M204" s="1"/>
  <c r="G203"/>
  <c r="K203" s="1"/>
  <c r="G202"/>
  <c r="M202" s="1"/>
  <c r="G201"/>
  <c r="M201" s="1"/>
  <c r="G200"/>
  <c r="M200" s="1"/>
  <c r="G199"/>
  <c r="K199" s="1"/>
  <c r="G198"/>
  <c r="M198" s="1"/>
  <c r="G197"/>
  <c r="M197" s="1"/>
  <c r="G196"/>
  <c r="M196" s="1"/>
  <c r="G195"/>
  <c r="K195" s="1"/>
  <c r="G194"/>
  <c r="M194" s="1"/>
  <c r="G193"/>
  <c r="M193" s="1"/>
  <c r="G192"/>
  <c r="M192" s="1"/>
  <c r="G191"/>
  <c r="K191" s="1"/>
  <c r="G190"/>
  <c r="M190" s="1"/>
  <c r="K189"/>
  <c r="L189" s="1"/>
  <c r="G189"/>
  <c r="M189" s="1"/>
  <c r="F189"/>
  <c r="G188"/>
  <c r="M188" s="1"/>
  <c r="G187"/>
  <c r="K187" s="1"/>
  <c r="G186"/>
  <c r="M186" s="1"/>
  <c r="K185"/>
  <c r="L185" s="1"/>
  <c r="G185"/>
  <c r="M185" s="1"/>
  <c r="F185"/>
  <c r="G184"/>
  <c r="M184" s="1"/>
  <c r="G183"/>
  <c r="K183" s="1"/>
  <c r="G182"/>
  <c r="G181"/>
  <c r="K181" s="1"/>
  <c r="K180"/>
  <c r="L180" s="1"/>
  <c r="G180"/>
  <c r="M180" s="1"/>
  <c r="F180"/>
  <c r="G179"/>
  <c r="M179" s="1"/>
  <c r="G178"/>
  <c r="M178" s="1"/>
  <c r="G177"/>
  <c r="M177" s="1"/>
  <c r="K176"/>
  <c r="L176" s="1"/>
  <c r="G176"/>
  <c r="M176" s="1"/>
  <c r="F176"/>
  <c r="G175"/>
  <c r="M175" s="1"/>
  <c r="G174"/>
  <c r="M174" s="1"/>
  <c r="G173"/>
  <c r="M173" s="1"/>
  <c r="K172"/>
  <c r="L172" s="1"/>
  <c r="G172"/>
  <c r="M172" s="1"/>
  <c r="F172"/>
  <c r="G171"/>
  <c r="M171" s="1"/>
  <c r="G170"/>
  <c r="M170" s="1"/>
  <c r="G169"/>
  <c r="M169" s="1"/>
  <c r="G168"/>
  <c r="L168" s="1"/>
  <c r="G167"/>
  <c r="K167" s="1"/>
  <c r="K166"/>
  <c r="L166" s="1"/>
  <c r="G166"/>
  <c r="M166" s="1"/>
  <c r="F166"/>
  <c r="G165"/>
  <c r="M165" s="1"/>
  <c r="G164"/>
  <c r="M164" s="1"/>
  <c r="G163"/>
  <c r="M163" s="1"/>
  <c r="G162"/>
  <c r="K162" s="1"/>
  <c r="G161"/>
  <c r="M161" s="1"/>
  <c r="G160"/>
  <c r="M160" s="1"/>
  <c r="G159"/>
  <c r="M159" s="1"/>
  <c r="G158"/>
  <c r="K158" s="1"/>
  <c r="G157"/>
  <c r="M157" s="1"/>
  <c r="G156"/>
  <c r="M156" s="1"/>
  <c r="G155"/>
  <c r="M155" s="1"/>
  <c r="G154"/>
  <c r="K154" s="1"/>
  <c r="G153"/>
  <c r="M153" s="1"/>
  <c r="G152"/>
  <c r="M152" s="1"/>
  <c r="G151"/>
  <c r="M151" s="1"/>
  <c r="G150"/>
  <c r="K150" s="1"/>
  <c r="G149"/>
  <c r="M149" s="1"/>
  <c r="K148"/>
  <c r="L148" s="1"/>
  <c r="G148"/>
  <c r="M148" s="1"/>
  <c r="F148"/>
  <c r="G147"/>
  <c r="M147" s="1"/>
  <c r="G146"/>
  <c r="K146" s="1"/>
  <c r="G145"/>
  <c r="M145" s="1"/>
  <c r="G144"/>
  <c r="M144" s="1"/>
  <c r="G143"/>
  <c r="M143" s="1"/>
  <c r="G142"/>
  <c r="K142" s="1"/>
  <c r="G141"/>
  <c r="M141" s="1"/>
  <c r="G140"/>
  <c r="L140" s="1"/>
  <c r="G139"/>
  <c r="K139" s="1"/>
  <c r="G138"/>
  <c r="L138" s="1"/>
  <c r="G137"/>
  <c r="M137" s="1"/>
  <c r="K136"/>
  <c r="L136" s="1"/>
  <c r="G136"/>
  <c r="M136" s="1"/>
  <c r="F136"/>
  <c r="G135"/>
  <c r="M135" s="1"/>
  <c r="G134"/>
  <c r="K134" s="1"/>
  <c r="G133"/>
  <c r="M133" s="1"/>
  <c r="G132"/>
  <c r="M132" s="1"/>
  <c r="G131"/>
  <c r="M131" s="1"/>
  <c r="G130"/>
  <c r="K130" s="1"/>
  <c r="G129"/>
  <c r="M129" s="1"/>
  <c r="G128"/>
  <c r="M128" s="1"/>
  <c r="G127"/>
  <c r="M127" s="1"/>
  <c r="G126"/>
  <c r="K126" s="1"/>
  <c r="G125"/>
  <c r="M125" s="1"/>
  <c r="G124"/>
  <c r="M124" s="1"/>
  <c r="G123"/>
  <c r="M123" s="1"/>
  <c r="G122"/>
  <c r="K122" s="1"/>
  <c r="G121"/>
  <c r="M121" s="1"/>
  <c r="G120"/>
  <c r="M120" s="1"/>
  <c r="G119"/>
  <c r="M119" s="1"/>
  <c r="G118"/>
  <c r="K118" s="1"/>
  <c r="G117"/>
  <c r="M117" s="1"/>
  <c r="G116"/>
  <c r="M116" s="1"/>
  <c r="G115"/>
  <c r="M115" s="1"/>
  <c r="G114"/>
  <c r="K114" s="1"/>
  <c r="G113"/>
  <c r="M113" s="1"/>
  <c r="G112"/>
  <c r="M112" s="1"/>
  <c r="G111"/>
  <c r="M111" s="1"/>
  <c r="G110"/>
  <c r="K110" s="1"/>
  <c r="G109"/>
  <c r="M109" s="1"/>
  <c r="G108"/>
  <c r="M108" s="1"/>
  <c r="G107"/>
  <c r="M107" s="1"/>
  <c r="G106"/>
  <c r="K106" s="1"/>
  <c r="G105"/>
  <c r="M105" s="1"/>
  <c r="G104"/>
  <c r="M104" s="1"/>
  <c r="G103"/>
  <c r="M103" s="1"/>
  <c r="G102"/>
  <c r="K102" s="1"/>
  <c r="G101"/>
  <c r="M101" s="1"/>
  <c r="G100"/>
  <c r="M100" s="1"/>
  <c r="G99"/>
  <c r="M99" s="1"/>
  <c r="G98"/>
  <c r="K98" s="1"/>
  <c r="G97"/>
  <c r="M97" s="1"/>
  <c r="G96"/>
  <c r="M96" s="1"/>
  <c r="G95"/>
  <c r="M95" s="1"/>
  <c r="G94"/>
  <c r="K94" s="1"/>
  <c r="G93"/>
  <c r="M93" s="1"/>
  <c r="G92"/>
  <c r="M92" s="1"/>
  <c r="G91"/>
  <c r="M91" s="1"/>
  <c r="G90"/>
  <c r="K90" s="1"/>
  <c r="G89"/>
  <c r="M89" s="1"/>
  <c r="G88"/>
  <c r="M88" s="1"/>
  <c r="G87"/>
  <c r="M87" s="1"/>
  <c r="G86"/>
  <c r="K86" s="1"/>
  <c r="G85"/>
  <c r="M85" s="1"/>
  <c r="G84"/>
  <c r="M84" s="1"/>
  <c r="G83"/>
  <c r="M83" s="1"/>
  <c r="G82"/>
  <c r="K82" s="1"/>
  <c r="G81"/>
  <c r="M81" s="1"/>
  <c r="G80"/>
  <c r="M80" s="1"/>
  <c r="G79"/>
  <c r="K79" s="1"/>
  <c r="G78"/>
  <c r="L78" s="1"/>
  <c r="G77"/>
  <c r="M77" s="1"/>
  <c r="K76"/>
  <c r="L76" s="1"/>
  <c r="G76"/>
  <c r="M76" s="1"/>
  <c r="F76"/>
  <c r="G75"/>
  <c r="M75" s="1"/>
  <c r="G74"/>
  <c r="L74" s="1"/>
  <c r="G73"/>
  <c r="K73" s="1"/>
  <c r="G72"/>
  <c r="L72" s="1"/>
  <c r="G71"/>
  <c r="K71" s="1"/>
  <c r="G70"/>
  <c r="L70" s="1"/>
  <c r="G69"/>
  <c r="K69" s="1"/>
  <c r="K68"/>
  <c r="L68" s="1"/>
  <c r="G68"/>
  <c r="M68" s="1"/>
  <c r="F68"/>
  <c r="G67"/>
  <c r="M67" s="1"/>
  <c r="G66"/>
  <c r="K66" s="1"/>
  <c r="G65"/>
  <c r="M65" s="1"/>
  <c r="G64"/>
  <c r="M64" s="1"/>
  <c r="G63"/>
  <c r="M63" s="1"/>
  <c r="G62"/>
  <c r="K62" s="1"/>
  <c r="G61"/>
  <c r="M61" s="1"/>
  <c r="K60"/>
  <c r="L60" s="1"/>
  <c r="G60"/>
  <c r="M60" s="1"/>
  <c r="F60"/>
  <c r="G59"/>
  <c r="M59" s="1"/>
  <c r="G58"/>
  <c r="K58" s="1"/>
  <c r="G57"/>
  <c r="M57" s="1"/>
  <c r="K56"/>
  <c r="L56" s="1"/>
  <c r="G56"/>
  <c r="M56" s="1"/>
  <c r="F56"/>
  <c r="G55"/>
  <c r="M55" s="1"/>
  <c r="G54"/>
  <c r="K54" s="1"/>
  <c r="G53"/>
  <c r="M53" s="1"/>
  <c r="K52"/>
  <c r="L52" s="1"/>
  <c r="G52"/>
  <c r="M52" s="1"/>
  <c r="F52"/>
  <c r="G51"/>
  <c r="M51" s="1"/>
  <c r="G50"/>
  <c r="K50" s="1"/>
  <c r="G49"/>
  <c r="M49" s="1"/>
  <c r="G48"/>
  <c r="M48" s="1"/>
  <c r="G47"/>
  <c r="M47" s="1"/>
  <c r="G46"/>
  <c r="K46" s="1"/>
  <c r="G45"/>
  <c r="M45" s="1"/>
  <c r="G44"/>
  <c r="M44" s="1"/>
  <c r="G43"/>
  <c r="M43" s="1"/>
  <c r="G42"/>
  <c r="K42" s="1"/>
  <c r="G41"/>
  <c r="M41" s="1"/>
  <c r="K40"/>
  <c r="L40" s="1"/>
  <c r="G40"/>
  <c r="M40" s="1"/>
  <c r="F40"/>
  <c r="G39"/>
  <c r="G38"/>
  <c r="K38" s="1"/>
  <c r="G37"/>
  <c r="G36"/>
  <c r="M36" s="1"/>
  <c r="G35"/>
  <c r="G34"/>
  <c r="M34" s="1"/>
  <c r="K33"/>
  <c r="L33" s="1"/>
  <c r="G33"/>
  <c r="M33" s="1"/>
  <c r="F33"/>
  <c r="G32"/>
  <c r="M32" s="1"/>
  <c r="G31"/>
  <c r="K31" s="1"/>
  <c r="G30"/>
  <c r="M30" s="1"/>
  <c r="G29"/>
  <c r="M29" s="1"/>
  <c r="G28"/>
  <c r="M28" s="1"/>
  <c r="G27"/>
  <c r="K27" s="1"/>
  <c r="G26"/>
  <c r="M26" s="1"/>
  <c r="G25"/>
  <c r="M25" s="1"/>
  <c r="G24"/>
  <c r="M24" s="1"/>
  <c r="G23"/>
  <c r="K23" s="1"/>
  <c r="G22"/>
  <c r="M22" s="1"/>
  <c r="G21"/>
  <c r="M21" s="1"/>
  <c r="G20"/>
  <c r="M20" s="1"/>
  <c r="G19"/>
  <c r="K19" s="1"/>
  <c r="G18"/>
  <c r="M18" s="1"/>
  <c r="G17"/>
  <c r="M17" s="1"/>
  <c r="G16"/>
  <c r="M16" s="1"/>
  <c r="G15"/>
  <c r="M15" s="1"/>
  <c r="G14"/>
  <c r="M14" s="1"/>
  <c r="K13"/>
  <c r="L13" s="1"/>
  <c r="G13"/>
  <c r="M13" s="1"/>
  <c r="F13"/>
  <c r="G12"/>
  <c r="M12" s="1"/>
  <c r="G11"/>
  <c r="K11" s="1"/>
  <c r="G10"/>
  <c r="M10" s="1"/>
  <c r="K9"/>
  <c r="L9" s="1"/>
  <c r="G9"/>
  <c r="M9" s="1"/>
  <c r="F9"/>
  <c r="G8"/>
  <c r="M8" s="1"/>
  <c r="G7"/>
  <c r="K7" s="1"/>
  <c r="G6"/>
  <c r="M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E5"/>
  <c r="E371" s="1"/>
  <c r="J242" i="3"/>
  <c r="I242"/>
  <c r="H242"/>
  <c r="E242"/>
  <c r="G240"/>
  <c r="L240" s="1"/>
  <c r="G239"/>
  <c r="L239" s="1"/>
  <c r="G238"/>
  <c r="L238" s="1"/>
  <c r="G237"/>
  <c r="L237" s="1"/>
  <c r="G236"/>
  <c r="L236" s="1"/>
  <c r="G235"/>
  <c r="L235" s="1"/>
  <c r="G234"/>
  <c r="L234" s="1"/>
  <c r="G233"/>
  <c r="L233" s="1"/>
  <c r="G232"/>
  <c r="L232" s="1"/>
  <c r="G231"/>
  <c r="L231" s="1"/>
  <c r="G230"/>
  <c r="L230" s="1"/>
  <c r="G229"/>
  <c r="L229" s="1"/>
  <c r="G228"/>
  <c r="L228" s="1"/>
  <c r="G227"/>
  <c r="L227" s="1"/>
  <c r="G226"/>
  <c r="L226" s="1"/>
  <c r="G225"/>
  <c r="L225" s="1"/>
  <c r="G224"/>
  <c r="L224" s="1"/>
  <c r="G223"/>
  <c r="L223" s="1"/>
  <c r="G222"/>
  <c r="L222" s="1"/>
  <c r="G221"/>
  <c r="L221" s="1"/>
  <c r="G220"/>
  <c r="L220" s="1"/>
  <c r="G219"/>
  <c r="L219" s="1"/>
  <c r="G218"/>
  <c r="L218" s="1"/>
  <c r="G217"/>
  <c r="L217" s="1"/>
  <c r="G216"/>
  <c r="L216" s="1"/>
  <c r="G215"/>
  <c r="L215" s="1"/>
  <c r="G214"/>
  <c r="L214" s="1"/>
  <c r="G213"/>
  <c r="L213" s="1"/>
  <c r="G212"/>
  <c r="L212" s="1"/>
  <c r="G211"/>
  <c r="L211" s="1"/>
  <c r="G210"/>
  <c r="L210" s="1"/>
  <c r="G209"/>
  <c r="L209" s="1"/>
  <c r="G208"/>
  <c r="L208" s="1"/>
  <c r="G207"/>
  <c r="L207" s="1"/>
  <c r="G206"/>
  <c r="L206" s="1"/>
  <c r="G205"/>
  <c r="L205" s="1"/>
  <c r="G204"/>
  <c r="L204" s="1"/>
  <c r="G203"/>
  <c r="L203" s="1"/>
  <c r="G202"/>
  <c r="L202" s="1"/>
  <c r="G201"/>
  <c r="L201" s="1"/>
  <c r="G200"/>
  <c r="L200" s="1"/>
  <c r="G199"/>
  <c r="L199" s="1"/>
  <c r="G198"/>
  <c r="L198" s="1"/>
  <c r="G197"/>
  <c r="L197" s="1"/>
  <c r="G196"/>
  <c r="L196" s="1"/>
  <c r="G195"/>
  <c r="L195" s="1"/>
  <c r="G194"/>
  <c r="L194" s="1"/>
  <c r="G193"/>
  <c r="L193" s="1"/>
  <c r="G192"/>
  <c r="L192" s="1"/>
  <c r="G191"/>
  <c r="L191" s="1"/>
  <c r="G190"/>
  <c r="L190" s="1"/>
  <c r="G189"/>
  <c r="L189" s="1"/>
  <c r="G188"/>
  <c r="L188" s="1"/>
  <c r="G187"/>
  <c r="L187" s="1"/>
  <c r="G186"/>
  <c r="L186" s="1"/>
  <c r="G185"/>
  <c r="L185" s="1"/>
  <c r="G184"/>
  <c r="L184" s="1"/>
  <c r="G183"/>
  <c r="L183" s="1"/>
  <c r="G182"/>
  <c r="L182" s="1"/>
  <c r="G181"/>
  <c r="L181" s="1"/>
  <c r="G180"/>
  <c r="L180" s="1"/>
  <c r="G179"/>
  <c r="L179" s="1"/>
  <c r="G178"/>
  <c r="L178" s="1"/>
  <c r="G177"/>
  <c r="L177" s="1"/>
  <c r="G176"/>
  <c r="L176" s="1"/>
  <c r="G175"/>
  <c r="L175" s="1"/>
  <c r="G174"/>
  <c r="L174" s="1"/>
  <c r="G173"/>
  <c r="L173" s="1"/>
  <c r="G172"/>
  <c r="L172" s="1"/>
  <c r="G171"/>
  <c r="L171" s="1"/>
  <c r="G170"/>
  <c r="L170" s="1"/>
  <c r="L169"/>
  <c r="G169"/>
  <c r="K169" s="1"/>
  <c r="K168"/>
  <c r="M168" s="1"/>
  <c r="G168"/>
  <c r="L168" s="1"/>
  <c r="F168"/>
  <c r="G167"/>
  <c r="M167" s="1"/>
  <c r="G166"/>
  <c r="M166" s="1"/>
  <c r="G165"/>
  <c r="M165" s="1"/>
  <c r="K164"/>
  <c r="L164" s="1"/>
  <c r="G164"/>
  <c r="M164" s="1"/>
  <c r="F164"/>
  <c r="G163"/>
  <c r="M163" s="1"/>
  <c r="G162"/>
  <c r="M162" s="1"/>
  <c r="G161"/>
  <c r="M161" s="1"/>
  <c r="K160"/>
  <c r="L160" s="1"/>
  <c r="G160"/>
  <c r="M160" s="1"/>
  <c r="F160"/>
  <c r="G159"/>
  <c r="M159" s="1"/>
  <c r="G158"/>
  <c r="M158" s="1"/>
  <c r="G157"/>
  <c r="M157" s="1"/>
  <c r="K156"/>
  <c r="L156" s="1"/>
  <c r="G156"/>
  <c r="M156" s="1"/>
  <c r="F156"/>
  <c r="G155"/>
  <c r="L155" s="1"/>
  <c r="G154"/>
  <c r="M154" s="1"/>
  <c r="G153"/>
  <c r="M153" s="1"/>
  <c r="K152"/>
  <c r="L152" s="1"/>
  <c r="G152"/>
  <c r="M152" s="1"/>
  <c r="F152"/>
  <c r="G151"/>
  <c r="M151" s="1"/>
  <c r="G150"/>
  <c r="M150" s="1"/>
  <c r="G149"/>
  <c r="M149" s="1"/>
  <c r="K148"/>
  <c r="L148" s="1"/>
  <c r="G148"/>
  <c r="M148" s="1"/>
  <c r="F148"/>
  <c r="G147"/>
  <c r="M147" s="1"/>
  <c r="G146"/>
  <c r="M146" s="1"/>
  <c r="G145"/>
  <c r="M145" s="1"/>
  <c r="K144"/>
  <c r="L144" s="1"/>
  <c r="G144"/>
  <c r="M144" s="1"/>
  <c r="F144"/>
  <c r="G143"/>
  <c r="M143" s="1"/>
  <c r="G142"/>
  <c r="M142" s="1"/>
  <c r="G141"/>
  <c r="L141" s="1"/>
  <c r="K140"/>
  <c r="L140" s="1"/>
  <c r="G140"/>
  <c r="M140" s="1"/>
  <c r="F140"/>
  <c r="G139"/>
  <c r="M139" s="1"/>
  <c r="G138"/>
  <c r="M138" s="1"/>
  <c r="G137"/>
  <c r="M137" s="1"/>
  <c r="G136"/>
  <c r="L136" s="1"/>
  <c r="G135"/>
  <c r="L135" s="1"/>
  <c r="K134"/>
  <c r="L134" s="1"/>
  <c r="G134"/>
  <c r="M134" s="1"/>
  <c r="F134"/>
  <c r="G133"/>
  <c r="M133" s="1"/>
  <c r="G132"/>
  <c r="M132" s="1"/>
  <c r="G131"/>
  <c r="M131" s="1"/>
  <c r="K130"/>
  <c r="L130" s="1"/>
  <c r="G130"/>
  <c r="M130" s="1"/>
  <c r="F130"/>
  <c r="G129"/>
  <c r="M129" s="1"/>
  <c r="G128"/>
  <c r="M128" s="1"/>
  <c r="G127"/>
  <c r="M127" s="1"/>
  <c r="K126"/>
  <c r="L126" s="1"/>
  <c r="G126"/>
  <c r="M126" s="1"/>
  <c r="F126"/>
  <c r="G125"/>
  <c r="M125" s="1"/>
  <c r="G124"/>
  <c r="M124" s="1"/>
  <c r="G123"/>
  <c r="M123" s="1"/>
  <c r="K122"/>
  <c r="L122" s="1"/>
  <c r="G122"/>
  <c r="M122" s="1"/>
  <c r="F122"/>
  <c r="G121"/>
  <c r="M121" s="1"/>
  <c r="G120"/>
  <c r="M120" s="1"/>
  <c r="G119"/>
  <c r="M119" s="1"/>
  <c r="K118"/>
  <c r="L118" s="1"/>
  <c r="G118"/>
  <c r="M118" s="1"/>
  <c r="F118"/>
  <c r="G117"/>
  <c r="M117" s="1"/>
  <c r="K116"/>
  <c r="M116" s="1"/>
  <c r="G116"/>
  <c r="L116" s="1"/>
  <c r="F116"/>
  <c r="G115"/>
  <c r="M115" s="1"/>
  <c r="G114"/>
  <c r="M114" s="1"/>
  <c r="G113"/>
  <c r="M113" s="1"/>
  <c r="G112"/>
  <c r="K112" s="1"/>
  <c r="G111"/>
  <c r="M111" s="1"/>
  <c r="G110"/>
  <c r="M110" s="1"/>
  <c r="G109"/>
  <c r="M109" s="1"/>
  <c r="G108"/>
  <c r="K108" s="1"/>
  <c r="G107"/>
  <c r="M107" s="1"/>
  <c r="G106"/>
  <c r="M106" s="1"/>
  <c r="G105"/>
  <c r="M105" s="1"/>
  <c r="G104"/>
  <c r="K104" s="1"/>
  <c r="G103"/>
  <c r="M103" s="1"/>
  <c r="G102"/>
  <c r="M102" s="1"/>
  <c r="G101"/>
  <c r="M101" s="1"/>
  <c r="G100"/>
  <c r="K100" s="1"/>
  <c r="G99"/>
  <c r="M99" s="1"/>
  <c r="G98"/>
  <c r="M98" s="1"/>
  <c r="G97"/>
  <c r="M97" s="1"/>
  <c r="G96"/>
  <c r="K96" s="1"/>
  <c r="G95"/>
  <c r="L95" s="1"/>
  <c r="G94"/>
  <c r="L94" s="1"/>
  <c r="G93"/>
  <c r="M93" s="1"/>
  <c r="G92"/>
  <c r="M92" s="1"/>
  <c r="G91"/>
  <c r="M91" s="1"/>
  <c r="G90"/>
  <c r="L90" s="1"/>
  <c r="G89"/>
  <c r="M89" s="1"/>
  <c r="G88"/>
  <c r="K88" s="1"/>
  <c r="G87"/>
  <c r="M87" s="1"/>
  <c r="G86"/>
  <c r="M86" s="1"/>
  <c r="G85"/>
  <c r="M85" s="1"/>
  <c r="K84"/>
  <c r="L84" s="1"/>
  <c r="G84"/>
  <c r="M84" s="1"/>
  <c r="F84"/>
  <c r="G83"/>
  <c r="M83" s="1"/>
  <c r="G82"/>
  <c r="M82" s="1"/>
  <c r="G81"/>
  <c r="M81" s="1"/>
  <c r="G80"/>
  <c r="K80" s="1"/>
  <c r="G79"/>
  <c r="M79" s="1"/>
  <c r="G78"/>
  <c r="M78" s="1"/>
  <c r="G77"/>
  <c r="M77" s="1"/>
  <c r="G76"/>
  <c r="K76" s="1"/>
  <c r="G75"/>
  <c r="M75" s="1"/>
  <c r="G74"/>
  <c r="M74" s="1"/>
  <c r="G73"/>
  <c r="M73" s="1"/>
  <c r="G72"/>
  <c r="K72" s="1"/>
  <c r="G71"/>
  <c r="M71" s="1"/>
  <c r="G70"/>
  <c r="M70" s="1"/>
  <c r="G69"/>
  <c r="M69" s="1"/>
  <c r="G68"/>
  <c r="K68" s="1"/>
  <c r="G67"/>
  <c r="M67" s="1"/>
  <c r="G66"/>
  <c r="L66" s="1"/>
  <c r="G65"/>
  <c r="M65" s="1"/>
  <c r="G64"/>
  <c r="M64" s="1"/>
  <c r="G63"/>
  <c r="M63" s="1"/>
  <c r="G62"/>
  <c r="K62" s="1"/>
  <c r="G61"/>
  <c r="M61" s="1"/>
  <c r="G60"/>
  <c r="M60" s="1"/>
  <c r="G59"/>
  <c r="M59" s="1"/>
  <c r="G58"/>
  <c r="K58" s="1"/>
  <c r="G57"/>
  <c r="M57" s="1"/>
  <c r="G56"/>
  <c r="M56" s="1"/>
  <c r="G55"/>
  <c r="M55" s="1"/>
  <c r="G54"/>
  <c r="K54" s="1"/>
  <c r="G53"/>
  <c r="M53" s="1"/>
  <c r="G52"/>
  <c r="M52" s="1"/>
  <c r="G51"/>
  <c r="M51" s="1"/>
  <c r="G50"/>
  <c r="K50" s="1"/>
  <c r="G49"/>
  <c r="M49" s="1"/>
  <c r="G48"/>
  <c r="M48" s="1"/>
  <c r="G47"/>
  <c r="M47" s="1"/>
  <c r="G46"/>
  <c r="K46" s="1"/>
  <c r="G45"/>
  <c r="M45" s="1"/>
  <c r="G44"/>
  <c r="M44" s="1"/>
  <c r="G43"/>
  <c r="G42"/>
  <c r="K42" s="1"/>
  <c r="G41"/>
  <c r="G40"/>
  <c r="M40" s="1"/>
  <c r="G39"/>
  <c r="G38"/>
  <c r="L38" s="1"/>
  <c r="G37"/>
  <c r="K37" s="1"/>
  <c r="G36"/>
  <c r="L36" s="1"/>
  <c r="G35"/>
  <c r="G34"/>
  <c r="K34" s="1"/>
  <c r="G33"/>
  <c r="G32"/>
  <c r="M32" s="1"/>
  <c r="G31"/>
  <c r="G30"/>
  <c r="K30" s="1"/>
  <c r="G29"/>
  <c r="G28"/>
  <c r="M28" s="1"/>
  <c r="G27"/>
  <c r="G26"/>
  <c r="K26" s="1"/>
  <c r="G25"/>
  <c r="G24"/>
  <c r="M24" s="1"/>
  <c r="G23"/>
  <c r="M23" s="1"/>
  <c r="G22"/>
  <c r="K22" s="1"/>
  <c r="G21"/>
  <c r="M21" s="1"/>
  <c r="G20"/>
  <c r="M20" s="1"/>
  <c r="G19"/>
  <c r="M19" s="1"/>
  <c r="G18"/>
  <c r="K18" s="1"/>
  <c r="G17"/>
  <c r="M17" s="1"/>
  <c r="G16"/>
  <c r="M16" s="1"/>
  <c r="G15"/>
  <c r="M15" s="1"/>
  <c r="G14"/>
  <c r="K14" s="1"/>
  <c r="G13"/>
  <c r="M13" s="1"/>
  <c r="G12"/>
  <c r="M12" s="1"/>
  <c r="G11"/>
  <c r="M11" s="1"/>
  <c r="G10"/>
  <c r="K10" s="1"/>
  <c r="G9"/>
  <c r="M9" s="1"/>
  <c r="G8"/>
  <c r="M8" s="1"/>
  <c r="G7"/>
  <c r="M7" s="1"/>
  <c r="G6"/>
  <c r="M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G5"/>
  <c r="G242" s="1"/>
  <c r="G895" i="1"/>
  <c r="F895"/>
  <c r="F879"/>
  <c r="F878"/>
  <c r="F877"/>
  <c r="F876"/>
  <c r="H861"/>
  <c r="F861"/>
  <c r="H860"/>
  <c r="G860"/>
  <c r="H848"/>
  <c r="G848"/>
  <c r="H841"/>
  <c r="G841"/>
  <c r="F841"/>
  <c r="F840"/>
  <c r="F835"/>
  <c r="F834"/>
  <c r="F833"/>
  <c r="F832"/>
  <c r="F831"/>
  <c r="F830"/>
  <c r="F829"/>
  <c r="H820"/>
  <c r="G820"/>
  <c r="F820"/>
  <c r="F608"/>
  <c r="F607"/>
  <c r="H593"/>
  <c r="G593"/>
  <c r="F575"/>
  <c r="F574"/>
  <c r="F560"/>
  <c r="F557"/>
  <c r="F556"/>
  <c r="H512"/>
  <c r="G512"/>
  <c r="F512"/>
  <c r="H502"/>
  <c r="G502"/>
  <c r="F502"/>
  <c r="A499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L494"/>
  <c r="J492"/>
  <c r="R490"/>
  <c r="L490"/>
  <c r="F490"/>
  <c r="N490" s="1"/>
  <c r="Q490" s="1"/>
  <c r="S490" s="1"/>
  <c r="R489"/>
  <c r="Q489"/>
  <c r="S489" s="1"/>
  <c r="N489"/>
  <c r="M489"/>
  <c r="L489"/>
  <c r="G489"/>
  <c r="R488"/>
  <c r="M488"/>
  <c r="L488"/>
  <c r="G488"/>
  <c r="F488"/>
  <c r="N488" s="1"/>
  <c r="Q488" s="1"/>
  <c r="S488" s="1"/>
  <c r="R487"/>
  <c r="N487"/>
  <c r="Q487" s="1"/>
  <c r="S487" s="1"/>
  <c r="F487"/>
  <c r="I487" s="1"/>
  <c r="L487" s="1"/>
  <c r="R486"/>
  <c r="N486"/>
  <c r="Q486" s="1"/>
  <c r="S486" s="1"/>
  <c r="F486"/>
  <c r="I486" s="1"/>
  <c r="L486" s="1"/>
  <c r="R485"/>
  <c r="N485"/>
  <c r="Q485" s="1"/>
  <c r="S485" s="1"/>
  <c r="L485"/>
  <c r="M485" s="1"/>
  <c r="I485"/>
  <c r="G485"/>
  <c r="R484"/>
  <c r="Q484"/>
  <c r="S484" s="1"/>
  <c r="I484"/>
  <c r="L484" s="1"/>
  <c r="G484" s="1"/>
  <c r="F484"/>
  <c r="N484" s="1"/>
  <c r="R483"/>
  <c r="I483"/>
  <c r="F483"/>
  <c r="H483" s="1"/>
  <c r="R482"/>
  <c r="N482"/>
  <c r="Q482" s="1"/>
  <c r="L482"/>
  <c r="M482" s="1"/>
  <c r="I482"/>
  <c r="G482"/>
  <c r="R481"/>
  <c r="F481"/>
  <c r="N481" s="1"/>
  <c r="Q481" s="1"/>
  <c r="S481" s="1"/>
  <c r="R480"/>
  <c r="M480"/>
  <c r="L480"/>
  <c r="G480"/>
  <c r="F480"/>
  <c r="N480" s="1"/>
  <c r="Q480" s="1"/>
  <c r="S480" s="1"/>
  <c r="R479"/>
  <c r="N479"/>
  <c r="Q479" s="1"/>
  <c r="S479" s="1"/>
  <c r="F479"/>
  <c r="I479" s="1"/>
  <c r="L479" s="1"/>
  <c r="R478"/>
  <c r="N478"/>
  <c r="Q478" s="1"/>
  <c r="S478" s="1"/>
  <c r="F478"/>
  <c r="I478" s="1"/>
  <c r="L478" s="1"/>
  <c r="R477"/>
  <c r="N477"/>
  <c r="Q477" s="1"/>
  <c r="S477" s="1"/>
  <c r="F477"/>
  <c r="I477" s="1"/>
  <c r="L477" s="1"/>
  <c r="R476"/>
  <c r="N476"/>
  <c r="Q476" s="1"/>
  <c r="S476" s="1"/>
  <c r="F476"/>
  <c r="I476" s="1"/>
  <c r="L476" s="1"/>
  <c r="R475"/>
  <c r="N475"/>
  <c r="Q475" s="1"/>
  <c r="S475" s="1"/>
  <c r="F475"/>
  <c r="I475" s="1"/>
  <c r="L475" s="1"/>
  <c r="R474"/>
  <c r="L474"/>
  <c r="M474" s="1"/>
  <c r="F474"/>
  <c r="N474" s="1"/>
  <c r="Q474" s="1"/>
  <c r="S474" s="1"/>
  <c r="R473"/>
  <c r="F473"/>
  <c r="I473" s="1"/>
  <c r="L473" s="1"/>
  <c r="R472"/>
  <c r="F472"/>
  <c r="H472" s="1"/>
  <c r="R471"/>
  <c r="F471"/>
  <c r="I471" s="1"/>
  <c r="L471" s="1"/>
  <c r="R470"/>
  <c r="F470"/>
  <c r="I470" s="1"/>
  <c r="L470" s="1"/>
  <c r="R469"/>
  <c r="M469"/>
  <c r="L469"/>
  <c r="G469"/>
  <c r="F469"/>
  <c r="N469" s="1"/>
  <c r="Q469" s="1"/>
  <c r="S469" s="1"/>
  <c r="R468"/>
  <c r="N468"/>
  <c r="Q468" s="1"/>
  <c r="S468" s="1"/>
  <c r="F468"/>
  <c r="I468" s="1"/>
  <c r="L468" s="1"/>
  <c r="R467"/>
  <c r="N467"/>
  <c r="Q467" s="1"/>
  <c r="S467" s="1"/>
  <c r="L467"/>
  <c r="M467" s="1"/>
  <c r="I467"/>
  <c r="G467"/>
  <c r="R466"/>
  <c r="F466"/>
  <c r="I466" s="1"/>
  <c r="L466" s="1"/>
  <c r="R465"/>
  <c r="F465"/>
  <c r="I465" s="1"/>
  <c r="L465" s="1"/>
  <c r="R464"/>
  <c r="F464"/>
  <c r="I464" s="1"/>
  <c r="L464" s="1"/>
  <c r="R463"/>
  <c r="H463"/>
  <c r="L463" s="1"/>
  <c r="F463"/>
  <c r="N463" s="1"/>
  <c r="Q463" s="1"/>
  <c r="S463" s="1"/>
  <c r="R462"/>
  <c r="F462"/>
  <c r="I462" s="1"/>
  <c r="L462" s="1"/>
  <c r="R461"/>
  <c r="Q461"/>
  <c r="S461" s="1"/>
  <c r="N461"/>
  <c r="M461"/>
  <c r="L461"/>
  <c r="G461"/>
  <c r="R460"/>
  <c r="M460"/>
  <c r="L460"/>
  <c r="G460"/>
  <c r="F460"/>
  <c r="N460" s="1"/>
  <c r="Q460" s="1"/>
  <c r="S460" s="1"/>
  <c r="R459"/>
  <c r="N459"/>
  <c r="Q459" s="1"/>
  <c r="S459" s="1"/>
  <c r="F459"/>
  <c r="I459" s="1"/>
  <c r="L459" s="1"/>
  <c r="R458"/>
  <c r="N458"/>
  <c r="Q458" s="1"/>
  <c r="S458" s="1"/>
  <c r="L458"/>
  <c r="M458" s="1"/>
  <c r="I458"/>
  <c r="G458"/>
  <c r="R457"/>
  <c r="F457"/>
  <c r="I457" s="1"/>
  <c r="L457" s="1"/>
  <c r="R456"/>
  <c r="Q456"/>
  <c r="S456" s="1"/>
  <c r="N456"/>
  <c r="I456"/>
  <c r="L456" s="1"/>
  <c r="R455"/>
  <c r="N455"/>
  <c r="Q455" s="1"/>
  <c r="S455" s="1"/>
  <c r="F455"/>
  <c r="I455" s="1"/>
  <c r="L455" s="1"/>
  <c r="R454"/>
  <c r="F454"/>
  <c r="R453"/>
  <c r="Q453"/>
  <c r="S453" s="1"/>
  <c r="N453"/>
  <c r="K453"/>
  <c r="M453" s="1"/>
  <c r="I453"/>
  <c r="L453" s="1"/>
  <c r="G453" s="1"/>
  <c r="R452"/>
  <c r="K452"/>
  <c r="F452"/>
  <c r="N452" s="1"/>
  <c r="Q452" s="1"/>
  <c r="S452" s="1"/>
  <c r="R451"/>
  <c r="N451"/>
  <c r="Q451" s="1"/>
  <c r="S451" s="1"/>
  <c r="L451"/>
  <c r="M451" s="1"/>
  <c r="H451"/>
  <c r="G451"/>
  <c r="F451"/>
  <c r="R450"/>
  <c r="N450"/>
  <c r="Q450" s="1"/>
  <c r="S450" s="1"/>
  <c r="L450"/>
  <c r="K450"/>
  <c r="M450" s="1"/>
  <c r="G450"/>
  <c r="F450"/>
  <c r="R449"/>
  <c r="N449"/>
  <c r="Q449" s="1"/>
  <c r="S449" s="1"/>
  <c r="F449"/>
  <c r="I449" s="1"/>
  <c r="L449" s="1"/>
  <c r="R448"/>
  <c r="F448"/>
  <c r="R447"/>
  <c r="I447"/>
  <c r="H447" s="1"/>
  <c r="L447" s="1"/>
  <c r="F447"/>
  <c r="N447" s="1"/>
  <c r="Q447" s="1"/>
  <c r="S447" s="1"/>
  <c r="R446"/>
  <c r="F446"/>
  <c r="R445"/>
  <c r="F445"/>
  <c r="I445" s="1"/>
  <c r="L445" s="1"/>
  <c r="R444"/>
  <c r="Q444"/>
  <c r="S444" s="1"/>
  <c r="N444"/>
  <c r="K444"/>
  <c r="M444" s="1"/>
  <c r="I444"/>
  <c r="L444" s="1"/>
  <c r="G444" s="1"/>
  <c r="R443"/>
  <c r="K443"/>
  <c r="F443"/>
  <c r="N443" s="1"/>
  <c r="Q443" s="1"/>
  <c r="S443" s="1"/>
  <c r="R442"/>
  <c r="K442"/>
  <c r="F442"/>
  <c r="N442" s="1"/>
  <c r="Q442" s="1"/>
  <c r="S442" s="1"/>
  <c r="R441"/>
  <c r="Q441"/>
  <c r="S441" s="1"/>
  <c r="N441"/>
  <c r="I441"/>
  <c r="L441" s="1"/>
  <c r="R440"/>
  <c r="N440"/>
  <c r="Q440" s="1"/>
  <c r="S440" s="1"/>
  <c r="F440"/>
  <c r="I440" s="1"/>
  <c r="L440" s="1"/>
  <c r="R439"/>
  <c r="N439"/>
  <c r="Q439" s="1"/>
  <c r="S439" s="1"/>
  <c r="F439"/>
  <c r="I439" s="1"/>
  <c r="L439" s="1"/>
  <c r="R438"/>
  <c r="L438"/>
  <c r="M438" s="1"/>
  <c r="F438"/>
  <c r="N438" s="1"/>
  <c r="Q438" s="1"/>
  <c r="S438" s="1"/>
  <c r="R437"/>
  <c r="F437"/>
  <c r="I437" s="1"/>
  <c r="L437" s="1"/>
  <c r="R436"/>
  <c r="Q436"/>
  <c r="S436" s="1"/>
  <c r="N436"/>
  <c r="I436"/>
  <c r="L436" s="1"/>
  <c r="R435"/>
  <c r="N435"/>
  <c r="Q435" s="1"/>
  <c r="S435" s="1"/>
  <c r="F435"/>
  <c r="I435" s="1"/>
  <c r="L435" s="1"/>
  <c r="R434"/>
  <c r="N434"/>
  <c r="Q434" s="1"/>
  <c r="S434" s="1"/>
  <c r="F434"/>
  <c r="I434" s="1"/>
  <c r="L434" s="1"/>
  <c r="R433"/>
  <c r="F433"/>
  <c r="R432"/>
  <c r="F432"/>
  <c r="I432" s="1"/>
  <c r="L432" s="1"/>
  <c r="R431"/>
  <c r="M431"/>
  <c r="L431"/>
  <c r="G431"/>
  <c r="F431"/>
  <c r="N431" s="1"/>
  <c r="Q431" s="1"/>
  <c r="S431" s="1"/>
  <c r="R430"/>
  <c r="L430"/>
  <c r="M430" s="1"/>
  <c r="F430"/>
  <c r="N430" s="1"/>
  <c r="Q430" s="1"/>
  <c r="S430" s="1"/>
  <c r="R429"/>
  <c r="M429"/>
  <c r="L429"/>
  <c r="G429"/>
  <c r="F429"/>
  <c r="N429" s="1"/>
  <c r="Q429" s="1"/>
  <c r="S429" s="1"/>
  <c r="R428"/>
  <c r="N428"/>
  <c r="Q428" s="1"/>
  <c r="S428" s="1"/>
  <c r="L428"/>
  <c r="K428"/>
  <c r="M428" s="1"/>
  <c r="G428"/>
  <c r="F428"/>
  <c r="R427"/>
  <c r="L427"/>
  <c r="M427" s="1"/>
  <c r="F427"/>
  <c r="N427" s="1"/>
  <c r="Q427" s="1"/>
  <c r="S427" s="1"/>
  <c r="R426"/>
  <c r="Q426"/>
  <c r="S426" s="1"/>
  <c r="N426"/>
  <c r="K426"/>
  <c r="M426" s="1"/>
  <c r="I426"/>
  <c r="L426" s="1"/>
  <c r="G426" s="1"/>
  <c r="R425"/>
  <c r="K425"/>
  <c r="F425"/>
  <c r="N425" s="1"/>
  <c r="Q425" s="1"/>
  <c r="S425" s="1"/>
  <c r="R424"/>
  <c r="N424"/>
  <c r="Q424" s="1"/>
  <c r="S424" s="1"/>
  <c r="F424"/>
  <c r="I424" s="1"/>
  <c r="L424" s="1"/>
  <c r="R423"/>
  <c r="N423"/>
  <c r="Q423" s="1"/>
  <c r="S423" s="1"/>
  <c r="F423"/>
  <c r="I423" s="1"/>
  <c r="L423" s="1"/>
  <c r="R422"/>
  <c r="N422"/>
  <c r="Q422" s="1"/>
  <c r="S422" s="1"/>
  <c r="F422"/>
  <c r="I422" s="1"/>
  <c r="L422" s="1"/>
  <c r="R421"/>
  <c r="N421"/>
  <c r="Q421" s="1"/>
  <c r="S421" s="1"/>
  <c r="L421"/>
  <c r="M421" s="1"/>
  <c r="I421"/>
  <c r="G421"/>
  <c r="R420"/>
  <c r="F420"/>
  <c r="I420" s="1"/>
  <c r="L420" s="1"/>
  <c r="R419"/>
  <c r="F419"/>
  <c r="I419" s="1"/>
  <c r="L419" s="1"/>
  <c r="R418"/>
  <c r="Q418"/>
  <c r="S418" s="1"/>
  <c r="N418"/>
  <c r="K418"/>
  <c r="M418" s="1"/>
  <c r="I418"/>
  <c r="L418" s="1"/>
  <c r="G418" s="1"/>
  <c r="R417"/>
  <c r="K417"/>
  <c r="H417"/>
  <c r="F417"/>
  <c r="N417" s="1"/>
  <c r="Q417" s="1"/>
  <c r="S417" s="1"/>
  <c r="R416"/>
  <c r="Q416"/>
  <c r="S416" s="1"/>
  <c r="N416"/>
  <c r="I416"/>
  <c r="L416" s="1"/>
  <c r="R415"/>
  <c r="N415"/>
  <c r="Q415" s="1"/>
  <c r="S415" s="1"/>
  <c r="F415"/>
  <c r="I415" s="1"/>
  <c r="L415" s="1"/>
  <c r="R414"/>
  <c r="F414"/>
  <c r="R413"/>
  <c r="Q413"/>
  <c r="S413" s="1"/>
  <c r="N413"/>
  <c r="M413"/>
  <c r="L413"/>
  <c r="G413"/>
  <c r="R412"/>
  <c r="M412"/>
  <c r="L412"/>
  <c r="G412"/>
  <c r="F412"/>
  <c r="N412" s="1"/>
  <c r="Q412" s="1"/>
  <c r="S412" s="1"/>
  <c r="R411"/>
  <c r="N411"/>
  <c r="Q411" s="1"/>
  <c r="S411" s="1"/>
  <c r="L411"/>
  <c r="M411" s="1"/>
  <c r="I411"/>
  <c r="G411"/>
  <c r="R410"/>
  <c r="F410"/>
  <c r="I410" s="1"/>
  <c r="L410" s="1"/>
  <c r="R409"/>
  <c r="L409"/>
  <c r="K409"/>
  <c r="M409" s="1"/>
  <c r="G409"/>
  <c r="F409"/>
  <c r="N409" s="1"/>
  <c r="Q409" s="1"/>
  <c r="S409" s="1"/>
  <c r="R408"/>
  <c r="F408"/>
  <c r="I408" s="1"/>
  <c r="L408" s="1"/>
  <c r="R407"/>
  <c r="Q407"/>
  <c r="S407" s="1"/>
  <c r="N407"/>
  <c r="I407"/>
  <c r="L407" s="1"/>
  <c r="R406"/>
  <c r="N406"/>
  <c r="Q406" s="1"/>
  <c r="S406" s="1"/>
  <c r="F406"/>
  <c r="I406" s="1"/>
  <c r="L406" s="1"/>
  <c r="R405"/>
  <c r="F405"/>
  <c r="R404"/>
  <c r="M404"/>
  <c r="L404"/>
  <c r="G404"/>
  <c r="F404"/>
  <c r="N404" s="1"/>
  <c r="Q404" s="1"/>
  <c r="S404" s="1"/>
  <c r="R403"/>
  <c r="L403"/>
  <c r="M403" s="1"/>
  <c r="F403"/>
  <c r="N403" s="1"/>
  <c r="Q403" s="1"/>
  <c r="S403" s="1"/>
  <c r="R402"/>
  <c r="Q402"/>
  <c r="S402" s="1"/>
  <c r="N402"/>
  <c r="L402"/>
  <c r="K402"/>
  <c r="M402" s="1"/>
  <c r="G402"/>
  <c r="R401"/>
  <c r="N401"/>
  <c r="Q401" s="1"/>
  <c r="S401" s="1"/>
  <c r="L401"/>
  <c r="K401"/>
  <c r="M401" s="1"/>
  <c r="G401"/>
  <c r="F401"/>
  <c r="R400"/>
  <c r="K400"/>
  <c r="F400"/>
  <c r="N400" s="1"/>
  <c r="Q400" s="1"/>
  <c r="S400" s="1"/>
  <c r="R399"/>
  <c r="M399"/>
  <c r="L399"/>
  <c r="G399"/>
  <c r="F399"/>
  <c r="N399" s="1"/>
  <c r="Q399" s="1"/>
  <c r="S399" s="1"/>
  <c r="R398"/>
  <c r="F398"/>
  <c r="H398" s="1"/>
  <c r="R397"/>
  <c r="L397"/>
  <c r="M397" s="1"/>
  <c r="F397"/>
  <c r="N397" s="1"/>
  <c r="Q397" s="1"/>
  <c r="S397" s="1"/>
  <c r="R396"/>
  <c r="H396"/>
  <c r="N396" s="1"/>
  <c r="Q396" s="1"/>
  <c r="S396" s="1"/>
  <c r="R395"/>
  <c r="K395"/>
  <c r="F395"/>
  <c r="N395" s="1"/>
  <c r="Q395" s="1"/>
  <c r="S395" s="1"/>
  <c r="R394"/>
  <c r="M394"/>
  <c r="L394"/>
  <c r="G394"/>
  <c r="F394"/>
  <c r="N394" s="1"/>
  <c r="Q394" s="1"/>
  <c r="S394" s="1"/>
  <c r="R393"/>
  <c r="N393"/>
  <c r="Q393" s="1"/>
  <c r="S393" s="1"/>
  <c r="K393"/>
  <c r="M393" s="1"/>
  <c r="I393"/>
  <c r="L393" s="1"/>
  <c r="G393" s="1"/>
  <c r="R392"/>
  <c r="N392"/>
  <c r="Q392" s="1"/>
  <c r="S392" s="1"/>
  <c r="F392"/>
  <c r="I392" s="1"/>
  <c r="L392" s="1"/>
  <c r="R391"/>
  <c r="N391"/>
  <c r="Q391" s="1"/>
  <c r="S391" s="1"/>
  <c r="F391"/>
  <c r="I391" s="1"/>
  <c r="L391" s="1"/>
  <c r="R390"/>
  <c r="N390"/>
  <c r="Q390" s="1"/>
  <c r="S390" s="1"/>
  <c r="F390"/>
  <c r="I390" s="1"/>
  <c r="L390" s="1"/>
  <c r="R389"/>
  <c r="L389"/>
  <c r="M389" s="1"/>
  <c r="F389"/>
  <c r="N389" s="1"/>
  <c r="Q389" s="1"/>
  <c r="S389" s="1"/>
  <c r="R388"/>
  <c r="Q388"/>
  <c r="S388" s="1"/>
  <c r="N388"/>
  <c r="M388"/>
  <c r="L388"/>
  <c r="G388"/>
  <c r="R387"/>
  <c r="I387"/>
  <c r="L387" s="1"/>
  <c r="F387"/>
  <c r="N387" s="1"/>
  <c r="Q387" s="1"/>
  <c r="S387" s="1"/>
  <c r="R386"/>
  <c r="I386"/>
  <c r="H386" s="1"/>
  <c r="L386" s="1"/>
  <c r="F386"/>
  <c r="R385"/>
  <c r="N385"/>
  <c r="Q385" s="1"/>
  <c r="S385" s="1"/>
  <c r="L385"/>
  <c r="K385"/>
  <c r="M385" s="1"/>
  <c r="G385"/>
  <c r="F385"/>
  <c r="R384"/>
  <c r="L384"/>
  <c r="M384" s="1"/>
  <c r="F384"/>
  <c r="N384" s="1"/>
  <c r="Q384" s="1"/>
  <c r="S384" s="1"/>
  <c r="R383"/>
  <c r="I383"/>
  <c r="H383" s="1"/>
  <c r="L383" s="1"/>
  <c r="F383"/>
  <c r="R382"/>
  <c r="N382"/>
  <c r="Q382" s="1"/>
  <c r="S382" s="1"/>
  <c r="F382"/>
  <c r="I382" s="1"/>
  <c r="L382" s="1"/>
  <c r="R381"/>
  <c r="N381"/>
  <c r="Q381" s="1"/>
  <c r="S381" s="1"/>
  <c r="F381"/>
  <c r="I381" s="1"/>
  <c r="L381" s="1"/>
  <c r="R380"/>
  <c r="N380"/>
  <c r="Q380" s="1"/>
  <c r="S380" s="1"/>
  <c r="L380"/>
  <c r="K380"/>
  <c r="M380" s="1"/>
  <c r="G380"/>
  <c r="F380"/>
  <c r="R379"/>
  <c r="N379"/>
  <c r="Q379" s="1"/>
  <c r="S379" s="1"/>
  <c r="L379"/>
  <c r="K379"/>
  <c r="M379" s="1"/>
  <c r="G379"/>
  <c r="R378"/>
  <c r="M378"/>
  <c r="L378"/>
  <c r="G378"/>
  <c r="F378"/>
  <c r="N378" s="1"/>
  <c r="Q378" s="1"/>
  <c r="S378" s="1"/>
  <c r="R377"/>
  <c r="N377"/>
  <c r="Q377" s="1"/>
  <c r="S377" s="1"/>
  <c r="F377"/>
  <c r="I377" s="1"/>
  <c r="L377" s="1"/>
  <c r="R376"/>
  <c r="N376"/>
  <c r="Q376" s="1"/>
  <c r="S376" s="1"/>
  <c r="F376"/>
  <c r="I376" s="1"/>
  <c r="L376" s="1"/>
  <c r="R375"/>
  <c r="N375"/>
  <c r="Q375" s="1"/>
  <c r="S375" s="1"/>
  <c r="L375"/>
  <c r="M375" s="1"/>
  <c r="I375"/>
  <c r="G375"/>
  <c r="R374"/>
  <c r="F374"/>
  <c r="I374" s="1"/>
  <c r="L374" s="1"/>
  <c r="R373"/>
  <c r="F373"/>
  <c r="I373" s="1"/>
  <c r="L373" s="1"/>
  <c r="R372"/>
  <c r="K372"/>
  <c r="F372"/>
  <c r="N372" s="1"/>
  <c r="Q372" s="1"/>
  <c r="S372" s="1"/>
  <c r="R371"/>
  <c r="N371"/>
  <c r="Q371" s="1"/>
  <c r="S371" s="1"/>
  <c r="K371"/>
  <c r="M371" s="1"/>
  <c r="I371"/>
  <c r="L371" s="1"/>
  <c r="G371" s="1"/>
  <c r="R370"/>
  <c r="N370"/>
  <c r="Q370" s="1"/>
  <c r="S370" s="1"/>
  <c r="F370"/>
  <c r="I370" s="1"/>
  <c r="L370" s="1"/>
  <c r="R369"/>
  <c r="N369"/>
  <c r="Q369" s="1"/>
  <c r="S369" s="1"/>
  <c r="F369"/>
  <c r="I369" s="1"/>
  <c r="L369" s="1"/>
  <c r="R368"/>
  <c r="K368"/>
  <c r="F368"/>
  <c r="N368" s="1"/>
  <c r="Q368" s="1"/>
  <c r="S368" s="1"/>
  <c r="R367"/>
  <c r="F367"/>
  <c r="I367" s="1"/>
  <c r="L367" s="1"/>
  <c r="R366"/>
  <c r="Q366"/>
  <c r="S366" s="1"/>
  <c r="N366"/>
  <c r="M366"/>
  <c r="L366"/>
  <c r="G366"/>
  <c r="R365"/>
  <c r="M365"/>
  <c r="L365"/>
  <c r="G365"/>
  <c r="F365"/>
  <c r="N365" s="1"/>
  <c r="Q365" s="1"/>
  <c r="S365" s="1"/>
  <c r="R364"/>
  <c r="K364"/>
  <c r="I364"/>
  <c r="H364" s="1"/>
  <c r="F364"/>
  <c r="R363"/>
  <c r="L363"/>
  <c r="M363" s="1"/>
  <c r="F363"/>
  <c r="N363" s="1"/>
  <c r="Q363" s="1"/>
  <c r="S363" s="1"/>
  <c r="R362"/>
  <c r="F362"/>
  <c r="I362" s="1"/>
  <c r="L362" s="1"/>
  <c r="R361"/>
  <c r="F361"/>
  <c r="I361" s="1"/>
  <c r="L361" s="1"/>
  <c r="R360"/>
  <c r="I360"/>
  <c r="H360" s="1"/>
  <c r="L360" s="1"/>
  <c r="F360"/>
  <c r="R359"/>
  <c r="F359"/>
  <c r="R358"/>
  <c r="I358"/>
  <c r="H358" s="1"/>
  <c r="L358" s="1"/>
  <c r="F358"/>
  <c r="N358" s="1"/>
  <c r="Q358" s="1"/>
  <c r="S358" s="1"/>
  <c r="R357"/>
  <c r="N357"/>
  <c r="Q357" s="1"/>
  <c r="S357" s="1"/>
  <c r="F357"/>
  <c r="I357" s="1"/>
  <c r="L357" s="1"/>
  <c r="R356"/>
  <c r="L356"/>
  <c r="M356" s="1"/>
  <c r="F356"/>
  <c r="N356" s="1"/>
  <c r="Q356" s="1"/>
  <c r="S356" s="1"/>
  <c r="R355"/>
  <c r="I355"/>
  <c r="H355" s="1"/>
  <c r="L355" s="1"/>
  <c r="F355"/>
  <c r="R354"/>
  <c r="N354"/>
  <c r="Q354" s="1"/>
  <c r="S354" s="1"/>
  <c r="F354"/>
  <c r="I354" s="1"/>
  <c r="L354" s="1"/>
  <c r="R353"/>
  <c r="N353"/>
  <c r="Q353" s="1"/>
  <c r="S353" s="1"/>
  <c r="L353"/>
  <c r="M353" s="1"/>
  <c r="R352"/>
  <c r="L352"/>
  <c r="M352" s="1"/>
  <c r="F352"/>
  <c r="N352" s="1"/>
  <c r="Q352" s="1"/>
  <c r="S352" s="1"/>
  <c r="R351"/>
  <c r="F351"/>
  <c r="I351" s="1"/>
  <c r="L351" s="1"/>
  <c r="R350"/>
  <c r="M350"/>
  <c r="L350"/>
  <c r="G350"/>
  <c r="F350"/>
  <c r="N350" s="1"/>
  <c r="Q350" s="1"/>
  <c r="S350" s="1"/>
  <c r="R349"/>
  <c r="N349"/>
  <c r="Q349" s="1"/>
  <c r="S349" s="1"/>
  <c r="L349"/>
  <c r="M349" s="1"/>
  <c r="I349"/>
  <c r="G349"/>
  <c r="R348"/>
  <c r="F348"/>
  <c r="I348" s="1"/>
  <c r="L348" s="1"/>
  <c r="R347"/>
  <c r="M347"/>
  <c r="L347"/>
  <c r="G347"/>
  <c r="F347"/>
  <c r="N347" s="1"/>
  <c r="Q347" s="1"/>
  <c r="S347" s="1"/>
  <c r="R346"/>
  <c r="N346"/>
  <c r="Q346" s="1"/>
  <c r="S346" s="1"/>
  <c r="L346"/>
  <c r="M346" s="1"/>
  <c r="R345"/>
  <c r="L345"/>
  <c r="M345" s="1"/>
  <c r="F345"/>
  <c r="N345" s="1"/>
  <c r="Q345" s="1"/>
  <c r="S345" s="1"/>
  <c r="R344"/>
  <c r="Q344"/>
  <c r="S344" s="1"/>
  <c r="N344"/>
  <c r="M344"/>
  <c r="L344"/>
  <c r="G344"/>
  <c r="R343"/>
  <c r="F343"/>
  <c r="I343" s="1"/>
  <c r="L343" s="1"/>
  <c r="R342"/>
  <c r="F342"/>
  <c r="I342" s="1"/>
  <c r="L342" s="1"/>
  <c r="R341"/>
  <c r="K341"/>
  <c r="H341"/>
  <c r="N341" s="1"/>
  <c r="Q341" s="1"/>
  <c r="S341" s="1"/>
  <c r="R340"/>
  <c r="M340"/>
  <c r="L340"/>
  <c r="G340"/>
  <c r="F340"/>
  <c r="N340" s="1"/>
  <c r="Q340" s="1"/>
  <c r="S340" s="1"/>
  <c r="R339"/>
  <c r="N339"/>
  <c r="Q339" s="1"/>
  <c r="S339" s="1"/>
  <c r="L339"/>
  <c r="M339" s="1"/>
  <c r="I339"/>
  <c r="G339"/>
  <c r="R338"/>
  <c r="I338"/>
  <c r="H338"/>
  <c r="L338" s="1"/>
  <c r="F338"/>
  <c r="N338" s="1"/>
  <c r="Q338" s="1"/>
  <c r="S338" s="1"/>
  <c r="R337"/>
  <c r="N337"/>
  <c r="Q337" s="1"/>
  <c r="S337" s="1"/>
  <c r="F337"/>
  <c r="I337" s="1"/>
  <c r="L337" s="1"/>
  <c r="R336"/>
  <c r="K336"/>
  <c r="H336"/>
  <c r="L336" s="1"/>
  <c r="G336" s="1"/>
  <c r="F336"/>
  <c r="N336" s="1"/>
  <c r="Q336" s="1"/>
  <c r="S336" s="1"/>
  <c r="R335"/>
  <c r="Q335"/>
  <c r="S335" s="1"/>
  <c r="N335"/>
  <c r="L335"/>
  <c r="K335"/>
  <c r="M335" s="1"/>
  <c r="G335"/>
  <c r="R334"/>
  <c r="N334"/>
  <c r="Q334" s="1"/>
  <c r="S334" s="1"/>
  <c r="L334"/>
  <c r="K334"/>
  <c r="M334" s="1"/>
  <c r="G334"/>
  <c r="F334"/>
  <c r="R333"/>
  <c r="K333"/>
  <c r="I333"/>
  <c r="F333"/>
  <c r="H333" s="1"/>
  <c r="R332"/>
  <c r="N332"/>
  <c r="Q332" s="1"/>
  <c r="S332" s="1"/>
  <c r="F332"/>
  <c r="I332" s="1"/>
  <c r="L332" s="1"/>
  <c r="R331"/>
  <c r="L331"/>
  <c r="M331" s="1"/>
  <c r="F331"/>
  <c r="N331" s="1"/>
  <c r="Q331" s="1"/>
  <c r="S331" s="1"/>
  <c r="R330"/>
  <c r="Q330"/>
  <c r="S330" s="1"/>
  <c r="N330"/>
  <c r="K330"/>
  <c r="M330" s="1"/>
  <c r="I330"/>
  <c r="L330" s="1"/>
  <c r="G330" s="1"/>
  <c r="R329"/>
  <c r="K329"/>
  <c r="F329"/>
  <c r="N329" s="1"/>
  <c r="Q329" s="1"/>
  <c r="S329" s="1"/>
  <c r="R328"/>
  <c r="L328"/>
  <c r="M328" s="1"/>
  <c r="F328"/>
  <c r="N328" s="1"/>
  <c r="Q328" s="1"/>
  <c r="S328" s="1"/>
  <c r="R327"/>
  <c r="I327"/>
  <c r="H327" s="1"/>
  <c r="L327" s="1"/>
  <c r="F327"/>
  <c r="N327" s="1"/>
  <c r="Q327" s="1"/>
  <c r="S327" s="1"/>
  <c r="R326"/>
  <c r="L326"/>
  <c r="M326" s="1"/>
  <c r="F326"/>
  <c r="N326" s="1"/>
  <c r="Q326" s="1"/>
  <c r="S326" s="1"/>
  <c r="R325"/>
  <c r="M325"/>
  <c r="L325"/>
  <c r="G325"/>
  <c r="F325"/>
  <c r="N325" s="1"/>
  <c r="Q325" s="1"/>
  <c r="S325" s="1"/>
  <c r="R324"/>
  <c r="N324"/>
  <c r="Q324" s="1"/>
  <c r="S324" s="1"/>
  <c r="K324"/>
  <c r="I324"/>
  <c r="L324" s="1"/>
  <c r="G324" s="1"/>
  <c r="R323"/>
  <c r="F323"/>
  <c r="N323" s="1"/>
  <c r="Q323" s="1"/>
  <c r="S323" s="1"/>
  <c r="R322"/>
  <c r="L322"/>
  <c r="M322" s="1"/>
  <c r="F322"/>
  <c r="N322" s="1"/>
  <c r="Q322" s="1"/>
  <c r="S322" s="1"/>
  <c r="R321"/>
  <c r="Q321"/>
  <c r="S321" s="1"/>
  <c r="N321"/>
  <c r="I321"/>
  <c r="L321" s="1"/>
  <c r="R320"/>
  <c r="F320"/>
  <c r="N320" s="1"/>
  <c r="Q320" s="1"/>
  <c r="S320" s="1"/>
  <c r="R319"/>
  <c r="N319"/>
  <c r="Q319" s="1"/>
  <c r="S319" s="1"/>
  <c r="F319"/>
  <c r="I319" s="1"/>
  <c r="L319" s="1"/>
  <c r="R318"/>
  <c r="L318"/>
  <c r="M318" s="1"/>
  <c r="F318"/>
  <c r="N318" s="1"/>
  <c r="Q318" s="1"/>
  <c r="S318" s="1"/>
  <c r="R317"/>
  <c r="Q317"/>
  <c r="S317" s="1"/>
  <c r="N317"/>
  <c r="M317"/>
  <c r="L317"/>
  <c r="G317"/>
  <c r="R316"/>
  <c r="N316"/>
  <c r="Q316" s="1"/>
  <c r="S316" s="1"/>
  <c r="I316"/>
  <c r="L316" s="1"/>
  <c r="R315"/>
  <c r="F315"/>
  <c r="N315" s="1"/>
  <c r="Q315" s="1"/>
  <c r="S315" s="1"/>
  <c r="R314"/>
  <c r="F314"/>
  <c r="H314" s="1"/>
  <c r="R313"/>
  <c r="Q313"/>
  <c r="S313" s="1"/>
  <c r="N313"/>
  <c r="I313"/>
  <c r="L313" s="1"/>
  <c r="R312"/>
  <c r="F312"/>
  <c r="N312" s="1"/>
  <c r="Q312" s="1"/>
  <c r="S312" s="1"/>
  <c r="R311"/>
  <c r="F311"/>
  <c r="N311" s="1"/>
  <c r="Q311" s="1"/>
  <c r="S311" s="1"/>
  <c r="R310"/>
  <c r="F310"/>
  <c r="N310" s="1"/>
  <c r="Q310" s="1"/>
  <c r="S310" s="1"/>
  <c r="R309"/>
  <c r="N309"/>
  <c r="Q309" s="1"/>
  <c r="S309" s="1"/>
  <c r="L309"/>
  <c r="M309" s="1"/>
  <c r="R308"/>
  <c r="L308"/>
  <c r="M308" s="1"/>
  <c r="F308"/>
  <c r="N308" s="1"/>
  <c r="Q308" s="1"/>
  <c r="S308" s="1"/>
  <c r="R307"/>
  <c r="L307"/>
  <c r="K307"/>
  <c r="M307" s="1"/>
  <c r="G307"/>
  <c r="F307"/>
  <c r="N307" s="1"/>
  <c r="Q307" s="1"/>
  <c r="S307" s="1"/>
  <c r="R306"/>
  <c r="N306"/>
  <c r="Q306" s="1"/>
  <c r="S306" s="1"/>
  <c r="L306"/>
  <c r="K306"/>
  <c r="M306" s="1"/>
  <c r="G306"/>
  <c r="R305"/>
  <c r="F305"/>
  <c r="R304"/>
  <c r="L304"/>
  <c r="M304" s="1"/>
  <c r="F304"/>
  <c r="N304" s="1"/>
  <c r="Q304" s="1"/>
  <c r="S304" s="1"/>
  <c r="R303"/>
  <c r="F303"/>
  <c r="N303" s="1"/>
  <c r="Q303" s="1"/>
  <c r="S303" s="1"/>
  <c r="R302"/>
  <c r="N302"/>
  <c r="Q302" s="1"/>
  <c r="S302" s="1"/>
  <c r="L302"/>
  <c r="M302" s="1"/>
  <c r="I302"/>
  <c r="G302"/>
  <c r="R301"/>
  <c r="H301"/>
  <c r="L301" s="1"/>
  <c r="F301"/>
  <c r="I301" s="1"/>
  <c r="R300"/>
  <c r="F300"/>
  <c r="N300" s="1"/>
  <c r="Q300" s="1"/>
  <c r="S300" s="1"/>
  <c r="R299"/>
  <c r="L299"/>
  <c r="K299"/>
  <c r="M299" s="1"/>
  <c r="G299"/>
  <c r="F299"/>
  <c r="N299" s="1"/>
  <c r="Q299" s="1"/>
  <c r="S299" s="1"/>
  <c r="R298"/>
  <c r="K298"/>
  <c r="I298"/>
  <c r="F298"/>
  <c r="H298" s="1"/>
  <c r="R297"/>
  <c r="N297"/>
  <c r="Q297" s="1"/>
  <c r="S297" s="1"/>
  <c r="F297"/>
  <c r="I297" s="1"/>
  <c r="L297" s="1"/>
  <c r="R296"/>
  <c r="N296"/>
  <c r="Q296" s="1"/>
  <c r="S296" s="1"/>
  <c r="L296"/>
  <c r="K296"/>
  <c r="M296" s="1"/>
  <c r="G296"/>
  <c r="F296"/>
  <c r="R295"/>
  <c r="N295"/>
  <c r="Q295" s="1"/>
  <c r="S295" s="1"/>
  <c r="F295"/>
  <c r="I295" s="1"/>
  <c r="L295" s="1"/>
  <c r="R294"/>
  <c r="K294"/>
  <c r="F294"/>
  <c r="N294" s="1"/>
  <c r="Q294" s="1"/>
  <c r="S294" s="1"/>
  <c r="R293"/>
  <c r="F293"/>
  <c r="I293" s="1"/>
  <c r="L293" s="1"/>
  <c r="R292"/>
  <c r="K292"/>
  <c r="F292"/>
  <c r="N292" s="1"/>
  <c r="Q292" s="1"/>
  <c r="S292" s="1"/>
  <c r="R291"/>
  <c r="K291"/>
  <c r="I291"/>
  <c r="H291" s="1"/>
  <c r="F291"/>
  <c r="R290"/>
  <c r="N290"/>
  <c r="Q290" s="1"/>
  <c r="S290" s="1"/>
  <c r="L290"/>
  <c r="M290" s="1"/>
  <c r="R289"/>
  <c r="L289"/>
  <c r="M289" s="1"/>
  <c r="F289"/>
  <c r="N289" s="1"/>
  <c r="Q289" s="1"/>
  <c r="S289" s="1"/>
  <c r="R288"/>
  <c r="I288"/>
  <c r="H288" s="1"/>
  <c r="L288" s="1"/>
  <c r="F288"/>
  <c r="R287"/>
  <c r="N287"/>
  <c r="Q287" s="1"/>
  <c r="S287" s="1"/>
  <c r="F287"/>
  <c r="I287" s="1"/>
  <c r="L287" s="1"/>
  <c r="R286"/>
  <c r="N286"/>
  <c r="Q286" s="1"/>
  <c r="S286" s="1"/>
  <c r="F286"/>
  <c r="I286" s="1"/>
  <c r="L286" s="1"/>
  <c r="R285"/>
  <c r="N285"/>
  <c r="Q285" s="1"/>
  <c r="S285" s="1"/>
  <c r="L285"/>
  <c r="M285" s="1"/>
  <c r="R284"/>
  <c r="N284"/>
  <c r="Q284" s="1"/>
  <c r="S284" s="1"/>
  <c r="L284"/>
  <c r="M284" s="1"/>
  <c r="I284"/>
  <c r="G284"/>
  <c r="F284"/>
  <c r="R283"/>
  <c r="N283"/>
  <c r="Q283" s="1"/>
  <c r="S283" s="1"/>
  <c r="L283"/>
  <c r="M283" s="1"/>
  <c r="I283"/>
  <c r="G283"/>
  <c r="R282"/>
  <c r="F282"/>
  <c r="I282" s="1"/>
  <c r="L282" s="1"/>
  <c r="R281"/>
  <c r="Q281"/>
  <c r="S281" s="1"/>
  <c r="N281"/>
  <c r="I281"/>
  <c r="L281" s="1"/>
  <c r="R280"/>
  <c r="L280"/>
  <c r="M280" s="1"/>
  <c r="F280"/>
  <c r="N280" s="1"/>
  <c r="Q280" s="1"/>
  <c r="S280" s="1"/>
  <c r="R279"/>
  <c r="M279"/>
  <c r="L279"/>
  <c r="G279"/>
  <c r="F279"/>
  <c r="N279" s="1"/>
  <c r="Q279" s="1"/>
  <c r="S279" s="1"/>
  <c r="R278"/>
  <c r="N278"/>
  <c r="Q278" s="1"/>
  <c r="S278" s="1"/>
  <c r="F278"/>
  <c r="I278" s="1"/>
  <c r="L278" s="1"/>
  <c r="R277"/>
  <c r="N277"/>
  <c r="Q277" s="1"/>
  <c r="S277" s="1"/>
  <c r="F277"/>
  <c r="I277" s="1"/>
  <c r="L277" s="1"/>
  <c r="R276"/>
  <c r="L276"/>
  <c r="M276" s="1"/>
  <c r="F276"/>
  <c r="N276" s="1"/>
  <c r="Q276" s="1"/>
  <c r="S276" s="1"/>
  <c r="R275"/>
  <c r="F275"/>
  <c r="I275" s="1"/>
  <c r="L275" s="1"/>
  <c r="R274"/>
  <c r="M274"/>
  <c r="L274"/>
  <c r="G274"/>
  <c r="F274"/>
  <c r="N274" s="1"/>
  <c r="Q274" s="1"/>
  <c r="S274" s="1"/>
  <c r="R273"/>
  <c r="N273"/>
  <c r="Q273" s="1"/>
  <c r="S273" s="1"/>
  <c r="L273"/>
  <c r="M273" s="1"/>
  <c r="H273"/>
  <c r="G273"/>
  <c r="R272"/>
  <c r="Q272"/>
  <c r="S272" s="1"/>
  <c r="N272"/>
  <c r="I272"/>
  <c r="L272" s="1"/>
  <c r="R271"/>
  <c r="N271"/>
  <c r="Q271" s="1"/>
  <c r="S271" s="1"/>
  <c r="F271"/>
  <c r="I271" s="1"/>
  <c r="L271" s="1"/>
  <c r="R270"/>
  <c r="K270"/>
  <c r="F270"/>
  <c r="N270" s="1"/>
  <c r="Q270" s="1"/>
  <c r="S270" s="1"/>
  <c r="R269"/>
  <c r="L269"/>
  <c r="K269"/>
  <c r="M269" s="1"/>
  <c r="G269"/>
  <c r="F269"/>
  <c r="N269" s="1"/>
  <c r="Q269" s="1"/>
  <c r="S269" s="1"/>
  <c r="R268"/>
  <c r="L268"/>
  <c r="K268"/>
  <c r="M268" s="1"/>
  <c r="G268"/>
  <c r="F268"/>
  <c r="N268" s="1"/>
  <c r="Q268" s="1"/>
  <c r="S268" s="1"/>
  <c r="R267"/>
  <c r="F267"/>
  <c r="I267" s="1"/>
  <c r="L267" s="1"/>
  <c r="R266"/>
  <c r="L266"/>
  <c r="K266"/>
  <c r="M266" s="1"/>
  <c r="G266"/>
  <c r="F266"/>
  <c r="N266" s="1"/>
  <c r="Q266" s="1"/>
  <c r="S266" s="1"/>
  <c r="R265"/>
  <c r="L265"/>
  <c r="K265"/>
  <c r="M265" s="1"/>
  <c r="G265"/>
  <c r="F265"/>
  <c r="N265" s="1"/>
  <c r="Q265" s="1"/>
  <c r="S265" s="1"/>
  <c r="R264"/>
  <c r="F264"/>
  <c r="I264" s="1"/>
  <c r="L264" s="1"/>
  <c r="R263"/>
  <c r="L263"/>
  <c r="K263"/>
  <c r="M263" s="1"/>
  <c r="G263"/>
  <c r="F263"/>
  <c r="N263" s="1"/>
  <c r="Q263" s="1"/>
  <c r="S263" s="1"/>
  <c r="R262"/>
  <c r="N262"/>
  <c r="Q262" s="1"/>
  <c r="S262" s="1"/>
  <c r="L262"/>
  <c r="K262"/>
  <c r="M262" s="1"/>
  <c r="G262"/>
  <c r="F262"/>
  <c r="R261"/>
  <c r="N261"/>
  <c r="Q261" s="1"/>
  <c r="S261" s="1"/>
  <c r="F261"/>
  <c r="I261" s="1"/>
  <c r="L261" s="1"/>
  <c r="R260"/>
  <c r="N260"/>
  <c r="Q260" s="1"/>
  <c r="S260" s="1"/>
  <c r="F260"/>
  <c r="I260" s="1"/>
  <c r="L260" s="1"/>
  <c r="R259"/>
  <c r="N259"/>
  <c r="Q259" s="1"/>
  <c r="S259" s="1"/>
  <c r="F259"/>
  <c r="I259" s="1"/>
  <c r="L259" s="1"/>
  <c r="R258"/>
  <c r="N258"/>
  <c r="Q258" s="1"/>
  <c r="S258" s="1"/>
  <c r="F258"/>
  <c r="I258" s="1"/>
  <c r="L258" s="1"/>
  <c r="R257"/>
  <c r="N257"/>
  <c r="Q257" s="1"/>
  <c r="S257" s="1"/>
  <c r="L257"/>
  <c r="M257" s="1"/>
  <c r="I257"/>
  <c r="G257"/>
  <c r="R256"/>
  <c r="I256"/>
  <c r="H256"/>
  <c r="L256" s="1"/>
  <c r="F256"/>
  <c r="N256" s="1"/>
  <c r="Q256" s="1"/>
  <c r="S256" s="1"/>
  <c r="R255"/>
  <c r="F255"/>
  <c r="I255" s="1"/>
  <c r="H255" s="1"/>
  <c r="L255" s="1"/>
  <c r="R254"/>
  <c r="F254"/>
  <c r="N254" s="1"/>
  <c r="Q254" s="1"/>
  <c r="S254" s="1"/>
  <c r="R253"/>
  <c r="F253"/>
  <c r="N253" s="1"/>
  <c r="Q253" s="1"/>
  <c r="S253" s="1"/>
  <c r="R252"/>
  <c r="F252"/>
  <c r="N252" s="1"/>
  <c r="Q252" s="1"/>
  <c r="S252" s="1"/>
  <c r="R251"/>
  <c r="K251"/>
  <c r="F251"/>
  <c r="N251" s="1"/>
  <c r="Q251" s="1"/>
  <c r="S251" s="1"/>
  <c r="R250"/>
  <c r="N250"/>
  <c r="Q250" s="1"/>
  <c r="S250" s="1"/>
  <c r="K250"/>
  <c r="M250" s="1"/>
  <c r="I250"/>
  <c r="L250" s="1"/>
  <c r="G250" s="1"/>
  <c r="R249"/>
  <c r="N249"/>
  <c r="Q249" s="1"/>
  <c r="S249" s="1"/>
  <c r="F249"/>
  <c r="I249" s="1"/>
  <c r="L249" s="1"/>
  <c r="R248"/>
  <c r="N248"/>
  <c r="Q248" s="1"/>
  <c r="S248" s="1"/>
  <c r="F248"/>
  <c r="I248" s="1"/>
  <c r="L248" s="1"/>
  <c r="R247"/>
  <c r="F247"/>
  <c r="R246"/>
  <c r="Q246"/>
  <c r="S246" s="1"/>
  <c r="N246"/>
  <c r="L246"/>
  <c r="K246"/>
  <c r="M246" s="1"/>
  <c r="G246"/>
  <c r="R245"/>
  <c r="L245"/>
  <c r="M245" s="1"/>
  <c r="F245"/>
  <c r="N245" s="1"/>
  <c r="Q245" s="1"/>
  <c r="S245" s="1"/>
  <c r="R244"/>
  <c r="F244"/>
  <c r="N244" s="1"/>
  <c r="Q244" s="1"/>
  <c r="S244" s="1"/>
  <c r="R243"/>
  <c r="F243"/>
  <c r="N243" s="1"/>
  <c r="Q243" s="1"/>
  <c r="S243" s="1"/>
  <c r="R242"/>
  <c r="Q242"/>
  <c r="S242" s="1"/>
  <c r="N242"/>
  <c r="I242"/>
  <c r="L242" s="1"/>
  <c r="R241"/>
  <c r="N241"/>
  <c r="Q241" s="1"/>
  <c r="S241" s="1"/>
  <c r="F241"/>
  <c r="I241" s="1"/>
  <c r="L241" s="1"/>
  <c r="R240"/>
  <c r="N240"/>
  <c r="Q240" s="1"/>
  <c r="S240" s="1"/>
  <c r="K240"/>
  <c r="I240"/>
  <c r="L240" s="1"/>
  <c r="G240" s="1"/>
  <c r="R239"/>
  <c r="N239"/>
  <c r="Q239" s="1"/>
  <c r="S239" s="1"/>
  <c r="F239"/>
  <c r="I239" s="1"/>
  <c r="L239" s="1"/>
  <c r="R238"/>
  <c r="F238"/>
  <c r="I238" s="1"/>
  <c r="R237"/>
  <c r="F237"/>
  <c r="N237" s="1"/>
  <c r="Q237" s="1"/>
  <c r="S237" s="1"/>
  <c r="R236"/>
  <c r="M236"/>
  <c r="L236"/>
  <c r="G236"/>
  <c r="F236"/>
  <c r="N236" s="1"/>
  <c r="Q236" s="1"/>
  <c r="S236" s="1"/>
  <c r="R235"/>
  <c r="N235"/>
  <c r="Q235" s="1"/>
  <c r="S235" s="1"/>
  <c r="L235"/>
  <c r="M235" s="1"/>
  <c r="H235"/>
  <c r="G235"/>
  <c r="F235"/>
  <c r="R234"/>
  <c r="N234"/>
  <c r="Q234" s="1"/>
  <c r="S234" s="1"/>
  <c r="K234"/>
  <c r="I234"/>
  <c r="L234" s="1"/>
  <c r="G234" s="1"/>
  <c r="R233"/>
  <c r="N233"/>
  <c r="Q233" s="1"/>
  <c r="S233" s="1"/>
  <c r="F233"/>
  <c r="I233" s="1"/>
  <c r="L233" s="1"/>
  <c r="R232"/>
  <c r="N232"/>
  <c r="Q232" s="1"/>
  <c r="S232" s="1"/>
  <c r="L232"/>
  <c r="M232" s="1"/>
  <c r="H232"/>
  <c r="G232"/>
  <c r="F232"/>
  <c r="R231"/>
  <c r="N231"/>
  <c r="Q231" s="1"/>
  <c r="S231" s="1"/>
  <c r="L231"/>
  <c r="M231" s="1"/>
  <c r="H231"/>
  <c r="G231"/>
  <c r="F231"/>
  <c r="R230"/>
  <c r="F230"/>
  <c r="H230" s="1"/>
  <c r="R229"/>
  <c r="N229"/>
  <c r="Q229" s="1"/>
  <c r="S229" s="1"/>
  <c r="L229"/>
  <c r="K229"/>
  <c r="M229" s="1"/>
  <c r="G229"/>
  <c r="R228"/>
  <c r="M228"/>
  <c r="L228"/>
  <c r="G228"/>
  <c r="F228"/>
  <c r="N228" s="1"/>
  <c r="Q228" s="1"/>
  <c r="S228" s="1"/>
  <c r="R227"/>
  <c r="N227"/>
  <c r="Q227" s="1"/>
  <c r="S227" s="1"/>
  <c r="K227"/>
  <c r="I227"/>
  <c r="L227" s="1"/>
  <c r="G227" s="1"/>
  <c r="R226"/>
  <c r="N226"/>
  <c r="Q226" s="1"/>
  <c r="S226" s="1"/>
  <c r="F226"/>
  <c r="I226" s="1"/>
  <c r="L226" s="1"/>
  <c r="R225"/>
  <c r="F225"/>
  <c r="I225" s="1"/>
  <c r="H225" s="1"/>
  <c r="L225" s="1"/>
  <c r="R224"/>
  <c r="Q224"/>
  <c r="S224" s="1"/>
  <c r="N224"/>
  <c r="K224"/>
  <c r="I224"/>
  <c r="L224" s="1"/>
  <c r="G224" s="1"/>
  <c r="R223"/>
  <c r="F223"/>
  <c r="N223" s="1"/>
  <c r="Q223" s="1"/>
  <c r="S223" s="1"/>
  <c r="R222"/>
  <c r="K222"/>
  <c r="F222"/>
  <c r="N222" s="1"/>
  <c r="Q222" s="1"/>
  <c r="S222" s="1"/>
  <c r="R221"/>
  <c r="K221"/>
  <c r="F221"/>
  <c r="N221" s="1"/>
  <c r="Q221" s="1"/>
  <c r="S221" s="1"/>
  <c r="R220"/>
  <c r="M220"/>
  <c r="L220"/>
  <c r="G220"/>
  <c r="F220"/>
  <c r="N220" s="1"/>
  <c r="Q220" s="1"/>
  <c r="S220" s="1"/>
  <c r="R219"/>
  <c r="K219"/>
  <c r="F219"/>
  <c r="N219" s="1"/>
  <c r="Q219" s="1"/>
  <c r="S219" s="1"/>
  <c r="R218"/>
  <c r="M218"/>
  <c r="L218"/>
  <c r="G218"/>
  <c r="F218"/>
  <c r="N218" s="1"/>
  <c r="Q218" s="1"/>
  <c r="S218" s="1"/>
  <c r="R217"/>
  <c r="N217"/>
  <c r="Q217" s="1"/>
  <c r="S217" s="1"/>
  <c r="L217"/>
  <c r="M217" s="1"/>
  <c r="R216"/>
  <c r="N216"/>
  <c r="Q216" s="1"/>
  <c r="S216" s="1"/>
  <c r="L216"/>
  <c r="M216" s="1"/>
  <c r="I216"/>
  <c r="G216"/>
  <c r="F216"/>
  <c r="R215"/>
  <c r="N215"/>
  <c r="Q215" s="1"/>
  <c r="S215" s="1"/>
  <c r="F215"/>
  <c r="I215" s="1"/>
  <c r="L215" s="1"/>
  <c r="R214"/>
  <c r="N214"/>
  <c r="Q214" s="1"/>
  <c r="S214" s="1"/>
  <c r="F214"/>
  <c r="I214" s="1"/>
  <c r="L214" s="1"/>
  <c r="R213"/>
  <c r="N213"/>
  <c r="Q213" s="1"/>
  <c r="S213" s="1"/>
  <c r="L213"/>
  <c r="M213" s="1"/>
  <c r="I213"/>
  <c r="G213"/>
  <c r="R212"/>
  <c r="F212"/>
  <c r="N212" s="1"/>
  <c r="Q212" s="1"/>
  <c r="S212" s="1"/>
  <c r="R211"/>
  <c r="Q211"/>
  <c r="S211" s="1"/>
  <c r="N211"/>
  <c r="M211"/>
  <c r="L211"/>
  <c r="G211"/>
  <c r="R210"/>
  <c r="L210"/>
  <c r="M210" s="1"/>
  <c r="F210"/>
  <c r="N210" s="1"/>
  <c r="Q210" s="1"/>
  <c r="S210" s="1"/>
  <c r="R209"/>
  <c r="N209"/>
  <c r="Q209" s="1"/>
  <c r="S209" s="1"/>
  <c r="L209"/>
  <c r="M209" s="1"/>
  <c r="I209"/>
  <c r="G209"/>
  <c r="R208"/>
  <c r="F208"/>
  <c r="N208" s="1"/>
  <c r="Q208" s="1"/>
  <c r="S208" s="1"/>
  <c r="R207"/>
  <c r="F207"/>
  <c r="R206"/>
  <c r="N206"/>
  <c r="Q206" s="1"/>
  <c r="S206" s="1"/>
  <c r="L206"/>
  <c r="M206" s="1"/>
  <c r="R205"/>
  <c r="L205"/>
  <c r="M205" s="1"/>
  <c r="F205"/>
  <c r="N205" s="1"/>
  <c r="Q205" s="1"/>
  <c r="S205" s="1"/>
  <c r="R204"/>
  <c r="F204"/>
  <c r="N204" s="1"/>
  <c r="Q204" s="1"/>
  <c r="S204" s="1"/>
  <c r="R203"/>
  <c r="F203"/>
  <c r="N203" s="1"/>
  <c r="Q203" s="1"/>
  <c r="S203" s="1"/>
  <c r="R202"/>
  <c r="L202"/>
  <c r="M202" s="1"/>
  <c r="F202"/>
  <c r="N202" s="1"/>
  <c r="Q202" s="1"/>
  <c r="S202" s="1"/>
  <c r="R201"/>
  <c r="L201"/>
  <c r="K201"/>
  <c r="M201" s="1"/>
  <c r="G201"/>
  <c r="F201"/>
  <c r="N201" s="1"/>
  <c r="Q201" s="1"/>
  <c r="S201" s="1"/>
  <c r="R200"/>
  <c r="L200"/>
  <c r="M200" s="1"/>
  <c r="F200"/>
  <c r="N200" s="1"/>
  <c r="Q200" s="1"/>
  <c r="S200" s="1"/>
  <c r="R199"/>
  <c r="N199"/>
  <c r="Q199" s="1"/>
  <c r="S199" s="1"/>
  <c r="L199"/>
  <c r="M199" s="1"/>
  <c r="R198"/>
  <c r="L198"/>
  <c r="M198" s="1"/>
  <c r="F198"/>
  <c r="N198" s="1"/>
  <c r="Q198" s="1"/>
  <c r="S198" s="1"/>
  <c r="R197"/>
  <c r="F197"/>
  <c r="I197" s="1"/>
  <c r="L197" s="1"/>
  <c r="R196"/>
  <c r="L196"/>
  <c r="K196"/>
  <c r="M196" s="1"/>
  <c r="G196"/>
  <c r="F196"/>
  <c r="N196" s="1"/>
  <c r="Q196" s="1"/>
  <c r="S196" s="1"/>
  <c r="R195"/>
  <c r="F195"/>
  <c r="I195" s="1"/>
  <c r="L195" s="1"/>
  <c r="R194"/>
  <c r="N194"/>
  <c r="Q194" s="1"/>
  <c r="S194" s="1"/>
  <c r="F194"/>
  <c r="I194" s="1"/>
  <c r="L194" s="1"/>
  <c r="R193"/>
  <c r="F193"/>
  <c r="I193" s="1"/>
  <c r="H193" s="1"/>
  <c r="L193" s="1"/>
  <c r="R192"/>
  <c r="I192"/>
  <c r="H192" s="1"/>
  <c r="L192" s="1"/>
  <c r="F192"/>
  <c r="N192" s="1"/>
  <c r="Q192" s="1"/>
  <c r="S192" s="1"/>
  <c r="R191"/>
  <c r="F191"/>
  <c r="I191" s="1"/>
  <c r="H191" s="1"/>
  <c r="L191" s="1"/>
  <c r="R190"/>
  <c r="F190"/>
  <c r="R189"/>
  <c r="L189"/>
  <c r="M189" s="1"/>
  <c r="F189"/>
  <c r="N189" s="1"/>
  <c r="Q189" s="1"/>
  <c r="S189" s="1"/>
  <c r="R188"/>
  <c r="L188"/>
  <c r="K188"/>
  <c r="M188" s="1"/>
  <c r="G188"/>
  <c r="F188"/>
  <c r="N188" s="1"/>
  <c r="Q188" s="1"/>
  <c r="S188" s="1"/>
  <c r="R187"/>
  <c r="N187"/>
  <c r="Q187" s="1"/>
  <c r="S187" s="1"/>
  <c r="L187"/>
  <c r="M187" s="1"/>
  <c r="R186"/>
  <c r="N186"/>
  <c r="Q186" s="1"/>
  <c r="S186" s="1"/>
  <c r="F186"/>
  <c r="I186" s="1"/>
  <c r="L186" s="1"/>
  <c r="R185"/>
  <c r="N185"/>
  <c r="Q185" s="1"/>
  <c r="S185" s="1"/>
  <c r="L185"/>
  <c r="K185"/>
  <c r="M185" s="1"/>
  <c r="G185"/>
  <c r="F185"/>
  <c r="R184"/>
  <c r="N184"/>
  <c r="Q184" s="1"/>
  <c r="S184" s="1"/>
  <c r="L184"/>
  <c r="M184" s="1"/>
  <c r="I184"/>
  <c r="G184"/>
  <c r="R183"/>
  <c r="F183"/>
  <c r="I183" s="1"/>
  <c r="L183" s="1"/>
  <c r="R182"/>
  <c r="F182"/>
  <c r="I182" s="1"/>
  <c r="L182" s="1"/>
  <c r="R181"/>
  <c r="N181"/>
  <c r="Q181" s="1"/>
  <c r="S181" s="1"/>
  <c r="K181"/>
  <c r="M181" s="1"/>
  <c r="I181"/>
  <c r="L181" s="1"/>
  <c r="G181" s="1"/>
  <c r="R180"/>
  <c r="K180"/>
  <c r="F180"/>
  <c r="N180" s="1"/>
  <c r="Q180" s="1"/>
  <c r="S180" s="1"/>
  <c r="R179"/>
  <c r="N179"/>
  <c r="Q179" s="1"/>
  <c r="S179" s="1"/>
  <c r="L179"/>
  <c r="K179"/>
  <c r="M179" s="1"/>
  <c r="G179"/>
  <c r="R178"/>
  <c r="L178"/>
  <c r="K178"/>
  <c r="M178" s="1"/>
  <c r="G178"/>
  <c r="F178"/>
  <c r="N178" s="1"/>
  <c r="Q178" s="1"/>
  <c r="S178" s="1"/>
  <c r="R177"/>
  <c r="N177"/>
  <c r="Q177" s="1"/>
  <c r="S177" s="1"/>
  <c r="K177"/>
  <c r="I177"/>
  <c r="L177" s="1"/>
  <c r="G177" s="1"/>
  <c r="R176"/>
  <c r="N176"/>
  <c r="Q176" s="1"/>
  <c r="S176" s="1"/>
  <c r="F176"/>
  <c r="I176" s="1"/>
  <c r="L176" s="1"/>
  <c r="R175"/>
  <c r="N175"/>
  <c r="Q175" s="1"/>
  <c r="S175" s="1"/>
  <c r="F175"/>
  <c r="I175" s="1"/>
  <c r="L175" s="1"/>
  <c r="R174"/>
  <c r="N174"/>
  <c r="Q174" s="1"/>
  <c r="S174" s="1"/>
  <c r="L174"/>
  <c r="M174" s="1"/>
  <c r="I174"/>
  <c r="G174"/>
  <c r="R173"/>
  <c r="F173"/>
  <c r="N173" s="1"/>
  <c r="Q173" s="1"/>
  <c r="S173" s="1"/>
  <c r="R172"/>
  <c r="M172"/>
  <c r="L172"/>
  <c r="G172"/>
  <c r="F172"/>
  <c r="N172" s="1"/>
  <c r="Q172" s="1"/>
  <c r="S172" s="1"/>
  <c r="R171"/>
  <c r="N171"/>
  <c r="Q171" s="1"/>
  <c r="S171" s="1"/>
  <c r="L171"/>
  <c r="M171" s="1"/>
  <c r="I171"/>
  <c r="G171"/>
  <c r="R170"/>
  <c r="F170"/>
  <c r="N170" s="1"/>
  <c r="Q170" s="1"/>
  <c r="S170" s="1"/>
  <c r="R169"/>
  <c r="F169"/>
  <c r="N169" s="1"/>
  <c r="Q169" s="1"/>
  <c r="S169" s="1"/>
  <c r="R168"/>
  <c r="L168"/>
  <c r="K168"/>
  <c r="M168" s="1"/>
  <c r="G168"/>
  <c r="F168"/>
  <c r="N168" s="1"/>
  <c r="Q168" s="1"/>
  <c r="S168" s="1"/>
  <c r="R167"/>
  <c r="L167"/>
  <c r="M167" s="1"/>
  <c r="F167"/>
  <c r="N167" s="1"/>
  <c r="Q167" s="1"/>
  <c r="S167" s="1"/>
  <c r="R166"/>
  <c r="N166"/>
  <c r="Q166" s="1"/>
  <c r="S166" s="1"/>
  <c r="I166"/>
  <c r="L166" s="1"/>
  <c r="R165"/>
  <c r="F165"/>
  <c r="N165" s="1"/>
  <c r="Q165" s="1"/>
  <c r="S165" s="1"/>
  <c r="R164"/>
  <c r="L164"/>
  <c r="K164"/>
  <c r="M164" s="1"/>
  <c r="G164"/>
  <c r="F164"/>
  <c r="N164" s="1"/>
  <c r="Q164" s="1"/>
  <c r="S164" s="1"/>
  <c r="R163"/>
  <c r="N163"/>
  <c r="Q163" s="1"/>
  <c r="S163" s="1"/>
  <c r="K163"/>
  <c r="M163" s="1"/>
  <c r="I163"/>
  <c r="L163" s="1"/>
  <c r="G163" s="1"/>
  <c r="R162"/>
  <c r="K162"/>
  <c r="F162"/>
  <c r="N162" s="1"/>
  <c r="Q162" s="1"/>
  <c r="S162" s="1"/>
  <c r="R161"/>
  <c r="F161"/>
  <c r="I161" s="1"/>
  <c r="H161" s="1"/>
  <c r="L161" s="1"/>
  <c r="R160"/>
  <c r="F160"/>
  <c r="N160" s="1"/>
  <c r="Q160" s="1"/>
  <c r="S160" s="1"/>
  <c r="R159"/>
  <c r="F159"/>
  <c r="N159" s="1"/>
  <c r="Q159" s="1"/>
  <c r="S159" s="1"/>
  <c r="R158"/>
  <c r="N158"/>
  <c r="Q158" s="1"/>
  <c r="S158" s="1"/>
  <c r="F158"/>
  <c r="I158" s="1"/>
  <c r="L158" s="1"/>
  <c r="R157"/>
  <c r="N157"/>
  <c r="Q157" s="1"/>
  <c r="S157" s="1"/>
  <c r="L157"/>
  <c r="M157" s="1"/>
  <c r="I157"/>
  <c r="G157"/>
  <c r="R156"/>
  <c r="I156"/>
  <c r="H156"/>
  <c r="L156" s="1"/>
  <c r="F156"/>
  <c r="N156" s="1"/>
  <c r="Q156" s="1"/>
  <c r="S156" s="1"/>
  <c r="R155"/>
  <c r="N155"/>
  <c r="Q155" s="1"/>
  <c r="S155" s="1"/>
  <c r="F155"/>
  <c r="I155" s="1"/>
  <c r="L155" s="1"/>
  <c r="R154"/>
  <c r="N154"/>
  <c r="Q154" s="1"/>
  <c r="S154" s="1"/>
  <c r="F154"/>
  <c r="I154" s="1"/>
  <c r="L154" s="1"/>
  <c r="R153"/>
  <c r="N153"/>
  <c r="Q153" s="1"/>
  <c r="S153" s="1"/>
  <c r="L153"/>
  <c r="M153" s="1"/>
  <c r="I153"/>
  <c r="G153"/>
  <c r="R152"/>
  <c r="F152"/>
  <c r="I152" s="1"/>
  <c r="L152" s="1"/>
  <c r="R151"/>
  <c r="K151"/>
  <c r="F151"/>
  <c r="N151" s="1"/>
  <c r="Q151" s="1"/>
  <c r="S151" s="1"/>
  <c r="R150"/>
  <c r="N150"/>
  <c r="Q150" s="1"/>
  <c r="S150" s="1"/>
  <c r="L150"/>
  <c r="K150"/>
  <c r="M150" s="1"/>
  <c r="G150"/>
  <c r="R149"/>
  <c r="M149"/>
  <c r="L149"/>
  <c r="G149"/>
  <c r="F149"/>
  <c r="N149" s="1"/>
  <c r="Q149" s="1"/>
  <c r="S149" s="1"/>
  <c r="R148"/>
  <c r="N148"/>
  <c r="Q148" s="1"/>
  <c r="S148" s="1"/>
  <c r="F148"/>
  <c r="I148" s="1"/>
  <c r="L148" s="1"/>
  <c r="R147"/>
  <c r="N147"/>
  <c r="Q147" s="1"/>
  <c r="S147" s="1"/>
  <c r="F147"/>
  <c r="I147" s="1"/>
  <c r="L147" s="1"/>
  <c r="R146"/>
  <c r="N146"/>
  <c r="Q146" s="1"/>
  <c r="S146" s="1"/>
  <c r="F146"/>
  <c r="I146" s="1"/>
  <c r="L146" s="1"/>
  <c r="R145"/>
  <c r="N145"/>
  <c r="Q145" s="1"/>
  <c r="S145" s="1"/>
  <c r="F145"/>
  <c r="I145" s="1"/>
  <c r="L145" s="1"/>
  <c r="R144"/>
  <c r="F144"/>
  <c r="R143"/>
  <c r="Q143"/>
  <c r="S143" s="1"/>
  <c r="N143"/>
  <c r="L143"/>
  <c r="K143"/>
  <c r="M143" s="1"/>
  <c r="G143"/>
  <c r="R142"/>
  <c r="N142"/>
  <c r="Q142" s="1"/>
  <c r="S142" s="1"/>
  <c r="F142"/>
  <c r="I142" s="1"/>
  <c r="L142" s="1"/>
  <c r="R141"/>
  <c r="N141"/>
  <c r="Q141" s="1"/>
  <c r="S141" s="1"/>
  <c r="L141"/>
  <c r="K141"/>
  <c r="M141" s="1"/>
  <c r="G141"/>
  <c r="F141"/>
  <c r="R140"/>
  <c r="F140"/>
  <c r="H140" s="1"/>
  <c r="R139"/>
  <c r="F139"/>
  <c r="I139" s="1"/>
  <c r="L139" s="1"/>
  <c r="R138"/>
  <c r="M138"/>
  <c r="L138"/>
  <c r="G138"/>
  <c r="F138"/>
  <c r="N138" s="1"/>
  <c r="Q138" s="1"/>
  <c r="S138" s="1"/>
  <c r="R137"/>
  <c r="F137"/>
  <c r="N137" s="1"/>
  <c r="Q137" s="1"/>
  <c r="S137" s="1"/>
  <c r="R136"/>
  <c r="L136"/>
  <c r="M136" s="1"/>
  <c r="F136"/>
  <c r="N136" s="1"/>
  <c r="Q136" s="1"/>
  <c r="S136" s="1"/>
  <c r="R135"/>
  <c r="Q135"/>
  <c r="S135" s="1"/>
  <c r="N135"/>
  <c r="I135"/>
  <c r="L135" s="1"/>
  <c r="R134"/>
  <c r="N134"/>
  <c r="Q134" s="1"/>
  <c r="S134" s="1"/>
  <c r="F134"/>
  <c r="I134" s="1"/>
  <c r="L134" s="1"/>
  <c r="R133"/>
  <c r="N133"/>
  <c r="Q133" s="1"/>
  <c r="S133" s="1"/>
  <c r="F133"/>
  <c r="I133" s="1"/>
  <c r="L133" s="1"/>
  <c r="R132"/>
  <c r="L132"/>
  <c r="M132" s="1"/>
  <c r="F132"/>
  <c r="N132" s="1"/>
  <c r="Q132" s="1"/>
  <c r="S132" s="1"/>
  <c r="R131"/>
  <c r="F131"/>
  <c r="I131" s="1"/>
  <c r="L131" s="1"/>
  <c r="R130"/>
  <c r="F130"/>
  <c r="I130" s="1"/>
  <c r="L130" s="1"/>
  <c r="R129"/>
  <c r="L129"/>
  <c r="M129" s="1"/>
  <c r="F129"/>
  <c r="N129" s="1"/>
  <c r="Q129" s="1"/>
  <c r="S129" s="1"/>
  <c r="R128"/>
  <c r="N128"/>
  <c r="Q128" s="1"/>
  <c r="S128" s="1"/>
  <c r="I128"/>
  <c r="L128" s="1"/>
  <c r="R127"/>
  <c r="F127"/>
  <c r="I127" s="1"/>
  <c r="L127" s="1"/>
  <c r="R126"/>
  <c r="N126"/>
  <c r="Q126" s="1"/>
  <c r="S126" s="1"/>
  <c r="L126"/>
  <c r="M126" s="1"/>
  <c r="R125"/>
  <c r="L125"/>
  <c r="M125" s="1"/>
  <c r="F125"/>
  <c r="N125" s="1"/>
  <c r="Q125" s="1"/>
  <c r="S125" s="1"/>
  <c r="R124"/>
  <c r="M124"/>
  <c r="L124"/>
  <c r="G124"/>
  <c r="F124"/>
  <c r="N124" s="1"/>
  <c r="Q124" s="1"/>
  <c r="S124" s="1"/>
  <c r="R123"/>
  <c r="L123"/>
  <c r="K123"/>
  <c r="M123" s="1"/>
  <c r="G123"/>
  <c r="F123"/>
  <c r="N123" s="1"/>
  <c r="Q123" s="1"/>
  <c r="S123" s="1"/>
  <c r="R122"/>
  <c r="N122"/>
  <c r="Q122" s="1"/>
  <c r="S122" s="1"/>
  <c r="K122"/>
  <c r="F122"/>
  <c r="I122" s="1"/>
  <c r="L122" s="1"/>
  <c r="G122" s="1"/>
  <c r="R121"/>
  <c r="Q121"/>
  <c r="S121" s="1"/>
  <c r="N121"/>
  <c r="M121"/>
  <c r="L121"/>
  <c r="G121"/>
  <c r="R120"/>
  <c r="L120"/>
  <c r="M120" s="1"/>
  <c r="F120"/>
  <c r="N120" s="1"/>
  <c r="Q120" s="1"/>
  <c r="S120" s="1"/>
  <c r="R119"/>
  <c r="F119"/>
  <c r="I119" s="1"/>
  <c r="H119" s="1"/>
  <c r="L119" s="1"/>
  <c r="R118"/>
  <c r="F118"/>
  <c r="N118" s="1"/>
  <c r="Q118" s="1"/>
  <c r="S118" s="1"/>
  <c r="R117"/>
  <c r="F117"/>
  <c r="N117" s="1"/>
  <c r="Q117" s="1"/>
  <c r="S117" s="1"/>
  <c r="R116"/>
  <c r="L116"/>
  <c r="K116"/>
  <c r="M116" s="1"/>
  <c r="G116"/>
  <c r="F116"/>
  <c r="N116" s="1"/>
  <c r="Q116" s="1"/>
  <c r="S116" s="1"/>
  <c r="R115"/>
  <c r="N115"/>
  <c r="Q115" s="1"/>
  <c r="S115" s="1"/>
  <c r="L115"/>
  <c r="K115"/>
  <c r="M115" s="1"/>
  <c r="G115"/>
  <c r="R114"/>
  <c r="K114"/>
  <c r="F114"/>
  <c r="R113"/>
  <c r="L113"/>
  <c r="M113" s="1"/>
  <c r="F113"/>
  <c r="N113" s="1"/>
  <c r="Q113" s="1"/>
  <c r="S113" s="1"/>
  <c r="R112"/>
  <c r="N112"/>
  <c r="Q112" s="1"/>
  <c r="S112" s="1"/>
  <c r="L112"/>
  <c r="M112" s="1"/>
  <c r="R111"/>
  <c r="N111"/>
  <c r="Q111" s="1"/>
  <c r="S111" s="1"/>
  <c r="L111"/>
  <c r="K111"/>
  <c r="M111" s="1"/>
  <c r="G111"/>
  <c r="F111"/>
  <c r="R110"/>
  <c r="N110"/>
  <c r="Q110" s="1"/>
  <c r="S110" s="1"/>
  <c r="L110"/>
  <c r="K110"/>
  <c r="M110" s="1"/>
  <c r="G110"/>
  <c r="F110"/>
  <c r="R109"/>
  <c r="N109"/>
  <c r="Q109" s="1"/>
  <c r="S109" s="1"/>
  <c r="L109"/>
  <c r="K109"/>
  <c r="M109" s="1"/>
  <c r="G109"/>
  <c r="R108"/>
  <c r="L108"/>
  <c r="K108"/>
  <c r="M108" s="1"/>
  <c r="G108"/>
  <c r="F108"/>
  <c r="N108" s="1"/>
  <c r="Q108" s="1"/>
  <c r="S108" s="1"/>
  <c r="R107"/>
  <c r="K107"/>
  <c r="F107"/>
  <c r="R106"/>
  <c r="F106"/>
  <c r="I106" s="1"/>
  <c r="L106" s="1"/>
  <c r="R105"/>
  <c r="F105"/>
  <c r="I105" s="1"/>
  <c r="L105" s="1"/>
  <c r="R104"/>
  <c r="N104"/>
  <c r="Q104" s="1"/>
  <c r="S104" s="1"/>
  <c r="F104"/>
  <c r="I104" s="1"/>
  <c r="L104" s="1"/>
  <c r="R103"/>
  <c r="N103"/>
  <c r="Q103" s="1"/>
  <c r="S103" s="1"/>
  <c r="L103"/>
  <c r="M103" s="1"/>
  <c r="R102"/>
  <c r="M102"/>
  <c r="L102"/>
  <c r="G102"/>
  <c r="F102"/>
  <c r="N102" s="1"/>
  <c r="Q102" s="1"/>
  <c r="S102" s="1"/>
  <c r="R101"/>
  <c r="F101"/>
  <c r="I101" s="1"/>
  <c r="H101" s="1"/>
  <c r="L101" s="1"/>
  <c r="R100"/>
  <c r="F100"/>
  <c r="N100" s="1"/>
  <c r="Q100" s="1"/>
  <c r="S100" s="1"/>
  <c r="R99"/>
  <c r="N99"/>
  <c r="Q99" s="1"/>
  <c r="S99" s="1"/>
  <c r="L99"/>
  <c r="M99" s="1"/>
  <c r="R98"/>
  <c r="L98"/>
  <c r="M98" s="1"/>
  <c r="F98"/>
  <c r="N98" s="1"/>
  <c r="Q98" s="1"/>
  <c r="S98" s="1"/>
  <c r="R97"/>
  <c r="L97"/>
  <c r="M97" s="1"/>
  <c r="F97"/>
  <c r="N97" s="1"/>
  <c r="Q97" s="1"/>
  <c r="S97" s="1"/>
  <c r="R96"/>
  <c r="N96"/>
  <c r="Q96" s="1"/>
  <c r="S96" s="1"/>
  <c r="L96"/>
  <c r="M96" s="1"/>
  <c r="R95"/>
  <c r="L95"/>
  <c r="M95" s="1"/>
  <c r="F95"/>
  <c r="N95" s="1"/>
  <c r="Q95" s="1"/>
  <c r="S95" s="1"/>
  <c r="R94"/>
  <c r="L94"/>
  <c r="K94"/>
  <c r="M94" s="1"/>
  <c r="G94"/>
  <c r="F94"/>
  <c r="N94" s="1"/>
  <c r="Q94" s="1"/>
  <c r="S94" s="1"/>
  <c r="R93"/>
  <c r="K93"/>
  <c r="F93"/>
  <c r="N93" s="1"/>
  <c r="Q93" s="1"/>
  <c r="S93" s="1"/>
  <c r="R92"/>
  <c r="F92"/>
  <c r="N92" s="1"/>
  <c r="Q92" s="1"/>
  <c r="S92" s="1"/>
  <c r="R91"/>
  <c r="F91"/>
  <c r="N91" s="1"/>
  <c r="Q91" s="1"/>
  <c r="S91" s="1"/>
  <c r="R90"/>
  <c r="N90"/>
  <c r="Q90" s="1"/>
  <c r="S90" s="1"/>
  <c r="L90"/>
  <c r="M90" s="1"/>
  <c r="I90"/>
  <c r="G90"/>
  <c r="R89"/>
  <c r="F89"/>
  <c r="I89" s="1"/>
  <c r="L89" s="1"/>
  <c r="R88"/>
  <c r="K88"/>
  <c r="H88"/>
  <c r="N88" s="1"/>
  <c r="Q88" s="1"/>
  <c r="S88" s="1"/>
  <c r="R87"/>
  <c r="L87"/>
  <c r="M87" s="1"/>
  <c r="F87"/>
  <c r="N87" s="1"/>
  <c r="Q87" s="1"/>
  <c r="S87" s="1"/>
  <c r="R86"/>
  <c r="F86"/>
  <c r="N86" s="1"/>
  <c r="Q86" s="1"/>
  <c r="S86" s="1"/>
  <c r="R85"/>
  <c r="K85"/>
  <c r="F85"/>
  <c r="N85" s="1"/>
  <c r="Q85" s="1"/>
  <c r="S85" s="1"/>
  <c r="R84"/>
  <c r="N84"/>
  <c r="Q84" s="1"/>
  <c r="S84" s="1"/>
  <c r="K84"/>
  <c r="I84"/>
  <c r="L84" s="1"/>
  <c r="G84" s="1"/>
  <c r="R83"/>
  <c r="N83"/>
  <c r="Q83" s="1"/>
  <c r="S83" s="1"/>
  <c r="F83"/>
  <c r="I83" s="1"/>
  <c r="L83" s="1"/>
  <c r="R82"/>
  <c r="N82"/>
  <c r="Q82" s="1"/>
  <c r="S82" s="1"/>
  <c r="L82"/>
  <c r="M82" s="1"/>
  <c r="H82"/>
  <c r="G82"/>
  <c r="F82"/>
  <c r="R81"/>
  <c r="F81"/>
  <c r="R80"/>
  <c r="Q80"/>
  <c r="S80" s="1"/>
  <c r="N80"/>
  <c r="I80"/>
  <c r="L80" s="1"/>
  <c r="R79"/>
  <c r="N79"/>
  <c r="Q79" s="1"/>
  <c r="S79" s="1"/>
  <c r="F79"/>
  <c r="I79" s="1"/>
  <c r="L79" s="1"/>
  <c r="R78"/>
  <c r="F78"/>
  <c r="R77"/>
  <c r="Q77"/>
  <c r="S77" s="1"/>
  <c r="N77"/>
  <c r="M77"/>
  <c r="L77"/>
  <c r="G77"/>
  <c r="R76"/>
  <c r="M76"/>
  <c r="L76"/>
  <c r="G76"/>
  <c r="F76"/>
  <c r="N76" s="1"/>
  <c r="Q76" s="1"/>
  <c r="S76" s="1"/>
  <c r="R75"/>
  <c r="L75"/>
  <c r="M75" s="1"/>
  <c r="F75"/>
  <c r="N75" s="1"/>
  <c r="Q75" s="1"/>
  <c r="S75" s="1"/>
  <c r="R74"/>
  <c r="M74"/>
  <c r="L74"/>
  <c r="G74"/>
  <c r="F74"/>
  <c r="N74" s="1"/>
  <c r="Q74" s="1"/>
  <c r="S74" s="1"/>
  <c r="R73"/>
  <c r="N73"/>
  <c r="Q73" s="1"/>
  <c r="S73" s="1"/>
  <c r="F73"/>
  <c r="I73" s="1"/>
  <c r="L73" s="1"/>
  <c r="R72"/>
  <c r="N72"/>
  <c r="Q72" s="1"/>
  <c r="S72" s="1"/>
  <c r="F72"/>
  <c r="I72" s="1"/>
  <c r="L72" s="1"/>
  <c r="R71"/>
  <c r="N71"/>
  <c r="Q71" s="1"/>
  <c r="S71" s="1"/>
  <c r="F71"/>
  <c r="I71" s="1"/>
  <c r="L71" s="1"/>
  <c r="R70"/>
  <c r="F70"/>
  <c r="H70" s="1"/>
  <c r="R69"/>
  <c r="K69"/>
  <c r="F69"/>
  <c r="N69" s="1"/>
  <c r="Q69" s="1"/>
  <c r="S69" s="1"/>
  <c r="R68"/>
  <c r="M68"/>
  <c r="L68"/>
  <c r="G68"/>
  <c r="F68"/>
  <c r="N68" s="1"/>
  <c r="Q68" s="1"/>
  <c r="S68" s="1"/>
  <c r="R67"/>
  <c r="L67"/>
  <c r="M67" s="1"/>
  <c r="F67"/>
  <c r="N67" s="1"/>
  <c r="Q67" s="1"/>
  <c r="S67" s="1"/>
  <c r="R66"/>
  <c r="I66"/>
  <c r="H66" s="1"/>
  <c r="L66" s="1"/>
  <c r="F66"/>
  <c r="N66" s="1"/>
  <c r="Q66" s="1"/>
  <c r="S66" s="1"/>
  <c r="R65"/>
  <c r="N65"/>
  <c r="Q65" s="1"/>
  <c r="S65" s="1"/>
  <c r="L65"/>
  <c r="M65" s="1"/>
  <c r="H65"/>
  <c r="G65"/>
  <c r="F65"/>
  <c r="R64"/>
  <c r="K64"/>
  <c r="F64"/>
  <c r="N64" s="1"/>
  <c r="Q64" s="1"/>
  <c r="S64" s="1"/>
  <c r="R63"/>
  <c r="F63"/>
  <c r="I63" s="1"/>
  <c r="L63" s="1"/>
  <c r="R62"/>
  <c r="F62"/>
  <c r="I62" s="1"/>
  <c r="L62" s="1"/>
  <c r="R61"/>
  <c r="K61"/>
  <c r="F61"/>
  <c r="N61" s="1"/>
  <c r="Q61" s="1"/>
  <c r="S61" s="1"/>
  <c r="R60"/>
  <c r="F60"/>
  <c r="H60" s="1"/>
  <c r="R59"/>
  <c r="F59"/>
  <c r="I59" s="1"/>
  <c r="L59" s="1"/>
  <c r="R58"/>
  <c r="F58"/>
  <c r="I58" s="1"/>
  <c r="L58" s="1"/>
  <c r="R57"/>
  <c r="N57"/>
  <c r="Q57" s="1"/>
  <c r="S57" s="1"/>
  <c r="I57"/>
  <c r="L57" s="1"/>
  <c r="R56"/>
  <c r="F56"/>
  <c r="N56" s="1"/>
  <c r="Q56" s="1"/>
  <c r="S56" s="1"/>
  <c r="R55"/>
  <c r="L55"/>
  <c r="M55" s="1"/>
  <c r="F55"/>
  <c r="N55" s="1"/>
  <c r="Q55" s="1"/>
  <c r="S55" s="1"/>
  <c r="R54"/>
  <c r="K54"/>
  <c r="F54"/>
  <c r="N54" s="1"/>
  <c r="Q54" s="1"/>
  <c r="S54" s="1"/>
  <c r="R53"/>
  <c r="L53"/>
  <c r="K53"/>
  <c r="M53" s="1"/>
  <c r="G53"/>
  <c r="F53"/>
  <c r="N53" s="1"/>
  <c r="Q53" s="1"/>
  <c r="S53" s="1"/>
  <c r="R52"/>
  <c r="N52"/>
  <c r="Q52" s="1"/>
  <c r="S52" s="1"/>
  <c r="L52"/>
  <c r="M52" s="1"/>
  <c r="R51"/>
  <c r="N51"/>
  <c r="Q51" s="1"/>
  <c r="S51" s="1"/>
  <c r="L51"/>
  <c r="M51" s="1"/>
  <c r="I51"/>
  <c r="G51"/>
  <c r="R50"/>
  <c r="F50"/>
  <c r="I50" s="1"/>
  <c r="L50" s="1"/>
  <c r="R49"/>
  <c r="M49"/>
  <c r="L49"/>
  <c r="G49"/>
  <c r="F49"/>
  <c r="N49" s="1"/>
  <c r="Q49" s="1"/>
  <c r="S49" s="1"/>
  <c r="R48"/>
  <c r="K48"/>
  <c r="I48"/>
  <c r="F48"/>
  <c r="H48" s="1"/>
  <c r="R47"/>
  <c r="N47"/>
  <c r="Q47" s="1"/>
  <c r="S47" s="1"/>
  <c r="L47"/>
  <c r="M47" s="1"/>
  <c r="H47"/>
  <c r="G47"/>
  <c r="F47"/>
  <c r="R46"/>
  <c r="N46"/>
  <c r="Q46" s="1"/>
  <c r="S46" s="1"/>
  <c r="F46"/>
  <c r="I46" s="1"/>
  <c r="L46" s="1"/>
  <c r="R45"/>
  <c r="H45"/>
  <c r="F45"/>
  <c r="N45" s="1"/>
  <c r="Q45" s="1"/>
  <c r="S45" s="1"/>
  <c r="R44"/>
  <c r="F44"/>
  <c r="I44" s="1"/>
  <c r="L44" s="1"/>
  <c r="R43"/>
  <c r="M43"/>
  <c r="L43"/>
  <c r="G43"/>
  <c r="F43"/>
  <c r="N43" s="1"/>
  <c r="Q43" s="1"/>
  <c r="S43" s="1"/>
  <c r="R42"/>
  <c r="K42"/>
  <c r="F42"/>
  <c r="N42" s="1"/>
  <c r="Q42" s="1"/>
  <c r="S42" s="1"/>
  <c r="R41"/>
  <c r="F41"/>
  <c r="I41" s="1"/>
  <c r="L41" s="1"/>
  <c r="R40"/>
  <c r="F40"/>
  <c r="I40" s="1"/>
  <c r="L40" s="1"/>
  <c r="R39"/>
  <c r="L39"/>
  <c r="M39" s="1"/>
  <c r="F39"/>
  <c r="N39" s="1"/>
  <c r="Q39" s="1"/>
  <c r="S39" s="1"/>
  <c r="R38"/>
  <c r="I38"/>
  <c r="H38"/>
  <c r="L38" s="1"/>
  <c r="F38"/>
  <c r="N38" s="1"/>
  <c r="Q38" s="1"/>
  <c r="S38" s="1"/>
  <c r="R37"/>
  <c r="L37"/>
  <c r="K37"/>
  <c r="M37" s="1"/>
  <c r="G37"/>
  <c r="F37"/>
  <c r="N37" s="1"/>
  <c r="Q37" s="1"/>
  <c r="S37" s="1"/>
  <c r="R36"/>
  <c r="K36"/>
  <c r="F36"/>
  <c r="N36" s="1"/>
  <c r="Q36" s="1"/>
  <c r="S36" s="1"/>
  <c r="R35"/>
  <c r="F35"/>
  <c r="N35" s="1"/>
  <c r="Q35" s="1"/>
  <c r="S35" s="1"/>
  <c r="R34"/>
  <c r="N34"/>
  <c r="Q34" s="1"/>
  <c r="S34" s="1"/>
  <c r="L34"/>
  <c r="K34"/>
  <c r="M34" s="1"/>
  <c r="G34"/>
  <c r="R33"/>
  <c r="N33"/>
  <c r="Q33" s="1"/>
  <c r="S33" s="1"/>
  <c r="L33"/>
  <c r="K33"/>
  <c r="M33" s="1"/>
  <c r="G33"/>
  <c r="R32"/>
  <c r="K32"/>
  <c r="F32"/>
  <c r="N32" s="1"/>
  <c r="Q32" s="1"/>
  <c r="S32" s="1"/>
  <c r="R31"/>
  <c r="N31"/>
  <c r="Q31" s="1"/>
  <c r="S31" s="1"/>
  <c r="L31"/>
  <c r="M31" s="1"/>
  <c r="R30"/>
  <c r="L30"/>
  <c r="M30" s="1"/>
  <c r="F30"/>
  <c r="N30" s="1"/>
  <c r="Q30" s="1"/>
  <c r="S30" s="1"/>
  <c r="R29"/>
  <c r="N29"/>
  <c r="Q29" s="1"/>
  <c r="S29" s="1"/>
  <c r="L29"/>
  <c r="K29"/>
  <c r="M29" s="1"/>
  <c r="G29"/>
  <c r="R28"/>
  <c r="L28"/>
  <c r="K28"/>
  <c r="M28" s="1"/>
  <c r="G28"/>
  <c r="F28"/>
  <c r="N28" s="1"/>
  <c r="Q28" s="1"/>
  <c r="S28" s="1"/>
  <c r="R27"/>
  <c r="N27"/>
  <c r="Q27" s="1"/>
  <c r="S27" s="1"/>
  <c r="L27"/>
  <c r="M27" s="1"/>
  <c r="I27"/>
  <c r="G27"/>
  <c r="R26"/>
  <c r="K26"/>
  <c r="F26"/>
  <c r="N26" s="1"/>
  <c r="Q26" s="1"/>
  <c r="S26" s="1"/>
  <c r="R25"/>
  <c r="L25"/>
  <c r="M25" s="1"/>
  <c r="F25"/>
  <c r="N25" s="1"/>
  <c r="Q25" s="1"/>
  <c r="S25" s="1"/>
  <c r="R24"/>
  <c r="F24"/>
  <c r="R23"/>
  <c r="F23"/>
  <c r="I23" s="1"/>
  <c r="L23" s="1"/>
  <c r="R22"/>
  <c r="F22"/>
  <c r="I22" s="1"/>
  <c r="L22" s="1"/>
  <c r="R21"/>
  <c r="L21"/>
  <c r="K21"/>
  <c r="M21" s="1"/>
  <c r="G21"/>
  <c r="F21"/>
  <c r="N21" s="1"/>
  <c r="Q21" s="1"/>
  <c r="S21" s="1"/>
  <c r="R20"/>
  <c r="N20"/>
  <c r="Q20" s="1"/>
  <c r="S20" s="1"/>
  <c r="K20"/>
  <c r="I20"/>
  <c r="L20" s="1"/>
  <c r="G20" s="1"/>
  <c r="R19"/>
  <c r="K19"/>
  <c r="F19"/>
  <c r="N19" s="1"/>
  <c r="Q19" s="1"/>
  <c r="S19" s="1"/>
  <c r="R18"/>
  <c r="F18"/>
  <c r="N18" s="1"/>
  <c r="Q18" s="1"/>
  <c r="S18" s="1"/>
  <c r="R17"/>
  <c r="F17"/>
  <c r="R16"/>
  <c r="N16"/>
  <c r="Q16" s="1"/>
  <c r="S16" s="1"/>
  <c r="L16"/>
  <c r="M16" s="1"/>
  <c r="I16"/>
  <c r="G16"/>
  <c r="R15"/>
  <c r="F15"/>
  <c r="N15" s="1"/>
  <c r="Q15" s="1"/>
  <c r="S15" s="1"/>
  <c r="R14"/>
  <c r="F14"/>
  <c r="N14" s="1"/>
  <c r="Q14" s="1"/>
  <c r="S14" s="1"/>
  <c r="R13"/>
  <c r="N13"/>
  <c r="Q13" s="1"/>
  <c r="S13" s="1"/>
  <c r="L13"/>
  <c r="M13" s="1"/>
  <c r="I13"/>
  <c r="G13"/>
  <c r="R12"/>
  <c r="F12"/>
  <c r="I12" s="1"/>
  <c r="L12" s="1"/>
  <c r="R11"/>
  <c r="K11"/>
  <c r="F11"/>
  <c r="N11" s="1"/>
  <c r="Q11" s="1"/>
  <c r="S11" s="1"/>
  <c r="R10"/>
  <c r="F10"/>
  <c r="N10" s="1"/>
  <c r="Q10" s="1"/>
  <c r="S10" s="1"/>
  <c r="R9"/>
  <c r="F9"/>
  <c r="N9" s="1"/>
  <c r="Q9" s="1"/>
  <c r="S9" s="1"/>
  <c r="R8"/>
  <c r="F8"/>
  <c r="N8" s="1"/>
  <c r="Q8" s="1"/>
  <c r="S8" s="1"/>
  <c r="R7"/>
  <c r="N7"/>
  <c r="Q7" s="1"/>
  <c r="S7" s="1"/>
  <c r="F7"/>
  <c r="I7" s="1"/>
  <c r="L7" s="1"/>
  <c r="R6"/>
  <c r="L6"/>
  <c r="M6" s="1"/>
  <c r="F6"/>
  <c r="N6" s="1"/>
  <c r="Q6" s="1"/>
  <c r="S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R5"/>
  <c r="R492" s="1"/>
  <c r="K5"/>
  <c r="K492" s="1"/>
  <c r="F5"/>
  <c r="F492" s="1"/>
  <c r="L38" i="4" l="1"/>
  <c r="F38"/>
  <c r="L42"/>
  <c r="F42"/>
  <c r="L46"/>
  <c r="F46"/>
  <c r="L50"/>
  <c r="F50"/>
  <c r="L54"/>
  <c r="F54"/>
  <c r="L58"/>
  <c r="F58"/>
  <c r="L62"/>
  <c r="F62"/>
  <c r="L66"/>
  <c r="F66"/>
  <c r="L82"/>
  <c r="F82"/>
  <c r="L86"/>
  <c r="F86"/>
  <c r="L90"/>
  <c r="F90"/>
  <c r="L94"/>
  <c r="F94"/>
  <c r="L98"/>
  <c r="F98"/>
  <c r="L102"/>
  <c r="F102"/>
  <c r="L106"/>
  <c r="F106"/>
  <c r="L110"/>
  <c r="F110"/>
  <c r="L114"/>
  <c r="F114"/>
  <c r="L118"/>
  <c r="F118"/>
  <c r="L122"/>
  <c r="F122"/>
  <c r="L126"/>
  <c r="F126"/>
  <c r="L130"/>
  <c r="F130"/>
  <c r="L134"/>
  <c r="F134"/>
  <c r="L142"/>
  <c r="F142"/>
  <c r="L146"/>
  <c r="F146"/>
  <c r="L150"/>
  <c r="F150"/>
  <c r="L154"/>
  <c r="F154"/>
  <c r="L158"/>
  <c r="F158"/>
  <c r="L162"/>
  <c r="F162"/>
  <c r="L300"/>
  <c r="F300"/>
  <c r="L304"/>
  <c r="F304"/>
  <c r="L308"/>
  <c r="F308"/>
  <c r="L312"/>
  <c r="F312"/>
  <c r="L316"/>
  <c r="F316"/>
  <c r="L320"/>
  <c r="F320"/>
  <c r="L7"/>
  <c r="F7"/>
  <c r="L11"/>
  <c r="F11"/>
  <c r="L19"/>
  <c r="F19"/>
  <c r="L23"/>
  <c r="F23"/>
  <c r="L27"/>
  <c r="F27"/>
  <c r="L31"/>
  <c r="F31"/>
  <c r="L183"/>
  <c r="F183"/>
  <c r="L187"/>
  <c r="F187"/>
  <c r="L191"/>
  <c r="F191"/>
  <c r="L195"/>
  <c r="F195"/>
  <c r="L199"/>
  <c r="F199"/>
  <c r="L203"/>
  <c r="F203"/>
  <c r="L211"/>
  <c r="F211"/>
  <c r="L215"/>
  <c r="F215"/>
  <c r="L241"/>
  <c r="F241"/>
  <c r="L245"/>
  <c r="F245"/>
  <c r="L249"/>
  <c r="F249"/>
  <c r="L253"/>
  <c r="F253"/>
  <c r="L257"/>
  <c r="F257"/>
  <c r="L267"/>
  <c r="F267"/>
  <c r="L275"/>
  <c r="F275"/>
  <c r="L279"/>
  <c r="F279"/>
  <c r="L283"/>
  <c r="F283"/>
  <c r="L287"/>
  <c r="F287"/>
  <c r="M7"/>
  <c r="M11"/>
  <c r="M19"/>
  <c r="K21"/>
  <c r="M23"/>
  <c r="K25"/>
  <c r="M27"/>
  <c r="K29"/>
  <c r="M31"/>
  <c r="K36"/>
  <c r="M38"/>
  <c r="M42"/>
  <c r="K44"/>
  <c r="M46"/>
  <c r="K48"/>
  <c r="M50"/>
  <c r="M54"/>
  <c r="M58"/>
  <c r="M62"/>
  <c r="K64"/>
  <c r="M66"/>
  <c r="K78"/>
  <c r="K80"/>
  <c r="M82"/>
  <c r="K84"/>
  <c r="M86"/>
  <c r="K88"/>
  <c r="M90"/>
  <c r="K92"/>
  <c r="M94"/>
  <c r="K96"/>
  <c r="M98"/>
  <c r="K100"/>
  <c r="M102"/>
  <c r="K104"/>
  <c r="M106"/>
  <c r="K108"/>
  <c r="M110"/>
  <c r="K112"/>
  <c r="M114"/>
  <c r="K116"/>
  <c r="M118"/>
  <c r="K120"/>
  <c r="M122"/>
  <c r="K124"/>
  <c r="M126"/>
  <c r="K128"/>
  <c r="M130"/>
  <c r="K132"/>
  <c r="M134"/>
  <c r="M142"/>
  <c r="K144"/>
  <c r="M146"/>
  <c r="M150"/>
  <c r="K152"/>
  <c r="M154"/>
  <c r="K156"/>
  <c r="M158"/>
  <c r="K160"/>
  <c r="M162"/>
  <c r="K164"/>
  <c r="K168"/>
  <c r="K170"/>
  <c r="K174"/>
  <c r="K178"/>
  <c r="M183"/>
  <c r="M187"/>
  <c r="M191"/>
  <c r="K193"/>
  <c r="M195"/>
  <c r="K197"/>
  <c r="M199"/>
  <c r="K201"/>
  <c r="M203"/>
  <c r="K205"/>
  <c r="M211"/>
  <c r="K213"/>
  <c r="M215"/>
  <c r="K217"/>
  <c r="K221"/>
  <c r="K225"/>
  <c r="K229"/>
  <c r="K235"/>
  <c r="K237"/>
  <c r="K239"/>
  <c r="M241"/>
  <c r="K243"/>
  <c r="M245"/>
  <c r="K247"/>
  <c r="M249"/>
  <c r="K251"/>
  <c r="M253"/>
  <c r="K255"/>
  <c r="M257"/>
  <c r="M267"/>
  <c r="M275"/>
  <c r="K277"/>
  <c r="M279"/>
  <c r="M283"/>
  <c r="M287"/>
  <c r="K289"/>
  <c r="K296"/>
  <c r="M300"/>
  <c r="K302"/>
  <c r="M304"/>
  <c r="M308"/>
  <c r="M312"/>
  <c r="M316"/>
  <c r="M320"/>
  <c r="K15"/>
  <c r="K17"/>
  <c r="K70"/>
  <c r="K72"/>
  <c r="K74"/>
  <c r="K138"/>
  <c r="K140"/>
  <c r="K207"/>
  <c r="K209"/>
  <c r="K261"/>
  <c r="K263"/>
  <c r="K265"/>
  <c r="K271"/>
  <c r="K273"/>
  <c r="K291"/>
  <c r="K293"/>
  <c r="K298"/>
  <c r="M35"/>
  <c r="K35"/>
  <c r="M39"/>
  <c r="K39"/>
  <c r="M79"/>
  <c r="F79"/>
  <c r="M167"/>
  <c r="F167"/>
  <c r="L181"/>
  <c r="F181"/>
  <c r="G5"/>
  <c r="K6"/>
  <c r="K8"/>
  <c r="K10"/>
  <c r="K12"/>
  <c r="K14"/>
  <c r="K16"/>
  <c r="K18"/>
  <c r="K20"/>
  <c r="K22"/>
  <c r="K24"/>
  <c r="K26"/>
  <c r="K28"/>
  <c r="K30"/>
  <c r="K32"/>
  <c r="K34"/>
  <c r="M37"/>
  <c r="K37"/>
  <c r="M69"/>
  <c r="F69"/>
  <c r="M71"/>
  <c r="F71"/>
  <c r="M73"/>
  <c r="F73"/>
  <c r="M139"/>
  <c r="F139"/>
  <c r="M206"/>
  <c r="F206"/>
  <c r="M208"/>
  <c r="F208"/>
  <c r="M210"/>
  <c r="F210"/>
  <c r="M260"/>
  <c r="F260"/>
  <c r="M262"/>
  <c r="F262"/>
  <c r="M264"/>
  <c r="F264"/>
  <c r="M272"/>
  <c r="F272"/>
  <c r="M274"/>
  <c r="F274"/>
  <c r="M292"/>
  <c r="F292"/>
  <c r="M294"/>
  <c r="K294"/>
  <c r="L69"/>
  <c r="L71"/>
  <c r="L73"/>
  <c r="L79"/>
  <c r="L139"/>
  <c r="L167"/>
  <c r="M181"/>
  <c r="M182"/>
  <c r="K182"/>
  <c r="M234"/>
  <c r="F234"/>
  <c r="M236"/>
  <c r="F236"/>
  <c r="M238"/>
  <c r="F238"/>
  <c r="K41"/>
  <c r="K43"/>
  <c r="K45"/>
  <c r="K47"/>
  <c r="K49"/>
  <c r="K51"/>
  <c r="K53"/>
  <c r="K55"/>
  <c r="K57"/>
  <c r="K59"/>
  <c r="K61"/>
  <c r="K63"/>
  <c r="K65"/>
  <c r="K67"/>
  <c r="K75"/>
  <c r="K77"/>
  <c r="K81"/>
  <c r="K83"/>
  <c r="K85"/>
  <c r="K87"/>
  <c r="K89"/>
  <c r="K91"/>
  <c r="K93"/>
  <c r="K95"/>
  <c r="K97"/>
  <c r="K99"/>
  <c r="K101"/>
  <c r="K103"/>
  <c r="K105"/>
  <c r="K107"/>
  <c r="K109"/>
  <c r="K111"/>
  <c r="K113"/>
  <c r="K115"/>
  <c r="K117"/>
  <c r="K119"/>
  <c r="K121"/>
  <c r="K123"/>
  <c r="K125"/>
  <c r="K127"/>
  <c r="K129"/>
  <c r="K131"/>
  <c r="K133"/>
  <c r="K135"/>
  <c r="K137"/>
  <c r="K141"/>
  <c r="K143"/>
  <c r="K145"/>
  <c r="K147"/>
  <c r="K149"/>
  <c r="K151"/>
  <c r="K153"/>
  <c r="K155"/>
  <c r="K157"/>
  <c r="K159"/>
  <c r="K161"/>
  <c r="K163"/>
  <c r="K165"/>
  <c r="K169"/>
  <c r="K171"/>
  <c r="K173"/>
  <c r="K175"/>
  <c r="K177"/>
  <c r="K179"/>
  <c r="M299"/>
  <c r="K299"/>
  <c r="M321"/>
  <c r="F321"/>
  <c r="M323"/>
  <c r="F323"/>
  <c r="M325"/>
  <c r="F325"/>
  <c r="M327"/>
  <c r="F327"/>
  <c r="M329"/>
  <c r="F329"/>
  <c r="M331"/>
  <c r="F331"/>
  <c r="M333"/>
  <c r="F333"/>
  <c r="M335"/>
  <c r="F335"/>
  <c r="M337"/>
  <c r="F337"/>
  <c r="M339"/>
  <c r="F339"/>
  <c r="M341"/>
  <c r="F341"/>
  <c r="M343"/>
  <c r="F343"/>
  <c r="M345"/>
  <c r="F345"/>
  <c r="M347"/>
  <c r="F347"/>
  <c r="M349"/>
  <c r="F349"/>
  <c r="M351"/>
  <c r="F351"/>
  <c r="M353"/>
  <c r="F353"/>
  <c r="M355"/>
  <c r="F355"/>
  <c r="M357"/>
  <c r="F357"/>
  <c r="M359"/>
  <c r="F359"/>
  <c r="M361"/>
  <c r="F361"/>
  <c r="M363"/>
  <c r="F363"/>
  <c r="M365"/>
  <c r="F365"/>
  <c r="M367"/>
  <c r="F367"/>
  <c r="M369"/>
  <c r="F369"/>
  <c r="L206"/>
  <c r="L208"/>
  <c r="L210"/>
  <c r="K231"/>
  <c r="K233"/>
  <c r="L234"/>
  <c r="L236"/>
  <c r="L238"/>
  <c r="L260"/>
  <c r="L262"/>
  <c r="L264"/>
  <c r="L272"/>
  <c r="L274"/>
  <c r="L292"/>
  <c r="M301"/>
  <c r="K301"/>
  <c r="K184"/>
  <c r="K186"/>
  <c r="K188"/>
  <c r="K190"/>
  <c r="K192"/>
  <c r="K194"/>
  <c r="K196"/>
  <c r="K198"/>
  <c r="K200"/>
  <c r="K202"/>
  <c r="K204"/>
  <c r="K212"/>
  <c r="K214"/>
  <c r="K216"/>
  <c r="K218"/>
  <c r="K220"/>
  <c r="K222"/>
  <c r="K224"/>
  <c r="K226"/>
  <c r="K228"/>
  <c r="K230"/>
  <c r="K232"/>
  <c r="K240"/>
  <c r="K242"/>
  <c r="K244"/>
  <c r="K246"/>
  <c r="K248"/>
  <c r="K250"/>
  <c r="K252"/>
  <c r="K254"/>
  <c r="K256"/>
  <c r="K258"/>
  <c r="K266"/>
  <c r="K268"/>
  <c r="K270"/>
  <c r="K276"/>
  <c r="K278"/>
  <c r="K280"/>
  <c r="K282"/>
  <c r="K284"/>
  <c r="K286"/>
  <c r="K288"/>
  <c r="K290"/>
  <c r="K295"/>
  <c r="K297"/>
  <c r="L321"/>
  <c r="L323"/>
  <c r="L325"/>
  <c r="L327"/>
  <c r="L329"/>
  <c r="L331"/>
  <c r="L333"/>
  <c r="L335"/>
  <c r="L337"/>
  <c r="L339"/>
  <c r="L341"/>
  <c r="L343"/>
  <c r="L345"/>
  <c r="L347"/>
  <c r="L349"/>
  <c r="L351"/>
  <c r="L353"/>
  <c r="L355"/>
  <c r="L357"/>
  <c r="L359"/>
  <c r="L361"/>
  <c r="L363"/>
  <c r="L365"/>
  <c r="L367"/>
  <c r="L369"/>
  <c r="K303"/>
  <c r="K305"/>
  <c r="K307"/>
  <c r="K309"/>
  <c r="K311"/>
  <c r="K313"/>
  <c r="K315"/>
  <c r="K317"/>
  <c r="K319"/>
  <c r="L10" i="3"/>
  <c r="F10"/>
  <c r="L14"/>
  <c r="F14"/>
  <c r="L18"/>
  <c r="F18"/>
  <c r="L22"/>
  <c r="F22"/>
  <c r="L26"/>
  <c r="F26"/>
  <c r="L30"/>
  <c r="F30"/>
  <c r="L34"/>
  <c r="F34"/>
  <c r="L42"/>
  <c r="F42"/>
  <c r="L46"/>
  <c r="F46"/>
  <c r="L50"/>
  <c r="F50"/>
  <c r="L54"/>
  <c r="F54"/>
  <c r="L58"/>
  <c r="F58"/>
  <c r="L62"/>
  <c r="F62"/>
  <c r="L68"/>
  <c r="F68"/>
  <c r="L72"/>
  <c r="F72"/>
  <c r="L76"/>
  <c r="F76"/>
  <c r="L80"/>
  <c r="F80"/>
  <c r="L88"/>
  <c r="F88"/>
  <c r="L96"/>
  <c r="F96"/>
  <c r="L100"/>
  <c r="F100"/>
  <c r="L104"/>
  <c r="F104"/>
  <c r="L108"/>
  <c r="F108"/>
  <c r="L112"/>
  <c r="F112"/>
  <c r="M5"/>
  <c r="K6"/>
  <c r="K8"/>
  <c r="M10"/>
  <c r="K12"/>
  <c r="M14"/>
  <c r="K16"/>
  <c r="M18"/>
  <c r="K20"/>
  <c r="M22"/>
  <c r="K24"/>
  <c r="M26"/>
  <c r="K28"/>
  <c r="M30"/>
  <c r="K32"/>
  <c r="M34"/>
  <c r="K36"/>
  <c r="K38"/>
  <c r="K40"/>
  <c r="M42"/>
  <c r="K44"/>
  <c r="M46"/>
  <c r="K48"/>
  <c r="M50"/>
  <c r="K52"/>
  <c r="M54"/>
  <c r="K56"/>
  <c r="M58"/>
  <c r="K60"/>
  <c r="M62"/>
  <c r="K64"/>
  <c r="M68"/>
  <c r="K70"/>
  <c r="M72"/>
  <c r="K74"/>
  <c r="M76"/>
  <c r="K78"/>
  <c r="M80"/>
  <c r="K82"/>
  <c r="K86"/>
  <c r="M88"/>
  <c r="K90"/>
  <c r="K92"/>
  <c r="M96"/>
  <c r="K98"/>
  <c r="M100"/>
  <c r="K102"/>
  <c r="M104"/>
  <c r="K106"/>
  <c r="M108"/>
  <c r="K110"/>
  <c r="M112"/>
  <c r="K114"/>
  <c r="K120"/>
  <c r="K124"/>
  <c r="K128"/>
  <c r="K132"/>
  <c r="K136"/>
  <c r="K138"/>
  <c r="K142"/>
  <c r="K146"/>
  <c r="K150"/>
  <c r="K154"/>
  <c r="K158"/>
  <c r="K162"/>
  <c r="K166"/>
  <c r="K170"/>
  <c r="K172"/>
  <c r="K174"/>
  <c r="K176"/>
  <c r="K178"/>
  <c r="K180"/>
  <c r="K182"/>
  <c r="K184"/>
  <c r="K186"/>
  <c r="K188"/>
  <c r="K190"/>
  <c r="K192"/>
  <c r="K194"/>
  <c r="K196"/>
  <c r="K198"/>
  <c r="K200"/>
  <c r="K202"/>
  <c r="K204"/>
  <c r="K206"/>
  <c r="K208"/>
  <c r="K210"/>
  <c r="K212"/>
  <c r="K214"/>
  <c r="K216"/>
  <c r="K218"/>
  <c r="K220"/>
  <c r="K222"/>
  <c r="K224"/>
  <c r="K226"/>
  <c r="K228"/>
  <c r="K230"/>
  <c r="K232"/>
  <c r="K234"/>
  <c r="K236"/>
  <c r="K238"/>
  <c r="K240"/>
  <c r="K5"/>
  <c r="F5" s="1"/>
  <c r="L37"/>
  <c r="K66"/>
  <c r="K94"/>
  <c r="M25"/>
  <c r="K25"/>
  <c r="M29"/>
  <c r="K29"/>
  <c r="M33"/>
  <c r="K33"/>
  <c r="M37"/>
  <c r="F37"/>
  <c r="M41"/>
  <c r="K41"/>
  <c r="K7"/>
  <c r="K9"/>
  <c r="K11"/>
  <c r="K13"/>
  <c r="K15"/>
  <c r="K17"/>
  <c r="K19"/>
  <c r="K21"/>
  <c r="K23"/>
  <c r="M27"/>
  <c r="K27"/>
  <c r="M31"/>
  <c r="K31"/>
  <c r="M35"/>
  <c r="K35"/>
  <c r="M39"/>
  <c r="K39"/>
  <c r="M43"/>
  <c r="K43"/>
  <c r="L5"/>
  <c r="M169"/>
  <c r="F169"/>
  <c r="K45"/>
  <c r="K47"/>
  <c r="K49"/>
  <c r="K51"/>
  <c r="K53"/>
  <c r="K55"/>
  <c r="K57"/>
  <c r="K59"/>
  <c r="K61"/>
  <c r="K63"/>
  <c r="K65"/>
  <c r="K67"/>
  <c r="K69"/>
  <c r="K71"/>
  <c r="K73"/>
  <c r="K75"/>
  <c r="K77"/>
  <c r="K79"/>
  <c r="K81"/>
  <c r="K83"/>
  <c r="K85"/>
  <c r="K87"/>
  <c r="K89"/>
  <c r="K91"/>
  <c r="K93"/>
  <c r="K95"/>
  <c r="K97"/>
  <c r="K99"/>
  <c r="K101"/>
  <c r="K103"/>
  <c r="K105"/>
  <c r="K107"/>
  <c r="K109"/>
  <c r="K111"/>
  <c r="K113"/>
  <c r="K115"/>
  <c r="K117"/>
  <c r="K119"/>
  <c r="K121"/>
  <c r="K123"/>
  <c r="K125"/>
  <c r="K127"/>
  <c r="K129"/>
  <c r="K131"/>
  <c r="K133"/>
  <c r="K135"/>
  <c r="K137"/>
  <c r="K139"/>
  <c r="K141"/>
  <c r="K143"/>
  <c r="K145"/>
  <c r="K147"/>
  <c r="K149"/>
  <c r="K151"/>
  <c r="K153"/>
  <c r="K155"/>
  <c r="K157"/>
  <c r="K159"/>
  <c r="K161"/>
  <c r="K163"/>
  <c r="K165"/>
  <c r="K167"/>
  <c r="K171"/>
  <c r="K173"/>
  <c r="K175"/>
  <c r="K177"/>
  <c r="K179"/>
  <c r="K181"/>
  <c r="K183"/>
  <c r="K185"/>
  <c r="K187"/>
  <c r="K189"/>
  <c r="K191"/>
  <c r="K193"/>
  <c r="K195"/>
  <c r="K197"/>
  <c r="K199"/>
  <c r="K201"/>
  <c r="K203"/>
  <c r="K205"/>
  <c r="K207"/>
  <c r="K209"/>
  <c r="K211"/>
  <c r="K213"/>
  <c r="K215"/>
  <c r="K217"/>
  <c r="K219"/>
  <c r="K221"/>
  <c r="K223"/>
  <c r="K225"/>
  <c r="K227"/>
  <c r="K229"/>
  <c r="K231"/>
  <c r="K233"/>
  <c r="K235"/>
  <c r="K237"/>
  <c r="K239"/>
  <c r="G7" i="1"/>
  <c r="M7"/>
  <c r="M12"/>
  <c r="G12"/>
  <c r="M22"/>
  <c r="G22"/>
  <c r="M23"/>
  <c r="G23"/>
  <c r="G46"/>
  <c r="M46"/>
  <c r="M50"/>
  <c r="G50"/>
  <c r="M58"/>
  <c r="G58"/>
  <c r="M59"/>
  <c r="G59"/>
  <c r="N60"/>
  <c r="Q60" s="1"/>
  <c r="S60" s="1"/>
  <c r="N70"/>
  <c r="Q70" s="1"/>
  <c r="S70" s="1"/>
  <c r="L70"/>
  <c r="G71"/>
  <c r="M71"/>
  <c r="G73"/>
  <c r="M73"/>
  <c r="G79"/>
  <c r="M79"/>
  <c r="M20"/>
  <c r="M38"/>
  <c r="G38"/>
  <c r="M40"/>
  <c r="G40"/>
  <c r="M41"/>
  <c r="G41"/>
  <c r="M44"/>
  <c r="G44"/>
  <c r="N48"/>
  <c r="Q48" s="1"/>
  <c r="S48" s="1"/>
  <c r="L48"/>
  <c r="G48" s="1"/>
  <c r="M57"/>
  <c r="G57"/>
  <c r="M62"/>
  <c r="G62"/>
  <c r="M63"/>
  <c r="G63"/>
  <c r="M66"/>
  <c r="G66"/>
  <c r="G72"/>
  <c r="M72"/>
  <c r="M80"/>
  <c r="G80"/>
  <c r="G83"/>
  <c r="M83"/>
  <c r="M48"/>
  <c r="M84"/>
  <c r="M105"/>
  <c r="G105"/>
  <c r="M106"/>
  <c r="G106"/>
  <c r="M119"/>
  <c r="G119"/>
  <c r="G133"/>
  <c r="M133"/>
  <c r="M135"/>
  <c r="G135"/>
  <c r="M139"/>
  <c r="G139"/>
  <c r="N140"/>
  <c r="Q140" s="1"/>
  <c r="S140" s="1"/>
  <c r="G142"/>
  <c r="M142"/>
  <c r="G146"/>
  <c r="M146"/>
  <c r="G148"/>
  <c r="M148"/>
  <c r="M152"/>
  <c r="G152"/>
  <c r="G155"/>
  <c r="M155"/>
  <c r="M156"/>
  <c r="G156"/>
  <c r="G158"/>
  <c r="M158"/>
  <c r="M176"/>
  <c r="G176"/>
  <c r="M182"/>
  <c r="G182"/>
  <c r="M183"/>
  <c r="G183"/>
  <c r="M192"/>
  <c r="G192"/>
  <c r="M193"/>
  <c r="G193"/>
  <c r="M194"/>
  <c r="G194"/>
  <c r="M197"/>
  <c r="G197"/>
  <c r="M214"/>
  <c r="G214"/>
  <c r="N230"/>
  <c r="Q230" s="1"/>
  <c r="S230" s="1"/>
  <c r="L230"/>
  <c r="M233"/>
  <c r="G233"/>
  <c r="M239"/>
  <c r="G239"/>
  <c r="G242"/>
  <c r="M242"/>
  <c r="I5"/>
  <c r="N5"/>
  <c r="G6"/>
  <c r="I8"/>
  <c r="L8" s="1"/>
  <c r="I9"/>
  <c r="L9" s="1"/>
  <c r="I10"/>
  <c r="L10" s="1"/>
  <c r="I11"/>
  <c r="L11" s="1"/>
  <c r="G11" s="1"/>
  <c r="N12"/>
  <c r="Q12" s="1"/>
  <c r="S12" s="1"/>
  <c r="I14"/>
  <c r="L14" s="1"/>
  <c r="I15"/>
  <c r="L15" s="1"/>
  <c r="I17"/>
  <c r="H17" s="1"/>
  <c r="I18"/>
  <c r="L18" s="1"/>
  <c r="I19"/>
  <c r="L19" s="1"/>
  <c r="G19" s="1"/>
  <c r="N22"/>
  <c r="Q22" s="1"/>
  <c r="S22" s="1"/>
  <c r="N23"/>
  <c r="Q23" s="1"/>
  <c r="S23" s="1"/>
  <c r="I24"/>
  <c r="H24" s="1"/>
  <c r="L24" s="1"/>
  <c r="I35"/>
  <c r="L35" s="1"/>
  <c r="I36"/>
  <c r="L36" s="1"/>
  <c r="G36" s="1"/>
  <c r="N40"/>
  <c r="Q40" s="1"/>
  <c r="S40" s="1"/>
  <c r="N41"/>
  <c r="Q41" s="1"/>
  <c r="S41" s="1"/>
  <c r="N44"/>
  <c r="Q44" s="1"/>
  <c r="S44" s="1"/>
  <c r="I45"/>
  <c r="L45" s="1"/>
  <c r="N50"/>
  <c r="Q50" s="1"/>
  <c r="S50" s="1"/>
  <c r="G52"/>
  <c r="I54"/>
  <c r="L54" s="1"/>
  <c r="G54" s="1"/>
  <c r="G55"/>
  <c r="I56"/>
  <c r="L56" s="1"/>
  <c r="N58"/>
  <c r="Q58" s="1"/>
  <c r="S58" s="1"/>
  <c r="N59"/>
  <c r="Q59" s="1"/>
  <c r="S59" s="1"/>
  <c r="I60"/>
  <c r="L60" s="1"/>
  <c r="I61"/>
  <c r="L61" s="1"/>
  <c r="G61" s="1"/>
  <c r="N62"/>
  <c r="Q62" s="1"/>
  <c r="S62" s="1"/>
  <c r="N63"/>
  <c r="Q63" s="1"/>
  <c r="S63" s="1"/>
  <c r="G67"/>
  <c r="G75"/>
  <c r="I78"/>
  <c r="H78" s="1"/>
  <c r="L78" s="1"/>
  <c r="I81"/>
  <c r="H81" s="1"/>
  <c r="L81" s="1"/>
  <c r="I85"/>
  <c r="L85" s="1"/>
  <c r="G85" s="1"/>
  <c r="M122"/>
  <c r="M177"/>
  <c r="M234"/>
  <c r="M240"/>
  <c r="M89"/>
  <c r="G89"/>
  <c r="M101"/>
  <c r="G101"/>
  <c r="M104"/>
  <c r="G104"/>
  <c r="M127"/>
  <c r="G127"/>
  <c r="G128"/>
  <c r="M128"/>
  <c r="M130"/>
  <c r="G130"/>
  <c r="M131"/>
  <c r="G131"/>
  <c r="G134"/>
  <c r="M134"/>
  <c r="G145"/>
  <c r="M145"/>
  <c r="G147"/>
  <c r="M147"/>
  <c r="G154"/>
  <c r="M154"/>
  <c r="M161"/>
  <c r="G161"/>
  <c r="M166"/>
  <c r="G166"/>
  <c r="M175"/>
  <c r="G175"/>
  <c r="G186"/>
  <c r="M186"/>
  <c r="M191"/>
  <c r="G191"/>
  <c r="M195"/>
  <c r="G195"/>
  <c r="M215"/>
  <c r="G215"/>
  <c r="M225"/>
  <c r="G225"/>
  <c r="M226"/>
  <c r="G226"/>
  <c r="M241"/>
  <c r="G241"/>
  <c r="G25"/>
  <c r="I26"/>
  <c r="L26" s="1"/>
  <c r="G26" s="1"/>
  <c r="G30"/>
  <c r="G31"/>
  <c r="I32"/>
  <c r="L32" s="1"/>
  <c r="G32" s="1"/>
  <c r="G39"/>
  <c r="I42"/>
  <c r="L42" s="1"/>
  <c r="G42" s="1"/>
  <c r="I64"/>
  <c r="L64" s="1"/>
  <c r="G64" s="1"/>
  <c r="I69"/>
  <c r="L69" s="1"/>
  <c r="G69" s="1"/>
  <c r="I86"/>
  <c r="L86" s="1"/>
  <c r="M224"/>
  <c r="M227"/>
  <c r="M249"/>
  <c r="G249"/>
  <c r="M255"/>
  <c r="G255"/>
  <c r="M259"/>
  <c r="G259"/>
  <c r="M261"/>
  <c r="G261"/>
  <c r="M264"/>
  <c r="G264"/>
  <c r="M267"/>
  <c r="G267"/>
  <c r="M272"/>
  <c r="G272"/>
  <c r="M275"/>
  <c r="G275"/>
  <c r="G278"/>
  <c r="M278"/>
  <c r="G287"/>
  <c r="M287"/>
  <c r="M288"/>
  <c r="G288"/>
  <c r="G295"/>
  <c r="M295"/>
  <c r="N298"/>
  <c r="Q298" s="1"/>
  <c r="S298" s="1"/>
  <c r="L298"/>
  <c r="G298" s="1"/>
  <c r="M301"/>
  <c r="G301"/>
  <c r="M313"/>
  <c r="G313"/>
  <c r="N314"/>
  <c r="Q314" s="1"/>
  <c r="S314" s="1"/>
  <c r="M316"/>
  <c r="G316"/>
  <c r="G319"/>
  <c r="M319"/>
  <c r="N333"/>
  <c r="Q333" s="1"/>
  <c r="S333" s="1"/>
  <c r="L333"/>
  <c r="G333" s="1"/>
  <c r="G337"/>
  <c r="M337"/>
  <c r="M338"/>
  <c r="G338"/>
  <c r="M342"/>
  <c r="G342"/>
  <c r="M343"/>
  <c r="G343"/>
  <c r="G357"/>
  <c r="M357"/>
  <c r="M358"/>
  <c r="G358"/>
  <c r="G369"/>
  <c r="M369"/>
  <c r="G376"/>
  <c r="M376"/>
  <c r="G381"/>
  <c r="M381"/>
  <c r="M387"/>
  <c r="G387"/>
  <c r="G391"/>
  <c r="M391"/>
  <c r="L88"/>
  <c r="G88" s="1"/>
  <c r="N89"/>
  <c r="Q89" s="1"/>
  <c r="S89" s="1"/>
  <c r="I91"/>
  <c r="L91" s="1"/>
  <c r="I92"/>
  <c r="L92" s="1"/>
  <c r="I93"/>
  <c r="L93" s="1"/>
  <c r="G93" s="1"/>
  <c r="G95"/>
  <c r="G96"/>
  <c r="G98"/>
  <c r="G99"/>
  <c r="I100"/>
  <c r="L100" s="1"/>
  <c r="N101"/>
  <c r="Q101" s="1"/>
  <c r="S101" s="1"/>
  <c r="N105"/>
  <c r="Q105" s="1"/>
  <c r="S105" s="1"/>
  <c r="N106"/>
  <c r="Q106" s="1"/>
  <c r="S106" s="1"/>
  <c r="I107"/>
  <c r="H107" s="1"/>
  <c r="L107" s="1"/>
  <c r="G107" s="1"/>
  <c r="G112"/>
  <c r="I114"/>
  <c r="H114" s="1"/>
  <c r="L114" s="1"/>
  <c r="G114" s="1"/>
  <c r="I117"/>
  <c r="L117" s="1"/>
  <c r="I118"/>
  <c r="L118" s="1"/>
  <c r="N119"/>
  <c r="Q119" s="1"/>
  <c r="S119" s="1"/>
  <c r="G120"/>
  <c r="N127"/>
  <c r="Q127" s="1"/>
  <c r="S127" s="1"/>
  <c r="N130"/>
  <c r="Q130" s="1"/>
  <c r="S130" s="1"/>
  <c r="N131"/>
  <c r="Q131" s="1"/>
  <c r="S131" s="1"/>
  <c r="G132"/>
  <c r="G136"/>
  <c r="I137"/>
  <c r="L137" s="1"/>
  <c r="N139"/>
  <c r="Q139" s="1"/>
  <c r="S139" s="1"/>
  <c r="I140"/>
  <c r="L140" s="1"/>
  <c r="I144"/>
  <c r="H144" s="1"/>
  <c r="L144" s="1"/>
  <c r="I151"/>
  <c r="L151" s="1"/>
  <c r="G151" s="1"/>
  <c r="N152"/>
  <c r="Q152" s="1"/>
  <c r="S152" s="1"/>
  <c r="I159"/>
  <c r="L159" s="1"/>
  <c r="I160"/>
  <c r="L160" s="1"/>
  <c r="N161"/>
  <c r="Q161" s="1"/>
  <c r="S161" s="1"/>
  <c r="I165"/>
  <c r="L165" s="1"/>
  <c r="G167"/>
  <c r="I169"/>
  <c r="L169" s="1"/>
  <c r="I170"/>
  <c r="L170" s="1"/>
  <c r="I173"/>
  <c r="L173" s="1"/>
  <c r="I180"/>
  <c r="L180" s="1"/>
  <c r="G180" s="1"/>
  <c r="N182"/>
  <c r="Q182" s="1"/>
  <c r="S182" s="1"/>
  <c r="N183"/>
  <c r="Q183" s="1"/>
  <c r="S183" s="1"/>
  <c r="G187"/>
  <c r="I190"/>
  <c r="H190" s="1"/>
  <c r="L190" s="1"/>
  <c r="N191"/>
  <c r="Q191" s="1"/>
  <c r="S191" s="1"/>
  <c r="N193"/>
  <c r="Q193" s="1"/>
  <c r="S193" s="1"/>
  <c r="N195"/>
  <c r="Q195" s="1"/>
  <c r="S195" s="1"/>
  <c r="N197"/>
  <c r="Q197" s="1"/>
  <c r="S197" s="1"/>
  <c r="G198"/>
  <c r="G199"/>
  <c r="G202"/>
  <c r="I203"/>
  <c r="L203" s="1"/>
  <c r="I204"/>
  <c r="L204" s="1"/>
  <c r="I207"/>
  <c r="H207" s="1"/>
  <c r="L207" s="1"/>
  <c r="I208"/>
  <c r="L208" s="1"/>
  <c r="G210"/>
  <c r="I212"/>
  <c r="L212" s="1"/>
  <c r="I219"/>
  <c r="L219" s="1"/>
  <c r="G219" s="1"/>
  <c r="I221"/>
  <c r="L221" s="1"/>
  <c r="G221" s="1"/>
  <c r="I223"/>
  <c r="L223" s="1"/>
  <c r="N225"/>
  <c r="Q225" s="1"/>
  <c r="S225" s="1"/>
  <c r="I237"/>
  <c r="L237" s="1"/>
  <c r="H238"/>
  <c r="I243"/>
  <c r="L243" s="1"/>
  <c r="I244"/>
  <c r="L244" s="1"/>
  <c r="M298"/>
  <c r="M333"/>
  <c r="M336"/>
  <c r="N355"/>
  <c r="Q355" s="1"/>
  <c r="S355" s="1"/>
  <c r="N360"/>
  <c r="Q360" s="1"/>
  <c r="S360" s="1"/>
  <c r="N383"/>
  <c r="Q383" s="1"/>
  <c r="S383" s="1"/>
  <c r="N386"/>
  <c r="Q386" s="1"/>
  <c r="S386" s="1"/>
  <c r="I247"/>
  <c r="H247" s="1"/>
  <c r="L247" s="1"/>
  <c r="N247"/>
  <c r="Q247" s="1"/>
  <c r="S247" s="1"/>
  <c r="M248"/>
  <c r="G248"/>
  <c r="M256"/>
  <c r="G256"/>
  <c r="M258"/>
  <c r="G258"/>
  <c r="M260"/>
  <c r="G260"/>
  <c r="G271"/>
  <c r="M271"/>
  <c r="G277"/>
  <c r="M277"/>
  <c r="M281"/>
  <c r="G281"/>
  <c r="M282"/>
  <c r="G282"/>
  <c r="G286"/>
  <c r="M286"/>
  <c r="N291"/>
  <c r="Q291" s="1"/>
  <c r="S291" s="1"/>
  <c r="L291"/>
  <c r="G291" s="1"/>
  <c r="M293"/>
  <c r="G293"/>
  <c r="G297"/>
  <c r="M297"/>
  <c r="M321"/>
  <c r="G321"/>
  <c r="M327"/>
  <c r="G327"/>
  <c r="G332"/>
  <c r="M332"/>
  <c r="M348"/>
  <c r="G348"/>
  <c r="M351"/>
  <c r="G351"/>
  <c r="G354"/>
  <c r="M354"/>
  <c r="M355"/>
  <c r="G355"/>
  <c r="M360"/>
  <c r="G360"/>
  <c r="M361"/>
  <c r="G361"/>
  <c r="M362"/>
  <c r="G362"/>
  <c r="N364"/>
  <c r="Q364" s="1"/>
  <c r="S364" s="1"/>
  <c r="L364"/>
  <c r="G364" s="1"/>
  <c r="M367"/>
  <c r="G367"/>
  <c r="G370"/>
  <c r="M370"/>
  <c r="M373"/>
  <c r="G373"/>
  <c r="M374"/>
  <c r="G374"/>
  <c r="G377"/>
  <c r="M377"/>
  <c r="G382"/>
  <c r="M382"/>
  <c r="M383"/>
  <c r="G383"/>
  <c r="M386"/>
  <c r="G386"/>
  <c r="G390"/>
  <c r="M390"/>
  <c r="G392"/>
  <c r="M392"/>
  <c r="G87"/>
  <c r="G97"/>
  <c r="G113"/>
  <c r="G125"/>
  <c r="G126"/>
  <c r="G129"/>
  <c r="I162"/>
  <c r="L162" s="1"/>
  <c r="G162" s="1"/>
  <c r="G189"/>
  <c r="G200"/>
  <c r="G205"/>
  <c r="G206"/>
  <c r="G217"/>
  <c r="I222"/>
  <c r="L222" s="1"/>
  <c r="G222" s="1"/>
  <c r="G245"/>
  <c r="N288"/>
  <c r="Q288" s="1"/>
  <c r="S288" s="1"/>
  <c r="M324"/>
  <c r="M407"/>
  <c r="G407"/>
  <c r="M408"/>
  <c r="G408"/>
  <c r="M416"/>
  <c r="G416"/>
  <c r="G422"/>
  <c r="M422"/>
  <c r="G424"/>
  <c r="M424"/>
  <c r="G435"/>
  <c r="M435"/>
  <c r="G439"/>
  <c r="M439"/>
  <c r="M441"/>
  <c r="G441"/>
  <c r="M447"/>
  <c r="G447"/>
  <c r="G449"/>
  <c r="M449"/>
  <c r="M456"/>
  <c r="G456"/>
  <c r="M457"/>
  <c r="G457"/>
  <c r="M463"/>
  <c r="G463"/>
  <c r="M464"/>
  <c r="G464"/>
  <c r="M465"/>
  <c r="G465"/>
  <c r="M466"/>
  <c r="G466"/>
  <c r="G475"/>
  <c r="M475"/>
  <c r="G477"/>
  <c r="M477"/>
  <c r="M479"/>
  <c r="G479"/>
  <c r="M487"/>
  <c r="G487"/>
  <c r="I252"/>
  <c r="L252" s="1"/>
  <c r="I253"/>
  <c r="L253" s="1"/>
  <c r="I254"/>
  <c r="L254" s="1"/>
  <c r="N255"/>
  <c r="Q255" s="1"/>
  <c r="S255" s="1"/>
  <c r="N264"/>
  <c r="Q264" s="1"/>
  <c r="S264" s="1"/>
  <c r="N267"/>
  <c r="Q267" s="1"/>
  <c r="S267" s="1"/>
  <c r="N275"/>
  <c r="Q275" s="1"/>
  <c r="S275" s="1"/>
  <c r="G276"/>
  <c r="G280"/>
  <c r="N282"/>
  <c r="Q282" s="1"/>
  <c r="S282" s="1"/>
  <c r="G285"/>
  <c r="G289"/>
  <c r="G290"/>
  <c r="I292"/>
  <c r="L292" s="1"/>
  <c r="G292" s="1"/>
  <c r="N293"/>
  <c r="Q293" s="1"/>
  <c r="S293" s="1"/>
  <c r="I300"/>
  <c r="L300" s="1"/>
  <c r="N301"/>
  <c r="Q301" s="1"/>
  <c r="S301" s="1"/>
  <c r="I303"/>
  <c r="L303" s="1"/>
  <c r="I305"/>
  <c r="H305" s="1"/>
  <c r="L305" s="1"/>
  <c r="G308"/>
  <c r="G309"/>
  <c r="I310"/>
  <c r="L310" s="1"/>
  <c r="I311"/>
  <c r="L311" s="1"/>
  <c r="I312"/>
  <c r="L312" s="1"/>
  <c r="I314"/>
  <c r="L314" s="1"/>
  <c r="I315"/>
  <c r="L315" s="1"/>
  <c r="G318"/>
  <c r="I320"/>
  <c r="L320" s="1"/>
  <c r="G322"/>
  <c r="I323"/>
  <c r="L323" s="1"/>
  <c r="G326"/>
  <c r="G328"/>
  <c r="I329"/>
  <c r="L329" s="1"/>
  <c r="G329" s="1"/>
  <c r="G331"/>
  <c r="L341"/>
  <c r="G341" s="1"/>
  <c r="N342"/>
  <c r="Q342" s="1"/>
  <c r="S342" s="1"/>
  <c r="N343"/>
  <c r="Q343" s="1"/>
  <c r="S343" s="1"/>
  <c r="G345"/>
  <c r="G346"/>
  <c r="N348"/>
  <c r="Q348" s="1"/>
  <c r="S348" s="1"/>
  <c r="N351"/>
  <c r="Q351" s="1"/>
  <c r="S351" s="1"/>
  <c r="G352"/>
  <c r="G353"/>
  <c r="G356"/>
  <c r="I359"/>
  <c r="H359" s="1"/>
  <c r="L359" s="1"/>
  <c r="N361"/>
  <c r="Q361" s="1"/>
  <c r="S361" s="1"/>
  <c r="N362"/>
  <c r="Q362" s="1"/>
  <c r="S362" s="1"/>
  <c r="G363"/>
  <c r="N367"/>
  <c r="Q367" s="1"/>
  <c r="S367" s="1"/>
  <c r="I372"/>
  <c r="L372" s="1"/>
  <c r="G372" s="1"/>
  <c r="N373"/>
  <c r="Q373" s="1"/>
  <c r="S373" s="1"/>
  <c r="N374"/>
  <c r="Q374" s="1"/>
  <c r="S374" s="1"/>
  <c r="G384"/>
  <c r="G389"/>
  <c r="N398"/>
  <c r="Q398" s="1"/>
  <c r="S398" s="1"/>
  <c r="L398"/>
  <c r="G406"/>
  <c r="M406"/>
  <c r="M410"/>
  <c r="G410"/>
  <c r="G415"/>
  <c r="M415"/>
  <c r="M419"/>
  <c r="G419"/>
  <c r="M420"/>
  <c r="G420"/>
  <c r="G423"/>
  <c r="M423"/>
  <c r="M432"/>
  <c r="G432"/>
  <c r="G434"/>
  <c r="M434"/>
  <c r="M436"/>
  <c r="G436"/>
  <c r="M437"/>
  <c r="G437"/>
  <c r="G440"/>
  <c r="M440"/>
  <c r="M445"/>
  <c r="G445"/>
  <c r="G455"/>
  <c r="M455"/>
  <c r="G459"/>
  <c r="M459"/>
  <c r="M462"/>
  <c r="G462"/>
  <c r="G468"/>
  <c r="M468"/>
  <c r="M470"/>
  <c r="G470"/>
  <c r="M471"/>
  <c r="G471"/>
  <c r="N472"/>
  <c r="Q472" s="1"/>
  <c r="S472" s="1"/>
  <c r="L472"/>
  <c r="M473"/>
  <c r="G473"/>
  <c r="G476"/>
  <c r="M476"/>
  <c r="M478"/>
  <c r="G478"/>
  <c r="M486"/>
  <c r="G486"/>
  <c r="I251"/>
  <c r="L251" s="1"/>
  <c r="G251" s="1"/>
  <c r="I270"/>
  <c r="L270" s="1"/>
  <c r="G270" s="1"/>
  <c r="I294"/>
  <c r="L294" s="1"/>
  <c r="G294" s="1"/>
  <c r="G304"/>
  <c r="I368"/>
  <c r="L368" s="1"/>
  <c r="G368" s="1"/>
  <c r="L396"/>
  <c r="G397"/>
  <c r="G403"/>
  <c r="I405"/>
  <c r="H405" s="1"/>
  <c r="L405" s="1"/>
  <c r="N408"/>
  <c r="Q408" s="1"/>
  <c r="S408" s="1"/>
  <c r="N410"/>
  <c r="Q410" s="1"/>
  <c r="S410" s="1"/>
  <c r="I414"/>
  <c r="H414" s="1"/>
  <c r="L414" s="1"/>
  <c r="I417"/>
  <c r="L417" s="1"/>
  <c r="N419"/>
  <c r="Q419" s="1"/>
  <c r="S419" s="1"/>
  <c r="N420"/>
  <c r="Q420" s="1"/>
  <c r="S420" s="1"/>
  <c r="I425"/>
  <c r="L425" s="1"/>
  <c r="G425" s="1"/>
  <c r="G427"/>
  <c r="G430"/>
  <c r="N432"/>
  <c r="Q432" s="1"/>
  <c r="S432" s="1"/>
  <c r="I433"/>
  <c r="H433" s="1"/>
  <c r="L433" s="1"/>
  <c r="N437"/>
  <c r="Q437" s="1"/>
  <c r="S437" s="1"/>
  <c r="G438"/>
  <c r="I443"/>
  <c r="L443" s="1"/>
  <c r="G443" s="1"/>
  <c r="N445"/>
  <c r="Q445" s="1"/>
  <c r="S445" s="1"/>
  <c r="I446"/>
  <c r="H446" s="1"/>
  <c r="L446" s="1"/>
  <c r="I448"/>
  <c r="H448" s="1"/>
  <c r="L448" s="1"/>
  <c r="I452"/>
  <c r="L452" s="1"/>
  <c r="G452" s="1"/>
  <c r="I454"/>
  <c r="H454" s="1"/>
  <c r="L454" s="1"/>
  <c r="N457"/>
  <c r="Q457" s="1"/>
  <c r="S457" s="1"/>
  <c r="N462"/>
  <c r="Q462" s="1"/>
  <c r="S462" s="1"/>
  <c r="N464"/>
  <c r="Q464" s="1"/>
  <c r="S464" s="1"/>
  <c r="N465"/>
  <c r="Q465" s="1"/>
  <c r="S465" s="1"/>
  <c r="N466"/>
  <c r="Q466" s="1"/>
  <c r="S466" s="1"/>
  <c r="N470"/>
  <c r="Q470" s="1"/>
  <c r="S470" s="1"/>
  <c r="N471"/>
  <c r="Q471" s="1"/>
  <c r="S471" s="1"/>
  <c r="N473"/>
  <c r="Q473" s="1"/>
  <c r="S473" s="1"/>
  <c r="G474"/>
  <c r="I481"/>
  <c r="L481" s="1"/>
  <c r="S482"/>
  <c r="M484"/>
  <c r="N483"/>
  <c r="Q483" s="1"/>
  <c r="S483" s="1"/>
  <c r="L483"/>
  <c r="M490"/>
  <c r="G490"/>
  <c r="I395"/>
  <c r="L395" s="1"/>
  <c r="G395" s="1"/>
  <c r="I400"/>
  <c r="L400" s="1"/>
  <c r="G400" s="1"/>
  <c r="I442"/>
  <c r="L442" s="1"/>
  <c r="G442" s="1"/>
  <c r="M293" i="4" l="1"/>
  <c r="F293"/>
  <c r="M273"/>
  <c r="F273"/>
  <c r="M265"/>
  <c r="F265"/>
  <c r="M261"/>
  <c r="F261"/>
  <c r="M207"/>
  <c r="F207"/>
  <c r="M138"/>
  <c r="F138"/>
  <c r="M72"/>
  <c r="F72"/>
  <c r="L17"/>
  <c r="F17"/>
  <c r="L289"/>
  <c r="F289"/>
  <c r="L277"/>
  <c r="F277"/>
  <c r="L255"/>
  <c r="F255"/>
  <c r="L251"/>
  <c r="F251"/>
  <c r="L247"/>
  <c r="F247"/>
  <c r="L243"/>
  <c r="F243"/>
  <c r="L239"/>
  <c r="F239"/>
  <c r="M235"/>
  <c r="F235"/>
  <c r="L225"/>
  <c r="F225"/>
  <c r="L217"/>
  <c r="F217"/>
  <c r="L213"/>
  <c r="F213"/>
  <c r="L205"/>
  <c r="F205"/>
  <c r="L201"/>
  <c r="F201"/>
  <c r="L197"/>
  <c r="F197"/>
  <c r="L193"/>
  <c r="F193"/>
  <c r="L178"/>
  <c r="F178"/>
  <c r="L170"/>
  <c r="F170"/>
  <c r="L164"/>
  <c r="F164"/>
  <c r="L160"/>
  <c r="F160"/>
  <c r="L156"/>
  <c r="F156"/>
  <c r="L152"/>
  <c r="F152"/>
  <c r="L132"/>
  <c r="F132"/>
  <c r="L128"/>
  <c r="F128"/>
  <c r="L124"/>
  <c r="F124"/>
  <c r="L120"/>
  <c r="F120"/>
  <c r="L116"/>
  <c r="F116"/>
  <c r="L112"/>
  <c r="F112"/>
  <c r="L108"/>
  <c r="F108"/>
  <c r="L104"/>
  <c r="F104"/>
  <c r="L100"/>
  <c r="F100"/>
  <c r="L96"/>
  <c r="F96"/>
  <c r="L92"/>
  <c r="F92"/>
  <c r="L88"/>
  <c r="F88"/>
  <c r="L84"/>
  <c r="F84"/>
  <c r="L80"/>
  <c r="F80"/>
  <c r="L48"/>
  <c r="F48"/>
  <c r="L44"/>
  <c r="F44"/>
  <c r="L298"/>
  <c r="F298"/>
  <c r="M291"/>
  <c r="F291"/>
  <c r="M271"/>
  <c r="F271"/>
  <c r="M263"/>
  <c r="F263"/>
  <c r="M209"/>
  <c r="F209"/>
  <c r="M140"/>
  <c r="F140"/>
  <c r="M74"/>
  <c r="F74"/>
  <c r="M70"/>
  <c r="F70"/>
  <c r="L15"/>
  <c r="F15"/>
  <c r="L302"/>
  <c r="F302"/>
  <c r="L296"/>
  <c r="F296"/>
  <c r="M237"/>
  <c r="F237"/>
  <c r="L229"/>
  <c r="F229"/>
  <c r="L221"/>
  <c r="F221"/>
  <c r="L174"/>
  <c r="F174"/>
  <c r="M168"/>
  <c r="F168"/>
  <c r="L144"/>
  <c r="F144"/>
  <c r="M78"/>
  <c r="F78"/>
  <c r="L64"/>
  <c r="F64"/>
  <c r="L36"/>
  <c r="F36"/>
  <c r="L29"/>
  <c r="F29"/>
  <c r="L25"/>
  <c r="F25"/>
  <c r="L21"/>
  <c r="F21"/>
  <c r="F319"/>
  <c r="L319"/>
  <c r="F315"/>
  <c r="L315"/>
  <c r="F311"/>
  <c r="L311"/>
  <c r="F307"/>
  <c r="L307"/>
  <c r="F303"/>
  <c r="L303"/>
  <c r="F297"/>
  <c r="L297"/>
  <c r="F290"/>
  <c r="L290"/>
  <c r="F286"/>
  <c r="L286"/>
  <c r="F282"/>
  <c r="L282"/>
  <c r="F278"/>
  <c r="L278"/>
  <c r="F270"/>
  <c r="L270"/>
  <c r="F266"/>
  <c r="L266"/>
  <c r="F256"/>
  <c r="L256"/>
  <c r="F252"/>
  <c r="L252"/>
  <c r="F248"/>
  <c r="L248"/>
  <c r="F244"/>
  <c r="L244"/>
  <c r="F240"/>
  <c r="L240"/>
  <c r="F230"/>
  <c r="L230"/>
  <c r="F226"/>
  <c r="L226"/>
  <c r="F222"/>
  <c r="L222"/>
  <c r="F218"/>
  <c r="L218"/>
  <c r="F214"/>
  <c r="L214"/>
  <c r="F204"/>
  <c r="L204"/>
  <c r="F200"/>
  <c r="L200"/>
  <c r="F196"/>
  <c r="L196"/>
  <c r="F192"/>
  <c r="L192"/>
  <c r="F188"/>
  <c r="L188"/>
  <c r="F184"/>
  <c r="L184"/>
  <c r="L233"/>
  <c r="F233"/>
  <c r="F177"/>
  <c r="L177"/>
  <c r="F173"/>
  <c r="L173"/>
  <c r="F169"/>
  <c r="L169"/>
  <c r="F163"/>
  <c r="L163"/>
  <c r="F159"/>
  <c r="L159"/>
  <c r="F155"/>
  <c r="L155"/>
  <c r="F151"/>
  <c r="L151"/>
  <c r="F147"/>
  <c r="L147"/>
  <c r="F143"/>
  <c r="L143"/>
  <c r="F137"/>
  <c r="L137"/>
  <c r="F133"/>
  <c r="L133"/>
  <c r="F129"/>
  <c r="L129"/>
  <c r="F125"/>
  <c r="L125"/>
  <c r="F121"/>
  <c r="L121"/>
  <c r="F117"/>
  <c r="L117"/>
  <c r="F113"/>
  <c r="L113"/>
  <c r="F109"/>
  <c r="L109"/>
  <c r="F105"/>
  <c r="L105"/>
  <c r="F101"/>
  <c r="L101"/>
  <c r="F97"/>
  <c r="L97"/>
  <c r="F93"/>
  <c r="L93"/>
  <c r="F89"/>
  <c r="L89"/>
  <c r="F85"/>
  <c r="L85"/>
  <c r="F81"/>
  <c r="L81"/>
  <c r="F75"/>
  <c r="L75"/>
  <c r="F65"/>
  <c r="L65"/>
  <c r="F61"/>
  <c r="L61"/>
  <c r="F57"/>
  <c r="L57"/>
  <c r="F53"/>
  <c r="L53"/>
  <c r="F49"/>
  <c r="L49"/>
  <c r="F45"/>
  <c r="L45"/>
  <c r="F41"/>
  <c r="L41"/>
  <c r="L294"/>
  <c r="F294"/>
  <c r="F37"/>
  <c r="L37"/>
  <c r="L32"/>
  <c r="F32"/>
  <c r="L28"/>
  <c r="F28"/>
  <c r="L24"/>
  <c r="F24"/>
  <c r="L20"/>
  <c r="F20"/>
  <c r="L16"/>
  <c r="F16"/>
  <c r="L12"/>
  <c r="F12"/>
  <c r="L8"/>
  <c r="F8"/>
  <c r="G371"/>
  <c r="M5"/>
  <c r="K5"/>
  <c r="F317"/>
  <c r="L317"/>
  <c r="F313"/>
  <c r="L313"/>
  <c r="F309"/>
  <c r="L309"/>
  <c r="F305"/>
  <c r="L305"/>
  <c r="F295"/>
  <c r="L295"/>
  <c r="F288"/>
  <c r="L288"/>
  <c r="F284"/>
  <c r="L284"/>
  <c r="F280"/>
  <c r="L280"/>
  <c r="F276"/>
  <c r="L276"/>
  <c r="F268"/>
  <c r="L268"/>
  <c r="F258"/>
  <c r="L258"/>
  <c r="F254"/>
  <c r="L254"/>
  <c r="F250"/>
  <c r="L250"/>
  <c r="F246"/>
  <c r="L246"/>
  <c r="F242"/>
  <c r="L242"/>
  <c r="F232"/>
  <c r="L232"/>
  <c r="F228"/>
  <c r="L228"/>
  <c r="F224"/>
  <c r="L224"/>
  <c r="F220"/>
  <c r="L220"/>
  <c r="F216"/>
  <c r="L216"/>
  <c r="F212"/>
  <c r="L212"/>
  <c r="F202"/>
  <c r="L202"/>
  <c r="F198"/>
  <c r="L198"/>
  <c r="F194"/>
  <c r="L194"/>
  <c r="F190"/>
  <c r="L190"/>
  <c r="F186"/>
  <c r="L186"/>
  <c r="F301"/>
  <c r="L301"/>
  <c r="L231"/>
  <c r="F231"/>
  <c r="F299"/>
  <c r="L299"/>
  <c r="F179"/>
  <c r="L179"/>
  <c r="F175"/>
  <c r="L175"/>
  <c r="F171"/>
  <c r="L171"/>
  <c r="F165"/>
  <c r="L165"/>
  <c r="F161"/>
  <c r="L161"/>
  <c r="F157"/>
  <c r="L157"/>
  <c r="F153"/>
  <c r="L153"/>
  <c r="F149"/>
  <c r="L149"/>
  <c r="F145"/>
  <c r="L145"/>
  <c r="F141"/>
  <c r="L141"/>
  <c r="F135"/>
  <c r="L135"/>
  <c r="F131"/>
  <c r="L131"/>
  <c r="F127"/>
  <c r="L127"/>
  <c r="F123"/>
  <c r="L123"/>
  <c r="F119"/>
  <c r="L119"/>
  <c r="F115"/>
  <c r="L115"/>
  <c r="F111"/>
  <c r="L111"/>
  <c r="F107"/>
  <c r="L107"/>
  <c r="F103"/>
  <c r="L103"/>
  <c r="F99"/>
  <c r="L99"/>
  <c r="F95"/>
  <c r="L95"/>
  <c r="F91"/>
  <c r="L91"/>
  <c r="F87"/>
  <c r="L87"/>
  <c r="F83"/>
  <c r="L83"/>
  <c r="F77"/>
  <c r="L77"/>
  <c r="F67"/>
  <c r="L67"/>
  <c r="F63"/>
  <c r="L63"/>
  <c r="F59"/>
  <c r="L59"/>
  <c r="F55"/>
  <c r="L55"/>
  <c r="F51"/>
  <c r="L51"/>
  <c r="F47"/>
  <c r="L47"/>
  <c r="F43"/>
  <c r="L43"/>
  <c r="F182"/>
  <c r="L182"/>
  <c r="L34"/>
  <c r="F34"/>
  <c r="L30"/>
  <c r="F30"/>
  <c r="L26"/>
  <c r="F26"/>
  <c r="L22"/>
  <c r="F22"/>
  <c r="L18"/>
  <c r="F18"/>
  <c r="L14"/>
  <c r="F14"/>
  <c r="L10"/>
  <c r="F10"/>
  <c r="L6"/>
  <c r="F6"/>
  <c r="F39"/>
  <c r="L39"/>
  <c r="L35"/>
  <c r="F35"/>
  <c r="M66" i="3"/>
  <c r="F66"/>
  <c r="M238"/>
  <c r="F238"/>
  <c r="M234"/>
  <c r="F234"/>
  <c r="M230"/>
  <c r="F230"/>
  <c r="M226"/>
  <c r="F226"/>
  <c r="M222"/>
  <c r="F222"/>
  <c r="M218"/>
  <c r="F218"/>
  <c r="M214"/>
  <c r="F214"/>
  <c r="M210"/>
  <c r="F210"/>
  <c r="M206"/>
  <c r="F206"/>
  <c r="M202"/>
  <c r="F202"/>
  <c r="M198"/>
  <c r="F198"/>
  <c r="M194"/>
  <c r="F194"/>
  <c r="M190"/>
  <c r="F190"/>
  <c r="M186"/>
  <c r="F186"/>
  <c r="M182"/>
  <c r="F182"/>
  <c r="M178"/>
  <c r="F178"/>
  <c r="M174"/>
  <c r="F174"/>
  <c r="M170"/>
  <c r="F170"/>
  <c r="L162"/>
  <c r="F162"/>
  <c r="L154"/>
  <c r="F154"/>
  <c r="L146"/>
  <c r="F146"/>
  <c r="L138"/>
  <c r="F138"/>
  <c r="L132"/>
  <c r="F132"/>
  <c r="L124"/>
  <c r="F124"/>
  <c r="L114"/>
  <c r="F114"/>
  <c r="L110"/>
  <c r="F110"/>
  <c r="L106"/>
  <c r="F106"/>
  <c r="L102"/>
  <c r="F102"/>
  <c r="L98"/>
  <c r="F98"/>
  <c r="L92"/>
  <c r="F92"/>
  <c r="L82"/>
  <c r="F82"/>
  <c r="L78"/>
  <c r="F78"/>
  <c r="L74"/>
  <c r="F74"/>
  <c r="L70"/>
  <c r="F70"/>
  <c r="L64"/>
  <c r="F64"/>
  <c r="L60"/>
  <c r="F60"/>
  <c r="L56"/>
  <c r="F56"/>
  <c r="L52"/>
  <c r="F52"/>
  <c r="L48"/>
  <c r="F48"/>
  <c r="L44"/>
  <c r="F44"/>
  <c r="L40"/>
  <c r="F40"/>
  <c r="M36"/>
  <c r="F36"/>
  <c r="L32"/>
  <c r="F32"/>
  <c r="L28"/>
  <c r="F28"/>
  <c r="L24"/>
  <c r="F24"/>
  <c r="L20"/>
  <c r="F20"/>
  <c r="L16"/>
  <c r="F16"/>
  <c r="L12"/>
  <c r="F12"/>
  <c r="L8"/>
  <c r="F8"/>
  <c r="M94"/>
  <c r="F94"/>
  <c r="M240"/>
  <c r="F240"/>
  <c r="M236"/>
  <c r="F236"/>
  <c r="M232"/>
  <c r="F232"/>
  <c r="M228"/>
  <c r="F228"/>
  <c r="M224"/>
  <c r="F224"/>
  <c r="M220"/>
  <c r="F220"/>
  <c r="M216"/>
  <c r="F216"/>
  <c r="M212"/>
  <c r="F212"/>
  <c r="M208"/>
  <c r="F208"/>
  <c r="M204"/>
  <c r="F204"/>
  <c r="M200"/>
  <c r="F200"/>
  <c r="M196"/>
  <c r="F196"/>
  <c r="M192"/>
  <c r="F192"/>
  <c r="M188"/>
  <c r="F188"/>
  <c r="M184"/>
  <c r="F184"/>
  <c r="M180"/>
  <c r="F180"/>
  <c r="M176"/>
  <c r="F176"/>
  <c r="M172"/>
  <c r="F172"/>
  <c r="L166"/>
  <c r="F166"/>
  <c r="L158"/>
  <c r="F158"/>
  <c r="L150"/>
  <c r="F150"/>
  <c r="L142"/>
  <c r="F142"/>
  <c r="M136"/>
  <c r="F136"/>
  <c r="L128"/>
  <c r="F128"/>
  <c r="L120"/>
  <c r="F120"/>
  <c r="M90"/>
  <c r="F90"/>
  <c r="L86"/>
  <c r="F86"/>
  <c r="M38"/>
  <c r="F38"/>
  <c r="L6"/>
  <c r="F6"/>
  <c r="M239"/>
  <c r="F239"/>
  <c r="M235"/>
  <c r="F235"/>
  <c r="M231"/>
  <c r="F231"/>
  <c r="M227"/>
  <c r="F227"/>
  <c r="M223"/>
  <c r="F223"/>
  <c r="M219"/>
  <c r="F219"/>
  <c r="M215"/>
  <c r="F215"/>
  <c r="M211"/>
  <c r="F211"/>
  <c r="M207"/>
  <c r="F207"/>
  <c r="M203"/>
  <c r="F203"/>
  <c r="M199"/>
  <c r="F199"/>
  <c r="M195"/>
  <c r="F195"/>
  <c r="M191"/>
  <c r="F191"/>
  <c r="M187"/>
  <c r="F187"/>
  <c r="M183"/>
  <c r="F183"/>
  <c r="M179"/>
  <c r="F179"/>
  <c r="M175"/>
  <c r="F175"/>
  <c r="M171"/>
  <c r="F171"/>
  <c r="L165"/>
  <c r="F165"/>
  <c r="L161"/>
  <c r="F161"/>
  <c r="L157"/>
  <c r="F157"/>
  <c r="L153"/>
  <c r="F153"/>
  <c r="L149"/>
  <c r="F149"/>
  <c r="L145"/>
  <c r="F145"/>
  <c r="M141"/>
  <c r="F141"/>
  <c r="L137"/>
  <c r="F137"/>
  <c r="L133"/>
  <c r="F133"/>
  <c r="L129"/>
  <c r="F129"/>
  <c r="L125"/>
  <c r="F125"/>
  <c r="L121"/>
  <c r="F121"/>
  <c r="L117"/>
  <c r="F117"/>
  <c r="L113"/>
  <c r="F113"/>
  <c r="L109"/>
  <c r="F109"/>
  <c r="L105"/>
  <c r="F105"/>
  <c r="L101"/>
  <c r="F101"/>
  <c r="L97"/>
  <c r="F97"/>
  <c r="L93"/>
  <c r="F93"/>
  <c r="L89"/>
  <c r="F89"/>
  <c r="L85"/>
  <c r="F85"/>
  <c r="L81"/>
  <c r="F81"/>
  <c r="L77"/>
  <c r="F77"/>
  <c r="L73"/>
  <c r="F73"/>
  <c r="L69"/>
  <c r="F69"/>
  <c r="L65"/>
  <c r="F65"/>
  <c r="L61"/>
  <c r="F61"/>
  <c r="L57"/>
  <c r="F57"/>
  <c r="L53"/>
  <c r="F53"/>
  <c r="L49"/>
  <c r="F49"/>
  <c r="L45"/>
  <c r="F45"/>
  <c r="L21"/>
  <c r="F21"/>
  <c r="L17"/>
  <c r="F17"/>
  <c r="L13"/>
  <c r="F13"/>
  <c r="L9"/>
  <c r="F9"/>
  <c r="M237"/>
  <c r="F237"/>
  <c r="M233"/>
  <c r="F233"/>
  <c r="M229"/>
  <c r="F229"/>
  <c r="M225"/>
  <c r="F225"/>
  <c r="M221"/>
  <c r="F221"/>
  <c r="M217"/>
  <c r="F217"/>
  <c r="M213"/>
  <c r="F213"/>
  <c r="M209"/>
  <c r="F209"/>
  <c r="M205"/>
  <c r="F205"/>
  <c r="M201"/>
  <c r="F201"/>
  <c r="M197"/>
  <c r="F197"/>
  <c r="M193"/>
  <c r="F193"/>
  <c r="M189"/>
  <c r="F189"/>
  <c r="M185"/>
  <c r="F185"/>
  <c r="M181"/>
  <c r="F181"/>
  <c r="M177"/>
  <c r="F177"/>
  <c r="M173"/>
  <c r="F173"/>
  <c r="L167"/>
  <c r="F167"/>
  <c r="L163"/>
  <c r="F163"/>
  <c r="L159"/>
  <c r="F159"/>
  <c r="M155"/>
  <c r="F155"/>
  <c r="L151"/>
  <c r="F151"/>
  <c r="L147"/>
  <c r="F147"/>
  <c r="L143"/>
  <c r="F143"/>
  <c r="L139"/>
  <c r="F139"/>
  <c r="M135"/>
  <c r="F135"/>
  <c r="L131"/>
  <c r="F131"/>
  <c r="L127"/>
  <c r="F127"/>
  <c r="L123"/>
  <c r="F123"/>
  <c r="L119"/>
  <c r="F119"/>
  <c r="L115"/>
  <c r="F115"/>
  <c r="L111"/>
  <c r="F111"/>
  <c r="L107"/>
  <c r="F107"/>
  <c r="L103"/>
  <c r="F103"/>
  <c r="L99"/>
  <c r="F99"/>
  <c r="M95"/>
  <c r="F95"/>
  <c r="L91"/>
  <c r="F91"/>
  <c r="L87"/>
  <c r="F87"/>
  <c r="L83"/>
  <c r="F83"/>
  <c r="L79"/>
  <c r="F79"/>
  <c r="L75"/>
  <c r="F75"/>
  <c r="L71"/>
  <c r="F71"/>
  <c r="L67"/>
  <c r="F67"/>
  <c r="L63"/>
  <c r="F63"/>
  <c r="L59"/>
  <c r="F59"/>
  <c r="L55"/>
  <c r="F55"/>
  <c r="L51"/>
  <c r="F51"/>
  <c r="L47"/>
  <c r="F47"/>
  <c r="F43"/>
  <c r="L43"/>
  <c r="F39"/>
  <c r="L39"/>
  <c r="F35"/>
  <c r="L35"/>
  <c r="F31"/>
  <c r="L31"/>
  <c r="F27"/>
  <c r="L27"/>
  <c r="L23"/>
  <c r="F23"/>
  <c r="L19"/>
  <c r="F19"/>
  <c r="L15"/>
  <c r="F15"/>
  <c r="L11"/>
  <c r="F11"/>
  <c r="L7"/>
  <c r="L242" s="1"/>
  <c r="F7"/>
  <c r="F41"/>
  <c r="L41"/>
  <c r="F33"/>
  <c r="L33"/>
  <c r="F29"/>
  <c r="L29"/>
  <c r="F25"/>
  <c r="L25"/>
  <c r="K242"/>
  <c r="G417" i="1"/>
  <c r="M417"/>
  <c r="M314"/>
  <c r="G314"/>
  <c r="M60"/>
  <c r="G60"/>
  <c r="M45"/>
  <c r="G45"/>
  <c r="M140"/>
  <c r="G140"/>
  <c r="M483"/>
  <c r="G483"/>
  <c r="G481"/>
  <c r="M481"/>
  <c r="M454"/>
  <c r="G454"/>
  <c r="M448"/>
  <c r="G448"/>
  <c r="M433"/>
  <c r="G433"/>
  <c r="M414"/>
  <c r="G414"/>
  <c r="M396"/>
  <c r="G396"/>
  <c r="M472"/>
  <c r="G472"/>
  <c r="G398"/>
  <c r="M398"/>
  <c r="G323"/>
  <c r="M323"/>
  <c r="G320"/>
  <c r="M320"/>
  <c r="G315"/>
  <c r="M315"/>
  <c r="G312"/>
  <c r="M312"/>
  <c r="G310"/>
  <c r="M310"/>
  <c r="G303"/>
  <c r="M303"/>
  <c r="G300"/>
  <c r="M300"/>
  <c r="G253"/>
  <c r="M253"/>
  <c r="G243"/>
  <c r="M243"/>
  <c r="G237"/>
  <c r="M237"/>
  <c r="G223"/>
  <c r="M223"/>
  <c r="M207"/>
  <c r="G207"/>
  <c r="G203"/>
  <c r="M203"/>
  <c r="M190"/>
  <c r="G190"/>
  <c r="G170"/>
  <c r="M170"/>
  <c r="G159"/>
  <c r="M159"/>
  <c r="G137"/>
  <c r="M137"/>
  <c r="G118"/>
  <c r="M118"/>
  <c r="G100"/>
  <c r="M100"/>
  <c r="G92"/>
  <c r="M92"/>
  <c r="M78"/>
  <c r="G78"/>
  <c r="M24"/>
  <c r="G24"/>
  <c r="G18"/>
  <c r="M18"/>
  <c r="G15"/>
  <c r="M15"/>
  <c r="G10"/>
  <c r="M10"/>
  <c r="G8"/>
  <c r="M8"/>
  <c r="Q5"/>
  <c r="M230"/>
  <c r="G230"/>
  <c r="N446"/>
  <c r="Q446" s="1"/>
  <c r="S446" s="1"/>
  <c r="N433"/>
  <c r="Q433" s="1"/>
  <c r="S433" s="1"/>
  <c r="N414"/>
  <c r="Q414" s="1"/>
  <c r="S414" s="1"/>
  <c r="M400"/>
  <c r="M452"/>
  <c r="M443"/>
  <c r="M372"/>
  <c r="M368"/>
  <c r="N305"/>
  <c r="Q305" s="1"/>
  <c r="S305" s="1"/>
  <c r="M294"/>
  <c r="M251"/>
  <c r="M221"/>
  <c r="N207"/>
  <c r="Q207" s="1"/>
  <c r="S207" s="1"/>
  <c r="N144"/>
  <c r="Q144" s="1"/>
  <c r="S144" s="1"/>
  <c r="M107"/>
  <c r="M88"/>
  <c r="M222"/>
  <c r="M151"/>
  <c r="M114"/>
  <c r="M85"/>
  <c r="N81"/>
  <c r="Q81" s="1"/>
  <c r="S81" s="1"/>
  <c r="M19"/>
  <c r="M69"/>
  <c r="M54"/>
  <c r="M42"/>
  <c r="M26"/>
  <c r="M11"/>
  <c r="M446"/>
  <c r="G446"/>
  <c r="M405"/>
  <c r="G405"/>
  <c r="M359"/>
  <c r="G359"/>
  <c r="G311"/>
  <c r="M311"/>
  <c r="M305"/>
  <c r="G305"/>
  <c r="G254"/>
  <c r="M254"/>
  <c r="G252"/>
  <c r="M252"/>
  <c r="M247"/>
  <c r="G247"/>
  <c r="G244"/>
  <c r="M244"/>
  <c r="N238"/>
  <c r="Q238" s="1"/>
  <c r="S238" s="1"/>
  <c r="L238"/>
  <c r="G212"/>
  <c r="M212"/>
  <c r="G208"/>
  <c r="M208"/>
  <c r="G204"/>
  <c r="M204"/>
  <c r="G173"/>
  <c r="M173"/>
  <c r="G169"/>
  <c r="M169"/>
  <c r="G165"/>
  <c r="M165"/>
  <c r="G160"/>
  <c r="M160"/>
  <c r="M144"/>
  <c r="G144"/>
  <c r="G117"/>
  <c r="M117"/>
  <c r="G91"/>
  <c r="M91"/>
  <c r="M86"/>
  <c r="G86"/>
  <c r="M81"/>
  <c r="G81"/>
  <c r="G56"/>
  <c r="M56"/>
  <c r="G35"/>
  <c r="M35"/>
  <c r="H492"/>
  <c r="L17"/>
  <c r="G14"/>
  <c r="M14"/>
  <c r="G9"/>
  <c r="M9"/>
  <c r="I492"/>
  <c r="L5"/>
  <c r="G70"/>
  <c r="M70"/>
  <c r="N454"/>
  <c r="Q454" s="1"/>
  <c r="S454" s="1"/>
  <c r="M442"/>
  <c r="N405"/>
  <c r="Q405" s="1"/>
  <c r="S405" s="1"/>
  <c r="N448"/>
  <c r="Q448" s="1"/>
  <c r="S448" s="1"/>
  <c r="M425"/>
  <c r="M395"/>
  <c r="M329"/>
  <c r="M292"/>
  <c r="M270"/>
  <c r="M364"/>
  <c r="N359"/>
  <c r="Q359" s="1"/>
  <c r="S359" s="1"/>
  <c r="M341"/>
  <c r="M291"/>
  <c r="M219"/>
  <c r="N190"/>
  <c r="Q190" s="1"/>
  <c r="S190" s="1"/>
  <c r="N114"/>
  <c r="Q114" s="1"/>
  <c r="S114" s="1"/>
  <c r="M93"/>
  <c r="M180"/>
  <c r="M162"/>
  <c r="N107"/>
  <c r="Q107" s="1"/>
  <c r="S107" s="1"/>
  <c r="M61"/>
  <c r="M36"/>
  <c r="N78"/>
  <c r="Q78" s="1"/>
  <c r="S78" s="1"/>
  <c r="M64"/>
  <c r="M32"/>
  <c r="N24"/>
  <c r="Q24" s="1"/>
  <c r="S24" s="1"/>
  <c r="N17"/>
  <c r="Q17" s="1"/>
  <c r="S17" s="1"/>
  <c r="K371" i="4" l="1"/>
  <c r="F5"/>
  <c r="F371" s="1"/>
  <c r="L5"/>
  <c r="L371" s="1"/>
  <c r="M371"/>
  <c r="F242" i="3"/>
  <c r="M242"/>
  <c r="L492" i="1"/>
  <c r="G5"/>
  <c r="M5"/>
  <c r="M492" s="1"/>
  <c r="M17"/>
  <c r="G17"/>
  <c r="M238"/>
  <c r="G238"/>
  <c r="N492"/>
  <c r="Q492"/>
  <c r="S5"/>
  <c r="S492" s="1"/>
  <c r="G492" l="1"/>
</calcChain>
</file>

<file path=xl/sharedStrings.xml><?xml version="1.0" encoding="utf-8"?>
<sst xmlns="http://schemas.openxmlformats.org/spreadsheetml/2006/main" count="5574" uniqueCount="1733">
  <si>
    <t>KOPERASI KARYAWAN BCA " MITRA SEJAHTERA " SURABAYA</t>
  </si>
  <si>
    <t>DAFTAR PINJAMAN DILUAR NORMATIF TGL 01-24 JULI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</si>
  <si>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</si>
  <si>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</si>
  <si>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</si>
  <si>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</si>
  <si>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</si>
  <si>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</si>
  <si>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</si>
  <si>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</si>
  <si>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</si>
  <si>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</si>
  <si>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</si>
  <si>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</si>
  <si>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</si>
  <si>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</si>
  <si>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</si>
  <si>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</si>
  <si>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</si>
  <si>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</si>
  <si>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</si>
  <si>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DIDIT ERWANTO</t>
  </si>
  <si>
    <t>001454</t>
  </si>
  <si>
    <t>009837</t>
  </si>
  <si>
    <t>BO BCA PAKUWON</t>
  </si>
  <si>
    <t>PIJ DILUAR NOR</t>
  </si>
  <si>
    <t>HIRAWATI KUSUMADEWI</t>
  </si>
  <si>
    <t>003739</t>
  </si>
  <si>
    <t>010085</t>
  </si>
  <si>
    <t>BCA ROYAL SQUARE</t>
  </si>
  <si>
    <t>RECOVERY PIJ DILUAR NORMATIF</t>
  </si>
  <si>
    <t>ANNA MAULITA</t>
  </si>
  <si>
    <t>005616</t>
  </si>
  <si>
    <t>010253</t>
  </si>
  <si>
    <t>BCA GUNUNGSARI</t>
  </si>
  <si>
    <t>RECOVERY DILUAR NORM</t>
  </si>
  <si>
    <t>FIDHI SYAMSUL HADI</t>
  </si>
  <si>
    <t>005817</t>
  </si>
  <si>
    <t>008594</t>
  </si>
  <si>
    <t>BCA AMBENGAN</t>
  </si>
  <si>
    <t>HARYO AGUNG L</t>
  </si>
  <si>
    <t>005919</t>
  </si>
  <si>
    <t>008529</t>
  </si>
  <si>
    <t>KFCC SURABAYA</t>
  </si>
  <si>
    <t>PINJ DILUAR NORM</t>
  </si>
  <si>
    <t>MARYANI</t>
  </si>
  <si>
    <t>005940</t>
  </si>
  <si>
    <t>010014</t>
  </si>
  <si>
    <t>BCA KLAMPIS</t>
  </si>
  <si>
    <t>RECOVERY PIJ DILUAR NORM</t>
  </si>
  <si>
    <t>GERADINA ROSA</t>
  </si>
  <si>
    <t>005979</t>
  </si>
  <si>
    <t>001434</t>
  </si>
  <si>
    <t>BCA MAYJ SUNGKONO</t>
  </si>
  <si>
    <t>WAWAN</t>
  </si>
  <si>
    <t>006281</t>
  </si>
  <si>
    <t>008344</t>
  </si>
  <si>
    <t>BCA HR MUH</t>
  </si>
  <si>
    <t>YULI SETIANINGSIH</t>
  </si>
  <si>
    <t>007651</t>
  </si>
  <si>
    <t>008619</t>
  </si>
  <si>
    <t>BCA GALAXY</t>
  </si>
  <si>
    <t>INDAH RATNA W</t>
  </si>
  <si>
    <t>007689</t>
  </si>
  <si>
    <t>RECOVERY PINJ DILUAR NORM</t>
  </si>
  <si>
    <t>ANDRY HENDARSYAH</t>
  </si>
  <si>
    <t>007834</t>
  </si>
  <si>
    <t>009295</t>
  </si>
  <si>
    <t>AO BCA CIAJUR</t>
  </si>
  <si>
    <t>RECOVERY PINJ DILUAR NOR</t>
  </si>
  <si>
    <t>TOMMY ALFAN</t>
  </si>
  <si>
    <t>008887</t>
  </si>
  <si>
    <t>011267</t>
  </si>
  <si>
    <t>SLK KW 3 DARMO</t>
  </si>
  <si>
    <t>RAIMON FIRDAUS</t>
  </si>
  <si>
    <t>009710</t>
  </si>
  <si>
    <t>009775</t>
  </si>
  <si>
    <t>BCA SIDOARJO</t>
  </si>
  <si>
    <t>RECOVERY PIJ DILUAR NOR</t>
  </si>
  <si>
    <t>CATUR GANJAR SAPUTRO</t>
  </si>
  <si>
    <t>010413</t>
  </si>
  <si>
    <t>009751</t>
  </si>
  <si>
    <t>KARY KOP</t>
  </si>
  <si>
    <t>SIFERA TRISMINARTI</t>
  </si>
  <si>
    <t>010424</t>
  </si>
  <si>
    <t>011003</t>
  </si>
  <si>
    <t>SLK KW3 DARMO</t>
  </si>
  <si>
    <t>HERU TRIJANTO</t>
  </si>
  <si>
    <t>010451</t>
  </si>
  <si>
    <t>009985</t>
  </si>
  <si>
    <t>BCA GRESIK</t>
  </si>
  <si>
    <t>HESTI DWI A</t>
  </si>
  <si>
    <t>010464</t>
  </si>
  <si>
    <t>009976</t>
  </si>
  <si>
    <t>KABAG CSO BCA SEMUT</t>
  </si>
  <si>
    <t>PIJ DILUAR NOR TMBHN</t>
  </si>
  <si>
    <t>009629</t>
  </si>
  <si>
    <t>KBG BCA SEMUT</t>
  </si>
  <si>
    <t>STEFHANIE D</t>
  </si>
  <si>
    <t>010587</t>
  </si>
  <si>
    <t>001284</t>
  </si>
  <si>
    <t>KBG BCA DUKUH KUPANG</t>
  </si>
  <si>
    <t>YURI HARYANTI</t>
  </si>
  <si>
    <t>010608</t>
  </si>
  <si>
    <t>009991</t>
  </si>
  <si>
    <t>BCA PUCANG</t>
  </si>
  <si>
    <t>YUSTINA ELDA</t>
  </si>
  <si>
    <t>010610</t>
  </si>
  <si>
    <t>006022</t>
  </si>
  <si>
    <t>BCA PDK CHANDRA</t>
  </si>
  <si>
    <t>EDY ERYANTO</t>
  </si>
  <si>
    <t>010667</t>
  </si>
  <si>
    <t>K3S GALAXY</t>
  </si>
  <si>
    <t>PINJ DILUAR NORM TMBHN</t>
  </si>
  <si>
    <t>K3S</t>
  </si>
  <si>
    <t>RECOVERI DILUAR NORM</t>
  </si>
  <si>
    <t>SULIS SETIYANI</t>
  </si>
  <si>
    <t>020206</t>
  </si>
  <si>
    <t>008163</t>
  </si>
  <si>
    <t>KARY KOPERASI</t>
  </si>
  <si>
    <t>WIWID W</t>
  </si>
  <si>
    <t>030305</t>
  </si>
  <si>
    <t>001311</t>
  </si>
  <si>
    <t>PIJ DILUAR NORM TMBHN</t>
  </si>
  <si>
    <t>009752</t>
  </si>
  <si>
    <t>ISPARINA TRI A</t>
  </si>
  <si>
    <t>040310</t>
  </si>
  <si>
    <t>002670</t>
  </si>
  <si>
    <t>KARYAWAN KOPERASI</t>
  </si>
  <si>
    <t>ISPARINA TRI AGUSTIN</t>
  </si>
  <si>
    <t>009917</t>
  </si>
  <si>
    <t>RESCEDULE PIJ DILUAR NOR</t>
  </si>
  <si>
    <t>SUSAN ROSALIN</t>
  </si>
  <si>
    <t>050151</t>
  </si>
  <si>
    <t>009589</t>
  </si>
  <si>
    <t>BCA PABEAN</t>
  </si>
  <si>
    <t>RAGA TAUFANI</t>
  </si>
  <si>
    <t>050958</t>
  </si>
  <si>
    <t>002135</t>
  </si>
  <si>
    <t>TELLER BCA VETERAN</t>
  </si>
  <si>
    <t>RUFI PURWANINGSIH</t>
  </si>
  <si>
    <t>055128</t>
  </si>
  <si>
    <t>36</t>
  </si>
  <si>
    <t>STS VETERAN</t>
  </si>
  <si>
    <t>RECOVERY DILUAR NOR</t>
  </si>
  <si>
    <t>APRILLIA PUSPITO A</t>
  </si>
  <si>
    <t>055147</t>
  </si>
  <si>
    <t>007907</t>
  </si>
  <si>
    <t>BCA MANYAR</t>
  </si>
  <si>
    <t>FARADISAH PUTRI H</t>
  </si>
  <si>
    <t>058524</t>
  </si>
  <si>
    <t>008008</t>
  </si>
  <si>
    <t>KEF BCA TIDAR</t>
  </si>
  <si>
    <t>WANDA PUSPITASARI</t>
  </si>
  <si>
    <t>063324</t>
  </si>
  <si>
    <t>002283</t>
  </si>
  <si>
    <t>BCA DIPONEGORO</t>
  </si>
  <si>
    <t>PIJ DILUAR NORM</t>
  </si>
  <si>
    <t>002256</t>
  </si>
  <si>
    <t>NURLAILA DEWI ASTUTI</t>
  </si>
  <si>
    <t>090512</t>
  </si>
  <si>
    <t>EDY CAHYO S</t>
  </si>
  <si>
    <t>110804</t>
  </si>
  <si>
    <t>WANDA RISMAWATI</t>
  </si>
  <si>
    <t>230707</t>
  </si>
  <si>
    <t>002223</t>
  </si>
  <si>
    <t>TIWUK INDRAYATI</t>
  </si>
  <si>
    <t>843033</t>
  </si>
  <si>
    <t>009902</t>
  </si>
  <si>
    <t>KBG PEND.OPS BCA SIDOARJO</t>
  </si>
  <si>
    <t>HARTIMAN</t>
  </si>
  <si>
    <t>853364</t>
  </si>
  <si>
    <t>009683</t>
  </si>
  <si>
    <t>STS SBY</t>
  </si>
  <si>
    <t>SUPARIADJI</t>
  </si>
  <si>
    <t>853365</t>
  </si>
  <si>
    <t>002505</t>
  </si>
  <si>
    <t>MEI SUGIANTO</t>
  </si>
  <si>
    <t>853607</t>
  </si>
  <si>
    <t>010099</t>
  </si>
  <si>
    <t>BCA JAGALAN</t>
  </si>
  <si>
    <t>HERI WIDODO</t>
  </si>
  <si>
    <t>863912</t>
  </si>
  <si>
    <t>009588</t>
  </si>
  <si>
    <t>SOY KW 3 DARMO</t>
  </si>
  <si>
    <t>KUSNAN</t>
  </si>
  <si>
    <t>864052</t>
  </si>
  <si>
    <t>KCU SDA</t>
  </si>
  <si>
    <t>EKA NURHAYATI</t>
  </si>
  <si>
    <t>885249</t>
  </si>
  <si>
    <t>KABAG BCA KUSUMABGS</t>
  </si>
  <si>
    <t>RECOVERY DNOR</t>
  </si>
  <si>
    <t>002485</t>
  </si>
  <si>
    <t>KABAG BCA KUSUMABANGSA</t>
  </si>
  <si>
    <t>ZAINAL ARIFIN</t>
  </si>
  <si>
    <t>885477</t>
  </si>
  <si>
    <t>001363</t>
  </si>
  <si>
    <t>BCA MJK</t>
  </si>
  <si>
    <t>SOETRISNO</t>
  </si>
  <si>
    <t>885560</t>
  </si>
  <si>
    <t>009894</t>
  </si>
  <si>
    <t>BCA KUPANG JAYA</t>
  </si>
  <si>
    <t>CICILIA WIDIARTI</t>
  </si>
  <si>
    <t>885571</t>
  </si>
  <si>
    <t>001707</t>
  </si>
  <si>
    <t>KOC BCA JEMBER</t>
  </si>
  <si>
    <t>SAMSUNG J7 PLUS</t>
  </si>
  <si>
    <t>009728</t>
  </si>
  <si>
    <t>KK BCA JEMBER</t>
  </si>
  <si>
    <t>PIJ DILUAR NOR TMBHAN</t>
  </si>
  <si>
    <t>001370</t>
  </si>
  <si>
    <t>SUHARTONO</t>
  </si>
  <si>
    <t>890031</t>
  </si>
  <si>
    <t>010603</t>
  </si>
  <si>
    <t>UPPA KW 3 DARMO</t>
  </si>
  <si>
    <t>AMAN SUNARYO</t>
  </si>
  <si>
    <t>896468</t>
  </si>
  <si>
    <t>001282</t>
  </si>
  <si>
    <t>BCA VETERAN</t>
  </si>
  <si>
    <t>ROSMADIANA</t>
  </si>
  <si>
    <t>896611</t>
  </si>
  <si>
    <t>PIMP KCP TROPODO</t>
  </si>
  <si>
    <t>YUDIANTO SISWONO</t>
  </si>
  <si>
    <t>896616</t>
  </si>
  <si>
    <t>STAF MJK</t>
  </si>
  <si>
    <t>ENDARTO</t>
  </si>
  <si>
    <t>896621</t>
  </si>
  <si>
    <t>002557</t>
  </si>
  <si>
    <t>PIKW KW 3 BCA DARMO</t>
  </si>
  <si>
    <t>002679</t>
  </si>
  <si>
    <t>PIKW KW3 DARMO</t>
  </si>
  <si>
    <t>RESCEDULE DILUAR NORM</t>
  </si>
  <si>
    <t>FRANS SARDJONO SOETANTO</t>
  </si>
  <si>
    <t>896730</t>
  </si>
  <si>
    <t>KCU MOJOKERTO</t>
  </si>
  <si>
    <t>SALAMET</t>
  </si>
  <si>
    <t>896735</t>
  </si>
  <si>
    <t>INDIASWARI PRATIWI</t>
  </si>
  <si>
    <t>896948</t>
  </si>
  <si>
    <t>002729</t>
  </si>
  <si>
    <t>KABAG CSO JAGALAN</t>
  </si>
  <si>
    <t>MARZUKI</t>
  </si>
  <si>
    <t>897091</t>
  </si>
  <si>
    <t>002328</t>
  </si>
  <si>
    <t>PRAMUKARYA BCA VETERAN</t>
  </si>
  <si>
    <t>PIJ DILUAR NORM TMBH</t>
  </si>
  <si>
    <t>010010</t>
  </si>
  <si>
    <t>PRAMUKARYA VETERAN</t>
  </si>
  <si>
    <t>011060</t>
  </si>
  <si>
    <t>RESCEDULE PINJ DILUAR NORM</t>
  </si>
  <si>
    <t>MARIA K DEWI</t>
  </si>
  <si>
    <t>897095</t>
  </si>
  <si>
    <t>007909</t>
  </si>
  <si>
    <t>BCA DELTA SARI</t>
  </si>
  <si>
    <t>DODY CATUR S</t>
  </si>
  <si>
    <t>897422</t>
  </si>
  <si>
    <t>001809</t>
  </si>
  <si>
    <t>BCA DARMO</t>
  </si>
  <si>
    <t>009287</t>
  </si>
  <si>
    <t>CSO BCA DARMO</t>
  </si>
  <si>
    <t>I GEDE EKA S</t>
  </si>
  <si>
    <t>897650</t>
  </si>
  <si>
    <t>009580</t>
  </si>
  <si>
    <t>BCA MOJOKERTO</t>
  </si>
  <si>
    <t>TOERINO WINARSO</t>
  </si>
  <si>
    <t>897660</t>
  </si>
  <si>
    <t>KCP MULYOSARI</t>
  </si>
  <si>
    <t>BAMBANG WIBOWO</t>
  </si>
  <si>
    <t>897720</t>
  </si>
  <si>
    <t>35</t>
  </si>
  <si>
    <t>KCU VETERAN</t>
  </si>
  <si>
    <t>IRIANTI SRIASTUTI</t>
  </si>
  <si>
    <t>897725</t>
  </si>
  <si>
    <t>011059</t>
  </si>
  <si>
    <t>BCA PASAR ATUM</t>
  </si>
  <si>
    <t>BASUKI RACHMAD</t>
  </si>
  <si>
    <t>898318</t>
  </si>
  <si>
    <t>001285</t>
  </si>
  <si>
    <t>BCA DHARMAHUSADA</t>
  </si>
  <si>
    <t>SUSWANTINA</t>
  </si>
  <si>
    <t>898343</t>
  </si>
  <si>
    <t>001484</t>
  </si>
  <si>
    <t>ELYANY</t>
  </si>
  <si>
    <t>898345</t>
  </si>
  <si>
    <t>002370</t>
  </si>
  <si>
    <t>BCA MEGA GROSIR</t>
  </si>
  <si>
    <t>KRISMADY PARAMARTA</t>
  </si>
  <si>
    <t>898622</t>
  </si>
  <si>
    <t>010034</t>
  </si>
  <si>
    <t>BO BCA DIPONEGORO</t>
  </si>
  <si>
    <t>BAMBANG KURNIAWAN</t>
  </si>
  <si>
    <t>898803</t>
  </si>
  <si>
    <t>011001</t>
  </si>
  <si>
    <t>PIMP BCA NGORO</t>
  </si>
  <si>
    <t>RESCEDULE PIJ DILUAR NORM</t>
  </si>
  <si>
    <t>OEKIK DHIAN D</t>
  </si>
  <si>
    <t>898830</t>
  </si>
  <si>
    <t>002598</t>
  </si>
  <si>
    <t>SURJONO</t>
  </si>
  <si>
    <t>898840</t>
  </si>
  <si>
    <t>002651</t>
  </si>
  <si>
    <t>M. ALI DALHAR EFFENDI</t>
  </si>
  <si>
    <t>898846</t>
  </si>
  <si>
    <t>010164</t>
  </si>
  <si>
    <t>KK GRAHA NIAGA</t>
  </si>
  <si>
    <t>ETTY MURDHANIATI</t>
  </si>
  <si>
    <t>898848</t>
  </si>
  <si>
    <t>KCP PUCANG</t>
  </si>
  <si>
    <t>RIRIN TRIYANAWATI</t>
  </si>
  <si>
    <t>898898</t>
  </si>
  <si>
    <t>KABAG TELLER VETERAN</t>
  </si>
  <si>
    <t>KBG TELLER VETERAN</t>
  </si>
  <si>
    <t>F. DINA DIAMANTINA</t>
  </si>
  <si>
    <t>899084</t>
  </si>
  <si>
    <t>KK KEBRAON</t>
  </si>
  <si>
    <t>ROBBY SETIAWAN</t>
  </si>
  <si>
    <t>899085</t>
  </si>
  <si>
    <t>002365</t>
  </si>
  <si>
    <t>ATING RUKIYATI</t>
  </si>
  <si>
    <t>899458</t>
  </si>
  <si>
    <t>002492</t>
  </si>
  <si>
    <t>BO KLIRING MANYAR</t>
  </si>
  <si>
    <t>PRAYITNO</t>
  </si>
  <si>
    <t>899519</t>
  </si>
  <si>
    <t>002133</t>
  </si>
  <si>
    <t>PRK BRT</t>
  </si>
  <si>
    <t>PIJ DILUAR NORM TAMBAHAN</t>
  </si>
  <si>
    <t>007323</t>
  </si>
  <si>
    <t>BCA INDRAPURA</t>
  </si>
  <si>
    <t>TRI MAULANA D</t>
  </si>
  <si>
    <t>899557</t>
  </si>
  <si>
    <t>010566</t>
  </si>
  <si>
    <t>PRAMUKARYA HR MUH</t>
  </si>
  <si>
    <t>ACHMAD CHUDORI A</t>
  </si>
  <si>
    <t>899561</t>
  </si>
  <si>
    <t>009495</t>
  </si>
  <si>
    <t>LOG KW 3 BCA DARMO</t>
  </si>
  <si>
    <t>RECOV PIJ DILUAR NOR</t>
  </si>
  <si>
    <t>GIGIH SRI HANDAYANI</t>
  </si>
  <si>
    <t>899886</t>
  </si>
  <si>
    <t>010284</t>
  </si>
  <si>
    <t>BCA MAYJEND SUNGKONO</t>
  </si>
  <si>
    <t>SOEYANTO</t>
  </si>
  <si>
    <t>900016</t>
  </si>
  <si>
    <t>009404</t>
  </si>
  <si>
    <t>STAF APK BCA DIPO</t>
  </si>
  <si>
    <t>STAF APK BCA DIPONEGORO</t>
  </si>
  <si>
    <t>RECOVERY PIJ DNOR</t>
  </si>
  <si>
    <t>DJOKO PRIYO U</t>
  </si>
  <si>
    <t>900257</t>
  </si>
  <si>
    <t>001808</t>
  </si>
  <si>
    <t>BCA RUNGKUT</t>
  </si>
  <si>
    <t>DJOKO PRIYO UTOMO</t>
  </si>
  <si>
    <t>001779</t>
  </si>
  <si>
    <t>010267</t>
  </si>
  <si>
    <t>KABAG OPS BCA RGKT</t>
  </si>
  <si>
    <t>RECOVERY PIJ DILUAR N TMBHN</t>
  </si>
  <si>
    <t>009470</t>
  </si>
  <si>
    <t>KABAG OPS BCA RUNGKUT</t>
  </si>
  <si>
    <t>AGUS SLAMET S</t>
  </si>
  <si>
    <t>900259</t>
  </si>
  <si>
    <t>BO KLIRING GENTENG KALI</t>
  </si>
  <si>
    <t>DILUAR NORMTF TMBHN</t>
  </si>
  <si>
    <t>ERMYN SOESY</t>
  </si>
  <si>
    <t>900265</t>
  </si>
  <si>
    <t>009568</t>
  </si>
  <si>
    <t>KRIS ANDIJANI</t>
  </si>
  <si>
    <t>900289</t>
  </si>
  <si>
    <t>011050</t>
  </si>
  <si>
    <t>WISE YULIA</t>
  </si>
  <si>
    <t>900598</t>
  </si>
  <si>
    <t>SOY KW3 DARMO</t>
  </si>
  <si>
    <t>RINA INDRIANA</t>
  </si>
  <si>
    <t>900655</t>
  </si>
  <si>
    <t>PRIANTONO SOEBEKTI</t>
  </si>
  <si>
    <t>900781</t>
  </si>
  <si>
    <t>HI KW3 DARMO</t>
  </si>
  <si>
    <t>PRIANTONO S</t>
  </si>
  <si>
    <t>010481</t>
  </si>
  <si>
    <t>HI KW 3 BCA DARMO</t>
  </si>
  <si>
    <t>SURYA BUDHIVAYA</t>
  </si>
  <si>
    <t>900821</t>
  </si>
  <si>
    <t>KALISARI JEMBER</t>
  </si>
  <si>
    <t>MUHAMMAD ALIMAKI</t>
  </si>
  <si>
    <t>900836</t>
  </si>
  <si>
    <t>BCA JMP</t>
  </si>
  <si>
    <t>GANDJAR WIDHI</t>
  </si>
  <si>
    <t>900842</t>
  </si>
  <si>
    <t>011019</t>
  </si>
  <si>
    <t>SLA KW 3 DARMO</t>
  </si>
  <si>
    <t>MULYONO</t>
  </si>
  <si>
    <t>901148</t>
  </si>
  <si>
    <t>002728</t>
  </si>
  <si>
    <t>STAF APK INDRAPURA</t>
  </si>
  <si>
    <t>MOCH ARIEF KAPRAWI</t>
  </si>
  <si>
    <t>901149</t>
  </si>
  <si>
    <t>011025</t>
  </si>
  <si>
    <t>EKA YOELIANTO</t>
  </si>
  <si>
    <t>901179</t>
  </si>
  <si>
    <t>BCA BANGKALAN</t>
  </si>
  <si>
    <t>ZIPPORA SRI RAHAJOE</t>
  </si>
  <si>
    <t>901689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</si>
  <si>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</si>
  <si>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</si>
  <si>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</si>
  <si>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</si>
  <si>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</si>
  <si>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</si>
  <si>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901958</t>
  </si>
  <si>
    <t>009538</t>
  </si>
  <si>
    <t>BCA PSR ATUM</t>
  </si>
  <si>
    <t>JAHRONI</t>
  </si>
  <si>
    <t>902097</t>
  </si>
  <si>
    <t>010831</t>
  </si>
  <si>
    <t>WAKHIDAH NURHAYATI</t>
  </si>
  <si>
    <t>902248</t>
  </si>
  <si>
    <t>002668</t>
  </si>
  <si>
    <t>BCA DELTA PLAZA</t>
  </si>
  <si>
    <t>KISNANDAR</t>
  </si>
  <si>
    <t>902268</t>
  </si>
  <si>
    <t>001495</t>
  </si>
  <si>
    <t>SULUH UTOMO</t>
  </si>
  <si>
    <t>902547</t>
  </si>
  <si>
    <t>001373</t>
  </si>
  <si>
    <t>BCA TUNJUNGAN</t>
  </si>
  <si>
    <t>010155</t>
  </si>
  <si>
    <t>KBG OPS BCA TUNJ LAMA</t>
  </si>
  <si>
    <t>NURUL MUKARROMAH</t>
  </si>
  <si>
    <t>902790</t>
  </si>
  <si>
    <t>002422</t>
  </si>
  <si>
    <t>BCA PAGERWOJO</t>
  </si>
  <si>
    <t>ACHMAD SUHADI</t>
  </si>
  <si>
    <t>902793</t>
  </si>
  <si>
    <t>DRIVER SIDOARJO</t>
  </si>
  <si>
    <t>SRI WIDODO</t>
  </si>
  <si>
    <t>902873</t>
  </si>
  <si>
    <t>007609</t>
  </si>
  <si>
    <t>LANY S TEDJA</t>
  </si>
  <si>
    <t>903070</t>
  </si>
  <si>
    <t>001490</t>
  </si>
  <si>
    <t>BCA TIDAR</t>
  </si>
  <si>
    <t>SUGITO HARI S</t>
  </si>
  <si>
    <t>903076</t>
  </si>
  <si>
    <t>010838</t>
  </si>
  <si>
    <t>FINDRA TANSJAH</t>
  </si>
  <si>
    <t>903080</t>
  </si>
  <si>
    <t>010623</t>
  </si>
  <si>
    <t>ARIEF SANTOSO</t>
  </si>
  <si>
    <t>903217</t>
  </si>
  <si>
    <t>BCA SAMPANG</t>
  </si>
  <si>
    <t>ISHAK</t>
  </si>
  <si>
    <t>903793</t>
  </si>
  <si>
    <t>001384</t>
  </si>
  <si>
    <t>BCA MOJOAGUNG</t>
  </si>
  <si>
    <t>WINARTI</t>
  </si>
  <si>
    <t>903998</t>
  </si>
  <si>
    <t>010261</t>
  </si>
  <si>
    <t>BCA JOMBANG</t>
  </si>
  <si>
    <t>ARDY MAWAR W</t>
  </si>
  <si>
    <t>904110</t>
  </si>
  <si>
    <t>010611</t>
  </si>
  <si>
    <t>AO BCA SIDOARJO</t>
  </si>
  <si>
    <t>TEGUH PRIHANTO</t>
  </si>
  <si>
    <t>904370</t>
  </si>
  <si>
    <t>008187</t>
  </si>
  <si>
    <t>KBG OPS KPS KRPG</t>
  </si>
  <si>
    <t>AGOES WIDJAJA</t>
  </si>
  <si>
    <t>904741</t>
  </si>
  <si>
    <t>KEU KW 3 BCA DARMO</t>
  </si>
  <si>
    <t>904935</t>
  </si>
  <si>
    <t>007295</t>
  </si>
  <si>
    <t>SRI NURUL H</t>
  </si>
  <si>
    <t>910050</t>
  </si>
  <si>
    <t>002145</t>
  </si>
  <si>
    <t>JUS HAKINANTA</t>
  </si>
  <si>
    <t>910124</t>
  </si>
  <si>
    <t>001761</t>
  </si>
  <si>
    <t>KABAG CSO BCA MARGOREJO</t>
  </si>
  <si>
    <t>FENNY JOHAN M</t>
  </si>
  <si>
    <t>910353</t>
  </si>
  <si>
    <t>002461</t>
  </si>
  <si>
    <t>TELLER BCA PAMEKASAN</t>
  </si>
  <si>
    <t>ENDANG SUMARLIN</t>
  </si>
  <si>
    <t>910516</t>
  </si>
  <si>
    <t>003741</t>
  </si>
  <si>
    <t>BAHAYUDIN</t>
  </si>
  <si>
    <t>910522</t>
  </si>
  <si>
    <t>009645</t>
  </si>
  <si>
    <t>HENNY NUR WAHYUDI</t>
  </si>
  <si>
    <t>910533</t>
  </si>
  <si>
    <t>BCA LAMONGAN</t>
  </si>
  <si>
    <t>ARIEF WIDODO</t>
  </si>
  <si>
    <t>910546</t>
  </si>
  <si>
    <t>010486</t>
  </si>
  <si>
    <t>DRIVER DARMO</t>
  </si>
  <si>
    <t>SUKAMTO</t>
  </si>
  <si>
    <t>910552</t>
  </si>
  <si>
    <t>KABAG TELLER SIDOARJO</t>
  </si>
  <si>
    <t>NUGRAHANING WIDHI ERSTI</t>
  </si>
  <si>
    <t>910856</t>
  </si>
  <si>
    <t>52</t>
  </si>
  <si>
    <t>ABDULLAH</t>
  </si>
  <si>
    <t>910968</t>
  </si>
  <si>
    <t>001452</t>
  </si>
  <si>
    <t>DRIVER BCA INDRAPURA</t>
  </si>
  <si>
    <t>ANNA MEILIANA H</t>
  </si>
  <si>
    <t>911091</t>
  </si>
  <si>
    <t>009841</t>
  </si>
  <si>
    <t>TELLER BCA A. YANI</t>
  </si>
  <si>
    <t>ANNA MEILIANA</t>
  </si>
  <si>
    <t>009601</t>
  </si>
  <si>
    <t>BCA A YANI</t>
  </si>
  <si>
    <t>HENRY SETYO</t>
  </si>
  <si>
    <t>911094</t>
  </si>
  <si>
    <t>011127</t>
  </si>
  <si>
    <t>PIMP BCA JUANDA</t>
  </si>
  <si>
    <t>RONY OWEN DINATA</t>
  </si>
  <si>
    <t>911099</t>
  </si>
  <si>
    <t>002414</t>
  </si>
  <si>
    <t>PIMP BCA SIDOARJO</t>
  </si>
  <si>
    <t>HERI WAHYUDI</t>
  </si>
  <si>
    <t>911193</t>
  </si>
  <si>
    <t>001741</t>
  </si>
  <si>
    <t>AKINA LANNY S</t>
  </si>
  <si>
    <t>911195</t>
  </si>
  <si>
    <t>011055</t>
  </si>
  <si>
    <t>SRI UNTARI</t>
  </si>
  <si>
    <t>911201</t>
  </si>
  <si>
    <t>002268</t>
  </si>
  <si>
    <t>ARIANI PRINARYANTI</t>
  </si>
  <si>
    <t>911812</t>
  </si>
  <si>
    <t>001773</t>
  </si>
  <si>
    <t>KHASANAH BCA DARMO</t>
  </si>
  <si>
    <t>MULYADI</t>
  </si>
  <si>
    <t>911814</t>
  </si>
  <si>
    <t>ADM KRDT KW 3 DARMO</t>
  </si>
  <si>
    <t>002458</t>
  </si>
  <si>
    <t>SLK KW 3 BCA DARMO</t>
  </si>
  <si>
    <t>008718</t>
  </si>
  <si>
    <t>SOK KW 3 BCA DARMO</t>
  </si>
  <si>
    <t>PINJ DILUAR NORM TMBHAN</t>
  </si>
  <si>
    <t>BAGUS TJATUR PRANTIDJO</t>
  </si>
  <si>
    <t>911816</t>
  </si>
  <si>
    <t>KHASANAH MULYOSARI</t>
  </si>
  <si>
    <t>EDY PURNOMO</t>
  </si>
  <si>
    <t>911825</t>
  </si>
  <si>
    <t>001518</t>
  </si>
  <si>
    <t>R. AGUS CHAIRUL</t>
  </si>
  <si>
    <t>912004</t>
  </si>
  <si>
    <t>002660</t>
  </si>
  <si>
    <t>BCA KEDUNGDORO</t>
  </si>
  <si>
    <t>JOICE SILVIA. K</t>
  </si>
  <si>
    <t>KCP KUPANG JAYA</t>
  </si>
  <si>
    <t>NORMTF NON ANGGOTA</t>
  </si>
  <si>
    <t>INDAH SOEGIARTINI</t>
  </si>
  <si>
    <t>912037</t>
  </si>
  <si>
    <t>KCP KPS KRMPUNG</t>
  </si>
  <si>
    <t>INDRAWATI</t>
  </si>
  <si>
    <t>912059</t>
  </si>
  <si>
    <t>001525</t>
  </si>
  <si>
    <t>KBG CSO BCA DARMO</t>
  </si>
  <si>
    <t>ANTO PRIYO M</t>
  </si>
  <si>
    <t>912127</t>
  </si>
  <si>
    <t>008135</t>
  </si>
  <si>
    <t xml:space="preserve">M. YUSUF </t>
  </si>
  <si>
    <t>912195</t>
  </si>
  <si>
    <t>009898</t>
  </si>
  <si>
    <t>STAF BCA DIT</t>
  </si>
  <si>
    <t>M. YUSUF</t>
  </si>
  <si>
    <t>010847</t>
  </si>
  <si>
    <t>STAF BCA SIMPANG DRM</t>
  </si>
  <si>
    <t>SLAMET RIADI</t>
  </si>
  <si>
    <t>912201</t>
  </si>
  <si>
    <t>002558</t>
  </si>
  <si>
    <t>PRAMUKARYA BCA INDRAPURA</t>
  </si>
  <si>
    <t>TRI WIBOWO</t>
  </si>
  <si>
    <t>912202</t>
  </si>
  <si>
    <t>002118</t>
  </si>
  <si>
    <t>BCA KPS KRAMPUNG</t>
  </si>
  <si>
    <t>NUR CHAYATI</t>
  </si>
  <si>
    <t>912209</t>
  </si>
  <si>
    <t>010075</t>
  </si>
  <si>
    <t>RUDY BHAKTI S</t>
  </si>
  <si>
    <t>912218</t>
  </si>
  <si>
    <t>009128</t>
  </si>
  <si>
    <t>SOY KW3 BCA DARMO</t>
  </si>
  <si>
    <t>RR NUSYE DIAN W</t>
  </si>
  <si>
    <t>912222</t>
  </si>
  <si>
    <t>007209</t>
  </si>
  <si>
    <t>BCA PAKUWON CITY</t>
  </si>
  <si>
    <t>MOEDJI SANTOSO</t>
  </si>
  <si>
    <t>912769</t>
  </si>
  <si>
    <t>002347</t>
  </si>
  <si>
    <t>BCA SUNCITY</t>
  </si>
  <si>
    <t>AGUS PURWANTO</t>
  </si>
  <si>
    <t>912784</t>
  </si>
  <si>
    <t>001902</t>
  </si>
  <si>
    <t>KTR KAS MANUKAN</t>
  </si>
  <si>
    <t>DADANG PRIJONGGO</t>
  </si>
  <si>
    <t>912806</t>
  </si>
  <si>
    <t>009249</t>
  </si>
  <si>
    <t>KK BCA KEDUNGDORO</t>
  </si>
  <si>
    <t>RECOVERY PIJ DILUAR N</t>
  </si>
  <si>
    <t>MUHAMMAD URIFAN</t>
  </si>
  <si>
    <t>912811</t>
  </si>
  <si>
    <t>010089</t>
  </si>
  <si>
    <t>LISTIJOWATI SUTANTO</t>
  </si>
  <si>
    <t>912822</t>
  </si>
  <si>
    <t>002113</t>
  </si>
  <si>
    <t>AO BCA DIPONEGORO</t>
  </si>
  <si>
    <t>AGUSTINI LYDIAWATI</t>
  </si>
  <si>
    <t>913166</t>
  </si>
  <si>
    <t>PSDM KW3 BCA DARMO</t>
  </si>
  <si>
    <t>KEN FITRI</t>
  </si>
  <si>
    <t>913364</t>
  </si>
  <si>
    <t>009634</t>
  </si>
  <si>
    <t>010288</t>
  </si>
  <si>
    <t>MARIA DEWI A</t>
  </si>
  <si>
    <t>913368</t>
  </si>
  <si>
    <t>009647</t>
  </si>
  <si>
    <t>RIFAI</t>
  </si>
  <si>
    <t>913373</t>
  </si>
  <si>
    <t>002329</t>
  </si>
  <si>
    <t>PRAMUKARYA BCA HR MUH</t>
  </si>
  <si>
    <t>009679</t>
  </si>
  <si>
    <t>SUGIJARTO</t>
  </si>
  <si>
    <t>913375</t>
  </si>
  <si>
    <t>002173</t>
  </si>
  <si>
    <t>STAF APK BCA GALAXY</t>
  </si>
  <si>
    <t>M. ANDRI ISFIANZA</t>
  </si>
  <si>
    <t>913378</t>
  </si>
  <si>
    <t>007905</t>
  </si>
  <si>
    <t>KABAG TELLER MANYAR</t>
  </si>
  <si>
    <t>PIJ PNGRS BG 0%</t>
  </si>
  <si>
    <t>SONY SUMARSONO</t>
  </si>
  <si>
    <t>913433</t>
  </si>
  <si>
    <t>010270</t>
  </si>
  <si>
    <t>BCA RGKT</t>
  </si>
  <si>
    <t>TABITA ARI P</t>
  </si>
  <si>
    <t>913556</t>
  </si>
  <si>
    <t>002107</t>
  </si>
  <si>
    <t>PIMP BCA BJNEGORO</t>
  </si>
  <si>
    <t>WIDIAWATI T</t>
  </si>
  <si>
    <t>913619</t>
  </si>
  <si>
    <t>007860</t>
  </si>
  <si>
    <t>BAMBANG TRIONO</t>
  </si>
  <si>
    <t>913713</t>
  </si>
  <si>
    <t>009226</t>
  </si>
  <si>
    <t>009149</t>
  </si>
  <si>
    <t>MOCH SUUDI</t>
  </si>
  <si>
    <t>913918</t>
  </si>
  <si>
    <t>002664</t>
  </si>
  <si>
    <t>PRAMUKARYA SDA</t>
  </si>
  <si>
    <t>MOCH ILYAS</t>
  </si>
  <si>
    <t>914011</t>
  </si>
  <si>
    <t>010482</t>
  </si>
  <si>
    <t>DRIVER DIPONEGORO</t>
  </si>
  <si>
    <t>IWAN HERMAWAN</t>
  </si>
  <si>
    <t>914012</t>
  </si>
  <si>
    <t>010106</t>
  </si>
  <si>
    <t>LULUEK HASETIONO</t>
  </si>
  <si>
    <t>914064</t>
  </si>
  <si>
    <t>010312</t>
  </si>
  <si>
    <t>SOW KW 3 BCA DARMO</t>
  </si>
  <si>
    <t>RIRIS NABABAN</t>
  </si>
  <si>
    <t>914076</t>
  </si>
  <si>
    <t>001775</t>
  </si>
  <si>
    <t>EDY SUPRIYANTO</t>
  </si>
  <si>
    <t>914082</t>
  </si>
  <si>
    <t>001876</t>
  </si>
  <si>
    <t>PIYONO BUDI UDARYO</t>
  </si>
  <si>
    <t>914249</t>
  </si>
  <si>
    <t>009397</t>
  </si>
  <si>
    <t>STAF APK BCA RGKT</t>
  </si>
  <si>
    <t>ABDULLAH RAHMAD</t>
  </si>
  <si>
    <t>914270</t>
  </si>
  <si>
    <t>001265</t>
  </si>
  <si>
    <t>MAMIK TJITRARASMI</t>
  </si>
  <si>
    <t>920032</t>
  </si>
  <si>
    <t>001655</t>
  </si>
  <si>
    <t>MOCHAMMAD YOSEP</t>
  </si>
  <si>
    <t>920079</t>
  </si>
  <si>
    <t>009704</t>
  </si>
  <si>
    <t>AGUS PRIYANTO</t>
  </si>
  <si>
    <t>920081</t>
  </si>
  <si>
    <t>009607</t>
  </si>
  <si>
    <t>HENI PURWANTI</t>
  </si>
  <si>
    <t>920223</t>
  </si>
  <si>
    <t>ENDRIA WAHJUDI</t>
  </si>
  <si>
    <t>920409</t>
  </si>
  <si>
    <t>008626</t>
  </si>
  <si>
    <t>LAYANAN BCA DIPONEGORO</t>
  </si>
  <si>
    <t>DIJAH RUKMINI</t>
  </si>
  <si>
    <t>920413</t>
  </si>
  <si>
    <t>002685</t>
  </si>
  <si>
    <t>PIJ DILUAR NORMATIF</t>
  </si>
  <si>
    <t>SISWOYO</t>
  </si>
  <si>
    <t>920611</t>
  </si>
  <si>
    <t>001668</t>
  </si>
  <si>
    <t>SOY KW 3 BCA DARMO</t>
  </si>
  <si>
    <t>JUPRI</t>
  </si>
  <si>
    <t>920657</t>
  </si>
  <si>
    <t>009330</t>
  </si>
  <si>
    <t>STAF APK BCA DARMO</t>
  </si>
  <si>
    <t>SYAIFUL HIDAYAT</t>
  </si>
  <si>
    <t>921352</t>
  </si>
  <si>
    <t>KCU SIDOARJO</t>
  </si>
  <si>
    <t>SUDARMAWAN</t>
  </si>
  <si>
    <t>921354</t>
  </si>
  <si>
    <t>002665</t>
  </si>
  <si>
    <t>CHRISTIYANI ARI W</t>
  </si>
  <si>
    <t>921366</t>
  </si>
  <si>
    <t>001889</t>
  </si>
  <si>
    <t>STAF SDM KW 3 BCA DARMO</t>
  </si>
  <si>
    <t>JAYADI</t>
  </si>
  <si>
    <t>921450</t>
  </si>
  <si>
    <t>001908</t>
  </si>
  <si>
    <t>PRAMUKARYA DARMO</t>
  </si>
  <si>
    <t>M. IMRON</t>
  </si>
  <si>
    <t>EKSP HR MUH</t>
  </si>
  <si>
    <t>RECOVERY DILUAR NORMT</t>
  </si>
  <si>
    <t>RINI RUSDIANA</t>
  </si>
  <si>
    <t>921599</t>
  </si>
  <si>
    <t>009315</t>
  </si>
  <si>
    <t>KABAG TELLER NGINDEN SEMOLO</t>
  </si>
  <si>
    <t>SOEMARTO</t>
  </si>
  <si>
    <t>921691</t>
  </si>
  <si>
    <t>008534</t>
  </si>
  <si>
    <t>EKSPD ADM KDT KANWIL 3 DARMO</t>
  </si>
  <si>
    <t>PINJ DILUAR NORM TAMBAHAN</t>
  </si>
  <si>
    <t>PRAMUKARYA LOG SOK KW3 DARMO</t>
  </si>
  <si>
    <t>SETYO WIDARTI</t>
  </si>
  <si>
    <t>921694</t>
  </si>
  <si>
    <t>002450</t>
  </si>
  <si>
    <t>MAHFUD YAHYA</t>
  </si>
  <si>
    <t>921747</t>
  </si>
  <si>
    <t>SLA KW3 BCA DARMO</t>
  </si>
  <si>
    <t>MUJIANA</t>
  </si>
  <si>
    <t>921870</t>
  </si>
  <si>
    <t>010077</t>
  </si>
  <si>
    <t>002686</t>
  </si>
  <si>
    <t>KFCC SBY</t>
  </si>
  <si>
    <t>MUKAFFI</t>
  </si>
  <si>
    <t>922012</t>
  </si>
  <si>
    <t>002013</t>
  </si>
  <si>
    <t>ENDANG POERWANTINI</t>
  </si>
  <si>
    <t>930113</t>
  </si>
  <si>
    <t>010083</t>
  </si>
  <si>
    <t>RUPA2X BCA DARMO</t>
  </si>
  <si>
    <t>TOTO ERMIYANTO</t>
  </si>
  <si>
    <t>930366</t>
  </si>
  <si>
    <t>009682</t>
  </si>
  <si>
    <t>STAF KFCC SURABAYA</t>
  </si>
  <si>
    <t>DESTI IKA R</t>
  </si>
  <si>
    <t>931800</t>
  </si>
  <si>
    <t>009606</t>
  </si>
  <si>
    <t>FERRY YOHANES</t>
  </si>
  <si>
    <t>932120</t>
  </si>
  <si>
    <t>001392</t>
  </si>
  <si>
    <t>BCA RGKT MEGAH</t>
  </si>
  <si>
    <t>ANDRIYANTO</t>
  </si>
  <si>
    <t>940715</t>
  </si>
  <si>
    <t>001874</t>
  </si>
  <si>
    <t>ANDREYANTO</t>
  </si>
  <si>
    <t>009974</t>
  </si>
  <si>
    <t>ASTUTI TRI NUGRAHENI</t>
  </si>
  <si>
    <t>941204</t>
  </si>
  <si>
    <t>009826</t>
  </si>
  <si>
    <t>Staf APK HR Muhammad</t>
  </si>
  <si>
    <t>THOMAS BOENAWAN</t>
  </si>
  <si>
    <t>950020</t>
  </si>
  <si>
    <t>LOG KW 3 DARMO</t>
  </si>
  <si>
    <t>ISTI SURYANDINI</t>
  </si>
  <si>
    <t>950149</t>
  </si>
  <si>
    <t>KCP JMP</t>
  </si>
  <si>
    <t>008847</t>
  </si>
  <si>
    <t>JULI SULISTIAWATI</t>
  </si>
  <si>
    <t>950242</t>
  </si>
  <si>
    <t>008116</t>
  </si>
  <si>
    <t>BCA KRTJY IDH</t>
  </si>
  <si>
    <t>WISHNU PRAMUDYO</t>
  </si>
  <si>
    <t>950799</t>
  </si>
  <si>
    <t>001759</t>
  </si>
  <si>
    <t>BCA JUANDA</t>
  </si>
  <si>
    <t>AGUS SUWANDI</t>
  </si>
  <si>
    <t>951123</t>
  </si>
  <si>
    <t>001418</t>
  </si>
  <si>
    <t>DRIVER BCA JOMBANG</t>
  </si>
  <si>
    <t>IRA WAHYU H</t>
  </si>
  <si>
    <t>951559</t>
  </si>
  <si>
    <t>002410</t>
  </si>
  <si>
    <t>BCA NGAGEL JAYA</t>
  </si>
  <si>
    <t>001316</t>
  </si>
  <si>
    <t>STAF SOY KW 3 DARMO</t>
  </si>
  <si>
    <t>HENRY GOZALI</t>
  </si>
  <si>
    <t>951774</t>
  </si>
  <si>
    <t>008893</t>
  </si>
  <si>
    <t>OPS KRDT KW3 DARMO</t>
  </si>
  <si>
    <t>RICO R PRINS</t>
  </si>
  <si>
    <t>952233</t>
  </si>
  <si>
    <t>010058</t>
  </si>
  <si>
    <t>BCA GEDANGAN</t>
  </si>
  <si>
    <t>HENDRA</t>
  </si>
  <si>
    <t>960196</t>
  </si>
  <si>
    <t>002720</t>
  </si>
  <si>
    <t>STAF BCA INDRAPURA</t>
  </si>
  <si>
    <t>FERRY INDRA. G</t>
  </si>
  <si>
    <t>PRIO CSO DARMO</t>
  </si>
  <si>
    <t>M. YOSI FIDAL</t>
  </si>
  <si>
    <t>960690</t>
  </si>
  <si>
    <t>001771</t>
  </si>
  <si>
    <t>STAF NORM</t>
  </si>
  <si>
    <t>ANDIKA PANGESTU</t>
  </si>
  <si>
    <t>960951</t>
  </si>
  <si>
    <t>010935</t>
  </si>
  <si>
    <t>002451</t>
  </si>
  <si>
    <t>AO BCA DARMO</t>
  </si>
  <si>
    <t>DYAH MIRNA ISWARI</t>
  </si>
  <si>
    <t>960953</t>
  </si>
  <si>
    <t>002428</t>
  </si>
  <si>
    <t>MOCH. NORMAN</t>
  </si>
  <si>
    <t>961068</t>
  </si>
  <si>
    <t>010252</t>
  </si>
  <si>
    <t>BCA KERTOPATEN</t>
  </si>
  <si>
    <t>ADE WIJAYA HALIM</t>
  </si>
  <si>
    <t>961864</t>
  </si>
  <si>
    <t>PIMP BCA KOMBES</t>
  </si>
  <si>
    <t>RECOVERY PJ DILUAR NORM</t>
  </si>
  <si>
    <t>WINA SARASWATI</t>
  </si>
  <si>
    <t>962160</t>
  </si>
  <si>
    <t>009164</t>
  </si>
  <si>
    <t>SRIJANI ISMULANDARI</t>
  </si>
  <si>
    <t>962203</t>
  </si>
  <si>
    <t>002486</t>
  </si>
  <si>
    <t>KTR KAS BCA</t>
  </si>
  <si>
    <t>HOOGERVOST DANNY A</t>
  </si>
  <si>
    <t>962205</t>
  </si>
  <si>
    <t>009644</t>
  </si>
  <si>
    <t>ANI SULISTIOWATI</t>
  </si>
  <si>
    <t>962254</t>
  </si>
  <si>
    <t>001749</t>
  </si>
  <si>
    <t>BCA KAPASAN</t>
  </si>
  <si>
    <t>NUR MUCHAMAD F</t>
  </si>
  <si>
    <t>962261</t>
  </si>
  <si>
    <t>STAF APK DARMO</t>
  </si>
  <si>
    <t>SUMANTO</t>
  </si>
  <si>
    <t>962380</t>
  </si>
  <si>
    <t>002719</t>
  </si>
  <si>
    <t>PRAMUKARYA BCA DARMO</t>
  </si>
  <si>
    <t>LILIK SETYAWATI</t>
  </si>
  <si>
    <t>962690</t>
  </si>
  <si>
    <t>009955</t>
  </si>
  <si>
    <t>SANDY DEBORAH</t>
  </si>
  <si>
    <t>962795</t>
  </si>
  <si>
    <t>009203</t>
  </si>
  <si>
    <t>009599</t>
  </si>
  <si>
    <t>ADM KRDT KW 3 BCA DARMO</t>
  </si>
  <si>
    <t>YOPIE KOLOSIES</t>
  </si>
  <si>
    <t>962810</t>
  </si>
  <si>
    <t>001909</t>
  </si>
  <si>
    <t>SLA KW III BCA DARMO</t>
  </si>
  <si>
    <t>L. RENNY RATNAWATI</t>
  </si>
  <si>
    <t>962814</t>
  </si>
  <si>
    <t>001427</t>
  </si>
  <si>
    <t>PIMP BCA DELTA PLAZA</t>
  </si>
  <si>
    <t>SYLVIA SALAMONY</t>
  </si>
  <si>
    <t>962819</t>
  </si>
  <si>
    <t>001394</t>
  </si>
  <si>
    <t>BCA SLOMPRETAN</t>
  </si>
  <si>
    <t>DIAN LUGRAHENY</t>
  </si>
  <si>
    <t>962823</t>
  </si>
  <si>
    <t>007940</t>
  </si>
  <si>
    <t>Khasanah BCA SDP</t>
  </si>
  <si>
    <t>BAHTERA</t>
  </si>
  <si>
    <t>962828</t>
  </si>
  <si>
    <t>001547</t>
  </si>
  <si>
    <t>AHMAD KHOZIN</t>
  </si>
  <si>
    <t>962946</t>
  </si>
  <si>
    <t>001395</t>
  </si>
  <si>
    <t>ADE YUNITA W</t>
  </si>
  <si>
    <t>963176</t>
  </si>
  <si>
    <t>009649</t>
  </si>
  <si>
    <t>BCA IDP</t>
  </si>
  <si>
    <t>EKO SUSANTO</t>
  </si>
  <si>
    <t>963180</t>
  </si>
  <si>
    <t>001877</t>
  </si>
  <si>
    <t>RUDY MARDIYANTO</t>
  </si>
  <si>
    <t>963378</t>
  </si>
  <si>
    <t>ALINE PURNOMO</t>
  </si>
  <si>
    <t>963396</t>
  </si>
  <si>
    <t>009232</t>
  </si>
  <si>
    <t>ENDANG INDERA</t>
  </si>
  <si>
    <t>963653</t>
  </si>
  <si>
    <t>011006</t>
  </si>
  <si>
    <t>BCA MARGOREJO</t>
  </si>
  <si>
    <t>OCTAVIA SAKO</t>
  </si>
  <si>
    <t>963676</t>
  </si>
  <si>
    <t>001624</t>
  </si>
  <si>
    <t>BCA SEMUT</t>
  </si>
  <si>
    <t>OCTAVIANUS J.W.S</t>
  </si>
  <si>
    <t>963685</t>
  </si>
  <si>
    <t>002375</t>
  </si>
  <si>
    <t>001768</t>
  </si>
  <si>
    <t>STAF SLK KW 3 BCA DARMO</t>
  </si>
  <si>
    <t>011286</t>
  </si>
  <si>
    <t>TOTOK BUDYHARTO</t>
  </si>
  <si>
    <t>963693</t>
  </si>
  <si>
    <t>009996</t>
  </si>
  <si>
    <t>AO BCA BANGKALAN</t>
  </si>
  <si>
    <t>DWI AGUSTIN S</t>
  </si>
  <si>
    <t>963963</t>
  </si>
  <si>
    <t>002487</t>
  </si>
  <si>
    <t>BCA KERTAJAYA INDAH</t>
  </si>
  <si>
    <t>BARFITTO</t>
  </si>
  <si>
    <t>964050</t>
  </si>
  <si>
    <t>010842</t>
  </si>
  <si>
    <t>CSO BCA MANYAR</t>
  </si>
  <si>
    <t>ERI ERLANGGA</t>
  </si>
  <si>
    <t>970109</t>
  </si>
  <si>
    <t>SULIANI LIMINTO</t>
  </si>
  <si>
    <t>970190</t>
  </si>
  <si>
    <t>001559</t>
  </si>
  <si>
    <t>KABAG CSO BCA DARMO</t>
  </si>
  <si>
    <t>ARNOLD PRIAJAYA</t>
  </si>
  <si>
    <t>970270</t>
  </si>
  <si>
    <t>009727</t>
  </si>
  <si>
    <t>KABAG BCA PRAPEN</t>
  </si>
  <si>
    <t>ANA REKASARI</t>
  </si>
  <si>
    <t>970337</t>
  </si>
  <si>
    <t>002196</t>
  </si>
  <si>
    <t>KABAG OPS BCA VETERAN</t>
  </si>
  <si>
    <t>MASRUROH</t>
  </si>
  <si>
    <t>970439</t>
  </si>
  <si>
    <t>008219</t>
  </si>
  <si>
    <t>BO BCA UNDAAN</t>
  </si>
  <si>
    <t>JUNITA REBIKA</t>
  </si>
  <si>
    <t>970654</t>
  </si>
  <si>
    <t>002600</t>
  </si>
  <si>
    <t>DIDI RUSLI</t>
  </si>
  <si>
    <t>970664</t>
  </si>
  <si>
    <t>001364</t>
  </si>
  <si>
    <t>DEWI MILASARI</t>
  </si>
  <si>
    <t>970671</t>
  </si>
  <si>
    <t>009944</t>
  </si>
  <si>
    <t>BCA SEPANJANG</t>
  </si>
  <si>
    <t>JONY YACUBUS</t>
  </si>
  <si>
    <t>970677</t>
  </si>
  <si>
    <t>002603</t>
  </si>
  <si>
    <t>SUWARNO ARIFIN</t>
  </si>
  <si>
    <t>970748</t>
  </si>
  <si>
    <t>002572</t>
  </si>
  <si>
    <t>PEMB KW 3 DARMO</t>
  </si>
  <si>
    <t>FRANSISCA M</t>
  </si>
  <si>
    <t>971751</t>
  </si>
  <si>
    <t>002706</t>
  </si>
  <si>
    <t>CSO GALAXY</t>
  </si>
  <si>
    <t>MICHELSEN</t>
  </si>
  <si>
    <t>971755</t>
  </si>
  <si>
    <t>009600</t>
  </si>
  <si>
    <t>009924</t>
  </si>
  <si>
    <t>BCA NGAGEL-0889779880</t>
  </si>
  <si>
    <t>003559</t>
  </si>
  <si>
    <t>KABAG TELLER NGAGEL</t>
  </si>
  <si>
    <t>MARGARETHA HENNY K</t>
  </si>
  <si>
    <t>971772</t>
  </si>
  <si>
    <t>002032</t>
  </si>
  <si>
    <t>BCA RGKT MAPAN</t>
  </si>
  <si>
    <t>YUSSI HARDIANTO</t>
  </si>
  <si>
    <t>972137</t>
  </si>
  <si>
    <t>009514</t>
  </si>
  <si>
    <t>BCA TROPODO</t>
  </si>
  <si>
    <t>NUNUNG AMBIKA</t>
  </si>
  <si>
    <t>972154</t>
  </si>
  <si>
    <t>KCP TROPODO</t>
  </si>
  <si>
    <t>SUSY YANTI S</t>
  </si>
  <si>
    <t>972264</t>
  </si>
  <si>
    <t>001807</t>
  </si>
  <si>
    <t>HUKUM KW 3 BCA DARMO</t>
  </si>
  <si>
    <t>CHIN BUI LIONG</t>
  </si>
  <si>
    <t>972647</t>
  </si>
  <si>
    <t>009484</t>
  </si>
  <si>
    <t>INA SUGIARTI</t>
  </si>
  <si>
    <t>972948</t>
  </si>
  <si>
    <t>34</t>
  </si>
  <si>
    <t>KCP PRAPEN</t>
  </si>
  <si>
    <t>SUNDORO</t>
  </si>
  <si>
    <t>972951</t>
  </si>
  <si>
    <t>010322</t>
  </si>
  <si>
    <t>LOG KW3 DARMO</t>
  </si>
  <si>
    <t>HERLINA E YANTI</t>
  </si>
  <si>
    <t>973064</t>
  </si>
  <si>
    <t>009001</t>
  </si>
  <si>
    <t>BCA GOLDEN CITY</t>
  </si>
  <si>
    <t>R.A.M KUNWIDIASMORO</t>
  </si>
  <si>
    <t>973123</t>
  </si>
  <si>
    <t>001436</t>
  </si>
  <si>
    <t>KABAG TELLER SEPANJANG</t>
  </si>
  <si>
    <t>GATOT SUMARSONO</t>
  </si>
  <si>
    <t>973142</t>
  </si>
  <si>
    <t>009907</t>
  </si>
  <si>
    <t>YENY SETIAWATI</t>
  </si>
  <si>
    <t>973143</t>
  </si>
  <si>
    <t>33</t>
  </si>
  <si>
    <t>PEND OPS VET</t>
  </si>
  <si>
    <t>BIAYA NOTARIS</t>
  </si>
  <si>
    <t>CAHYANINGTYAS</t>
  </si>
  <si>
    <t>973149</t>
  </si>
  <si>
    <t>010057</t>
  </si>
  <si>
    <t>TJATUR IDA HARIYATI</t>
  </si>
  <si>
    <t>973171</t>
  </si>
  <si>
    <t>001967</t>
  </si>
  <si>
    <t>DJUWADI</t>
  </si>
  <si>
    <t>973179</t>
  </si>
  <si>
    <t>002659</t>
  </si>
  <si>
    <t>RIYANTI WULANDARI</t>
  </si>
  <si>
    <t>973200</t>
  </si>
  <si>
    <t>011004</t>
  </si>
  <si>
    <t>EFIE LINDA JANI</t>
  </si>
  <si>
    <t>973211</t>
  </si>
  <si>
    <t>001713</t>
  </si>
  <si>
    <t>STAF KTR KAS PAGERWOJO</t>
  </si>
  <si>
    <t>WAHYU UTOMO</t>
  </si>
  <si>
    <t>973267</t>
  </si>
  <si>
    <t>PRAMUKARYA BCA RGKT</t>
  </si>
  <si>
    <t>KRISTINA DWI MAYA</t>
  </si>
  <si>
    <t>973274</t>
  </si>
  <si>
    <t>002195</t>
  </si>
  <si>
    <t>ARITA SUSANTI</t>
  </si>
  <si>
    <t>973334</t>
  </si>
  <si>
    <t>001510</t>
  </si>
  <si>
    <t>KKKS SURABAYA</t>
  </si>
  <si>
    <t>010640</t>
  </si>
  <si>
    <t>KKKS SBY</t>
  </si>
  <si>
    <t>FARIDA AINI</t>
  </si>
  <si>
    <t>973418</t>
  </si>
  <si>
    <t>KCU JOMBANG</t>
  </si>
  <si>
    <t>PRASETYO MAHANANI</t>
  </si>
  <si>
    <t>973505</t>
  </si>
  <si>
    <t>SBK KW3 DARMO</t>
  </si>
  <si>
    <t>MENGSENG</t>
  </si>
  <si>
    <t>973683</t>
  </si>
  <si>
    <t>010832</t>
  </si>
  <si>
    <t>ATM KW 3 BCA DARMO</t>
  </si>
  <si>
    <t>KURNIAWAN BUDI</t>
  </si>
  <si>
    <t>973835</t>
  </si>
  <si>
    <t>KCP MARGOMULYO</t>
  </si>
  <si>
    <t>DILUAR NOR</t>
  </si>
  <si>
    <t>VERY MARDA J</t>
  </si>
  <si>
    <t>973845</t>
  </si>
  <si>
    <t>001969</t>
  </si>
  <si>
    <t>ADM KRDT KW3 DARMO</t>
  </si>
  <si>
    <t>YAP TJUAN KIN</t>
  </si>
  <si>
    <t>973873</t>
  </si>
  <si>
    <t>010012</t>
  </si>
  <si>
    <t>JO KUI PU</t>
  </si>
  <si>
    <t>973875</t>
  </si>
  <si>
    <t>BO DARMO</t>
  </si>
  <si>
    <t>CHANDRA</t>
  </si>
  <si>
    <t>973888</t>
  </si>
  <si>
    <t>010080</t>
  </si>
  <si>
    <t>BCA KCP RAJAWALI</t>
  </si>
  <si>
    <t>RUDI KURNIAWAN</t>
  </si>
  <si>
    <t>973908</t>
  </si>
  <si>
    <t>011058</t>
  </si>
  <si>
    <t>KBG OPS PRK TMR</t>
  </si>
  <si>
    <t>VERONICA LINDA</t>
  </si>
  <si>
    <t>974032</t>
  </si>
  <si>
    <t>007711</t>
  </si>
  <si>
    <t>FIFY SOEHENDRA</t>
  </si>
  <si>
    <t>974040</t>
  </si>
  <si>
    <t>002053</t>
  </si>
  <si>
    <t>TONY C.Y.T</t>
  </si>
  <si>
    <t>974069</t>
  </si>
  <si>
    <t>009380</t>
  </si>
  <si>
    <t>HIW KW 3 DARMO</t>
  </si>
  <si>
    <t>PINJ DILUAR NOR TMBHN</t>
  </si>
  <si>
    <t>TONY CH.Y TOWOLIU</t>
  </si>
  <si>
    <t>011011</t>
  </si>
  <si>
    <t>KRISTIN DENNI</t>
  </si>
  <si>
    <t>974072</t>
  </si>
  <si>
    <t>009408</t>
  </si>
  <si>
    <t>VALAS DARMO</t>
  </si>
  <si>
    <t>NORM TMBHN</t>
  </si>
  <si>
    <t>HAMZAH FANSURI</t>
  </si>
  <si>
    <t>974430</t>
  </si>
  <si>
    <t>011012</t>
  </si>
  <si>
    <t>MUNDI WIRA P</t>
  </si>
  <si>
    <t>975043</t>
  </si>
  <si>
    <t>010212</t>
  </si>
  <si>
    <t>BCA KUSUMA BANGSA</t>
  </si>
  <si>
    <t>IRA SHANTY</t>
  </si>
  <si>
    <t>975044</t>
  </si>
  <si>
    <t>009431</t>
  </si>
  <si>
    <t>PIC BCA VETERAN</t>
  </si>
  <si>
    <t>009648</t>
  </si>
  <si>
    <t>CSO BCA VETERAN</t>
  </si>
  <si>
    <t>010292</t>
  </si>
  <si>
    <t>DAVID LAMONGI</t>
  </si>
  <si>
    <t>975130</t>
  </si>
  <si>
    <t>011057</t>
  </si>
  <si>
    <t>ERWIN SETIADI</t>
  </si>
  <si>
    <t>975239</t>
  </si>
  <si>
    <t>009681</t>
  </si>
  <si>
    <t>BCA PUCANG ANOM</t>
  </si>
  <si>
    <t>MUHAMMAD IBNU S</t>
  </si>
  <si>
    <t>975248</t>
  </si>
  <si>
    <t>009523</t>
  </si>
  <si>
    <t>CHOIRIYA CHRISDIANI</t>
  </si>
  <si>
    <t>975298</t>
  </si>
  <si>
    <t>002402</t>
  </si>
  <si>
    <t>CSO BCA BABATAN PANTAI</t>
  </si>
  <si>
    <t>SISWONO</t>
  </si>
  <si>
    <t>975359</t>
  </si>
  <si>
    <t>001433</t>
  </si>
  <si>
    <t>BCA MULYOSARI</t>
  </si>
  <si>
    <t>NOVIE TRI KHRISANTI</t>
  </si>
  <si>
    <t>975378</t>
  </si>
  <si>
    <t>009340</t>
  </si>
  <si>
    <t>NURIL LISANA</t>
  </si>
  <si>
    <t>975384</t>
  </si>
  <si>
    <t>007661</t>
  </si>
  <si>
    <t>KABAG OPS BCA GRESIK</t>
  </si>
  <si>
    <t>HENY RUSDIANA</t>
  </si>
  <si>
    <t>975392</t>
  </si>
  <si>
    <t>011270</t>
  </si>
  <si>
    <t>002480</t>
  </si>
  <si>
    <t>ENDANG SUPRIYATINI</t>
  </si>
  <si>
    <t>975794</t>
  </si>
  <si>
    <t>009707</t>
  </si>
  <si>
    <t>BUDIARTO</t>
  </si>
  <si>
    <t>976577</t>
  </si>
  <si>
    <t>001674</t>
  </si>
  <si>
    <t>PIMPINAN BCA SEMARANG</t>
  </si>
  <si>
    <t>AGUSTINA SUSANTI</t>
  </si>
  <si>
    <t>976579</t>
  </si>
  <si>
    <t>KCP A. YANI</t>
  </si>
  <si>
    <t>SONJA ESTHER P</t>
  </si>
  <si>
    <t>976608</t>
  </si>
  <si>
    <t>009922</t>
  </si>
  <si>
    <t>KOMARI</t>
  </si>
  <si>
    <t>976956</t>
  </si>
  <si>
    <t>RUDI HANDOKO</t>
  </si>
  <si>
    <t>977398</t>
  </si>
  <si>
    <t>002662</t>
  </si>
  <si>
    <t>M. RIRIEN ERNAWATI</t>
  </si>
  <si>
    <t>980094</t>
  </si>
  <si>
    <t>002112</t>
  </si>
  <si>
    <t>BCA TANDES</t>
  </si>
  <si>
    <t>ANUGERAHWATI PUJI</t>
  </si>
  <si>
    <t>980801</t>
  </si>
  <si>
    <t>002115</t>
  </si>
  <si>
    <t>TRI ASWAHYUNI</t>
  </si>
  <si>
    <t>980894</t>
  </si>
  <si>
    <t>STAF BCA M SUNGKONO</t>
  </si>
  <si>
    <t xml:space="preserve">PINJ DILUAR NOR </t>
  </si>
  <si>
    <t>SUSMINI</t>
  </si>
  <si>
    <t>981059</t>
  </si>
  <si>
    <t>010794</t>
  </si>
  <si>
    <t>BCA KENJERAN</t>
  </si>
  <si>
    <t>ARY B ASTUTI</t>
  </si>
  <si>
    <t>990168</t>
  </si>
  <si>
    <t>009911</t>
  </si>
  <si>
    <t>FITRIANA MEDIAWATI</t>
  </si>
  <si>
    <t>990555</t>
  </si>
  <si>
    <t>008953</t>
  </si>
  <si>
    <t>MOCH IMRON</t>
  </si>
  <si>
    <t>921471</t>
  </si>
  <si>
    <t>010810</t>
  </si>
  <si>
    <t>PRAMUKARYA BCA VET</t>
  </si>
  <si>
    <t>ANDREAS SUMARLIANTO</t>
  </si>
  <si>
    <t>910846</t>
  </si>
  <si>
    <t>011023</t>
  </si>
  <si>
    <t>GATOT SUBROTO</t>
  </si>
  <si>
    <t>932162</t>
  </si>
  <si>
    <t>001988</t>
  </si>
  <si>
    <t>LILIK SETYOWATI</t>
  </si>
  <si>
    <t>975206</t>
  </si>
  <si>
    <t>010843</t>
  </si>
  <si>
    <t>KABAG CSO BCA GRESIK</t>
  </si>
  <si>
    <t>ANI SUMARNI</t>
  </si>
  <si>
    <t>921594</t>
  </si>
  <si>
    <t>011005</t>
  </si>
  <si>
    <t>BCA MARGOMULYO</t>
  </si>
  <si>
    <t>INDRIYAWATI C</t>
  </si>
  <si>
    <t>911184</t>
  </si>
  <si>
    <t>011024</t>
  </si>
  <si>
    <t>GUSTI NURMANSYAH</t>
  </si>
  <si>
    <t>896610</t>
  </si>
  <si>
    <t>011017</t>
  </si>
  <si>
    <t>WAKHIDAH N</t>
  </si>
  <si>
    <t>011252</t>
  </si>
  <si>
    <t>BCA DELTA PLZ</t>
  </si>
  <si>
    <t>002149</t>
  </si>
  <si>
    <t>CICILIA</t>
  </si>
  <si>
    <t>011120</t>
  </si>
  <si>
    <t>KOC JEMBER</t>
  </si>
  <si>
    <t>EFI SUHERMAN</t>
  </si>
  <si>
    <t>972239</t>
  </si>
  <si>
    <t>011026</t>
  </si>
  <si>
    <t>PIC BCA DIPONEGORO</t>
  </si>
  <si>
    <t>SULATIK</t>
  </si>
  <si>
    <t>920892</t>
  </si>
  <si>
    <t>001920</t>
  </si>
  <si>
    <t>MUHAMAD RUSLI</t>
  </si>
  <si>
    <t>970258</t>
  </si>
  <si>
    <t>010643</t>
  </si>
  <si>
    <t>BCA KP</t>
  </si>
  <si>
    <t>EDI PURWOKO</t>
  </si>
  <si>
    <t>897646</t>
  </si>
  <si>
    <t>002702</t>
  </si>
  <si>
    <t>BCA BABAT</t>
  </si>
  <si>
    <t>EINSTEINA</t>
  </si>
  <si>
    <t>912056</t>
  </si>
  <si>
    <t>011038</t>
  </si>
  <si>
    <t>KBG TELLER DARMO</t>
  </si>
  <si>
    <t>EDDY MULYONO</t>
  </si>
  <si>
    <t>910538</t>
  </si>
  <si>
    <t>011507</t>
  </si>
  <si>
    <t>ALIA AZIZA</t>
  </si>
  <si>
    <t>961152</t>
  </si>
  <si>
    <t>011293</t>
  </si>
  <si>
    <t>BCA BABATAN PANTAI</t>
  </si>
  <si>
    <t>HIMAWAN BUDI</t>
  </si>
  <si>
    <t>940325</t>
  </si>
  <si>
    <t>002599</t>
  </si>
  <si>
    <t>ANDREJANTO A N</t>
  </si>
  <si>
    <t>897658</t>
  </si>
  <si>
    <t>011036</t>
  </si>
  <si>
    <t>SAHAT MARULITUA</t>
  </si>
  <si>
    <t>975105</t>
  </si>
  <si>
    <t>010617</t>
  </si>
  <si>
    <t>KBG OPS BCA SUNCITY</t>
  </si>
  <si>
    <t>YOHANES ANDI S</t>
  </si>
  <si>
    <t>914072</t>
  </si>
  <si>
    <t>011035</t>
  </si>
  <si>
    <t>NOENIK DYAH S</t>
  </si>
  <si>
    <t>970240</t>
  </si>
  <si>
    <t>010616</t>
  </si>
  <si>
    <t>SUJARWO</t>
  </si>
  <si>
    <t>898787</t>
  </si>
  <si>
    <t>002655</t>
  </si>
  <si>
    <t>FENNY MARLINA</t>
  </si>
  <si>
    <t>973239</t>
  </si>
  <si>
    <t>011002</t>
  </si>
  <si>
    <t>MM. LIANIWATI</t>
  </si>
  <si>
    <t>897042</t>
  </si>
  <si>
    <t>011054</t>
  </si>
  <si>
    <t>KK PDK CHANDRA</t>
  </si>
  <si>
    <t>SURAYA SEPTIARINA U</t>
  </si>
  <si>
    <t>053839</t>
  </si>
  <si>
    <t>010725</t>
  </si>
  <si>
    <t>ANDRI LAKSONO</t>
  </si>
  <si>
    <t>962306</t>
  </si>
  <si>
    <t>011033</t>
  </si>
  <si>
    <t>WAHYU PUTRI</t>
  </si>
  <si>
    <t>913365</t>
  </si>
  <si>
    <t>011404</t>
  </si>
  <si>
    <t>011318</t>
  </si>
  <si>
    <t>KABAG CSO BCA TUNJ</t>
  </si>
  <si>
    <t>PROGRAM PENGURUS BG 0%</t>
  </si>
  <si>
    <t>LU CUN CIAT</t>
  </si>
  <si>
    <t>973895</t>
  </si>
  <si>
    <t>011043</t>
  </si>
  <si>
    <t>KABAG OPS BCA DHRMHSD</t>
  </si>
  <si>
    <t>EVA KURNIANASARI</t>
  </si>
  <si>
    <t>002674</t>
  </si>
  <si>
    <t>011509</t>
  </si>
  <si>
    <t>KBG CSO BCA RAJAWALI</t>
  </si>
  <si>
    <t>011266</t>
  </si>
  <si>
    <t>KABAG OPS BCA TUNJ</t>
  </si>
  <si>
    <t>HERLINA SAFITRI</t>
  </si>
  <si>
    <t>921602</t>
  </si>
  <si>
    <t>011044</t>
  </si>
  <si>
    <t>PIMP BCA BABATAN PNTAI</t>
  </si>
  <si>
    <t>DOMINGGUS SENONG</t>
  </si>
  <si>
    <t>975795</t>
  </si>
  <si>
    <t>010599</t>
  </si>
  <si>
    <t>KABAGBCA DHARMAHUSADA</t>
  </si>
  <si>
    <t>011041</t>
  </si>
  <si>
    <t>KABAG TELER BCA NGGEL</t>
  </si>
  <si>
    <t>007980</t>
  </si>
  <si>
    <t>STAF BCA PDK CHANDRA</t>
  </si>
  <si>
    <t>NANIEK MARLIAN D</t>
  </si>
  <si>
    <t>975772</t>
  </si>
  <si>
    <t>010619</t>
  </si>
  <si>
    <t>STAF APK BCA SIDOARJO</t>
  </si>
  <si>
    <t>AGUS DARMAWAN</t>
  </si>
  <si>
    <t>960227</t>
  </si>
  <si>
    <t>011112</t>
  </si>
  <si>
    <t>BCA BANGKALAN-1920417171</t>
  </si>
  <si>
    <t>BCA BANGKALAN-1920410410</t>
  </si>
  <si>
    <t>002597</t>
  </si>
  <si>
    <t>NASDJIANTO</t>
  </si>
  <si>
    <t>885752</t>
  </si>
  <si>
    <t>011042</t>
  </si>
  <si>
    <t>OPS BCA MARGOREJO</t>
  </si>
  <si>
    <t>ONNY SURYANI</t>
  </si>
  <si>
    <t>911095</t>
  </si>
  <si>
    <t>005086</t>
  </si>
  <si>
    <t>STAF TELLER BCA AMBENGAN</t>
  </si>
  <si>
    <t>WELYANTI</t>
  </si>
  <si>
    <t>976909</t>
  </si>
  <si>
    <t>010622</t>
  </si>
  <si>
    <t>KTR KAS BCA DELTA SARI</t>
  </si>
  <si>
    <t>MARDJUKI</t>
  </si>
  <si>
    <t>962069</t>
  </si>
  <si>
    <t>011028</t>
  </si>
  <si>
    <t>DRIVER BCA HR MUH</t>
  </si>
  <si>
    <t>WINARTO</t>
  </si>
  <si>
    <t>970675</t>
  </si>
  <si>
    <t>011040</t>
  </si>
  <si>
    <t>STAF APK BCA HR MUH</t>
  </si>
  <si>
    <t>DAFTAR PINJAMAN POTONG BONUS-BONUS DILUAR NORMATIF</t>
  </si>
  <si>
    <t>POT APRIL</t>
  </si>
  <si>
    <t>POT THR</t>
  </si>
  <si>
    <t>POT TAT</t>
  </si>
  <si>
    <t>NO REK DEBET</t>
  </si>
  <si>
    <t>EKO WIWI DARTO</t>
  </si>
  <si>
    <t>885456</t>
  </si>
  <si>
    <t>SETIYO PRINARYANI</t>
  </si>
  <si>
    <t>898325</t>
  </si>
  <si>
    <t>NINIK ERMAWATI</t>
  </si>
  <si>
    <t>900593</t>
  </si>
  <si>
    <t>0880849441</t>
  </si>
  <si>
    <t>AURICE WIDARTO</t>
  </si>
  <si>
    <t>904456</t>
  </si>
  <si>
    <t>0501281106</t>
  </si>
  <si>
    <t>0501070849</t>
  </si>
  <si>
    <t>ZAINUL ARIFIN</t>
  </si>
  <si>
    <t>910553</t>
  </si>
  <si>
    <t>0180912053</t>
  </si>
  <si>
    <t>KASTUR</t>
  </si>
  <si>
    <t>911203</t>
  </si>
  <si>
    <t>3301003020</t>
  </si>
  <si>
    <t>CHARLIE TAN</t>
  </si>
  <si>
    <t>912034</t>
  </si>
  <si>
    <t>NANING PUDJANINGSIH</t>
  </si>
  <si>
    <t>912050</t>
  </si>
  <si>
    <t>ARIFIN</t>
  </si>
  <si>
    <t>921897</t>
  </si>
  <si>
    <t>1021033991</t>
  </si>
  <si>
    <t>SAHAT MARULITUA S</t>
  </si>
  <si>
    <t>DEBBY HENDRIYATI</t>
  </si>
  <si>
    <t>975911</t>
  </si>
  <si>
    <t>ANDIK SISWANTO</t>
  </si>
  <si>
    <t>976907</t>
  </si>
  <si>
    <t>8290701415</t>
  </si>
  <si>
    <t>8290756660</t>
  </si>
  <si>
    <t>0884005970</t>
  </si>
  <si>
    <t>7880060133</t>
  </si>
  <si>
    <t>0101207691</t>
  </si>
  <si>
    <t>BERNARDA DJANARJANTI</t>
  </si>
  <si>
    <t>971785</t>
  </si>
  <si>
    <t>0880983601</t>
  </si>
  <si>
    <t>1520248885</t>
  </si>
  <si>
    <t>0181079494</t>
  </si>
  <si>
    <t>DINARTO</t>
  </si>
  <si>
    <t>911104</t>
  </si>
  <si>
    <t>0880405101</t>
  </si>
  <si>
    <t>0881200626</t>
  </si>
  <si>
    <t>SHIERLY</t>
  </si>
  <si>
    <t>973261</t>
  </si>
  <si>
    <t>0100319021</t>
  </si>
  <si>
    <t>0100319268</t>
  </si>
  <si>
    <t>0880424599</t>
  </si>
  <si>
    <t>4290511114</t>
  </si>
  <si>
    <t>4101006284</t>
  </si>
  <si>
    <t>0180491961</t>
  </si>
  <si>
    <t>0881211008</t>
  </si>
  <si>
    <t>8290149666</t>
  </si>
  <si>
    <t>8290850771</t>
  </si>
  <si>
    <t>HERU INDRAWIKANA</t>
  </si>
  <si>
    <t>990425</t>
  </si>
  <si>
    <t>11-Aug-15</t>
  </si>
  <si>
    <t>2581433800</t>
  </si>
  <si>
    <t>2581402700</t>
  </si>
  <si>
    <t>2581427788</t>
  </si>
  <si>
    <t>2582977888</t>
  </si>
  <si>
    <t>7880062021</t>
  </si>
  <si>
    <t>7880061911</t>
  </si>
  <si>
    <t>WAHYU PUTRI IDAWATI</t>
  </si>
  <si>
    <t>0880440632</t>
  </si>
  <si>
    <t>0880891570</t>
  </si>
  <si>
    <t>FIFI YULIA H</t>
  </si>
  <si>
    <t>975306</t>
  </si>
  <si>
    <t>0181195664</t>
  </si>
  <si>
    <t>SETYA HARTONO</t>
  </si>
  <si>
    <t>885626</t>
  </si>
  <si>
    <t>0181195231</t>
  </si>
  <si>
    <t>8220444440</t>
  </si>
  <si>
    <t>8220258808</t>
  </si>
  <si>
    <t>3640065060</t>
  </si>
  <si>
    <t>RITA INDAH NURYATI</t>
  </si>
  <si>
    <t>902550</t>
  </si>
  <si>
    <t xml:space="preserve">2581421003 </t>
  </si>
  <si>
    <t>7880877997</t>
  </si>
  <si>
    <t>7880053323</t>
  </si>
  <si>
    <t>2581433338</t>
  </si>
  <si>
    <t>2581433311</t>
  </si>
  <si>
    <t>1920314003</t>
  </si>
  <si>
    <t>7880034353</t>
  </si>
  <si>
    <t>3301049020</t>
  </si>
  <si>
    <t>3301026887</t>
  </si>
  <si>
    <t>6105004005</t>
  </si>
  <si>
    <t>0100259737</t>
  </si>
  <si>
    <t>8290108595</t>
  </si>
  <si>
    <t>0101190951</t>
  </si>
  <si>
    <t>0101481491</t>
  </si>
  <si>
    <t>4681120569</t>
  </si>
  <si>
    <t>0880991612</t>
  </si>
  <si>
    <t>2144565656</t>
  </si>
  <si>
    <t>0885115000</t>
  </si>
  <si>
    <t>7880064848</t>
  </si>
  <si>
    <t>7880066077</t>
  </si>
  <si>
    <t>2582201707</t>
  </si>
  <si>
    <t>7880063531</t>
  </si>
  <si>
    <t>0884561988</t>
  </si>
  <si>
    <t>7880022941</t>
  </si>
  <si>
    <t>7880055512</t>
  </si>
  <si>
    <t>1520053022</t>
  </si>
  <si>
    <t>0880291955</t>
  </si>
  <si>
    <t>0885066467</t>
  </si>
  <si>
    <t>SONNY RACHMAWAN</t>
  </si>
  <si>
    <t>961065</t>
  </si>
  <si>
    <t>009377</t>
  </si>
  <si>
    <t>2018-10.000.000</t>
  </si>
  <si>
    <t>7880070007</t>
  </si>
  <si>
    <t>2160032076</t>
  </si>
  <si>
    <t>2569888888</t>
  </si>
  <si>
    <t>0720192021</t>
  </si>
  <si>
    <t>0880423762</t>
  </si>
  <si>
    <t>3890083993</t>
  </si>
  <si>
    <t>0101098531</t>
  </si>
  <si>
    <t>0881211091</t>
  </si>
  <si>
    <t>8290107394</t>
  </si>
  <si>
    <t>8290107408</t>
  </si>
  <si>
    <t>0101202541</t>
  </si>
  <si>
    <t>1070166620</t>
  </si>
  <si>
    <t>1070240013</t>
  </si>
  <si>
    <t>0101138762</t>
  </si>
  <si>
    <t>2140125230</t>
  </si>
  <si>
    <t>0100358191</t>
  </si>
  <si>
    <t>0885162377</t>
  </si>
  <si>
    <t>1801021056</t>
  </si>
  <si>
    <t>2581430002</t>
  </si>
  <si>
    <t>0880333011</t>
  </si>
  <si>
    <t>0101376248</t>
  </si>
  <si>
    <t>0101373478</t>
  </si>
  <si>
    <t>4720061002</t>
  </si>
  <si>
    <t>0884377463</t>
  </si>
  <si>
    <t>7880088089</t>
  </si>
  <si>
    <t>0881112018</t>
  </si>
  <si>
    <t>0880420461</t>
  </si>
  <si>
    <t>8220219161</t>
  </si>
  <si>
    <t>8220191525</t>
  </si>
  <si>
    <t>0106011341</t>
  </si>
  <si>
    <t>7900018686</t>
  </si>
  <si>
    <t>7900019666</t>
  </si>
  <si>
    <t>7290079769</t>
  </si>
  <si>
    <t>0101093858</t>
  </si>
  <si>
    <t>0880425773</t>
  </si>
  <si>
    <t>3250234600</t>
  </si>
  <si>
    <t>0884797779</t>
  </si>
  <si>
    <t>8290144664</t>
  </si>
  <si>
    <t>1074567889</t>
  </si>
  <si>
    <t>7880070708</t>
  </si>
  <si>
    <t>2581267179</t>
  </si>
  <si>
    <t>7880033055</t>
  </si>
  <si>
    <t>0360207099</t>
  </si>
  <si>
    <t>0101102440</t>
  </si>
  <si>
    <t>1870226060</t>
  </si>
  <si>
    <t>0101362221</t>
  </si>
  <si>
    <t>0884774001</t>
  </si>
  <si>
    <t>0884467558</t>
  </si>
  <si>
    <t>0100217244</t>
  </si>
  <si>
    <t>1861059184</t>
  </si>
  <si>
    <t>8290117578</t>
  </si>
  <si>
    <t>8290107564</t>
  </si>
  <si>
    <t>0180666613</t>
  </si>
  <si>
    <t>0101397148</t>
  </si>
  <si>
    <t>0101486299</t>
  </si>
  <si>
    <t>1301966666</t>
  </si>
  <si>
    <t>0180930922</t>
  </si>
  <si>
    <t>0181000219</t>
  </si>
  <si>
    <t>42902322007</t>
  </si>
  <si>
    <t>0880264931</t>
  </si>
  <si>
    <t>3291017353</t>
  </si>
  <si>
    <t>0100028336</t>
  </si>
  <si>
    <t>0100251370</t>
  </si>
  <si>
    <t>0180795031</t>
  </si>
  <si>
    <t>0361043625</t>
  </si>
  <si>
    <t>7900200778</t>
  </si>
  <si>
    <t>0101238660</t>
  </si>
  <si>
    <t>0101457680</t>
  </si>
  <si>
    <t>4686508803</t>
  </si>
  <si>
    <t>3640838999</t>
  </si>
  <si>
    <t>4681157977</t>
  </si>
  <si>
    <t>1130558999</t>
  </si>
  <si>
    <t>1301075052</t>
  </si>
  <si>
    <t>HIRAWATI K</t>
  </si>
  <si>
    <t>2581393611</t>
  </si>
  <si>
    <t>0881072822</t>
  </si>
  <si>
    <t>0880405250</t>
  </si>
  <si>
    <t>2581325659</t>
  </si>
  <si>
    <t>2588120568</t>
  </si>
  <si>
    <t>2580911113</t>
  </si>
  <si>
    <t>2581333295</t>
  </si>
  <si>
    <t>1010240006</t>
  </si>
  <si>
    <t>0884680138</t>
  </si>
  <si>
    <t>1031035789</t>
  </si>
  <si>
    <t>0880405276</t>
  </si>
  <si>
    <t>0880412728</t>
  </si>
  <si>
    <t>1026399999</t>
  </si>
  <si>
    <t>1130091179</t>
  </si>
  <si>
    <t>1130509670</t>
  </si>
  <si>
    <t>0641093415</t>
  </si>
  <si>
    <t>7880060052</t>
  </si>
  <si>
    <t>7880870356</t>
  </si>
  <si>
    <t>0101138266</t>
  </si>
  <si>
    <t>0100900912</t>
  </si>
  <si>
    <t>0881232684</t>
  </si>
  <si>
    <t>0884686900</t>
  </si>
  <si>
    <t>0182634008</t>
  </si>
  <si>
    <t>4681020513</t>
  </si>
  <si>
    <t>7900018066</t>
  </si>
  <si>
    <t>0884682670</t>
  </si>
  <si>
    <t>0100220679</t>
  </si>
  <si>
    <t>3890014240</t>
  </si>
  <si>
    <t>0884572556</t>
  </si>
  <si>
    <t>5120155115</t>
  </si>
  <si>
    <t>1130488877</t>
  </si>
  <si>
    <t>8290121044</t>
  </si>
  <si>
    <t>8290123730</t>
  </si>
  <si>
    <t>4686507688</t>
  </si>
  <si>
    <t>7880343836</t>
  </si>
  <si>
    <t>0501004854</t>
  </si>
  <si>
    <t>8260009282</t>
  </si>
  <si>
    <t>0101138916</t>
  </si>
  <si>
    <t>0101522554</t>
  </si>
  <si>
    <t>1900148000</t>
  </si>
  <si>
    <t>1901111753</t>
  </si>
  <si>
    <t>2710889999</t>
  </si>
  <si>
    <t>1010868111</t>
  </si>
  <si>
    <t>002014</t>
  </si>
  <si>
    <t>4680000005</t>
  </si>
  <si>
    <t>OCTAVIANUS J W S</t>
  </si>
  <si>
    <t>1881500600</t>
  </si>
  <si>
    <t>1020333606</t>
  </si>
  <si>
    <t>2150221466</t>
  </si>
  <si>
    <t>0141140000</t>
  </si>
  <si>
    <t>3300036090</t>
  </si>
  <si>
    <t>3300394247</t>
  </si>
  <si>
    <t>8240046700</t>
  </si>
  <si>
    <t>1130490006</t>
  </si>
  <si>
    <t>1130509530</t>
  </si>
  <si>
    <t>3422445533</t>
  </si>
  <si>
    <t>0884316371</t>
  </si>
  <si>
    <t>7880060079</t>
  </si>
  <si>
    <t>7880876800</t>
  </si>
  <si>
    <t>7880566011</t>
  </si>
  <si>
    <t>0101139386</t>
  </si>
  <si>
    <t>1010683838</t>
  </si>
  <si>
    <t>1010688368</t>
  </si>
  <si>
    <t>2581422204</t>
  </si>
  <si>
    <t>2581422255</t>
  </si>
  <si>
    <t>2580924533</t>
  </si>
  <si>
    <t>2581422662</t>
  </si>
  <si>
    <t>7880065151</t>
  </si>
  <si>
    <t>7880060109</t>
  </si>
  <si>
    <t>1870224466</t>
  </si>
  <si>
    <t>5090001835</t>
  </si>
  <si>
    <t>1071046341</t>
  </si>
  <si>
    <t>7900000060</t>
  </si>
  <si>
    <t>0101227773</t>
  </si>
  <si>
    <t>0101227200</t>
  </si>
  <si>
    <t>4681121808</t>
  </si>
  <si>
    <t>0884664663</t>
  </si>
  <si>
    <t>2019-13.500.000</t>
  </si>
  <si>
    <t>2581427711</t>
  </si>
  <si>
    <t>2020-6.500.000</t>
  </si>
  <si>
    <t>0881212080</t>
  </si>
  <si>
    <t>0180793500</t>
  </si>
  <si>
    <t>2018-5.000.000</t>
  </si>
  <si>
    <t>2018-5.000000</t>
  </si>
  <si>
    <t>0101137618</t>
  </si>
  <si>
    <t>2019-20.000.000</t>
  </si>
  <si>
    <t>2019-2.500.000</t>
  </si>
  <si>
    <t>2020-20.000.000</t>
  </si>
  <si>
    <t>2020-2.500.000</t>
  </si>
  <si>
    <t>0180699996</t>
  </si>
  <si>
    <t>0101710644</t>
  </si>
  <si>
    <t>0101384135</t>
  </si>
  <si>
    <t>INDIASWARI P</t>
  </si>
  <si>
    <t>0881123354</t>
  </si>
  <si>
    <t>7880064244</t>
  </si>
  <si>
    <t>0881079240</t>
  </si>
  <si>
    <t>0880818619</t>
  </si>
  <si>
    <t>2150227766</t>
  </si>
  <si>
    <t>2580909909</t>
  </si>
  <si>
    <t>1500471006</t>
  </si>
  <si>
    <t>0101138673</t>
  </si>
  <si>
    <t>8290149798</t>
  </si>
  <si>
    <t>1870360378</t>
  </si>
  <si>
    <t>0180123318</t>
  </si>
  <si>
    <t>2131039150</t>
  </si>
  <si>
    <t>3251033577</t>
  </si>
  <si>
    <t>3251098253</t>
  </si>
  <si>
    <t>3640842341</t>
  </si>
  <si>
    <t>3251073595</t>
  </si>
  <si>
    <t>0181195257</t>
  </si>
  <si>
    <t>4681157250</t>
  </si>
  <si>
    <t>4681084848</t>
  </si>
  <si>
    <t>7250026565</t>
  </si>
  <si>
    <t>0880432508</t>
  </si>
  <si>
    <t>0360208966</t>
  </si>
  <si>
    <t>0106001493</t>
  </si>
  <si>
    <t>2130277007</t>
  </si>
  <si>
    <t>2580729994</t>
  </si>
  <si>
    <t>2560021090</t>
  </si>
  <si>
    <t>7880044910</t>
  </si>
  <si>
    <t>0181195931</t>
  </si>
  <si>
    <t>0182930600</t>
  </si>
  <si>
    <t>0881177713</t>
  </si>
  <si>
    <t>0101173797</t>
  </si>
  <si>
    <t>0880429957</t>
  </si>
  <si>
    <t>0640063360</t>
  </si>
  <si>
    <t>0880448455</t>
  </si>
  <si>
    <t>0884342429</t>
  </si>
  <si>
    <t>1300131863</t>
  </si>
  <si>
    <t>1520360006</t>
  </si>
  <si>
    <t>7240033440 - K</t>
  </si>
  <si>
    <t>2131028000 - B</t>
  </si>
  <si>
    <t>7900000060 - B</t>
  </si>
  <si>
    <t>7900999997 - K</t>
  </si>
  <si>
    <t>0361035517</t>
  </si>
  <si>
    <t>4681167778</t>
  </si>
  <si>
    <t>0101353108</t>
  </si>
  <si>
    <t>3300152715 - B</t>
  </si>
  <si>
    <t>3300255557 - K</t>
  </si>
  <si>
    <t>8290107301</t>
  </si>
  <si>
    <t>2581422883 - B</t>
  </si>
  <si>
    <t>2580913302 - K</t>
  </si>
  <si>
    <t>1870226400</t>
  </si>
  <si>
    <t>1870226001</t>
  </si>
  <si>
    <t>7880069696</t>
  </si>
  <si>
    <t>0101213314</t>
  </si>
  <si>
    <t>4650299987</t>
  </si>
  <si>
    <t>0641001456</t>
  </si>
  <si>
    <t>0180239251</t>
  </si>
  <si>
    <t>0101120391</t>
  </si>
  <si>
    <t>8290108625-K</t>
  </si>
  <si>
    <t>8290121991-B</t>
  </si>
  <si>
    <t>8220686869</t>
  </si>
  <si>
    <t>8220213421</t>
  </si>
  <si>
    <t>0880425781</t>
  </si>
  <si>
    <t>4689999805</t>
  </si>
  <si>
    <t>0881170522</t>
  </si>
  <si>
    <t>0889779880</t>
  </si>
  <si>
    <t>0183808084</t>
  </si>
  <si>
    <t>0881129581-B</t>
  </si>
  <si>
    <t>0880888889-K</t>
  </si>
  <si>
    <t>0881210982</t>
  </si>
  <si>
    <t>0180480005</t>
  </si>
  <si>
    <t>8290121141-S</t>
  </si>
  <si>
    <t>8290121559-S</t>
  </si>
  <si>
    <t>MAJALAYA</t>
  </si>
  <si>
    <t>BUNGA GGL DBT DILUAR NOR JUNI'15</t>
  </si>
  <si>
    <t>BUNGA GGL DBT DILUAR NOR JULI'15</t>
  </si>
  <si>
    <t>BUNGA GGL DBT DILUAR NOR AGTS'15</t>
  </si>
  <si>
    <t>DAFTAR DENDA PINJAMAN DILUAR NORMATIF TGL 01-24 JULI 2018 (UPLOAD)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</si>
  <si>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</si>
  <si>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</si>
  <si>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</si>
  <si>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</si>
  <si>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</si>
  <si>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</si>
  <si>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</si>
  <si>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</si>
  <si>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 GGL DBT PIJ DILUAR NOR PEB'18</t>
  </si>
  <si>
    <t>DEND GGL DBT DN APRL2018</t>
  </si>
  <si>
    <t>DEND GGL DBT APRL 2018</t>
  </si>
  <si>
    <t>DENDA GGL DBT DILUAR NOR NOP'16</t>
  </si>
  <si>
    <t>DENDA GGL DBT DILUAR NOR DES'16</t>
  </si>
  <si>
    <t>DENDA GGL DBT DILUAR NOR PEB'17</t>
  </si>
  <si>
    <t>DENDA GGL DBT DILUAR NOR MRT'17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</si>
  <si>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</si>
  <si>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</si>
  <si>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</si>
  <si>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</si>
  <si>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</si>
  <si>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DILUAR NOR SEPT'16</t>
  </si>
  <si>
    <t>DENDA GGL DBT DILUAR NOR OKT'16</t>
  </si>
  <si>
    <t>DENDA GGL DBT D NOR PEB 2016</t>
  </si>
  <si>
    <t>DENDA GGL DBT DILUAR NOR MRT'16</t>
  </si>
  <si>
    <t>DEND DN GGL DBT MEI2018</t>
  </si>
  <si>
    <t>DEND DN GGL DBT JUNI2018</t>
  </si>
  <si>
    <t>DAFTAR BUNGA PINJAMAN DILUAR NORMATIF TGL 01-24 JULI 2018 (UPLOAD)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</si>
  <si>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</si>
  <si>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</si>
  <si>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</si>
  <si>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</si>
  <si>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</si>
  <si>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</si>
  <si>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</si>
  <si>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</si>
  <si>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</si>
  <si>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</si>
  <si>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</si>
  <si>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</si>
  <si>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</si>
  <si>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</si>
  <si>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</si>
  <si>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</si>
  <si>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</si>
  <si>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BG GGL DBT PIJ DILUAR NOR NOP'17</t>
  </si>
  <si>
    <t>BG GGL DBT PIJ DILUAR NOR DES'17</t>
  </si>
  <si>
    <t>BG GGL DBT PIJ DILUAR NOR JAN'18</t>
  </si>
  <si>
    <t>BG GGL DBT PIJ DILUAR NOR PEB'18</t>
  </si>
  <si>
    <t>BG GGL DBT DN APRL2018</t>
  </si>
  <si>
    <t>BG GGL DBT APRL 2018</t>
  </si>
  <si>
    <t>BG DN GGL DBT MEI2018</t>
  </si>
  <si>
    <t>BG GGL DBT DILUAR NOR MEI'15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</si>
  <si>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</si>
  <si>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</si>
  <si>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</si>
  <si>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</si>
  <si>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</si>
  <si>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</si>
  <si>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</si>
  <si>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</si>
  <si>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</si>
  <si>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</si>
  <si>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BUNGA DN GGL DBT JUNI2018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</si>
</sst>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21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0" fontId="3" fillId="0" borderId="4" xfId="0" quotePrefix="1" applyFont="1" applyFill="1" applyBorder="1"/>
    <xf numFmtId="0" fontId="3" fillId="0" borderId="4" xfId="0" applyFont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 applyAlignment="1"/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0" borderId="4" xfId="1" applyFont="1" applyFill="1" applyBorder="1" applyAlignment="1">
      <alignment horizontal="right"/>
    </xf>
    <xf numFmtId="39" fontId="3" fillId="2" borderId="4" xfId="1" applyNumberFormat="1" applyFont="1" applyFill="1" applyBorder="1" applyAlignment="1">
      <alignment horizontal="righ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5" fillId="0" borderId="4" xfId="1" applyFont="1" applyFill="1" applyBorder="1" applyAlignment="1">
      <alignment horizontal="lef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0" fontId="5" fillId="0" borderId="4" xfId="0" applyFont="1" applyBorder="1" applyAlignment="1">
      <alignment horizontal="left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15" fontId="3" fillId="0" borderId="4" xfId="0" applyNumberFormat="1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43" fontId="3" fillId="0" borderId="4" xfId="1" quotePrefix="1" applyFont="1" applyFill="1" applyBorder="1" applyAlignment="1">
      <alignment horizontal="center"/>
    </xf>
    <xf numFmtId="49" fontId="3" fillId="0" borderId="4" xfId="1" applyNumberFormat="1" applyFont="1" applyFill="1" applyBorder="1" applyAlignment="1">
      <alignment horizontal="center"/>
    </xf>
    <xf numFmtId="0" fontId="3" fillId="3" borderId="4" xfId="0" quotePrefix="1" applyFont="1" applyFill="1" applyBorder="1"/>
    <xf numFmtId="165" fontId="3" fillId="3" borderId="4" xfId="0" applyNumberFormat="1" applyFont="1" applyFill="1" applyBorder="1"/>
    <xf numFmtId="165" fontId="3" fillId="3" borderId="4" xfId="2" applyNumberFormat="1" applyFont="1" applyFill="1" applyBorder="1" applyAlignment="1">
      <alignment horizontal="right"/>
    </xf>
    <xf numFmtId="43" fontId="3" fillId="3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3" fontId="3" fillId="0" borderId="0" xfId="0" applyNumberFormat="1" applyFont="1" applyFill="1"/>
    <xf numFmtId="164" fontId="3" fillId="3" borderId="4" xfId="1" quotePrefix="1" applyNumberFormat="1" applyFont="1" applyFill="1" applyBorder="1" applyAlignment="1">
      <alignment horizontal="center"/>
    </xf>
    <xf numFmtId="43" fontId="3" fillId="3" borderId="4" xfId="2" applyNumberFormat="1" applyFont="1" applyFill="1" applyBorder="1"/>
    <xf numFmtId="165" fontId="3" fillId="4" borderId="4" xfId="2" applyNumberFormat="1" applyFont="1" applyFill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43" fontId="3" fillId="0" borderId="4" xfId="1" quotePrefix="1" applyFont="1" applyFill="1" applyBorder="1"/>
    <xf numFmtId="39" fontId="5" fillId="0" borderId="4" xfId="2" applyNumberFormat="1" applyFont="1" applyFill="1" applyBorder="1" applyAlignment="1">
      <alignment horizontal="left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5" fillId="0" borderId="5" xfId="0" applyFont="1" applyBorder="1"/>
    <xf numFmtId="0" fontId="3" fillId="0" borderId="0" xfId="0" applyFont="1"/>
    <xf numFmtId="41" fontId="3" fillId="0" borderId="4" xfId="2" applyFont="1" applyFill="1" applyBorder="1" applyAlignment="1">
      <alignment horizontal="right"/>
    </xf>
    <xf numFmtId="0" fontId="5" fillId="0" borderId="5" xfId="0" applyFont="1" applyFill="1" applyBorder="1"/>
    <xf numFmtId="43" fontId="10" fillId="3" borderId="4" xfId="1" applyFont="1" applyFill="1" applyBorder="1"/>
    <xf numFmtId="164" fontId="3" fillId="3" borderId="4" xfId="0" applyNumberFormat="1" applyFont="1" applyFill="1" applyBorder="1" applyAlignment="1">
      <alignment horizontal="center"/>
    </xf>
    <xf numFmtId="39" fontId="3" fillId="2" borderId="4" xfId="1" applyNumberFormat="1" applyFont="1" applyFill="1" applyBorder="1"/>
    <xf numFmtId="0" fontId="5" fillId="0" borderId="5" xfId="0" applyFont="1" applyFill="1" applyBorder="1" applyAlignment="1">
      <alignment horizontal="left"/>
    </xf>
    <xf numFmtId="41" fontId="3" fillId="0" borderId="4" xfId="2" applyFont="1" applyFill="1" applyBorder="1"/>
    <xf numFmtId="166" fontId="3" fillId="0" borderId="4" xfId="1" applyNumberFormat="1" applyFont="1" applyFill="1" applyBorder="1" applyAlignment="1">
      <alignment horizontal="center"/>
    </xf>
    <xf numFmtId="43" fontId="5" fillId="0" borderId="5" xfId="1" applyFont="1" applyFill="1" applyBorder="1" applyAlignment="1">
      <alignment horizontal="left"/>
    </xf>
    <xf numFmtId="165" fontId="3" fillId="2" borderId="4" xfId="2" applyNumberFormat="1" applyFont="1" applyFill="1" applyBorder="1"/>
    <xf numFmtId="43" fontId="3" fillId="3" borderId="4" xfId="1" quotePrefix="1" applyFont="1" applyFill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0" quotePrefix="1" applyFont="1" applyBorder="1"/>
    <xf numFmtId="43" fontId="3" fillId="0" borderId="4" xfId="1" quotePrefix="1" applyFont="1" applyBorder="1"/>
    <xf numFmtId="0" fontId="10" fillId="0" borderId="4" xfId="0" applyFont="1" applyBorder="1"/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43" fontId="7" fillId="0" borderId="0" xfId="0" applyNumberFormat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6" xfId="0" applyFont="1" applyFill="1" applyBorder="1"/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/>
    <xf numFmtId="0" fontId="3" fillId="0" borderId="3" xfId="0" applyFont="1" applyFill="1" applyBorder="1"/>
    <xf numFmtId="15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43" fontId="3" fillId="0" borderId="4" xfId="1" quotePrefix="1" applyFont="1" applyFill="1" applyBorder="1" applyAlignment="1"/>
    <xf numFmtId="43" fontId="3" fillId="0" borderId="0" xfId="1" quotePrefix="1" applyFont="1" applyFill="1" applyBorder="1" applyAlignment="1">
      <alignment horizontal="right"/>
    </xf>
    <xf numFmtId="43" fontId="3" fillId="0" borderId="0" xfId="1" quotePrefix="1" applyFont="1" applyFill="1" applyBorder="1" applyAlignment="1">
      <alignment horizontal="center"/>
    </xf>
    <xf numFmtId="43" fontId="3" fillId="0" borderId="0" xfId="1" quotePrefix="1" applyFont="1" applyFill="1" applyBorder="1"/>
    <xf numFmtId="0" fontId="3" fillId="0" borderId="0" xfId="0" quotePrefix="1" applyFont="1" applyBorder="1"/>
    <xf numFmtId="0" fontId="3" fillId="0" borderId="0" xfId="0" applyFont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0" fontId="6" fillId="0" borderId="4" xfId="0" quotePrefix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0" fontId="11" fillId="0" borderId="4" xfId="0" applyFont="1" applyFill="1" applyBorder="1"/>
    <xf numFmtId="0" fontId="11" fillId="0" borderId="4" xfId="0" applyFont="1" applyFill="1" applyBorder="1" applyAlignment="1">
      <alignment horizontal="center"/>
    </xf>
    <xf numFmtId="165" fontId="11" fillId="0" borderId="4" xfId="2" applyNumberFormat="1" applyFont="1" applyFill="1" applyBorder="1"/>
    <xf numFmtId="43" fontId="3" fillId="0" borderId="4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0" fillId="0" borderId="4" xfId="0" applyNumberFormat="1" applyFont="1" applyFill="1" applyBorder="1"/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1" fontId="3" fillId="0" borderId="4" xfId="2" quotePrefix="1" applyFont="1" applyFill="1" applyBorder="1" applyAlignment="1">
      <alignment horizontal="center"/>
    </xf>
    <xf numFmtId="41" fontId="3" fillId="0" borderId="0" xfId="2" quotePrefix="1" applyFont="1" applyFill="1" applyBorder="1" applyAlignment="1">
      <alignment horizontal="center"/>
    </xf>
    <xf numFmtId="165" fontId="3" fillId="0" borderId="4" xfId="2" quotePrefix="1" applyNumberFormat="1" applyFont="1" applyFill="1" applyBorder="1" applyAlignment="1">
      <alignment horizontal="right"/>
    </xf>
    <xf numFmtId="165" fontId="3" fillId="0" borderId="4" xfId="2" quotePrefix="1" applyNumberFormat="1" applyFont="1" applyFill="1" applyBorder="1"/>
    <xf numFmtId="41" fontId="3" fillId="0" borderId="4" xfId="2" quotePrefix="1" applyFont="1" applyBorder="1" applyAlignment="1">
      <alignment horizontal="center"/>
    </xf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39" fontId="3" fillId="0" borderId="4" xfId="1" applyNumberFormat="1" applyFont="1" applyFill="1" applyBorder="1"/>
    <xf numFmtId="43" fontId="3" fillId="0" borderId="4" xfId="1" applyFont="1" applyFill="1" applyBorder="1" applyAlignment="1">
      <alignment horizontal="left"/>
    </xf>
    <xf numFmtId="0" fontId="0" fillId="0" borderId="4" xfId="0" applyBorder="1"/>
    <xf numFmtId="43" fontId="0" fillId="0" borderId="4" xfId="0" applyNumberFormat="1" applyBorder="1"/>
    <xf numFmtId="0" fontId="12" fillId="0" borderId="0" xfId="0" applyFont="1" applyFill="1" applyBorder="1"/>
    <xf numFmtId="0" fontId="13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165" fontId="0" fillId="3" borderId="4" xfId="0" applyNumberFormat="1" applyFill="1" applyBorder="1"/>
    <xf numFmtId="43" fontId="3" fillId="3" borderId="4" xfId="0" applyNumberFormat="1" applyFont="1" applyFill="1" applyBorder="1" applyAlignment="1">
      <alignment horizontal="center"/>
    </xf>
    <xf numFmtId="43" fontId="0" fillId="3" borderId="4" xfId="1" applyFont="1" applyFill="1" applyBorder="1"/>
    <xf numFmtId="0" fontId="0" fillId="3" borderId="4" xfId="0" applyFill="1" applyBorder="1" applyAlignment="1">
      <alignment horizontal="center"/>
    </xf>
    <xf numFmtId="43" fontId="0" fillId="0" borderId="4" xfId="0" applyNumberFormat="1" applyFill="1" applyBorder="1"/>
    <xf numFmtId="43" fontId="0" fillId="0" borderId="4" xfId="1" applyFont="1" applyFill="1" applyBorder="1"/>
    <xf numFmtId="0" fontId="0" fillId="0" borderId="4" xfId="0" applyFill="1" applyBorder="1"/>
    <xf numFmtId="43" fontId="7" fillId="3" borderId="4" xfId="0" applyNumberFormat="1" applyFont="1" applyFill="1" applyBorder="1" applyAlignment="1">
      <alignment horizontal="right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right"/>
    </xf>
    <xf numFmtId="165" fontId="3" fillId="0" borderId="4" xfId="0" applyNumberFormat="1" applyFont="1" applyFill="1" applyBorder="1" applyAlignment="1">
      <alignment horizontal="right"/>
    </xf>
    <xf numFmtId="165" fontId="0" fillId="0" borderId="4" xfId="0" applyNumberFormat="1" applyBorder="1"/>
    <xf numFmtId="43" fontId="0" fillId="3" borderId="4" xfId="0" applyNumberFormat="1" applyFont="1" applyFill="1" applyBorder="1"/>
    <xf numFmtId="43" fontId="14" fillId="3" borderId="4" xfId="0" applyNumberFormat="1" applyFont="1" applyFill="1" applyBorder="1"/>
    <xf numFmtId="0" fontId="14" fillId="0" borderId="0" xfId="0" applyFont="1" applyFill="1"/>
    <xf numFmtId="165" fontId="14" fillId="3" borderId="4" xfId="0" applyNumberFormat="1" applyFont="1" applyFill="1" applyBorder="1"/>
    <xf numFmtId="0" fontId="14" fillId="0" borderId="4" xfId="0" applyFont="1" applyFill="1" applyBorder="1"/>
    <xf numFmtId="43" fontId="15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center"/>
    </xf>
    <xf numFmtId="43" fontId="7" fillId="0" borderId="4" xfId="0" applyNumberFormat="1" applyFont="1" applyFill="1" applyBorder="1" applyAlignment="1">
      <alignment horizontal="right"/>
    </xf>
    <xf numFmtId="43" fontId="3" fillId="0" borderId="4" xfId="0" applyNumberFormat="1" applyFont="1" applyFill="1" applyBorder="1" applyAlignment="1">
      <alignment horizontal="right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OPKAR%20MITSE%202018\KOMITSE2018\PINJAMAN%202018\JULI%202018\PJ%20DNORM\uplod%20dnor%20JULI2018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WL"/>
      <sheetName val="DNOR 1"/>
      <sheetName val="D N 2"/>
      <sheetName val="lain dn1"/>
      <sheetName val="lain dn2"/>
      <sheetName val="dend dn1"/>
      <sheetName val="dend dn2"/>
      <sheetName val="bg dn1"/>
      <sheetName val="bg dn2"/>
      <sheetName val="pel"/>
    </sheetNames>
    <sheetDataSet>
      <sheetData sheetId="0"/>
      <sheetData sheetId="1"/>
      <sheetData sheetId="2">
        <row r="27">
          <cell r="AF27">
            <v>25537500</v>
          </cell>
        </row>
        <row r="28">
          <cell r="AF28">
            <v>25865487</v>
          </cell>
        </row>
        <row r="29">
          <cell r="AF29">
            <v>29980000</v>
          </cell>
        </row>
        <row r="30">
          <cell r="AF30">
            <v>31202000</v>
          </cell>
        </row>
        <row r="31">
          <cell r="AF31">
            <v>16795000</v>
          </cell>
        </row>
        <row r="32">
          <cell r="AF32">
            <v>64715500</v>
          </cell>
        </row>
        <row r="33">
          <cell r="AF33">
            <v>44444000</v>
          </cell>
        </row>
        <row r="34">
          <cell r="AF34">
            <v>54424750</v>
          </cell>
        </row>
        <row r="35">
          <cell r="AF35">
            <v>54424750</v>
          </cell>
        </row>
        <row r="36">
          <cell r="AF36">
            <v>39875000</v>
          </cell>
        </row>
        <row r="37">
          <cell r="AF37">
            <v>30950000</v>
          </cell>
        </row>
        <row r="38">
          <cell r="AF38">
            <v>30950000</v>
          </cell>
        </row>
        <row r="39">
          <cell r="AF39">
            <v>16656000</v>
          </cell>
        </row>
        <row r="40">
          <cell r="AF40">
            <v>38888800</v>
          </cell>
        </row>
        <row r="41">
          <cell r="AF41">
            <v>19996000</v>
          </cell>
        </row>
        <row r="42">
          <cell r="AF42">
            <v>19996000</v>
          </cell>
        </row>
        <row r="43">
          <cell r="AF43">
            <v>4777565</v>
          </cell>
        </row>
        <row r="44">
          <cell r="AF44">
            <v>70830000</v>
          </cell>
        </row>
        <row r="45">
          <cell r="AF45">
            <v>174200000</v>
          </cell>
        </row>
        <row r="46">
          <cell r="AF46">
            <v>3645000</v>
          </cell>
        </row>
        <row r="47">
          <cell r="AF47">
            <v>56598295</v>
          </cell>
        </row>
        <row r="48">
          <cell r="AF48">
            <v>58342500</v>
          </cell>
        </row>
        <row r="49">
          <cell r="AF49">
            <v>58342500</v>
          </cell>
        </row>
        <row r="50">
          <cell r="AF50">
            <v>86360493</v>
          </cell>
        </row>
        <row r="51">
          <cell r="AF51">
            <v>86360493</v>
          </cell>
        </row>
        <row r="52">
          <cell r="AF52">
            <v>31193991</v>
          </cell>
        </row>
        <row r="53">
          <cell r="AF53">
            <v>31193991</v>
          </cell>
        </row>
        <row r="54">
          <cell r="AF54">
            <v>3888800</v>
          </cell>
        </row>
        <row r="55">
          <cell r="AF55">
            <v>18959984</v>
          </cell>
        </row>
        <row r="56">
          <cell r="AF56">
            <v>19447905</v>
          </cell>
        </row>
        <row r="57">
          <cell r="AF57">
            <v>24162000</v>
          </cell>
        </row>
        <row r="58">
          <cell r="AF58">
            <v>5050000</v>
          </cell>
        </row>
        <row r="59">
          <cell r="AF59">
            <v>55847275</v>
          </cell>
        </row>
        <row r="60">
          <cell r="AF60">
            <v>14426230</v>
          </cell>
        </row>
        <row r="61">
          <cell r="AF61">
            <v>10714773</v>
          </cell>
        </row>
        <row r="62">
          <cell r="AF62">
            <v>104165000</v>
          </cell>
        </row>
        <row r="63">
          <cell r="AF63">
            <v>94722000</v>
          </cell>
        </row>
        <row r="64">
          <cell r="AF64">
            <v>12496500</v>
          </cell>
        </row>
        <row r="65">
          <cell r="AF65">
            <v>6878542</v>
          </cell>
        </row>
        <row r="66">
          <cell r="AF66">
            <v>19790000</v>
          </cell>
        </row>
        <row r="67">
          <cell r="AF67">
            <v>12290500</v>
          </cell>
        </row>
        <row r="68">
          <cell r="AF68">
            <v>15121500</v>
          </cell>
        </row>
        <row r="69">
          <cell r="AF69">
            <v>6357827</v>
          </cell>
        </row>
        <row r="70">
          <cell r="AF70">
            <v>2500000</v>
          </cell>
        </row>
        <row r="71">
          <cell r="AF71">
            <v>15892820</v>
          </cell>
        </row>
        <row r="72">
          <cell r="AF72">
            <v>7800000</v>
          </cell>
        </row>
        <row r="73">
          <cell r="AF73">
            <v>7800000</v>
          </cell>
        </row>
        <row r="74">
          <cell r="AF74">
            <v>109772678</v>
          </cell>
        </row>
        <row r="75">
          <cell r="AF75">
            <v>110762836</v>
          </cell>
        </row>
        <row r="76">
          <cell r="AF76">
            <v>68245000</v>
          </cell>
        </row>
        <row r="77">
          <cell r="AF77">
            <v>34905140</v>
          </cell>
        </row>
        <row r="78">
          <cell r="AF78">
            <v>12638500</v>
          </cell>
        </row>
        <row r="79">
          <cell r="AF79">
            <v>12638500</v>
          </cell>
        </row>
        <row r="80">
          <cell r="AF80">
            <v>28320000</v>
          </cell>
        </row>
        <row r="81">
          <cell r="AF81">
            <v>58326000</v>
          </cell>
        </row>
        <row r="82">
          <cell r="AF82">
            <v>25000000</v>
          </cell>
        </row>
        <row r="83">
          <cell r="AF83">
            <v>38328000</v>
          </cell>
        </row>
        <row r="84">
          <cell r="AF84">
            <v>66620000</v>
          </cell>
        </row>
        <row r="85">
          <cell r="AF85">
            <v>8328000</v>
          </cell>
        </row>
        <row r="86">
          <cell r="AF86">
            <v>25965000</v>
          </cell>
        </row>
        <row r="87">
          <cell r="AF87">
            <v>27459282</v>
          </cell>
        </row>
        <row r="88">
          <cell r="AF88">
            <v>47222200</v>
          </cell>
        </row>
        <row r="89">
          <cell r="AF89">
            <v>42925261</v>
          </cell>
        </row>
        <row r="90">
          <cell r="AF90">
            <v>26984277</v>
          </cell>
        </row>
        <row r="91">
          <cell r="AF91">
            <v>5641500</v>
          </cell>
        </row>
        <row r="92">
          <cell r="AF92">
            <v>4000000</v>
          </cell>
        </row>
        <row r="93">
          <cell r="AF93">
            <v>193738400</v>
          </cell>
        </row>
        <row r="94">
          <cell r="AF94">
            <v>2640000</v>
          </cell>
        </row>
        <row r="95">
          <cell r="AF95">
            <v>15405000</v>
          </cell>
        </row>
        <row r="96">
          <cell r="AF96">
            <v>46364812</v>
          </cell>
        </row>
        <row r="97">
          <cell r="AF97">
            <v>5649251</v>
          </cell>
        </row>
        <row r="98">
          <cell r="AF98">
            <v>17657019</v>
          </cell>
        </row>
        <row r="99">
          <cell r="AF99">
            <v>21157019</v>
          </cell>
        </row>
        <row r="100">
          <cell r="AF100">
            <v>10015720</v>
          </cell>
        </row>
        <row r="101">
          <cell r="AF101">
            <v>18750000</v>
          </cell>
        </row>
        <row r="102">
          <cell r="AF102">
            <v>18750000</v>
          </cell>
        </row>
        <row r="103">
          <cell r="AF103">
            <v>4162000</v>
          </cell>
        </row>
        <row r="104">
          <cell r="AF104">
            <v>2612500</v>
          </cell>
        </row>
        <row r="105">
          <cell r="AF105">
            <v>23318000</v>
          </cell>
        </row>
        <row r="106">
          <cell r="AF106">
            <v>16198384</v>
          </cell>
        </row>
        <row r="107">
          <cell r="AF107">
            <v>17660000</v>
          </cell>
        </row>
        <row r="108">
          <cell r="AF108">
            <v>12650450</v>
          </cell>
        </row>
        <row r="109">
          <cell r="AF109">
            <v>69351122</v>
          </cell>
        </row>
        <row r="110">
          <cell r="AF110">
            <v>69351121</v>
          </cell>
        </row>
        <row r="111">
          <cell r="AF111">
            <v>58342500</v>
          </cell>
        </row>
        <row r="112">
          <cell r="AF112">
            <v>58342500</v>
          </cell>
        </row>
        <row r="113">
          <cell r="AF113">
            <v>42140000</v>
          </cell>
        </row>
        <row r="114">
          <cell r="AF114">
            <v>41664000</v>
          </cell>
        </row>
        <row r="115">
          <cell r="AF115">
            <v>27762500</v>
          </cell>
        </row>
        <row r="116">
          <cell r="AF116">
            <v>388839000</v>
          </cell>
        </row>
        <row r="117">
          <cell r="AF117">
            <v>113783650</v>
          </cell>
        </row>
        <row r="118">
          <cell r="AF118">
            <v>113783649</v>
          </cell>
        </row>
        <row r="119">
          <cell r="AF119">
            <v>73467968</v>
          </cell>
        </row>
        <row r="120">
          <cell r="AF120">
            <v>42194474</v>
          </cell>
        </row>
        <row r="121">
          <cell r="AF121">
            <v>42194474</v>
          </cell>
        </row>
        <row r="122">
          <cell r="AF122">
            <v>90600000</v>
          </cell>
        </row>
        <row r="123">
          <cell r="AF123">
            <v>1516800</v>
          </cell>
        </row>
        <row r="124">
          <cell r="AF124">
            <v>155810851</v>
          </cell>
        </row>
        <row r="125">
          <cell r="AF125">
            <v>155810852</v>
          </cell>
        </row>
        <row r="126">
          <cell r="AF126">
            <v>34162000</v>
          </cell>
        </row>
        <row r="127">
          <cell r="AF127">
            <v>123745000</v>
          </cell>
        </row>
        <row r="128">
          <cell r="AF128">
            <v>93009120</v>
          </cell>
        </row>
        <row r="129">
          <cell r="AF129">
            <v>9583300</v>
          </cell>
        </row>
        <row r="130">
          <cell r="AF130">
            <v>10704776</v>
          </cell>
        </row>
        <row r="131">
          <cell r="AF131">
            <v>10704776</v>
          </cell>
        </row>
        <row r="132">
          <cell r="AF132">
            <v>46254290</v>
          </cell>
        </row>
        <row r="133">
          <cell r="AF133">
            <v>42212599</v>
          </cell>
        </row>
        <row r="134">
          <cell r="AF134">
            <v>87453169</v>
          </cell>
        </row>
        <row r="135">
          <cell r="AF135">
            <v>87453177</v>
          </cell>
        </row>
        <row r="136">
          <cell r="AF136">
            <v>1683500</v>
          </cell>
        </row>
        <row r="137">
          <cell r="AF137">
            <v>21304402</v>
          </cell>
        </row>
        <row r="138">
          <cell r="AF138">
            <v>22545788</v>
          </cell>
        </row>
        <row r="139">
          <cell r="AF139">
            <v>7081000</v>
          </cell>
        </row>
        <row r="140">
          <cell r="AF140">
            <v>31104000</v>
          </cell>
        </row>
        <row r="141">
          <cell r="AF141">
            <v>35111500</v>
          </cell>
        </row>
        <row r="142">
          <cell r="AF142">
            <v>159988213</v>
          </cell>
        </row>
        <row r="143">
          <cell r="AF143">
            <v>159988213</v>
          </cell>
        </row>
        <row r="144">
          <cell r="AF144">
            <v>19750420</v>
          </cell>
        </row>
        <row r="145">
          <cell r="AF145">
            <v>57162501</v>
          </cell>
        </row>
        <row r="146">
          <cell r="AF146">
            <v>22878565</v>
          </cell>
        </row>
        <row r="147">
          <cell r="AF147">
            <v>78939323</v>
          </cell>
        </row>
        <row r="148">
          <cell r="AF148">
            <v>78939322</v>
          </cell>
        </row>
        <row r="149">
          <cell r="AF149">
            <v>4721500</v>
          </cell>
        </row>
        <row r="150">
          <cell r="AF150">
            <v>4721500</v>
          </cell>
        </row>
        <row r="151">
          <cell r="AF151">
            <v>16348660</v>
          </cell>
        </row>
        <row r="152">
          <cell r="AF152">
            <v>26100000</v>
          </cell>
        </row>
        <row r="153">
          <cell r="AF153">
            <v>22916600</v>
          </cell>
        </row>
        <row r="154">
          <cell r="AF154">
            <v>212274141</v>
          </cell>
        </row>
        <row r="155">
          <cell r="AF155">
            <v>1109600</v>
          </cell>
        </row>
        <row r="156">
          <cell r="AF156">
            <v>29160000</v>
          </cell>
        </row>
        <row r="157">
          <cell r="AF157">
            <v>29160000</v>
          </cell>
        </row>
        <row r="158">
          <cell r="AF158">
            <v>68516683</v>
          </cell>
        </row>
        <row r="159">
          <cell r="AF159">
            <v>48610000</v>
          </cell>
        </row>
        <row r="160">
          <cell r="AF160">
            <v>261095154</v>
          </cell>
        </row>
        <row r="161">
          <cell r="AF161">
            <v>254050400</v>
          </cell>
        </row>
        <row r="162">
          <cell r="AF162">
            <v>4000000</v>
          </cell>
        </row>
        <row r="163">
          <cell r="AF163">
            <v>13091977</v>
          </cell>
        </row>
        <row r="164">
          <cell r="AF164">
            <v>25787500</v>
          </cell>
        </row>
        <row r="165">
          <cell r="AF165">
            <v>25787500</v>
          </cell>
        </row>
        <row r="166">
          <cell r="AF166">
            <v>95454000</v>
          </cell>
        </row>
        <row r="167">
          <cell r="AF167">
            <v>85833000</v>
          </cell>
        </row>
        <row r="168">
          <cell r="AF168">
            <v>58230000</v>
          </cell>
        </row>
        <row r="169">
          <cell r="AF169">
            <v>22800000</v>
          </cell>
        </row>
        <row r="170">
          <cell r="AF170">
            <v>32840000</v>
          </cell>
        </row>
        <row r="171">
          <cell r="AF171">
            <v>48337990</v>
          </cell>
        </row>
        <row r="172">
          <cell r="AF172">
            <v>48337991</v>
          </cell>
        </row>
        <row r="173">
          <cell r="AF173">
            <v>3600000</v>
          </cell>
        </row>
        <row r="174">
          <cell r="AF174">
            <v>49996000</v>
          </cell>
        </row>
        <row r="175">
          <cell r="AF175">
            <v>49996000</v>
          </cell>
        </row>
        <row r="176">
          <cell r="AF176">
            <v>26400000</v>
          </cell>
        </row>
        <row r="177">
          <cell r="AF177">
            <v>48666600</v>
          </cell>
        </row>
        <row r="178">
          <cell r="AF178">
            <v>86285000</v>
          </cell>
        </row>
        <row r="179">
          <cell r="AF179">
            <v>86285000</v>
          </cell>
        </row>
        <row r="180">
          <cell r="AF180">
            <v>10000000</v>
          </cell>
        </row>
        <row r="181">
          <cell r="AF181">
            <v>31800000</v>
          </cell>
        </row>
        <row r="182">
          <cell r="AF182">
            <v>25700000</v>
          </cell>
        </row>
        <row r="183">
          <cell r="AF183">
            <v>48800000</v>
          </cell>
        </row>
        <row r="184">
          <cell r="AF184">
            <v>42500000</v>
          </cell>
        </row>
        <row r="185">
          <cell r="AF185">
            <v>42500000</v>
          </cell>
        </row>
        <row r="186">
          <cell r="AF186">
            <v>119298899</v>
          </cell>
        </row>
        <row r="187">
          <cell r="AF187">
            <v>21702500</v>
          </cell>
        </row>
        <row r="188">
          <cell r="AF188">
            <v>21702500</v>
          </cell>
        </row>
        <row r="189">
          <cell r="AF189">
            <v>34602590</v>
          </cell>
        </row>
        <row r="190">
          <cell r="AF190">
            <v>48389550</v>
          </cell>
        </row>
        <row r="191">
          <cell r="AF191">
            <v>37499000</v>
          </cell>
        </row>
        <row r="192">
          <cell r="AF192">
            <v>28900000</v>
          </cell>
        </row>
        <row r="193">
          <cell r="AF193">
            <v>28900000</v>
          </cell>
        </row>
        <row r="194">
          <cell r="AF194">
            <v>94635617</v>
          </cell>
        </row>
        <row r="195">
          <cell r="AF195">
            <v>650000</v>
          </cell>
        </row>
        <row r="196">
          <cell r="AF196">
            <v>650000</v>
          </cell>
        </row>
        <row r="197">
          <cell r="AF197">
            <v>28333200</v>
          </cell>
        </row>
        <row r="198">
          <cell r="AF198">
            <v>123611100</v>
          </cell>
        </row>
        <row r="199">
          <cell r="AF199">
            <v>123611100</v>
          </cell>
        </row>
        <row r="200">
          <cell r="AF200">
            <v>48545801</v>
          </cell>
        </row>
        <row r="201">
          <cell r="AF201">
            <v>44294991</v>
          </cell>
        </row>
        <row r="202">
          <cell r="AF202">
            <v>34110000</v>
          </cell>
        </row>
        <row r="203">
          <cell r="AF203">
            <v>34110000</v>
          </cell>
        </row>
        <row r="204">
          <cell r="AF204">
            <v>638644</v>
          </cell>
        </row>
        <row r="205">
          <cell r="AF205">
            <v>44565000</v>
          </cell>
        </row>
        <row r="206">
          <cell r="AF206">
            <v>44565000</v>
          </cell>
        </row>
        <row r="207">
          <cell r="AF207">
            <v>275112465</v>
          </cell>
        </row>
        <row r="208">
          <cell r="AF208">
            <v>283750000</v>
          </cell>
        </row>
        <row r="209">
          <cell r="AF209">
            <v>23514060</v>
          </cell>
        </row>
        <row r="210">
          <cell r="AF210">
            <v>23931351</v>
          </cell>
        </row>
        <row r="211">
          <cell r="AF211">
            <v>99147943</v>
          </cell>
        </row>
        <row r="212">
          <cell r="AF212">
            <v>74800000</v>
          </cell>
        </row>
        <row r="213">
          <cell r="AF213">
            <v>24162000</v>
          </cell>
        </row>
        <row r="214">
          <cell r="AF214">
            <v>2068000</v>
          </cell>
        </row>
        <row r="215">
          <cell r="AF215">
            <v>1664000</v>
          </cell>
        </row>
        <row r="216">
          <cell r="AF216">
            <v>2494000</v>
          </cell>
        </row>
        <row r="217">
          <cell r="AF217">
            <v>1110400</v>
          </cell>
        </row>
        <row r="218">
          <cell r="AF218">
            <v>62582800</v>
          </cell>
        </row>
        <row r="219">
          <cell r="AF219">
            <v>49580000</v>
          </cell>
        </row>
        <row r="220">
          <cell r="AF220">
            <v>23721595</v>
          </cell>
        </row>
        <row r="221">
          <cell r="AF221">
            <v>3700147</v>
          </cell>
        </row>
        <row r="222">
          <cell r="AF222">
            <v>3700169</v>
          </cell>
        </row>
        <row r="223">
          <cell r="AF223">
            <v>68360047</v>
          </cell>
        </row>
        <row r="224">
          <cell r="AF224">
            <v>37296883</v>
          </cell>
        </row>
        <row r="225">
          <cell r="AF225">
            <v>25537500</v>
          </cell>
        </row>
        <row r="226">
          <cell r="AF226">
            <v>71729800</v>
          </cell>
        </row>
        <row r="227">
          <cell r="AF227">
            <v>38816891</v>
          </cell>
        </row>
        <row r="228">
          <cell r="AF228">
            <v>38816892</v>
          </cell>
        </row>
        <row r="229">
          <cell r="AF229">
            <v>124400000</v>
          </cell>
        </row>
        <row r="230">
          <cell r="AF230">
            <v>16174750</v>
          </cell>
        </row>
        <row r="231">
          <cell r="AF231">
            <v>16174750</v>
          </cell>
        </row>
        <row r="232">
          <cell r="AF232">
            <v>19277114</v>
          </cell>
        </row>
        <row r="233">
          <cell r="AF233">
            <v>19277115</v>
          </cell>
        </row>
        <row r="234">
          <cell r="AF234">
            <v>30552500</v>
          </cell>
        </row>
        <row r="235">
          <cell r="AF235">
            <v>30552500</v>
          </cell>
        </row>
        <row r="236">
          <cell r="AF236">
            <v>68000000</v>
          </cell>
        </row>
        <row r="237">
          <cell r="AF237">
            <v>97233200</v>
          </cell>
        </row>
        <row r="238">
          <cell r="AF238">
            <v>44329826</v>
          </cell>
        </row>
        <row r="239">
          <cell r="AF239">
            <v>44329827</v>
          </cell>
        </row>
        <row r="240">
          <cell r="AF240">
            <v>57286915</v>
          </cell>
        </row>
        <row r="241">
          <cell r="AF241">
            <v>91900000</v>
          </cell>
        </row>
        <row r="242">
          <cell r="AF242">
            <v>10740811</v>
          </cell>
        </row>
        <row r="243">
          <cell r="AF243">
            <v>49990000</v>
          </cell>
        </row>
        <row r="244">
          <cell r="AF244">
            <v>7498000</v>
          </cell>
        </row>
        <row r="245">
          <cell r="AF245">
            <v>36663000</v>
          </cell>
        </row>
        <row r="246">
          <cell r="AF246">
            <v>37357750</v>
          </cell>
        </row>
        <row r="247">
          <cell r="AF247">
            <v>1455000</v>
          </cell>
        </row>
        <row r="248">
          <cell r="AF248">
            <v>21530000</v>
          </cell>
        </row>
        <row r="249">
          <cell r="AF249">
            <v>21530000</v>
          </cell>
        </row>
        <row r="250">
          <cell r="AF250">
            <v>25568146</v>
          </cell>
        </row>
        <row r="251">
          <cell r="AF251">
            <v>25568146</v>
          </cell>
        </row>
        <row r="252">
          <cell r="AF252">
            <v>2000000</v>
          </cell>
        </row>
        <row r="253">
          <cell r="AF253">
            <v>61926604</v>
          </cell>
        </row>
        <row r="254">
          <cell r="AF254">
            <v>77704684</v>
          </cell>
        </row>
        <row r="255">
          <cell r="AF255">
            <v>31607110</v>
          </cell>
        </row>
        <row r="256">
          <cell r="AF256">
            <v>31607110</v>
          </cell>
        </row>
        <row r="257">
          <cell r="AF257">
            <v>2637000</v>
          </cell>
        </row>
        <row r="258">
          <cell r="AF258">
            <v>1104000</v>
          </cell>
        </row>
        <row r="259">
          <cell r="AF259">
            <v>87660000</v>
          </cell>
        </row>
        <row r="260">
          <cell r="AF260">
            <v>2700000</v>
          </cell>
        </row>
        <row r="261">
          <cell r="AF261">
            <v>55200000</v>
          </cell>
        </row>
        <row r="262">
          <cell r="AF262">
            <v>55200000</v>
          </cell>
        </row>
        <row r="263">
          <cell r="AF263">
            <v>26600000</v>
          </cell>
        </row>
        <row r="264">
          <cell r="AF264">
            <v>26600000</v>
          </cell>
        </row>
        <row r="265">
          <cell r="AF265">
            <v>41200000</v>
          </cell>
        </row>
        <row r="266">
          <cell r="AF266">
            <v>143338000</v>
          </cell>
        </row>
        <row r="267">
          <cell r="AF267">
            <v>53025536</v>
          </cell>
        </row>
        <row r="268">
          <cell r="AF268">
            <v>53025530</v>
          </cell>
        </row>
        <row r="269">
          <cell r="AF269">
            <v>917500</v>
          </cell>
        </row>
        <row r="270">
          <cell r="AF270">
            <v>39500000</v>
          </cell>
        </row>
        <row r="271">
          <cell r="AF271">
            <v>28189000</v>
          </cell>
        </row>
        <row r="272">
          <cell r="AF272">
            <v>37100000</v>
          </cell>
        </row>
        <row r="273">
          <cell r="AF273">
            <v>37100000</v>
          </cell>
        </row>
        <row r="274">
          <cell r="AF274">
            <v>49800000</v>
          </cell>
        </row>
        <row r="275">
          <cell r="AF275">
            <v>19984000</v>
          </cell>
        </row>
        <row r="276">
          <cell r="AF276">
            <v>27470000</v>
          </cell>
        </row>
        <row r="277">
          <cell r="AF277">
            <v>43749500</v>
          </cell>
        </row>
        <row r="278">
          <cell r="AF278">
            <v>55207750</v>
          </cell>
        </row>
        <row r="279">
          <cell r="AF279">
            <v>55207750</v>
          </cell>
        </row>
        <row r="280">
          <cell r="AF280">
            <v>32490000</v>
          </cell>
        </row>
        <row r="281">
          <cell r="AF281">
            <v>1700000</v>
          </cell>
        </row>
        <row r="282">
          <cell r="AF282">
            <v>96600000</v>
          </cell>
        </row>
        <row r="283">
          <cell r="AF283">
            <v>109830000</v>
          </cell>
        </row>
        <row r="284">
          <cell r="AF284">
            <v>46852128</v>
          </cell>
        </row>
        <row r="285">
          <cell r="AF285">
            <v>21603024</v>
          </cell>
        </row>
        <row r="286">
          <cell r="AF286">
            <v>53052000</v>
          </cell>
        </row>
        <row r="287">
          <cell r="AF287">
            <v>765638</v>
          </cell>
        </row>
        <row r="288">
          <cell r="AF288">
            <v>5724984</v>
          </cell>
        </row>
        <row r="289">
          <cell r="AF289">
            <v>76944000</v>
          </cell>
        </row>
        <row r="290">
          <cell r="AF290">
            <v>58903419</v>
          </cell>
        </row>
        <row r="291">
          <cell r="AF291">
            <v>177423431</v>
          </cell>
        </row>
        <row r="292">
          <cell r="AF292">
            <v>16008500</v>
          </cell>
        </row>
        <row r="293">
          <cell r="AF293">
            <v>34375000</v>
          </cell>
        </row>
        <row r="294">
          <cell r="AF294">
            <v>34375000</v>
          </cell>
        </row>
        <row r="295">
          <cell r="AF295">
            <v>23235923</v>
          </cell>
        </row>
        <row r="296">
          <cell r="AF296">
            <v>23235933</v>
          </cell>
        </row>
        <row r="297">
          <cell r="AF297">
            <v>31936500</v>
          </cell>
        </row>
        <row r="298">
          <cell r="AF298">
            <v>53770107</v>
          </cell>
        </row>
        <row r="299">
          <cell r="AF299">
            <v>37494000</v>
          </cell>
        </row>
        <row r="300">
          <cell r="AF300">
            <v>1578200</v>
          </cell>
        </row>
        <row r="301">
          <cell r="AF301">
            <v>21531957</v>
          </cell>
        </row>
        <row r="302">
          <cell r="AF302">
            <v>43526675</v>
          </cell>
        </row>
        <row r="303">
          <cell r="AF303">
            <v>100920648</v>
          </cell>
        </row>
        <row r="304">
          <cell r="AF304">
            <v>19250000</v>
          </cell>
        </row>
        <row r="305">
          <cell r="AF305">
            <v>19250000</v>
          </cell>
        </row>
        <row r="306">
          <cell r="AF306">
            <v>1186643</v>
          </cell>
        </row>
        <row r="307">
          <cell r="AF307">
            <v>1186643</v>
          </cell>
        </row>
        <row r="308">
          <cell r="AF308">
            <v>9325800</v>
          </cell>
        </row>
        <row r="309">
          <cell r="AF309">
            <v>53322000</v>
          </cell>
        </row>
        <row r="310">
          <cell r="AF310">
            <v>40277000</v>
          </cell>
        </row>
        <row r="311">
          <cell r="AF311">
            <v>16914004</v>
          </cell>
        </row>
        <row r="312">
          <cell r="AF312">
            <v>17251715</v>
          </cell>
        </row>
        <row r="313">
          <cell r="AF313">
            <v>3332000</v>
          </cell>
        </row>
        <row r="314">
          <cell r="AF314">
            <v>62747000</v>
          </cell>
        </row>
        <row r="315">
          <cell r="AF315">
            <v>36387000</v>
          </cell>
        </row>
        <row r="316">
          <cell r="AF316">
            <v>69105000</v>
          </cell>
        </row>
        <row r="317">
          <cell r="AF317">
            <v>58840000</v>
          </cell>
        </row>
        <row r="318">
          <cell r="AF318">
            <v>28363769</v>
          </cell>
        </row>
        <row r="319">
          <cell r="AF319">
            <v>33800000</v>
          </cell>
        </row>
        <row r="320">
          <cell r="AF320">
            <v>4500000</v>
          </cell>
        </row>
        <row r="321">
          <cell r="AF321">
            <v>32140036</v>
          </cell>
        </row>
        <row r="322">
          <cell r="AF322">
            <v>45611000</v>
          </cell>
        </row>
        <row r="323">
          <cell r="AF323">
            <v>57000000</v>
          </cell>
        </row>
        <row r="324">
          <cell r="AF324">
            <v>58914337</v>
          </cell>
        </row>
        <row r="325">
          <cell r="AF325">
            <v>29400000</v>
          </cell>
        </row>
        <row r="326">
          <cell r="AF326">
            <v>3431000</v>
          </cell>
        </row>
        <row r="327">
          <cell r="AF327">
            <v>93000000</v>
          </cell>
        </row>
        <row r="328">
          <cell r="AF328">
            <v>31696878</v>
          </cell>
        </row>
        <row r="329">
          <cell r="AF329">
            <v>31990907</v>
          </cell>
        </row>
        <row r="330">
          <cell r="AF330">
            <v>16026302</v>
          </cell>
        </row>
        <row r="331">
          <cell r="AF331">
            <v>16026302</v>
          </cell>
        </row>
        <row r="332">
          <cell r="AF332">
            <v>42400000</v>
          </cell>
        </row>
        <row r="333">
          <cell r="AF333">
            <v>98700000</v>
          </cell>
        </row>
        <row r="334">
          <cell r="AF334">
            <v>16872500</v>
          </cell>
        </row>
        <row r="335">
          <cell r="AF335">
            <v>16872500</v>
          </cell>
        </row>
        <row r="336">
          <cell r="AF336">
            <v>7500000</v>
          </cell>
        </row>
        <row r="337">
          <cell r="AF337">
            <v>33300000</v>
          </cell>
        </row>
        <row r="338">
          <cell r="AF338">
            <v>33300000</v>
          </cell>
        </row>
        <row r="339">
          <cell r="AF339">
            <v>165886830</v>
          </cell>
        </row>
        <row r="340">
          <cell r="AF340">
            <v>165886835</v>
          </cell>
        </row>
        <row r="341">
          <cell r="AF341">
            <v>66105000</v>
          </cell>
        </row>
        <row r="342">
          <cell r="AF342">
            <v>22999500</v>
          </cell>
        </row>
        <row r="343">
          <cell r="AF343">
            <v>22999500</v>
          </cell>
        </row>
        <row r="344">
          <cell r="AF344">
            <v>44293816</v>
          </cell>
        </row>
        <row r="345">
          <cell r="AF345">
            <v>27600000</v>
          </cell>
        </row>
        <row r="346">
          <cell r="AF346">
            <v>27600000</v>
          </cell>
        </row>
        <row r="347">
          <cell r="AF347">
            <v>43062381</v>
          </cell>
        </row>
        <row r="348">
          <cell r="AF348">
            <v>83174240</v>
          </cell>
        </row>
        <row r="349">
          <cell r="AF349">
            <v>4162000</v>
          </cell>
        </row>
        <row r="350">
          <cell r="AF350">
            <v>21549243</v>
          </cell>
        </row>
        <row r="351">
          <cell r="AF351">
            <v>48999000</v>
          </cell>
        </row>
        <row r="352">
          <cell r="AF352">
            <v>50040750</v>
          </cell>
        </row>
        <row r="353">
          <cell r="AF353">
            <v>72953621</v>
          </cell>
        </row>
        <row r="354">
          <cell r="AF354">
            <v>16664000</v>
          </cell>
        </row>
        <row r="355">
          <cell r="AF355">
            <v>5500000</v>
          </cell>
        </row>
        <row r="356">
          <cell r="AF356">
            <v>66027957</v>
          </cell>
        </row>
        <row r="357">
          <cell r="AF357">
            <v>66027958</v>
          </cell>
        </row>
        <row r="358">
          <cell r="AF358">
            <v>7931407</v>
          </cell>
        </row>
        <row r="359">
          <cell r="AF359">
            <v>33745000</v>
          </cell>
        </row>
        <row r="360">
          <cell r="AF360">
            <v>73957500</v>
          </cell>
        </row>
        <row r="361">
          <cell r="AF361">
            <v>73957500</v>
          </cell>
        </row>
        <row r="362">
          <cell r="AF362">
            <v>63553134</v>
          </cell>
        </row>
        <row r="363">
          <cell r="AF363">
            <v>63553133</v>
          </cell>
        </row>
        <row r="364">
          <cell r="AF364">
            <v>2150000</v>
          </cell>
        </row>
        <row r="365">
          <cell r="AF365">
            <v>37494500</v>
          </cell>
        </row>
        <row r="366">
          <cell r="AF366">
            <v>15374717</v>
          </cell>
        </row>
        <row r="367">
          <cell r="AF367">
            <v>15374725</v>
          </cell>
        </row>
        <row r="368">
          <cell r="AF368">
            <v>52404512</v>
          </cell>
        </row>
        <row r="369">
          <cell r="AF369">
            <v>52404515</v>
          </cell>
        </row>
        <row r="370">
          <cell r="AF370">
            <v>15060000</v>
          </cell>
        </row>
        <row r="371">
          <cell r="AF371">
            <v>15060000</v>
          </cell>
        </row>
        <row r="372">
          <cell r="AF372">
            <v>77756061</v>
          </cell>
        </row>
        <row r="373">
          <cell r="AF373">
            <v>34545000</v>
          </cell>
        </row>
        <row r="374">
          <cell r="AF374">
            <v>23779078</v>
          </cell>
        </row>
        <row r="375">
          <cell r="AF375">
            <v>23779079</v>
          </cell>
        </row>
        <row r="376">
          <cell r="AF376">
            <v>37220000</v>
          </cell>
        </row>
        <row r="377">
          <cell r="AF377">
            <v>34440000</v>
          </cell>
        </row>
        <row r="378">
          <cell r="AF378">
            <v>75301360</v>
          </cell>
        </row>
        <row r="379">
          <cell r="AF379">
            <v>4155000</v>
          </cell>
        </row>
        <row r="380">
          <cell r="AF380">
            <v>14996000</v>
          </cell>
        </row>
        <row r="381">
          <cell r="AF381">
            <v>33326000</v>
          </cell>
        </row>
        <row r="382">
          <cell r="AF382">
            <v>32555552</v>
          </cell>
        </row>
        <row r="383">
          <cell r="AF383">
            <v>27472000</v>
          </cell>
        </row>
        <row r="384">
          <cell r="AF384">
            <v>13320000</v>
          </cell>
        </row>
        <row r="385">
          <cell r="AF385">
            <v>186142641</v>
          </cell>
        </row>
        <row r="386">
          <cell r="AF386">
            <v>44444000</v>
          </cell>
        </row>
        <row r="387">
          <cell r="AF387">
            <v>5886529</v>
          </cell>
        </row>
        <row r="388">
          <cell r="AF388">
            <v>5886529</v>
          </cell>
        </row>
        <row r="389">
          <cell r="AF389">
            <v>65795000</v>
          </cell>
        </row>
        <row r="390">
          <cell r="AF390">
            <v>34440000</v>
          </cell>
        </row>
        <row r="391">
          <cell r="AF391">
            <v>60080000</v>
          </cell>
        </row>
        <row r="392">
          <cell r="AF392">
            <v>84721000</v>
          </cell>
        </row>
        <row r="393">
          <cell r="AF393">
            <v>84721000</v>
          </cell>
        </row>
        <row r="394">
          <cell r="AF394">
            <v>4721900</v>
          </cell>
        </row>
        <row r="395">
          <cell r="AF395">
            <v>81160000</v>
          </cell>
        </row>
        <row r="396">
          <cell r="AF396">
            <v>31457000</v>
          </cell>
        </row>
        <row r="397">
          <cell r="AF397">
            <v>31457000</v>
          </cell>
        </row>
        <row r="398">
          <cell r="AF398">
            <v>495400000</v>
          </cell>
        </row>
        <row r="399">
          <cell r="AF399">
            <v>70000000</v>
          </cell>
        </row>
        <row r="400">
          <cell r="AF400">
            <v>227828337</v>
          </cell>
        </row>
        <row r="401">
          <cell r="AF401">
            <v>21022435</v>
          </cell>
        </row>
        <row r="402">
          <cell r="AF402">
            <v>20997848</v>
          </cell>
        </row>
        <row r="403">
          <cell r="AF403">
            <v>65560000</v>
          </cell>
        </row>
        <row r="404">
          <cell r="AF404">
            <v>22350000</v>
          </cell>
        </row>
        <row r="405">
          <cell r="AF405">
            <v>49333300</v>
          </cell>
        </row>
        <row r="406">
          <cell r="AF406">
            <v>3689240</v>
          </cell>
        </row>
        <row r="407">
          <cell r="AF407">
            <v>24684201</v>
          </cell>
        </row>
        <row r="408">
          <cell r="AF408">
            <v>325776104</v>
          </cell>
        </row>
        <row r="409">
          <cell r="AF409">
            <v>3055400</v>
          </cell>
        </row>
        <row r="410">
          <cell r="AF410">
            <v>3055400</v>
          </cell>
        </row>
        <row r="411">
          <cell r="AF411">
            <v>131691137</v>
          </cell>
        </row>
        <row r="412">
          <cell r="AF412">
            <v>22384000</v>
          </cell>
        </row>
        <row r="413">
          <cell r="AF413">
            <v>8749000</v>
          </cell>
        </row>
        <row r="414">
          <cell r="AF414">
            <v>33052500</v>
          </cell>
        </row>
        <row r="415">
          <cell r="AF415">
            <v>33052500</v>
          </cell>
        </row>
        <row r="416">
          <cell r="AF416">
            <v>63078735</v>
          </cell>
        </row>
        <row r="417">
          <cell r="AF417">
            <v>61880000</v>
          </cell>
        </row>
        <row r="418">
          <cell r="AF418">
            <v>34935637</v>
          </cell>
        </row>
        <row r="419">
          <cell r="AF419">
            <v>81991669</v>
          </cell>
        </row>
        <row r="420">
          <cell r="AF420">
            <v>3000000</v>
          </cell>
        </row>
        <row r="421">
          <cell r="AF421">
            <v>127797312</v>
          </cell>
        </row>
        <row r="422">
          <cell r="AF422">
            <v>1761500</v>
          </cell>
        </row>
        <row r="423">
          <cell r="AF423">
            <v>30292910</v>
          </cell>
        </row>
        <row r="424">
          <cell r="AF424">
            <v>30864468</v>
          </cell>
        </row>
        <row r="425">
          <cell r="AF425">
            <v>206744388</v>
          </cell>
        </row>
        <row r="426">
          <cell r="AF426">
            <v>38888976</v>
          </cell>
        </row>
        <row r="427">
          <cell r="AF427">
            <v>20833332</v>
          </cell>
        </row>
        <row r="428">
          <cell r="AF428">
            <v>35337500</v>
          </cell>
        </row>
        <row r="429">
          <cell r="AF429">
            <v>35337500</v>
          </cell>
        </row>
        <row r="430">
          <cell r="AF430">
            <v>20820500</v>
          </cell>
        </row>
        <row r="431">
          <cell r="AF431">
            <v>199215203</v>
          </cell>
        </row>
        <row r="432">
          <cell r="AF432">
            <v>53327000</v>
          </cell>
        </row>
        <row r="433">
          <cell r="AF433">
            <v>53327000</v>
          </cell>
        </row>
        <row r="434">
          <cell r="AF434">
            <v>29619626</v>
          </cell>
        </row>
        <row r="435">
          <cell r="AF435">
            <v>34619615</v>
          </cell>
        </row>
        <row r="436">
          <cell r="AF436">
            <v>44444444</v>
          </cell>
        </row>
        <row r="437">
          <cell r="AF437">
            <v>33749500</v>
          </cell>
        </row>
        <row r="438">
          <cell r="AF438">
            <v>33749500</v>
          </cell>
        </row>
        <row r="439">
          <cell r="AF439">
            <v>32357750</v>
          </cell>
        </row>
        <row r="440">
          <cell r="AF440">
            <v>32357750</v>
          </cell>
        </row>
        <row r="441">
          <cell r="AF441">
            <v>52350000</v>
          </cell>
        </row>
        <row r="442">
          <cell r="AF442">
            <v>9750000</v>
          </cell>
        </row>
        <row r="443">
          <cell r="AF443">
            <v>9750000</v>
          </cell>
        </row>
        <row r="444">
          <cell r="AF444">
            <v>41200000</v>
          </cell>
        </row>
        <row r="445">
          <cell r="AF445">
            <v>32800000</v>
          </cell>
        </row>
        <row r="446">
          <cell r="AF446">
            <v>55664000</v>
          </cell>
        </row>
        <row r="447">
          <cell r="AF447">
            <v>29017275</v>
          </cell>
        </row>
        <row r="448">
          <cell r="AF448">
            <v>29721500</v>
          </cell>
        </row>
        <row r="449">
          <cell r="AF449">
            <v>5308513</v>
          </cell>
        </row>
        <row r="450">
          <cell r="AF450">
            <v>91031804</v>
          </cell>
        </row>
        <row r="451">
          <cell r="AF451">
            <v>86002593</v>
          </cell>
        </row>
        <row r="452">
          <cell r="AF452">
            <v>40120483</v>
          </cell>
        </row>
        <row r="453">
          <cell r="AF453">
            <v>45957978</v>
          </cell>
        </row>
        <row r="454">
          <cell r="AF454">
            <v>16100000</v>
          </cell>
        </row>
        <row r="455">
          <cell r="AF455">
            <v>47222200</v>
          </cell>
        </row>
        <row r="456">
          <cell r="AF456">
            <v>68045000</v>
          </cell>
        </row>
        <row r="457">
          <cell r="AF457">
            <v>34786000</v>
          </cell>
        </row>
        <row r="458">
          <cell r="AF458">
            <v>34786000</v>
          </cell>
        </row>
        <row r="459">
          <cell r="AF459">
            <v>78888000</v>
          </cell>
        </row>
        <row r="460">
          <cell r="AF460">
            <v>88429504</v>
          </cell>
        </row>
        <row r="461">
          <cell r="AF461">
            <v>59166600</v>
          </cell>
        </row>
        <row r="462">
          <cell r="AF462">
            <v>49600000</v>
          </cell>
        </row>
        <row r="463">
          <cell r="AF463">
            <v>49600000</v>
          </cell>
        </row>
        <row r="464">
          <cell r="AF464">
            <v>135000000</v>
          </cell>
        </row>
        <row r="465">
          <cell r="AF465">
            <v>90000000</v>
          </cell>
        </row>
        <row r="466">
          <cell r="AF466">
            <v>90000000</v>
          </cell>
        </row>
        <row r="467">
          <cell r="AF467">
            <v>88794000</v>
          </cell>
        </row>
        <row r="468">
          <cell r="AF468">
            <v>3208300</v>
          </cell>
        </row>
        <row r="469">
          <cell r="AF469">
            <v>4583300</v>
          </cell>
        </row>
        <row r="470">
          <cell r="AF470">
            <v>25395800</v>
          </cell>
        </row>
        <row r="471">
          <cell r="AF471">
            <v>79027500</v>
          </cell>
        </row>
        <row r="472">
          <cell r="AF472">
            <v>60325730</v>
          </cell>
        </row>
        <row r="473">
          <cell r="AF473">
            <v>101255817</v>
          </cell>
        </row>
        <row r="474">
          <cell r="AF474">
            <v>34652750</v>
          </cell>
        </row>
        <row r="475">
          <cell r="AF475">
            <v>34652750</v>
          </cell>
        </row>
        <row r="476">
          <cell r="AF476">
            <v>190666600</v>
          </cell>
        </row>
        <row r="477">
          <cell r="AF477">
            <v>25000000</v>
          </cell>
        </row>
        <row r="478">
          <cell r="AF478">
            <v>25000000</v>
          </cell>
        </row>
        <row r="479">
          <cell r="AF479">
            <v>25000000</v>
          </cell>
        </row>
        <row r="480">
          <cell r="AF480">
            <v>25000000</v>
          </cell>
        </row>
        <row r="481">
          <cell r="AF481">
            <v>40000000</v>
          </cell>
        </row>
        <row r="482">
          <cell r="AF482">
            <v>487146916</v>
          </cell>
        </row>
        <row r="483">
          <cell r="AF483">
            <v>243573458</v>
          </cell>
        </row>
        <row r="484">
          <cell r="AF484">
            <v>150000000</v>
          </cell>
        </row>
        <row r="485">
          <cell r="AF485">
            <v>95779381</v>
          </cell>
        </row>
        <row r="486">
          <cell r="AF486">
            <v>168063500</v>
          </cell>
        </row>
        <row r="487">
          <cell r="AF487">
            <v>100000000</v>
          </cell>
        </row>
        <row r="488">
          <cell r="AF488">
            <v>75000000</v>
          </cell>
        </row>
        <row r="489">
          <cell r="AF489">
            <v>75000000</v>
          </cell>
        </row>
        <row r="490">
          <cell r="AF490">
            <v>200000000</v>
          </cell>
        </row>
        <row r="491">
          <cell r="AF491">
            <v>29911200</v>
          </cell>
        </row>
        <row r="492">
          <cell r="AF492">
            <v>150000000</v>
          </cell>
        </row>
        <row r="493">
          <cell r="AF493">
            <v>35000000</v>
          </cell>
        </row>
        <row r="494">
          <cell r="AF494">
            <v>9000000</v>
          </cell>
        </row>
        <row r="495">
          <cell r="AF495">
            <v>85000000</v>
          </cell>
        </row>
        <row r="496">
          <cell r="AF496">
            <v>192344100</v>
          </cell>
        </row>
        <row r="497">
          <cell r="AF497">
            <v>50000000</v>
          </cell>
        </row>
        <row r="498">
          <cell r="AF498">
            <v>100000000</v>
          </cell>
        </row>
        <row r="499">
          <cell r="AF499">
            <v>50000000</v>
          </cell>
        </row>
        <row r="500">
          <cell r="AF500">
            <v>90000000</v>
          </cell>
        </row>
        <row r="501">
          <cell r="AF501">
            <v>6000000</v>
          </cell>
        </row>
        <row r="502">
          <cell r="AF502">
            <v>68438710</v>
          </cell>
        </row>
        <row r="503">
          <cell r="AF503">
            <v>20000000</v>
          </cell>
        </row>
        <row r="504">
          <cell r="AF504">
            <v>20000000</v>
          </cell>
        </row>
        <row r="505">
          <cell r="AF505">
            <v>3000000</v>
          </cell>
        </row>
        <row r="506">
          <cell r="AF506">
            <v>25000000</v>
          </cell>
        </row>
        <row r="507">
          <cell r="AF507">
            <v>25000000</v>
          </cell>
        </row>
        <row r="508">
          <cell r="AF508">
            <v>50000000</v>
          </cell>
        </row>
        <row r="509">
          <cell r="AF509">
            <v>50000000</v>
          </cell>
        </row>
        <row r="510">
          <cell r="AF510">
            <v>46845335</v>
          </cell>
        </row>
        <row r="511">
          <cell r="AF511">
            <v>46845335</v>
          </cell>
        </row>
        <row r="512">
          <cell r="AF512">
            <v>32426528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02"/>
  <sheetViews>
    <sheetView showGridLines="0" tabSelected="1" view="pageBreakPreview" zoomScaleSheetLayoutView="100" workbookViewId="0">
      <pane ySplit="4" topLeftCell="A5" activePane="bottomLeft" state="frozen"/>
      <selection pane="bottomLeft" activeCell="G8" sqref="G8"/>
    </sheetView>
  </sheetViews>
  <sheetFormatPr defaultRowHeight="15.75"/>
  <cols>
    <col min="1" max="1" width="5.5703125" style="14" customWidth="1"/>
    <col min="2" max="2" width="34" style="14" bestFit="1" customWidth="1"/>
    <col min="3" max="3" width="10.7109375" style="9" customWidth="1"/>
    <col min="4" max="4" width="10.140625" style="132" bestFit="1" customWidth="1"/>
    <col min="5" max="5" width="13.5703125" style="132" bestFit="1" customWidth="1"/>
    <col min="6" max="6" width="20.85546875" style="133" bestFit="1" customWidth="1"/>
    <col min="7" max="7" width="19.140625" style="134" customWidth="1"/>
    <col min="8" max="8" width="18" style="135" bestFit="1" customWidth="1"/>
    <col min="9" max="9" width="18" style="133" bestFit="1" customWidth="1"/>
    <col min="10" max="11" width="10.85546875" style="9" bestFit="1" customWidth="1"/>
    <col min="12" max="12" width="16.140625" style="137" customWidth="1"/>
    <col min="13" max="13" width="19.140625" style="137" customWidth="1"/>
    <col min="14" max="14" width="19.42578125" style="135" bestFit="1" customWidth="1"/>
    <col min="15" max="15" width="30.28515625" style="172" customWidth="1"/>
    <col min="16" max="16" width="27.7109375" style="173" customWidth="1"/>
    <col min="17" max="18" width="19.85546875" style="14" customWidth="1"/>
    <col min="19" max="19" width="20.140625" style="14" customWidth="1"/>
    <col min="20" max="20" width="15.7109375" style="14" bestFit="1" customWidth="1"/>
    <col min="21" max="21" width="9.140625" style="14"/>
    <col min="22" max="22" width="14.5703125" style="14" bestFit="1" customWidth="1"/>
    <col min="23" max="16384" width="9.140625" style="14"/>
  </cols>
  <sheetData>
    <row r="1" spans="1:19" ht="20.25">
      <c r="A1" s="1" t="s">
        <v>0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9" ht="20.25">
      <c r="A2" s="15" t="s">
        <v>1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9" s="21" customFormat="1" ht="12.75">
      <c r="A3" s="17" t="s">
        <v>2</v>
      </c>
      <c r="B3" s="17" t="s">
        <v>3</v>
      </c>
      <c r="C3" s="17" t="s">
        <v>4</v>
      </c>
      <c r="D3" s="18" t="s">
        <v>2</v>
      </c>
      <c r="E3" s="18" t="s">
        <v>5</v>
      </c>
      <c r="F3" s="19" t="s">
        <v>6</v>
      </c>
      <c r="G3" s="19" t="s">
        <v>7</v>
      </c>
      <c r="H3" s="20" t="s">
        <v>8</v>
      </c>
      <c r="I3" s="19" t="s">
        <v>9</v>
      </c>
      <c r="J3" s="17" t="s">
        <v>10</v>
      </c>
      <c r="K3" s="17" t="s">
        <v>11</v>
      </c>
      <c r="L3" s="19" t="s">
        <v>12</v>
      </c>
      <c r="M3" s="19" t="s">
        <v>13</v>
      </c>
      <c r="N3" s="20" t="s">
        <v>14</v>
      </c>
      <c r="O3" s="19" t="s">
        <v>15</v>
      </c>
      <c r="P3" s="17" t="s">
        <v>16</v>
      </c>
    </row>
    <row r="4" spans="1:19" s="21" customFormat="1" ht="12.75">
      <c r="A4" s="22"/>
      <c r="B4" s="22"/>
      <c r="C4" s="22"/>
      <c r="D4" s="23" t="s">
        <v>17</v>
      </c>
      <c r="E4" s="23" t="s">
        <v>18</v>
      </c>
      <c r="F4" s="24"/>
      <c r="G4" s="25" t="s">
        <v>6</v>
      </c>
      <c r="H4" s="26"/>
      <c r="I4" s="25"/>
      <c r="J4" s="22"/>
      <c r="K4" s="22" t="s">
        <v>19</v>
      </c>
      <c r="L4" s="25" t="s">
        <v>20</v>
      </c>
      <c r="M4" s="25" t="s">
        <v>9</v>
      </c>
      <c r="N4" s="26"/>
      <c r="O4" s="27"/>
      <c r="P4" s="28"/>
    </row>
    <row r="5" spans="1:19">
      <c r="A5" s="29">
        <v>1</v>
      </c>
      <c r="B5" s="30" t="s">
        <v>21</v>
      </c>
      <c r="C5" s="31" t="s">
        <v>22</v>
      </c>
      <c r="D5" s="31" t="s">
        <v>23</v>
      </c>
      <c r="E5" s="32">
        <v>42891</v>
      </c>
      <c r="F5" s="33">
        <f>40000000</f>
        <v>40000000</v>
      </c>
      <c r="G5" s="34">
        <f t="shared" ref="G5:G68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f>23</f>
        <v>23</v>
      </c>
      <c r="L5" s="36">
        <f t="shared" ref="L5:L68" si="1">+H5+I5</f>
        <v>1592500</v>
      </c>
      <c r="M5" s="37">
        <f t="shared" ref="M5:M68" si="2">+K5*L5</f>
        <v>36627500</v>
      </c>
      <c r="N5" s="38">
        <f>F5-(H5*13)</f>
        <v>25537500</v>
      </c>
      <c r="O5" s="39" t="s">
        <v>24</v>
      </c>
      <c r="P5" s="39" t="s">
        <v>25</v>
      </c>
      <c r="Q5" s="40">
        <f>+N5</f>
        <v>25537500</v>
      </c>
      <c r="R5" s="40">
        <f>+'[1]D N 2'!AF27</f>
        <v>25537500</v>
      </c>
      <c r="S5" s="33">
        <f>+Q5-R5</f>
        <v>0</v>
      </c>
    </row>
    <row r="6" spans="1:19">
      <c r="A6" s="29">
        <f>+A5+1</f>
        <v>2</v>
      </c>
      <c r="B6" s="30" t="s">
        <v>26</v>
      </c>
      <c r="C6" s="31" t="s">
        <v>27</v>
      </c>
      <c r="D6" s="31" t="s">
        <v>28</v>
      </c>
      <c r="E6" s="32">
        <v>42982</v>
      </c>
      <c r="F6" s="41">
        <f>29545954+738649+250654+100000+200000+10000000</f>
        <v>40835257</v>
      </c>
      <c r="G6" s="34">
        <f t="shared" si="0"/>
        <v>31584000</v>
      </c>
      <c r="H6" s="35">
        <v>496977</v>
      </c>
      <c r="I6" s="35">
        <v>490023</v>
      </c>
      <c r="J6" s="29">
        <v>32</v>
      </c>
      <c r="K6" s="29">
        <v>22</v>
      </c>
      <c r="L6" s="36">
        <f t="shared" si="1"/>
        <v>987000</v>
      </c>
      <c r="M6" s="37">
        <f t="shared" si="2"/>
        <v>21714000</v>
      </c>
      <c r="N6" s="38">
        <f>F6-(H6*10)-10000000</f>
        <v>25865487</v>
      </c>
      <c r="O6" s="42" t="s">
        <v>29</v>
      </c>
      <c r="P6" s="39" t="s">
        <v>30</v>
      </c>
      <c r="Q6" s="40">
        <f t="shared" ref="Q6:Q69" si="3">+N6</f>
        <v>25865487</v>
      </c>
      <c r="R6" s="40">
        <f>+'[1]D N 2'!AF28</f>
        <v>25865487</v>
      </c>
      <c r="S6" s="33">
        <f t="shared" ref="S6:S69" si="4">+Q6-R6</f>
        <v>0</v>
      </c>
    </row>
    <row r="7" spans="1:19">
      <c r="A7" s="29">
        <f t="shared" ref="A7:A70" si="5">+A6+1</f>
        <v>3</v>
      </c>
      <c r="B7" s="30" t="s">
        <v>31</v>
      </c>
      <c r="C7" s="31" t="s">
        <v>32</v>
      </c>
      <c r="D7" s="43" t="s">
        <v>33</v>
      </c>
      <c r="E7" s="32">
        <v>42934</v>
      </c>
      <c r="F7" s="44">
        <f>14997000+187463+29815537</f>
        <v>45000000</v>
      </c>
      <c r="G7" s="34">
        <f t="shared" si="0"/>
        <v>36000000</v>
      </c>
      <c r="H7" s="35">
        <v>460000</v>
      </c>
      <c r="I7" s="35">
        <f t="shared" ref="I7:I18" si="6">+F7*1.2%</f>
        <v>540000</v>
      </c>
      <c r="J7" s="29">
        <v>36</v>
      </c>
      <c r="K7" s="29">
        <v>24</v>
      </c>
      <c r="L7" s="36">
        <f t="shared" si="1"/>
        <v>1000000</v>
      </c>
      <c r="M7" s="37">
        <f t="shared" si="2"/>
        <v>24000000</v>
      </c>
      <c r="N7" s="38">
        <f>F7-(H7*12)-9500000</f>
        <v>29980000</v>
      </c>
      <c r="O7" s="39" t="s">
        <v>34</v>
      </c>
      <c r="P7" s="39" t="s">
        <v>35</v>
      </c>
      <c r="Q7" s="40">
        <f t="shared" si="3"/>
        <v>29980000</v>
      </c>
      <c r="R7" s="40">
        <f>+'[1]D N 2'!AF29</f>
        <v>29980000</v>
      </c>
      <c r="S7" s="33">
        <f t="shared" si="4"/>
        <v>0</v>
      </c>
    </row>
    <row r="8" spans="1:19">
      <c r="A8" s="29">
        <f t="shared" si="5"/>
        <v>4</v>
      </c>
      <c r="B8" s="30" t="s">
        <v>36</v>
      </c>
      <c r="C8" s="31" t="s">
        <v>37</v>
      </c>
      <c r="D8" s="43" t="s">
        <v>38</v>
      </c>
      <c r="E8" s="32">
        <v>42706</v>
      </c>
      <c r="F8" s="33">
        <f>21665000+541625+130065+450000+200000+52013310</f>
        <v>75000000</v>
      </c>
      <c r="G8" s="34">
        <f t="shared" si="0"/>
        <v>69912000</v>
      </c>
      <c r="H8" s="33">
        <v>1042000</v>
      </c>
      <c r="I8" s="33">
        <f t="shared" si="6"/>
        <v>900000</v>
      </c>
      <c r="J8" s="29">
        <v>36</v>
      </c>
      <c r="K8" s="29">
        <v>17</v>
      </c>
      <c r="L8" s="36">
        <f t="shared" si="1"/>
        <v>1942000</v>
      </c>
      <c r="M8" s="36">
        <f t="shared" si="2"/>
        <v>33014000</v>
      </c>
      <c r="N8" s="38">
        <f>F8-(H8*19)-2000000-8000000-2000000-2000000-8000000-2000000</f>
        <v>31202000</v>
      </c>
      <c r="O8" s="39" t="s">
        <v>39</v>
      </c>
      <c r="P8" s="39" t="s">
        <v>35</v>
      </c>
      <c r="Q8" s="40">
        <f t="shared" si="3"/>
        <v>31202000</v>
      </c>
      <c r="R8" s="40">
        <f>+'[1]D N 2'!AF30</f>
        <v>31202000</v>
      </c>
      <c r="S8" s="33">
        <f t="shared" si="4"/>
        <v>0</v>
      </c>
    </row>
    <row r="9" spans="1:19">
      <c r="A9" s="29">
        <f t="shared" si="5"/>
        <v>5</v>
      </c>
      <c r="B9" s="30" t="s">
        <v>40</v>
      </c>
      <c r="C9" s="31" t="s">
        <v>41</v>
      </c>
      <c r="D9" s="43" t="s">
        <v>42</v>
      </c>
      <c r="E9" s="32">
        <v>42702</v>
      </c>
      <c r="F9" s="33">
        <f>200000+200000+49600000</f>
        <v>50000000</v>
      </c>
      <c r="G9" s="34">
        <f t="shared" si="0"/>
        <v>37555000</v>
      </c>
      <c r="H9" s="33">
        <v>695000</v>
      </c>
      <c r="I9" s="33">
        <f t="shared" si="6"/>
        <v>600000</v>
      </c>
      <c r="J9" s="29">
        <v>29</v>
      </c>
      <c r="K9" s="29">
        <v>10</v>
      </c>
      <c r="L9" s="36">
        <f t="shared" si="1"/>
        <v>1295000</v>
      </c>
      <c r="M9" s="36">
        <f t="shared" si="2"/>
        <v>12950000</v>
      </c>
      <c r="N9" s="38">
        <f>F9-(H9*19)-10000000-10000000</f>
        <v>16795000</v>
      </c>
      <c r="O9" s="39" t="s">
        <v>43</v>
      </c>
      <c r="P9" s="39" t="s">
        <v>44</v>
      </c>
      <c r="Q9" s="40">
        <f t="shared" si="3"/>
        <v>16795000</v>
      </c>
      <c r="R9" s="40">
        <f>+'[1]D N 2'!AF31</f>
        <v>16795000</v>
      </c>
      <c r="S9" s="33">
        <f t="shared" si="4"/>
        <v>0</v>
      </c>
    </row>
    <row r="10" spans="1:19">
      <c r="A10" s="29">
        <f t="shared" si="5"/>
        <v>6</v>
      </c>
      <c r="B10" s="30" t="s">
        <v>45</v>
      </c>
      <c r="C10" s="31" t="s">
        <v>46</v>
      </c>
      <c r="D10" s="31" t="s">
        <v>47</v>
      </c>
      <c r="E10" s="32">
        <v>42942</v>
      </c>
      <c r="F10" s="41">
        <f>13330000+333250+700000+200000+85436750</f>
        <v>100000000</v>
      </c>
      <c r="G10" s="34">
        <f t="shared" si="0"/>
        <v>85453500</v>
      </c>
      <c r="H10" s="40">
        <v>1389500</v>
      </c>
      <c r="I10" s="40">
        <f t="shared" si="6"/>
        <v>1200000</v>
      </c>
      <c r="J10" s="29">
        <v>33</v>
      </c>
      <c r="K10" s="29">
        <v>22</v>
      </c>
      <c r="L10" s="36">
        <f t="shared" si="1"/>
        <v>2589500</v>
      </c>
      <c r="M10" s="37">
        <f t="shared" si="2"/>
        <v>56969000</v>
      </c>
      <c r="N10" s="38">
        <f>F10-(H10*11)-2500000-15000000-2500000</f>
        <v>64715500</v>
      </c>
      <c r="O10" s="42" t="s">
        <v>48</v>
      </c>
      <c r="P10" s="39" t="s">
        <v>49</v>
      </c>
      <c r="Q10" s="40">
        <f t="shared" si="3"/>
        <v>64715500</v>
      </c>
      <c r="R10" s="40">
        <f>+'[1]D N 2'!AF32</f>
        <v>64715500</v>
      </c>
      <c r="S10" s="33">
        <f t="shared" si="4"/>
        <v>0</v>
      </c>
    </row>
    <row r="11" spans="1:19">
      <c r="A11" s="29">
        <f t="shared" si="5"/>
        <v>7</v>
      </c>
      <c r="B11" s="30" t="s">
        <v>50</v>
      </c>
      <c r="C11" s="45" t="s">
        <v>51</v>
      </c>
      <c r="D11" s="45" t="s">
        <v>52</v>
      </c>
      <c r="E11" s="32">
        <v>43173</v>
      </c>
      <c r="F11" s="41">
        <f>31943000+798575+459677+180570+200000+16418178</f>
        <v>50000000</v>
      </c>
      <c r="G11" s="34">
        <f t="shared" si="0"/>
        <v>71604000</v>
      </c>
      <c r="H11" s="40">
        <v>1389000</v>
      </c>
      <c r="I11" s="40">
        <f t="shared" si="6"/>
        <v>600000</v>
      </c>
      <c r="J11" s="29">
        <v>36</v>
      </c>
      <c r="K11" s="29">
        <f>32</f>
        <v>32</v>
      </c>
      <c r="L11" s="36">
        <f t="shared" si="1"/>
        <v>1989000</v>
      </c>
      <c r="M11" s="37">
        <f t="shared" si="2"/>
        <v>63648000</v>
      </c>
      <c r="N11" s="38">
        <f>F11-(H11*4)</f>
        <v>44444000</v>
      </c>
      <c r="O11" s="46" t="s">
        <v>53</v>
      </c>
      <c r="P11" s="39" t="s">
        <v>30</v>
      </c>
      <c r="Q11" s="40">
        <f t="shared" si="3"/>
        <v>44444000</v>
      </c>
      <c r="R11" s="40">
        <f>+'[1]D N 2'!AF33</f>
        <v>44444000</v>
      </c>
      <c r="S11" s="33">
        <f t="shared" si="4"/>
        <v>0</v>
      </c>
    </row>
    <row r="12" spans="1:19">
      <c r="A12" s="29">
        <f t="shared" si="5"/>
        <v>8</v>
      </c>
      <c r="B12" s="30" t="s">
        <v>54</v>
      </c>
      <c r="C12" s="31" t="s">
        <v>55</v>
      </c>
      <c r="D12" s="31" t="s">
        <v>56</v>
      </c>
      <c r="E12" s="32">
        <v>42943</v>
      </c>
      <c r="F12" s="41">
        <f>24860600+621515+1300000+200000+133017885-80000000</f>
        <v>80000000</v>
      </c>
      <c r="G12" s="34">
        <f t="shared" si="0"/>
        <v>74079000</v>
      </c>
      <c r="H12" s="40">
        <v>1097750</v>
      </c>
      <c r="I12" s="40">
        <f t="shared" si="6"/>
        <v>960000</v>
      </c>
      <c r="J12" s="29">
        <v>36</v>
      </c>
      <c r="K12" s="29">
        <v>25</v>
      </c>
      <c r="L12" s="36">
        <f t="shared" si="1"/>
        <v>2057750</v>
      </c>
      <c r="M12" s="37">
        <f t="shared" si="2"/>
        <v>51443750</v>
      </c>
      <c r="N12" s="38">
        <f>F12-(H12*11)-3000000-7500000-3000000</f>
        <v>54424750</v>
      </c>
      <c r="O12" s="39" t="s">
        <v>57</v>
      </c>
      <c r="P12" s="39" t="s">
        <v>49</v>
      </c>
      <c r="Q12" s="40">
        <f t="shared" si="3"/>
        <v>54424750</v>
      </c>
      <c r="R12" s="40">
        <f>+'[1]D N 2'!AF34</f>
        <v>54424750</v>
      </c>
      <c r="S12" s="33">
        <f t="shared" si="4"/>
        <v>0</v>
      </c>
    </row>
    <row r="13" spans="1:19">
      <c r="A13" s="29">
        <f t="shared" si="5"/>
        <v>9</v>
      </c>
      <c r="B13" s="30" t="s">
        <v>54</v>
      </c>
      <c r="C13" s="31" t="s">
        <v>55</v>
      </c>
      <c r="D13" s="31" t="s">
        <v>56</v>
      </c>
      <c r="E13" s="32">
        <v>42943</v>
      </c>
      <c r="F13" s="41">
        <v>80000000</v>
      </c>
      <c r="G13" s="34">
        <f t="shared" si="0"/>
        <v>74079000</v>
      </c>
      <c r="H13" s="40">
        <v>1097750</v>
      </c>
      <c r="I13" s="40">
        <f t="shared" si="6"/>
        <v>960000</v>
      </c>
      <c r="J13" s="29">
        <v>36</v>
      </c>
      <c r="K13" s="29">
        <v>25</v>
      </c>
      <c r="L13" s="36">
        <f t="shared" si="1"/>
        <v>2057750</v>
      </c>
      <c r="M13" s="37">
        <f t="shared" si="2"/>
        <v>51443750</v>
      </c>
      <c r="N13" s="38">
        <f>F13-(H13*11)-3000000-7500000-3000000</f>
        <v>54424750</v>
      </c>
      <c r="O13" s="39" t="s">
        <v>57</v>
      </c>
      <c r="P13" s="39" t="s">
        <v>49</v>
      </c>
      <c r="Q13" s="40">
        <f t="shared" si="3"/>
        <v>54424750</v>
      </c>
      <c r="R13" s="40">
        <f>+'[1]D N 2'!AF35</f>
        <v>54424750</v>
      </c>
      <c r="S13" s="33">
        <f t="shared" si="4"/>
        <v>0</v>
      </c>
    </row>
    <row r="14" spans="1:19">
      <c r="A14" s="29">
        <f t="shared" si="5"/>
        <v>10</v>
      </c>
      <c r="B14" s="30" t="s">
        <v>58</v>
      </c>
      <c r="C14" s="31" t="s">
        <v>59</v>
      </c>
      <c r="D14" s="43" t="s">
        <v>60</v>
      </c>
      <c r="E14" s="32">
        <v>42705</v>
      </c>
      <c r="F14" s="33">
        <f>45830000+1145750+139355+531700+200000+51153195</f>
        <v>99000000</v>
      </c>
      <c r="G14" s="34">
        <f t="shared" si="0"/>
        <v>92268000</v>
      </c>
      <c r="H14" s="33">
        <v>1375000</v>
      </c>
      <c r="I14" s="33">
        <f t="shared" si="6"/>
        <v>1188000</v>
      </c>
      <c r="J14" s="29">
        <v>36</v>
      </c>
      <c r="K14" s="29">
        <v>17</v>
      </c>
      <c r="L14" s="36">
        <f t="shared" si="1"/>
        <v>2563000</v>
      </c>
      <c r="M14" s="36">
        <f t="shared" si="2"/>
        <v>43571000</v>
      </c>
      <c r="N14" s="38">
        <f>F14-(H14*19)-16500000-16500000</f>
        <v>39875000</v>
      </c>
      <c r="O14" s="39" t="s">
        <v>61</v>
      </c>
      <c r="P14" s="39" t="s">
        <v>35</v>
      </c>
      <c r="Q14" s="40">
        <f t="shared" si="3"/>
        <v>39875000</v>
      </c>
      <c r="R14" s="40">
        <f>+'[1]D N 2'!AF36</f>
        <v>39875000</v>
      </c>
      <c r="S14" s="33">
        <f t="shared" si="4"/>
        <v>0</v>
      </c>
    </row>
    <row r="15" spans="1:19">
      <c r="A15" s="29">
        <f t="shared" si="5"/>
        <v>11</v>
      </c>
      <c r="B15" s="30" t="s">
        <v>62</v>
      </c>
      <c r="C15" s="31" t="s">
        <v>63</v>
      </c>
      <c r="D15" s="31" t="s">
        <v>63</v>
      </c>
      <c r="E15" s="32">
        <v>42740</v>
      </c>
      <c r="F15" s="33">
        <f>29582500+739563+251613+1200000+200000+118026324-75000000</f>
        <v>75000000</v>
      </c>
      <c r="G15" s="34">
        <f t="shared" si="0"/>
        <v>63000000</v>
      </c>
      <c r="H15" s="33">
        <v>850000</v>
      </c>
      <c r="I15" s="33">
        <f t="shared" si="6"/>
        <v>900000</v>
      </c>
      <c r="J15" s="29">
        <v>36</v>
      </c>
      <c r="K15" s="29">
        <v>18</v>
      </c>
      <c r="L15" s="36">
        <f t="shared" si="1"/>
        <v>1750000</v>
      </c>
      <c r="M15" s="36">
        <f t="shared" si="2"/>
        <v>31500000</v>
      </c>
      <c r="N15" s="38">
        <f>F15-(H15*18)-12500000-1250000-1250000-12500000-1250000</f>
        <v>30950000</v>
      </c>
      <c r="O15" s="39" t="s">
        <v>61</v>
      </c>
      <c r="P15" s="39" t="s">
        <v>64</v>
      </c>
      <c r="Q15" s="40">
        <f t="shared" si="3"/>
        <v>30950000</v>
      </c>
      <c r="R15" s="40">
        <f>+'[1]D N 2'!AF37</f>
        <v>30950000</v>
      </c>
      <c r="S15" s="33">
        <f t="shared" si="4"/>
        <v>0</v>
      </c>
    </row>
    <row r="16" spans="1:19">
      <c r="A16" s="29">
        <f t="shared" si="5"/>
        <v>12</v>
      </c>
      <c r="B16" s="30" t="s">
        <v>62</v>
      </c>
      <c r="C16" s="31" t="s">
        <v>63</v>
      </c>
      <c r="D16" s="31" t="s">
        <v>63</v>
      </c>
      <c r="E16" s="32">
        <v>42740</v>
      </c>
      <c r="F16" s="33">
        <v>75000000</v>
      </c>
      <c r="G16" s="34">
        <f t="shared" si="0"/>
        <v>63000000</v>
      </c>
      <c r="H16" s="33">
        <v>850000</v>
      </c>
      <c r="I16" s="33">
        <f t="shared" si="6"/>
        <v>900000</v>
      </c>
      <c r="J16" s="29">
        <v>36</v>
      </c>
      <c r="K16" s="29">
        <v>18</v>
      </c>
      <c r="L16" s="36">
        <f t="shared" si="1"/>
        <v>1750000</v>
      </c>
      <c r="M16" s="36">
        <f t="shared" si="2"/>
        <v>31500000</v>
      </c>
      <c r="N16" s="38">
        <f>F16-(H16*18)-12500000-1250000-1250000-12500000-1250000</f>
        <v>30950000</v>
      </c>
      <c r="O16" s="39" t="s">
        <v>61</v>
      </c>
      <c r="P16" s="39" t="s">
        <v>64</v>
      </c>
      <c r="Q16" s="40">
        <f t="shared" si="3"/>
        <v>30950000</v>
      </c>
      <c r="R16" s="40">
        <f>+'[1]D N 2'!AF38</f>
        <v>30950000</v>
      </c>
      <c r="S16" s="33">
        <f t="shared" si="4"/>
        <v>0</v>
      </c>
    </row>
    <row r="17" spans="1:19">
      <c r="A17" s="29">
        <f t="shared" si="5"/>
        <v>13</v>
      </c>
      <c r="B17" s="30" t="s">
        <v>65</v>
      </c>
      <c r="C17" s="31" t="s">
        <v>66</v>
      </c>
      <c r="D17" s="43" t="s">
        <v>67</v>
      </c>
      <c r="E17" s="32">
        <v>42815</v>
      </c>
      <c r="F17" s="33">
        <f>14165400+354135+308157+150000+15022308</f>
        <v>30000000</v>
      </c>
      <c r="G17" s="47">
        <f t="shared" si="0"/>
        <v>42984000</v>
      </c>
      <c r="H17" s="33">
        <f>1194000-I17</f>
        <v>834000</v>
      </c>
      <c r="I17" s="33">
        <f t="shared" si="6"/>
        <v>360000</v>
      </c>
      <c r="J17" s="29">
        <v>36</v>
      </c>
      <c r="K17" s="29">
        <v>20</v>
      </c>
      <c r="L17" s="48">
        <f t="shared" si="1"/>
        <v>1194000</v>
      </c>
      <c r="M17" s="33">
        <f t="shared" si="2"/>
        <v>23880000</v>
      </c>
      <c r="N17" s="38">
        <f>F17-(H17*16)</f>
        <v>16656000</v>
      </c>
      <c r="O17" s="39" t="s">
        <v>68</v>
      </c>
      <c r="P17" s="39" t="s">
        <v>69</v>
      </c>
      <c r="Q17" s="40">
        <f t="shared" si="3"/>
        <v>16656000</v>
      </c>
      <c r="R17" s="40">
        <f>+'[1]D N 2'!AF39</f>
        <v>16656000</v>
      </c>
      <c r="S17" s="33">
        <f t="shared" si="4"/>
        <v>0</v>
      </c>
    </row>
    <row r="18" spans="1:19">
      <c r="A18" s="29">
        <f t="shared" si="5"/>
        <v>14</v>
      </c>
      <c r="B18" s="30" t="s">
        <v>70</v>
      </c>
      <c r="C18" s="31" t="s">
        <v>71</v>
      </c>
      <c r="D18" s="31" t="s">
        <v>72</v>
      </c>
      <c r="E18" s="32">
        <v>43250</v>
      </c>
      <c r="F18" s="41">
        <f>22494000+562350+100000+200000+16643650</f>
        <v>40000000</v>
      </c>
      <c r="G18" s="34">
        <f t="shared" si="0"/>
        <v>57283200</v>
      </c>
      <c r="H18" s="40">
        <v>1111200</v>
      </c>
      <c r="I18" s="40">
        <f t="shared" si="6"/>
        <v>480000</v>
      </c>
      <c r="J18" s="29">
        <v>36</v>
      </c>
      <c r="K18" s="29">
        <v>35</v>
      </c>
      <c r="L18" s="36">
        <f t="shared" si="1"/>
        <v>1591200</v>
      </c>
      <c r="M18" s="37">
        <f t="shared" si="2"/>
        <v>55692000</v>
      </c>
      <c r="N18" s="38">
        <f>F18-(H18*1)</f>
        <v>38888800</v>
      </c>
      <c r="O18" s="39" t="s">
        <v>73</v>
      </c>
      <c r="P18" s="39" t="s">
        <v>49</v>
      </c>
      <c r="Q18" s="40">
        <f t="shared" si="3"/>
        <v>38888800</v>
      </c>
      <c r="R18" s="40">
        <f>+'[1]D N 2'!AF40</f>
        <v>38888800</v>
      </c>
      <c r="S18" s="33">
        <f t="shared" si="4"/>
        <v>0</v>
      </c>
    </row>
    <row r="19" spans="1:19">
      <c r="A19" s="29">
        <f t="shared" si="5"/>
        <v>15</v>
      </c>
      <c r="B19" s="30" t="s">
        <v>74</v>
      </c>
      <c r="C19" s="31" t="s">
        <v>75</v>
      </c>
      <c r="D19" s="31" t="s">
        <v>76</v>
      </c>
      <c r="E19" s="32">
        <v>42907</v>
      </c>
      <c r="F19" s="33">
        <f>36238500+905963+237615+200000+22417922-30000000</f>
        <v>30000000</v>
      </c>
      <c r="G19" s="34">
        <f t="shared" si="0"/>
        <v>27972000</v>
      </c>
      <c r="H19" s="35">
        <v>417000</v>
      </c>
      <c r="I19" s="35">
        <f>F19*1.2%</f>
        <v>360000</v>
      </c>
      <c r="J19" s="29">
        <v>36</v>
      </c>
      <c r="K19" s="29">
        <f>24</f>
        <v>24</v>
      </c>
      <c r="L19" s="36">
        <f t="shared" si="1"/>
        <v>777000</v>
      </c>
      <c r="M19" s="37">
        <f t="shared" si="2"/>
        <v>18648000</v>
      </c>
      <c r="N19" s="38">
        <f>F19-(H19*12)-1250000-2500000-1250000</f>
        <v>19996000</v>
      </c>
      <c r="O19" s="39" t="s">
        <v>77</v>
      </c>
      <c r="P19" s="39" t="s">
        <v>78</v>
      </c>
      <c r="Q19" s="40">
        <f t="shared" si="3"/>
        <v>19996000</v>
      </c>
      <c r="R19" s="40">
        <f>+'[1]D N 2'!AF41</f>
        <v>19996000</v>
      </c>
      <c r="S19" s="33">
        <f t="shared" si="4"/>
        <v>0</v>
      </c>
    </row>
    <row r="20" spans="1:19">
      <c r="A20" s="29">
        <f t="shared" si="5"/>
        <v>16</v>
      </c>
      <c r="B20" s="30" t="s">
        <v>74</v>
      </c>
      <c r="C20" s="31" t="s">
        <v>75</v>
      </c>
      <c r="D20" s="31" t="s">
        <v>76</v>
      </c>
      <c r="E20" s="32">
        <v>42907</v>
      </c>
      <c r="F20" s="44">
        <v>30000000</v>
      </c>
      <c r="G20" s="34">
        <f t="shared" si="0"/>
        <v>27972000</v>
      </c>
      <c r="H20" s="44">
        <v>417000</v>
      </c>
      <c r="I20" s="35">
        <f>F20*1.2%</f>
        <v>360000</v>
      </c>
      <c r="J20" s="29">
        <v>36</v>
      </c>
      <c r="K20" s="29">
        <f>24</f>
        <v>24</v>
      </c>
      <c r="L20" s="36">
        <f t="shared" si="1"/>
        <v>777000</v>
      </c>
      <c r="M20" s="37">
        <f t="shared" si="2"/>
        <v>18648000</v>
      </c>
      <c r="N20" s="38">
        <f>F20-(H20*12)-1250000-2500000-1250000</f>
        <v>19996000</v>
      </c>
      <c r="O20" s="39" t="s">
        <v>77</v>
      </c>
      <c r="P20" s="39" t="s">
        <v>78</v>
      </c>
      <c r="Q20" s="40">
        <f t="shared" si="3"/>
        <v>19996000</v>
      </c>
      <c r="R20" s="40">
        <f>+'[1]D N 2'!AF42</f>
        <v>19996000</v>
      </c>
      <c r="S20" s="33">
        <f t="shared" si="4"/>
        <v>0</v>
      </c>
    </row>
    <row r="21" spans="1:19">
      <c r="A21" s="29">
        <f t="shared" si="5"/>
        <v>17</v>
      </c>
      <c r="B21" s="30" t="s">
        <v>79</v>
      </c>
      <c r="C21" s="31" t="s">
        <v>80</v>
      </c>
      <c r="D21" s="43" t="s">
        <v>81</v>
      </c>
      <c r="E21" s="32">
        <v>42867</v>
      </c>
      <c r="F21" s="44">
        <f>6007087+500000+150177+84659+50000+200000+4500000</f>
        <v>11491923</v>
      </c>
      <c r="G21" s="34">
        <f t="shared" si="0"/>
        <v>14820000</v>
      </c>
      <c r="H21" s="35">
        <v>479597</v>
      </c>
      <c r="I21" s="33">
        <v>137903</v>
      </c>
      <c r="J21" s="29">
        <v>24</v>
      </c>
      <c r="K21" s="29">
        <f>10</f>
        <v>10</v>
      </c>
      <c r="L21" s="36">
        <f t="shared" si="1"/>
        <v>617500</v>
      </c>
      <c r="M21" s="37">
        <f t="shared" si="2"/>
        <v>6175000</v>
      </c>
      <c r="N21" s="38">
        <f>F21-(H21*14)</f>
        <v>4777565</v>
      </c>
      <c r="O21" s="39" t="s">
        <v>82</v>
      </c>
      <c r="P21" s="39" t="s">
        <v>78</v>
      </c>
      <c r="Q21" s="40">
        <f t="shared" si="3"/>
        <v>4777565</v>
      </c>
      <c r="R21" s="40">
        <f>+'[1]D N 2'!AF43</f>
        <v>4777565</v>
      </c>
      <c r="S21" s="33">
        <f t="shared" si="4"/>
        <v>0</v>
      </c>
    </row>
    <row r="22" spans="1:19">
      <c r="A22" s="29">
        <f t="shared" si="5"/>
        <v>18</v>
      </c>
      <c r="B22" s="30" t="s">
        <v>83</v>
      </c>
      <c r="C22" s="45" t="s">
        <v>84</v>
      </c>
      <c r="D22" s="45" t="s">
        <v>85</v>
      </c>
      <c r="E22" s="32">
        <v>43234</v>
      </c>
      <c r="F22" s="41">
        <f>913584+29166000+751990+446227+449204+200000+43072995</f>
        <v>75000000</v>
      </c>
      <c r="G22" s="34">
        <f t="shared" si="0"/>
        <v>62460000</v>
      </c>
      <c r="H22" s="40">
        <v>835000</v>
      </c>
      <c r="I22" s="40">
        <f>+F22*1.2%</f>
        <v>900000</v>
      </c>
      <c r="J22" s="29">
        <v>36</v>
      </c>
      <c r="K22" s="29">
        <v>34</v>
      </c>
      <c r="L22" s="36">
        <f t="shared" si="1"/>
        <v>1735000</v>
      </c>
      <c r="M22" s="37">
        <f t="shared" si="2"/>
        <v>58990000</v>
      </c>
      <c r="N22" s="38">
        <f>F22-(H22*2)-2500000</f>
        <v>70830000</v>
      </c>
      <c r="O22" s="46" t="s">
        <v>86</v>
      </c>
      <c r="P22" s="39" t="s">
        <v>64</v>
      </c>
      <c r="Q22" s="40">
        <f t="shared" si="3"/>
        <v>70830000</v>
      </c>
      <c r="R22" s="40">
        <f>+'[1]D N 2'!AF44</f>
        <v>70830000</v>
      </c>
      <c r="S22" s="33">
        <f t="shared" si="4"/>
        <v>0</v>
      </c>
    </row>
    <row r="23" spans="1:19">
      <c r="A23" s="29">
        <f t="shared" si="5"/>
        <v>19</v>
      </c>
      <c r="B23" s="30" t="s">
        <v>87</v>
      </c>
      <c r="C23" s="31" t="s">
        <v>88</v>
      </c>
      <c r="D23" s="31" t="s">
        <v>89</v>
      </c>
      <c r="E23" s="32">
        <v>42947</v>
      </c>
      <c r="F23" s="41">
        <f>2200000+200000+247600000</f>
        <v>250000000</v>
      </c>
      <c r="G23" s="34">
        <f t="shared" si="0"/>
        <v>208800000</v>
      </c>
      <c r="H23" s="40">
        <v>2800000</v>
      </c>
      <c r="I23" s="40">
        <f>+F23*1.2%</f>
        <v>3000000</v>
      </c>
      <c r="J23" s="29">
        <v>36</v>
      </c>
      <c r="K23" s="29">
        <v>25</v>
      </c>
      <c r="L23" s="36">
        <f t="shared" si="1"/>
        <v>5800000</v>
      </c>
      <c r="M23" s="37">
        <f t="shared" si="2"/>
        <v>145000000</v>
      </c>
      <c r="N23" s="38">
        <f>F23-(H23*11)-10000000-30000000-5000000</f>
        <v>174200000</v>
      </c>
      <c r="O23" s="39" t="s">
        <v>90</v>
      </c>
      <c r="P23" s="39" t="s">
        <v>49</v>
      </c>
      <c r="Q23" s="40">
        <f t="shared" si="3"/>
        <v>174200000</v>
      </c>
      <c r="R23" s="40">
        <f>+'[1]D N 2'!AF45</f>
        <v>174200000</v>
      </c>
      <c r="S23" s="33">
        <f t="shared" si="4"/>
        <v>0</v>
      </c>
    </row>
    <row r="24" spans="1:19">
      <c r="A24" s="29">
        <f t="shared" si="5"/>
        <v>20</v>
      </c>
      <c r="B24" s="30" t="s">
        <v>91</v>
      </c>
      <c r="C24" s="31" t="s">
        <v>92</v>
      </c>
      <c r="D24" s="31" t="s">
        <v>93</v>
      </c>
      <c r="E24" s="32">
        <v>43132</v>
      </c>
      <c r="F24" s="41">
        <f>62500+6187500</f>
        <v>6250000</v>
      </c>
      <c r="G24" s="34">
        <f t="shared" si="0"/>
        <v>7152000</v>
      </c>
      <c r="H24" s="40">
        <f>596000-I24</f>
        <v>521000</v>
      </c>
      <c r="I24" s="40">
        <f>+F24*1.2%</f>
        <v>75000</v>
      </c>
      <c r="J24" s="29">
        <v>12</v>
      </c>
      <c r="K24" s="29">
        <v>7</v>
      </c>
      <c r="L24" s="36">
        <f t="shared" si="1"/>
        <v>596000</v>
      </c>
      <c r="M24" s="37">
        <f t="shared" si="2"/>
        <v>4172000</v>
      </c>
      <c r="N24" s="38">
        <f>F24-(H24*5)</f>
        <v>3645000</v>
      </c>
      <c r="O24" s="39" t="s">
        <v>94</v>
      </c>
      <c r="P24" s="39" t="s">
        <v>95</v>
      </c>
      <c r="Q24" s="40">
        <f t="shared" si="3"/>
        <v>3645000</v>
      </c>
      <c r="R24" s="40">
        <f>+'[1]D N 2'!AF46</f>
        <v>3645000</v>
      </c>
      <c r="S24" s="33">
        <f t="shared" si="4"/>
        <v>0</v>
      </c>
    </row>
    <row r="25" spans="1:19">
      <c r="A25" s="29">
        <f t="shared" si="5"/>
        <v>21</v>
      </c>
      <c r="B25" s="30" t="s">
        <v>91</v>
      </c>
      <c r="C25" s="31" t="s">
        <v>92</v>
      </c>
      <c r="D25" s="31" t="s">
        <v>96</v>
      </c>
      <c r="E25" s="32">
        <v>42892</v>
      </c>
      <c r="F25" s="33">
        <f>53609939+1340248+701361+400000+200000+40000000</f>
        <v>96251548</v>
      </c>
      <c r="G25" s="34">
        <f t="shared" si="0"/>
        <v>86607500</v>
      </c>
      <c r="H25" s="35">
        <v>1319481</v>
      </c>
      <c r="I25" s="33">
        <v>1155019</v>
      </c>
      <c r="J25" s="29">
        <v>35</v>
      </c>
      <c r="K25" s="29">
        <v>22</v>
      </c>
      <c r="L25" s="36">
        <f t="shared" si="1"/>
        <v>2474500</v>
      </c>
      <c r="M25" s="37">
        <f t="shared" si="2"/>
        <v>54439000</v>
      </c>
      <c r="N25" s="38">
        <f>F25-(H25*13)-2500000-2500000-15000000-2500000</f>
        <v>56598295</v>
      </c>
      <c r="O25" s="39" t="s">
        <v>97</v>
      </c>
      <c r="P25" s="49" t="s">
        <v>78</v>
      </c>
      <c r="Q25" s="40">
        <f t="shared" si="3"/>
        <v>56598295</v>
      </c>
      <c r="R25" s="40">
        <f>+'[1]D N 2'!AF47</f>
        <v>56598295</v>
      </c>
      <c r="S25" s="33">
        <f t="shared" si="4"/>
        <v>0</v>
      </c>
    </row>
    <row r="26" spans="1:19">
      <c r="A26" s="29">
        <f t="shared" si="5"/>
        <v>22</v>
      </c>
      <c r="B26" s="30" t="s">
        <v>98</v>
      </c>
      <c r="C26" s="31" t="s">
        <v>99</v>
      </c>
      <c r="D26" s="31" t="s">
        <v>100</v>
      </c>
      <c r="E26" s="32">
        <v>42982</v>
      </c>
      <c r="F26" s="41">
        <f>63188100+1579703+886452+1118119+200000+108027626-87500000</f>
        <v>87500000</v>
      </c>
      <c r="G26" s="34">
        <f t="shared" si="0"/>
        <v>74769750</v>
      </c>
      <c r="H26" s="35">
        <v>1215750</v>
      </c>
      <c r="I26" s="35">
        <f>+F26*1.2%</f>
        <v>1050000</v>
      </c>
      <c r="J26" s="29">
        <v>33</v>
      </c>
      <c r="K26" s="29">
        <f>23</f>
        <v>23</v>
      </c>
      <c r="L26" s="36">
        <f t="shared" si="1"/>
        <v>2265750</v>
      </c>
      <c r="M26" s="37">
        <f t="shared" si="2"/>
        <v>52112250</v>
      </c>
      <c r="N26" s="38">
        <f>F26-(H26*10)-3500000-10000000-3500000</f>
        <v>58342500</v>
      </c>
      <c r="O26" s="42" t="s">
        <v>101</v>
      </c>
      <c r="P26" s="39" t="s">
        <v>30</v>
      </c>
      <c r="Q26" s="40">
        <f t="shared" si="3"/>
        <v>58342500</v>
      </c>
      <c r="R26" s="40">
        <f>+'[1]D N 2'!AF48</f>
        <v>58342500</v>
      </c>
      <c r="S26" s="33">
        <f t="shared" si="4"/>
        <v>0</v>
      </c>
    </row>
    <row r="27" spans="1:19">
      <c r="A27" s="29">
        <f t="shared" si="5"/>
        <v>23</v>
      </c>
      <c r="B27" s="30" t="s">
        <v>98</v>
      </c>
      <c r="C27" s="31" t="s">
        <v>99</v>
      </c>
      <c r="D27" s="31" t="s">
        <v>100</v>
      </c>
      <c r="E27" s="32">
        <v>42982</v>
      </c>
      <c r="F27" s="41">
        <v>87500000</v>
      </c>
      <c r="G27" s="34">
        <f t="shared" si="0"/>
        <v>74769750</v>
      </c>
      <c r="H27" s="41">
        <v>1215750</v>
      </c>
      <c r="I27" s="35">
        <f>+F27*1.2%</f>
        <v>1050000</v>
      </c>
      <c r="J27" s="29">
        <v>33</v>
      </c>
      <c r="K27" s="29">
        <v>23</v>
      </c>
      <c r="L27" s="36">
        <f t="shared" si="1"/>
        <v>2265750</v>
      </c>
      <c r="M27" s="37">
        <f t="shared" si="2"/>
        <v>52112250</v>
      </c>
      <c r="N27" s="38">
        <f>F27-(H27*10)-3500000-10000000-3500000</f>
        <v>58342500</v>
      </c>
      <c r="O27" s="42" t="s">
        <v>101</v>
      </c>
      <c r="P27" s="39" t="s">
        <v>30</v>
      </c>
      <c r="Q27" s="40">
        <f t="shared" si="3"/>
        <v>58342500</v>
      </c>
      <c r="R27" s="40">
        <f>+'[1]D N 2'!AF49</f>
        <v>58342500</v>
      </c>
      <c r="S27" s="33">
        <f t="shared" si="4"/>
        <v>0</v>
      </c>
    </row>
    <row r="28" spans="1:19">
      <c r="A28" s="29">
        <f t="shared" si="5"/>
        <v>24</v>
      </c>
      <c r="B28" s="30" t="s">
        <v>102</v>
      </c>
      <c r="C28" s="31" t="s">
        <v>103</v>
      </c>
      <c r="D28" s="43" t="s">
        <v>104</v>
      </c>
      <c r="E28" s="32">
        <v>42926</v>
      </c>
      <c r="F28" s="44">
        <f>111449697+1393121+200000+100000000-106521409</f>
        <v>106521409</v>
      </c>
      <c r="G28" s="34">
        <f t="shared" si="0"/>
        <v>105000000</v>
      </c>
      <c r="H28" s="35">
        <v>221743</v>
      </c>
      <c r="I28" s="35">
        <v>1278257</v>
      </c>
      <c r="J28" s="29">
        <v>70</v>
      </c>
      <c r="K28" s="29">
        <f>58</f>
        <v>58</v>
      </c>
      <c r="L28" s="36">
        <f t="shared" si="1"/>
        <v>1500000</v>
      </c>
      <c r="M28" s="37">
        <f t="shared" si="2"/>
        <v>87000000</v>
      </c>
      <c r="N28" s="38">
        <f>F28-(H28*12)-2500000-12500000-2500000</f>
        <v>86360493</v>
      </c>
      <c r="O28" s="39" t="s">
        <v>105</v>
      </c>
      <c r="P28" s="39" t="s">
        <v>35</v>
      </c>
      <c r="Q28" s="40">
        <f t="shared" si="3"/>
        <v>86360493</v>
      </c>
      <c r="R28" s="40">
        <f>+'[1]D N 2'!AF50</f>
        <v>86360493</v>
      </c>
      <c r="S28" s="33">
        <f t="shared" si="4"/>
        <v>0</v>
      </c>
    </row>
    <row r="29" spans="1:19">
      <c r="A29" s="29">
        <f t="shared" si="5"/>
        <v>25</v>
      </c>
      <c r="B29" s="30" t="s">
        <v>102</v>
      </c>
      <c r="C29" s="31" t="s">
        <v>103</v>
      </c>
      <c r="D29" s="43" t="s">
        <v>104</v>
      </c>
      <c r="E29" s="32">
        <v>42926</v>
      </c>
      <c r="F29" s="44">
        <v>106521409</v>
      </c>
      <c r="G29" s="34">
        <f t="shared" si="0"/>
        <v>105000000</v>
      </c>
      <c r="H29" s="44">
        <v>221743</v>
      </c>
      <c r="I29" s="44">
        <v>1278257</v>
      </c>
      <c r="J29" s="29">
        <v>70</v>
      </c>
      <c r="K29" s="29">
        <f>58</f>
        <v>58</v>
      </c>
      <c r="L29" s="36">
        <f t="shared" si="1"/>
        <v>1500000</v>
      </c>
      <c r="M29" s="37">
        <f t="shared" si="2"/>
        <v>87000000</v>
      </c>
      <c r="N29" s="38">
        <f>F29-(H29*12)-2500000-12500000-2500000</f>
        <v>86360493</v>
      </c>
      <c r="O29" s="39" t="s">
        <v>105</v>
      </c>
      <c r="P29" s="39" t="s">
        <v>35</v>
      </c>
      <c r="Q29" s="40">
        <f t="shared" si="3"/>
        <v>86360493</v>
      </c>
      <c r="R29" s="40">
        <f>+'[1]D N 2'!AF51</f>
        <v>86360493</v>
      </c>
      <c r="S29" s="33">
        <f t="shared" si="4"/>
        <v>0</v>
      </c>
    </row>
    <row r="30" spans="1:19">
      <c r="A30" s="29">
        <f t="shared" si="5"/>
        <v>26</v>
      </c>
      <c r="B30" s="30" t="s">
        <v>106</v>
      </c>
      <c r="C30" s="31" t="s">
        <v>107</v>
      </c>
      <c r="D30" s="31" t="s">
        <v>108</v>
      </c>
      <c r="E30" s="32">
        <v>43019</v>
      </c>
      <c r="F30" s="41">
        <f>36259710+906493+457787+500000+200000+50000000-F31</f>
        <v>44161995</v>
      </c>
      <c r="G30" s="34">
        <f t="shared" si="0"/>
        <v>40950000</v>
      </c>
      <c r="H30" s="40">
        <v>607556</v>
      </c>
      <c r="I30" s="35">
        <v>529944</v>
      </c>
      <c r="J30" s="29">
        <v>36</v>
      </c>
      <c r="K30" s="29">
        <v>27</v>
      </c>
      <c r="L30" s="36">
        <f t="shared" si="1"/>
        <v>1137500</v>
      </c>
      <c r="M30" s="37">
        <f t="shared" si="2"/>
        <v>30712500</v>
      </c>
      <c r="N30" s="38">
        <f>F30-(H30*9)-7000000-500000</f>
        <v>31193991</v>
      </c>
      <c r="O30" s="39" t="s">
        <v>109</v>
      </c>
      <c r="P30" s="39" t="s">
        <v>49</v>
      </c>
      <c r="Q30" s="40">
        <f t="shared" si="3"/>
        <v>31193991</v>
      </c>
      <c r="R30" s="40">
        <f>+'[1]D N 2'!AF52</f>
        <v>31193991</v>
      </c>
      <c r="S30" s="33">
        <f t="shared" si="4"/>
        <v>0</v>
      </c>
    </row>
    <row r="31" spans="1:19">
      <c r="A31" s="29">
        <f t="shared" si="5"/>
        <v>27</v>
      </c>
      <c r="B31" s="30" t="s">
        <v>106</v>
      </c>
      <c r="C31" s="31" t="s">
        <v>107</v>
      </c>
      <c r="D31" s="31" t="s">
        <v>108</v>
      </c>
      <c r="E31" s="32">
        <v>43019</v>
      </c>
      <c r="F31" s="41">
        <v>44161995</v>
      </c>
      <c r="G31" s="34">
        <f t="shared" si="0"/>
        <v>40950000</v>
      </c>
      <c r="H31" s="41">
        <v>607556</v>
      </c>
      <c r="I31" s="41">
        <v>529944</v>
      </c>
      <c r="J31" s="29">
        <v>36</v>
      </c>
      <c r="K31" s="29">
        <v>27</v>
      </c>
      <c r="L31" s="36">
        <f t="shared" si="1"/>
        <v>1137500</v>
      </c>
      <c r="M31" s="37">
        <f t="shared" si="2"/>
        <v>30712500</v>
      </c>
      <c r="N31" s="38">
        <f>F31-(H31*9)-7000000-500000</f>
        <v>31193991</v>
      </c>
      <c r="O31" s="39" t="s">
        <v>109</v>
      </c>
      <c r="P31" s="39" t="s">
        <v>49</v>
      </c>
      <c r="Q31" s="40">
        <f t="shared" si="3"/>
        <v>31193991</v>
      </c>
      <c r="R31" s="40">
        <f>+'[1]D N 2'!AF53</f>
        <v>31193991</v>
      </c>
      <c r="S31" s="33">
        <f t="shared" si="4"/>
        <v>0</v>
      </c>
    </row>
    <row r="32" spans="1:19">
      <c r="A32" s="29">
        <f t="shared" si="5"/>
        <v>28</v>
      </c>
      <c r="B32" s="50" t="s">
        <v>110</v>
      </c>
      <c r="C32" s="51" t="s">
        <v>111</v>
      </c>
      <c r="D32" s="52"/>
      <c r="E32" s="52">
        <v>42180</v>
      </c>
      <c r="F32" s="53">
        <f>50000+4950000</f>
        <v>5000000</v>
      </c>
      <c r="G32" s="54">
        <f t="shared" si="0"/>
        <v>6080400</v>
      </c>
      <c r="H32" s="55">
        <v>277800</v>
      </c>
      <c r="I32" s="53">
        <f>F32*1.2%</f>
        <v>60000</v>
      </c>
      <c r="J32" s="56">
        <v>18</v>
      </c>
      <c r="K32" s="56">
        <f>13+1</f>
        <v>14</v>
      </c>
      <c r="L32" s="33">
        <f t="shared" si="1"/>
        <v>337800</v>
      </c>
      <c r="M32" s="33">
        <f t="shared" si="2"/>
        <v>4729200</v>
      </c>
      <c r="N32" s="57">
        <f>F32-(H32*4)</f>
        <v>3888800</v>
      </c>
      <c r="O32" s="58" t="s">
        <v>112</v>
      </c>
      <c r="P32" s="59" t="s">
        <v>113</v>
      </c>
      <c r="Q32" s="40">
        <f t="shared" si="3"/>
        <v>3888800</v>
      </c>
      <c r="R32" s="40">
        <f>+'[1]D N 2'!AF54</f>
        <v>3888800</v>
      </c>
      <c r="S32" s="33">
        <f t="shared" si="4"/>
        <v>0</v>
      </c>
    </row>
    <row r="33" spans="1:19">
      <c r="A33" s="29">
        <f t="shared" si="5"/>
        <v>29</v>
      </c>
      <c r="B33" s="50" t="s">
        <v>110</v>
      </c>
      <c r="C33" s="51" t="s">
        <v>111</v>
      </c>
      <c r="D33" s="60"/>
      <c r="E33" s="60">
        <v>41705</v>
      </c>
      <c r="F33" s="61">
        <v>55878581</v>
      </c>
      <c r="G33" s="53">
        <f t="shared" si="0"/>
        <v>72000000</v>
      </c>
      <c r="H33" s="55">
        <v>329457</v>
      </c>
      <c r="I33" s="53">
        <v>670543</v>
      </c>
      <c r="J33" s="56">
        <v>72</v>
      </c>
      <c r="K33" s="56">
        <f>50+1</f>
        <v>51</v>
      </c>
      <c r="L33" s="62">
        <f t="shared" si="1"/>
        <v>1000000</v>
      </c>
      <c r="M33" s="62">
        <f t="shared" si="2"/>
        <v>51000000</v>
      </c>
      <c r="N33" s="63">
        <f>F33-(H33*21)-(7500000)-(1250000)-(1250000)-(7500000)-(1250000)-1250000-2500000-7500000</f>
        <v>18959984</v>
      </c>
      <c r="O33" s="58" t="s">
        <v>114</v>
      </c>
      <c r="P33" s="42" t="s">
        <v>115</v>
      </c>
      <c r="Q33" s="40">
        <f t="shared" si="3"/>
        <v>18959984</v>
      </c>
      <c r="R33" s="40">
        <f>+'[1]D N 2'!AF55</f>
        <v>18959984</v>
      </c>
      <c r="S33" s="33">
        <f t="shared" si="4"/>
        <v>0</v>
      </c>
    </row>
    <row r="34" spans="1:19">
      <c r="A34" s="29">
        <f t="shared" si="5"/>
        <v>30</v>
      </c>
      <c r="B34" s="50" t="s">
        <v>110</v>
      </c>
      <c r="C34" s="51" t="s">
        <v>111</v>
      </c>
      <c r="D34" s="60"/>
      <c r="E34" s="60">
        <v>41705</v>
      </c>
      <c r="F34" s="61">
        <v>55878581</v>
      </c>
      <c r="G34" s="53">
        <f t="shared" si="0"/>
        <v>72000000</v>
      </c>
      <c r="H34" s="55">
        <v>329457</v>
      </c>
      <c r="I34" s="53">
        <v>670543</v>
      </c>
      <c r="J34" s="56">
        <v>72</v>
      </c>
      <c r="K34" s="56">
        <f>50+1</f>
        <v>51</v>
      </c>
      <c r="L34" s="62">
        <f t="shared" si="1"/>
        <v>1000000</v>
      </c>
      <c r="M34" s="62">
        <f t="shared" si="2"/>
        <v>51000000</v>
      </c>
      <c r="N34" s="63">
        <f>F34-(H34*21)-(7500000)-(1250000)-(1250000)-(7500000)-(1250000)-92168-512181-31250-2500000-7500000-126480</f>
        <v>19447905</v>
      </c>
      <c r="O34" s="58" t="s">
        <v>114</v>
      </c>
      <c r="P34" s="42" t="s">
        <v>115</v>
      </c>
      <c r="Q34" s="40">
        <f t="shared" si="3"/>
        <v>19447905</v>
      </c>
      <c r="R34" s="40">
        <f>+'[1]D N 2'!AF56</f>
        <v>19447905</v>
      </c>
      <c r="S34" s="33">
        <f t="shared" si="4"/>
        <v>0</v>
      </c>
    </row>
    <row r="35" spans="1:19">
      <c r="A35" s="29">
        <f t="shared" si="5"/>
        <v>31</v>
      </c>
      <c r="B35" s="30" t="s">
        <v>116</v>
      </c>
      <c r="C35" s="31" t="s">
        <v>117</v>
      </c>
      <c r="D35" s="43" t="s">
        <v>118</v>
      </c>
      <c r="E35" s="32">
        <v>43063</v>
      </c>
      <c r="F35" s="44">
        <f>6108000+152700+200000+200000+23339300</f>
        <v>30000000</v>
      </c>
      <c r="G35" s="34">
        <f t="shared" si="0"/>
        <v>42984000</v>
      </c>
      <c r="H35" s="35">
        <v>834000</v>
      </c>
      <c r="I35" s="35">
        <f>+F35*1.2%</f>
        <v>360000</v>
      </c>
      <c r="J35" s="29">
        <v>36</v>
      </c>
      <c r="K35" s="29">
        <v>29</v>
      </c>
      <c r="L35" s="36">
        <f t="shared" si="1"/>
        <v>1194000</v>
      </c>
      <c r="M35" s="37">
        <f t="shared" si="2"/>
        <v>34626000</v>
      </c>
      <c r="N35" s="38">
        <f>F35-(H35*7)</f>
        <v>24162000</v>
      </c>
      <c r="O35" s="39" t="s">
        <v>119</v>
      </c>
      <c r="P35" s="39" t="s">
        <v>49</v>
      </c>
      <c r="Q35" s="40">
        <f t="shared" si="3"/>
        <v>24162000</v>
      </c>
      <c r="R35" s="40">
        <f>+'[1]D N 2'!AF57</f>
        <v>24162000</v>
      </c>
      <c r="S35" s="33">
        <f t="shared" si="4"/>
        <v>0</v>
      </c>
    </row>
    <row r="36" spans="1:19">
      <c r="A36" s="29">
        <f t="shared" si="5"/>
        <v>32</v>
      </c>
      <c r="B36" s="30" t="s">
        <v>120</v>
      </c>
      <c r="C36" s="31" t="s">
        <v>121</v>
      </c>
      <c r="D36" s="43" t="s">
        <v>122</v>
      </c>
      <c r="E36" s="32">
        <v>42983</v>
      </c>
      <c r="F36" s="44">
        <f>70000+6930000</f>
        <v>7000000</v>
      </c>
      <c r="G36" s="34">
        <f t="shared" si="0"/>
        <v>10044000</v>
      </c>
      <c r="H36" s="35">
        <v>195000</v>
      </c>
      <c r="I36" s="35">
        <f>+F36*1.2%</f>
        <v>84000</v>
      </c>
      <c r="J36" s="29">
        <v>36</v>
      </c>
      <c r="K36" s="29">
        <f>26</f>
        <v>26</v>
      </c>
      <c r="L36" s="36">
        <f t="shared" si="1"/>
        <v>279000</v>
      </c>
      <c r="M36" s="37">
        <f t="shared" si="2"/>
        <v>7254000</v>
      </c>
      <c r="N36" s="38">
        <f>F36-(H36*10)</f>
        <v>5050000</v>
      </c>
      <c r="O36" s="39" t="s">
        <v>82</v>
      </c>
      <c r="P36" s="39" t="s">
        <v>123</v>
      </c>
      <c r="Q36" s="40">
        <f t="shared" si="3"/>
        <v>5050000</v>
      </c>
      <c r="R36" s="40">
        <f>+'[1]D N 2'!AF58</f>
        <v>5050000</v>
      </c>
      <c r="S36" s="33">
        <f t="shared" si="4"/>
        <v>0</v>
      </c>
    </row>
    <row r="37" spans="1:19">
      <c r="A37" s="29">
        <f t="shared" si="5"/>
        <v>33</v>
      </c>
      <c r="B37" s="30" t="s">
        <v>120</v>
      </c>
      <c r="C37" s="31" t="s">
        <v>121</v>
      </c>
      <c r="D37" s="43" t="s">
        <v>124</v>
      </c>
      <c r="E37" s="32">
        <v>42873</v>
      </c>
      <c r="F37" s="44">
        <f>52755589+5000000+1318890+526270+200000+0</f>
        <v>59800749</v>
      </c>
      <c r="G37" s="34">
        <f t="shared" si="0"/>
        <v>72000000</v>
      </c>
      <c r="H37" s="44">
        <v>282391</v>
      </c>
      <c r="I37" s="33">
        <v>717609</v>
      </c>
      <c r="J37" s="29">
        <v>72</v>
      </c>
      <c r="K37" s="29">
        <f>58</f>
        <v>58</v>
      </c>
      <c r="L37" s="36">
        <f t="shared" si="1"/>
        <v>1000000</v>
      </c>
      <c r="M37" s="37">
        <f t="shared" si="2"/>
        <v>58000000</v>
      </c>
      <c r="N37" s="38">
        <f>F37-(H37*14)</f>
        <v>55847275</v>
      </c>
      <c r="O37" s="39" t="s">
        <v>82</v>
      </c>
      <c r="P37" s="39" t="s">
        <v>78</v>
      </c>
      <c r="Q37" s="40">
        <f t="shared" si="3"/>
        <v>55847275</v>
      </c>
      <c r="R37" s="40">
        <f>+'[1]D N 2'!AF59</f>
        <v>55847275</v>
      </c>
      <c r="S37" s="33">
        <f t="shared" si="4"/>
        <v>0</v>
      </c>
    </row>
    <row r="38" spans="1:19">
      <c r="A38" s="29">
        <f t="shared" si="5"/>
        <v>34</v>
      </c>
      <c r="B38" s="30" t="s">
        <v>125</v>
      </c>
      <c r="C38" s="45" t="s">
        <v>126</v>
      </c>
      <c r="D38" s="45" t="s">
        <v>127</v>
      </c>
      <c r="E38" s="32">
        <v>43185</v>
      </c>
      <c r="F38" s="41">
        <f>411500+113200+13118+200000+15000000</f>
        <v>15737818</v>
      </c>
      <c r="G38" s="34">
        <f t="shared" si="0"/>
        <v>22537800</v>
      </c>
      <c r="H38" s="40">
        <f>626050-I38</f>
        <v>437196</v>
      </c>
      <c r="I38" s="40">
        <f>188854</f>
        <v>188854</v>
      </c>
      <c r="J38" s="29">
        <v>36</v>
      </c>
      <c r="K38" s="29">
        <v>33</v>
      </c>
      <c r="L38" s="36">
        <f t="shared" si="1"/>
        <v>626050</v>
      </c>
      <c r="M38" s="37">
        <f t="shared" si="2"/>
        <v>20659650</v>
      </c>
      <c r="N38" s="38">
        <f>F38-(H38*3)</f>
        <v>14426230</v>
      </c>
      <c r="O38" s="39" t="s">
        <v>128</v>
      </c>
      <c r="P38" s="39" t="s">
        <v>30</v>
      </c>
      <c r="Q38" s="40">
        <f t="shared" si="3"/>
        <v>14426230</v>
      </c>
      <c r="R38" s="40">
        <f>+'[1]D N 2'!AF60</f>
        <v>14426230</v>
      </c>
      <c r="S38" s="33">
        <f t="shared" si="4"/>
        <v>0</v>
      </c>
    </row>
    <row r="39" spans="1:19">
      <c r="A39" s="29">
        <f t="shared" si="5"/>
        <v>35</v>
      </c>
      <c r="B39" s="30" t="s">
        <v>129</v>
      </c>
      <c r="C39" s="31" t="s">
        <v>126</v>
      </c>
      <c r="D39" s="43" t="s">
        <v>130</v>
      </c>
      <c r="E39" s="32">
        <v>42891</v>
      </c>
      <c r="F39" s="44">
        <f>12081000+302025+0</f>
        <v>12383025</v>
      </c>
      <c r="G39" s="34">
        <f t="shared" si="0"/>
        <v>14400000</v>
      </c>
      <c r="H39" s="35">
        <v>51404</v>
      </c>
      <c r="I39" s="33">
        <v>148596</v>
      </c>
      <c r="J39" s="29">
        <v>72</v>
      </c>
      <c r="K39" s="29">
        <v>59</v>
      </c>
      <c r="L39" s="36">
        <f t="shared" si="1"/>
        <v>200000</v>
      </c>
      <c r="M39" s="37">
        <f t="shared" si="2"/>
        <v>11800000</v>
      </c>
      <c r="N39" s="38">
        <f>F39-(H39*13)-151013-348987-500000</f>
        <v>10714773</v>
      </c>
      <c r="O39" s="39" t="s">
        <v>82</v>
      </c>
      <c r="P39" s="39" t="s">
        <v>131</v>
      </c>
      <c r="Q39" s="40">
        <f t="shared" si="3"/>
        <v>10714773</v>
      </c>
      <c r="R39" s="40">
        <f>+'[1]D N 2'!AF61</f>
        <v>10714773</v>
      </c>
      <c r="S39" s="33">
        <f t="shared" si="4"/>
        <v>0</v>
      </c>
    </row>
    <row r="40" spans="1:19">
      <c r="A40" s="29">
        <f t="shared" si="5"/>
        <v>36</v>
      </c>
      <c r="B40" s="30" t="s">
        <v>132</v>
      </c>
      <c r="C40" s="31" t="s">
        <v>133</v>
      </c>
      <c r="D40" s="31" t="s">
        <v>134</v>
      </c>
      <c r="E40" s="32">
        <v>42992</v>
      </c>
      <c r="F40" s="41">
        <f>62330000+1558250+1066452+876700+200000+83968598</f>
        <v>150000000</v>
      </c>
      <c r="G40" s="34">
        <f t="shared" si="0"/>
        <v>139806000</v>
      </c>
      <c r="H40" s="40">
        <v>2083500</v>
      </c>
      <c r="I40" s="35">
        <f>+F40*1.2%</f>
        <v>1800000</v>
      </c>
      <c r="J40" s="29">
        <v>36</v>
      </c>
      <c r="K40" s="29">
        <v>26</v>
      </c>
      <c r="L40" s="36">
        <f t="shared" si="1"/>
        <v>3883500</v>
      </c>
      <c r="M40" s="36">
        <f t="shared" si="2"/>
        <v>100971000</v>
      </c>
      <c r="N40" s="38">
        <f>F40-(H40*10)-4000000-16000000-5000000</f>
        <v>104165000</v>
      </c>
      <c r="O40" s="39" t="s">
        <v>135</v>
      </c>
      <c r="P40" s="39" t="s">
        <v>30</v>
      </c>
      <c r="Q40" s="40">
        <f t="shared" si="3"/>
        <v>104165000</v>
      </c>
      <c r="R40" s="40">
        <f>+'[1]D N 2'!AF62</f>
        <v>104165000</v>
      </c>
      <c r="S40" s="33">
        <f t="shared" si="4"/>
        <v>0</v>
      </c>
    </row>
    <row r="41" spans="1:19">
      <c r="A41" s="29">
        <f t="shared" si="5"/>
        <v>37</v>
      </c>
      <c r="B41" s="30" t="s">
        <v>136</v>
      </c>
      <c r="C41" s="45" t="s">
        <v>137</v>
      </c>
      <c r="D41" s="45" t="s">
        <v>138</v>
      </c>
      <c r="E41" s="32">
        <v>43215</v>
      </c>
      <c r="F41" s="41">
        <f>16656000+416400+700000+200000+82027600</f>
        <v>100000000</v>
      </c>
      <c r="G41" s="34">
        <f t="shared" si="0"/>
        <v>85437000</v>
      </c>
      <c r="H41" s="40">
        <v>1389000</v>
      </c>
      <c r="I41" s="40">
        <f>+F41*1.2%</f>
        <v>1200000</v>
      </c>
      <c r="J41" s="29">
        <v>33</v>
      </c>
      <c r="K41" s="29">
        <v>31</v>
      </c>
      <c r="L41" s="36">
        <f t="shared" si="1"/>
        <v>2589000</v>
      </c>
      <c r="M41" s="37">
        <f t="shared" si="2"/>
        <v>80259000</v>
      </c>
      <c r="N41" s="38">
        <f>F41-(H41*2)-2500000</f>
        <v>94722000</v>
      </c>
      <c r="O41" s="39" t="s">
        <v>139</v>
      </c>
      <c r="P41" s="39" t="s">
        <v>35</v>
      </c>
      <c r="Q41" s="40">
        <f t="shared" si="3"/>
        <v>94722000</v>
      </c>
      <c r="R41" s="40">
        <f>+'[1]D N 2'!AF63</f>
        <v>94722000</v>
      </c>
      <c r="S41" s="33">
        <f t="shared" si="4"/>
        <v>0</v>
      </c>
    </row>
    <row r="42" spans="1:19">
      <c r="A42" s="29">
        <f t="shared" si="5"/>
        <v>38</v>
      </c>
      <c r="B42" s="55" t="s">
        <v>140</v>
      </c>
      <c r="C42" s="64" t="s">
        <v>141</v>
      </c>
      <c r="D42" s="52"/>
      <c r="E42" s="52">
        <v>42468</v>
      </c>
      <c r="F42" s="53">
        <f>26001127+650028+167631+39989+200000+2941225</f>
        <v>30000000</v>
      </c>
      <c r="G42" s="53">
        <f t="shared" si="0"/>
        <v>42966000</v>
      </c>
      <c r="H42" s="65">
        <v>833500</v>
      </c>
      <c r="I42" s="53">
        <f>+F42*1.2%</f>
        <v>360000</v>
      </c>
      <c r="J42" s="66" t="s">
        <v>142</v>
      </c>
      <c r="K42" s="56">
        <f>14+1</f>
        <v>15</v>
      </c>
      <c r="L42" s="33">
        <f t="shared" si="1"/>
        <v>1193500</v>
      </c>
      <c r="M42" s="33">
        <f t="shared" si="2"/>
        <v>17902500</v>
      </c>
      <c r="N42" s="67">
        <f>F42-(H42*21)</f>
        <v>12496500</v>
      </c>
      <c r="O42" s="68" t="s">
        <v>143</v>
      </c>
      <c r="P42" s="68" t="s">
        <v>144</v>
      </c>
      <c r="Q42" s="40">
        <f t="shared" si="3"/>
        <v>12496500</v>
      </c>
      <c r="R42" s="40">
        <f>+'[1]D N 2'!AF64</f>
        <v>12496500</v>
      </c>
      <c r="S42" s="33">
        <f t="shared" si="4"/>
        <v>0</v>
      </c>
    </row>
    <row r="43" spans="1:19">
      <c r="A43" s="29">
        <f t="shared" si="5"/>
        <v>39</v>
      </c>
      <c r="B43" s="30" t="s">
        <v>145</v>
      </c>
      <c r="C43" s="31" t="s">
        <v>146</v>
      </c>
      <c r="D43" s="31" t="s">
        <v>147</v>
      </c>
      <c r="E43" s="32">
        <v>42832</v>
      </c>
      <c r="F43" s="44">
        <f>2499400+90000+64735+60737+15000000</f>
        <v>17714872</v>
      </c>
      <c r="G43" s="44">
        <f t="shared" si="0"/>
        <v>13375000</v>
      </c>
      <c r="H43" s="40">
        <v>322422</v>
      </c>
      <c r="I43" s="40">
        <v>212578</v>
      </c>
      <c r="J43" s="29">
        <v>25</v>
      </c>
      <c r="K43" s="29">
        <v>10</v>
      </c>
      <c r="L43" s="69">
        <f t="shared" si="1"/>
        <v>535000</v>
      </c>
      <c r="M43" s="37">
        <f t="shared" si="2"/>
        <v>5350000</v>
      </c>
      <c r="N43" s="38">
        <f>F43-(H43*15)-1000000-1000000-3000000-1000000</f>
        <v>6878542</v>
      </c>
      <c r="O43" s="39" t="s">
        <v>148</v>
      </c>
      <c r="P43" s="39" t="s">
        <v>49</v>
      </c>
      <c r="Q43" s="40">
        <f t="shared" si="3"/>
        <v>6878542</v>
      </c>
      <c r="R43" s="40">
        <f>+'[1]D N 2'!AF65</f>
        <v>6878542</v>
      </c>
      <c r="S43" s="33">
        <f t="shared" si="4"/>
        <v>0</v>
      </c>
    </row>
    <row r="44" spans="1:19">
      <c r="A44" s="29">
        <f t="shared" si="5"/>
        <v>40</v>
      </c>
      <c r="B44" s="30" t="s">
        <v>149</v>
      </c>
      <c r="C44" s="31" t="s">
        <v>150</v>
      </c>
      <c r="D44" s="43" t="s">
        <v>151</v>
      </c>
      <c r="E44" s="32">
        <v>42699</v>
      </c>
      <c r="F44" s="33">
        <f>24140000+250000+200000+30410000</f>
        <v>55000000</v>
      </c>
      <c r="G44" s="34">
        <f t="shared" si="0"/>
        <v>41250000</v>
      </c>
      <c r="H44" s="33">
        <v>590000</v>
      </c>
      <c r="I44" s="33">
        <f>+F44*1.2%</f>
        <v>660000</v>
      </c>
      <c r="J44" s="29">
        <v>33</v>
      </c>
      <c r="K44" s="29">
        <v>14</v>
      </c>
      <c r="L44" s="36">
        <f t="shared" si="1"/>
        <v>1250000</v>
      </c>
      <c r="M44" s="36">
        <f t="shared" si="2"/>
        <v>17500000</v>
      </c>
      <c r="N44" s="38">
        <f>F44-(H44*19)-12000000-12000000</f>
        <v>19790000</v>
      </c>
      <c r="O44" s="39" t="s">
        <v>152</v>
      </c>
      <c r="P44" s="39" t="s">
        <v>35</v>
      </c>
      <c r="Q44" s="40">
        <f t="shared" si="3"/>
        <v>19790000</v>
      </c>
      <c r="R44" s="40">
        <f>+'[1]D N 2'!AF66</f>
        <v>19790000</v>
      </c>
      <c r="S44" s="33">
        <f t="shared" si="4"/>
        <v>0</v>
      </c>
    </row>
    <row r="45" spans="1:19">
      <c r="A45" s="29">
        <f t="shared" si="5"/>
        <v>41</v>
      </c>
      <c r="B45" s="30" t="s">
        <v>153</v>
      </c>
      <c r="C45" s="31" t="s">
        <v>154</v>
      </c>
      <c r="D45" s="31" t="s">
        <v>155</v>
      </c>
      <c r="E45" s="32">
        <v>43112</v>
      </c>
      <c r="F45" s="41">
        <f>15000000</f>
        <v>15000000</v>
      </c>
      <c r="G45" s="34">
        <f t="shared" si="0"/>
        <v>13986000</v>
      </c>
      <c r="H45" s="40">
        <f>208500</f>
        <v>208500</v>
      </c>
      <c r="I45" s="40">
        <f>+F45*1.2%</f>
        <v>180000</v>
      </c>
      <c r="J45" s="29">
        <v>36</v>
      </c>
      <c r="K45" s="29">
        <v>30</v>
      </c>
      <c r="L45" s="36">
        <f t="shared" si="1"/>
        <v>388500</v>
      </c>
      <c r="M45" s="37">
        <f t="shared" si="2"/>
        <v>11655000</v>
      </c>
      <c r="N45" s="38">
        <f>F45-(H45*6)-208500-1250000</f>
        <v>12290500</v>
      </c>
      <c r="O45" s="39" t="s">
        <v>156</v>
      </c>
      <c r="P45" s="39" t="s">
        <v>157</v>
      </c>
      <c r="Q45" s="40">
        <f t="shared" si="3"/>
        <v>12290500</v>
      </c>
      <c r="R45" s="40">
        <f>+'[1]D N 2'!AF67</f>
        <v>12290500</v>
      </c>
      <c r="S45" s="33">
        <f t="shared" si="4"/>
        <v>0</v>
      </c>
    </row>
    <row r="46" spans="1:19">
      <c r="A46" s="29">
        <f t="shared" si="5"/>
        <v>42</v>
      </c>
      <c r="B46" s="30" t="s">
        <v>153</v>
      </c>
      <c r="C46" s="31" t="s">
        <v>154</v>
      </c>
      <c r="D46" s="31" t="s">
        <v>158</v>
      </c>
      <c r="E46" s="32">
        <v>43111</v>
      </c>
      <c r="F46" s="41">
        <f>20000000</f>
        <v>20000000</v>
      </c>
      <c r="G46" s="34">
        <f t="shared" si="0"/>
        <v>18162000</v>
      </c>
      <c r="H46" s="40">
        <v>264500</v>
      </c>
      <c r="I46" s="40">
        <f>+F46*1.2%</f>
        <v>240000</v>
      </c>
      <c r="J46" s="29">
        <v>36</v>
      </c>
      <c r="K46" s="29">
        <v>30</v>
      </c>
      <c r="L46" s="36">
        <f t="shared" si="1"/>
        <v>504500</v>
      </c>
      <c r="M46" s="37">
        <f t="shared" si="2"/>
        <v>15135000</v>
      </c>
      <c r="N46" s="38">
        <f>F46-(H46*6)-291500-3000000</f>
        <v>15121500</v>
      </c>
      <c r="O46" s="39" t="s">
        <v>156</v>
      </c>
      <c r="P46" s="39" t="s">
        <v>157</v>
      </c>
      <c r="Q46" s="40">
        <f t="shared" si="3"/>
        <v>15121500</v>
      </c>
      <c r="R46" s="40">
        <f>+'[1]D N 2'!AF68</f>
        <v>15121500</v>
      </c>
      <c r="S46" s="33">
        <f t="shared" si="4"/>
        <v>0</v>
      </c>
    </row>
    <row r="47" spans="1:19">
      <c r="A47" s="29">
        <f t="shared" si="5"/>
        <v>43</v>
      </c>
      <c r="B47" s="30" t="s">
        <v>159</v>
      </c>
      <c r="C47" s="31" t="s">
        <v>160</v>
      </c>
      <c r="D47" s="32"/>
      <c r="E47" s="32">
        <v>42072</v>
      </c>
      <c r="F47" s="62">
        <f>14409584+360240+136803+200000+0</f>
        <v>15106627</v>
      </c>
      <c r="G47" s="70">
        <f t="shared" si="0"/>
        <v>15200000</v>
      </c>
      <c r="H47" s="33">
        <f>400000-I47</f>
        <v>218720</v>
      </c>
      <c r="I47" s="62">
        <v>181280</v>
      </c>
      <c r="J47" s="29">
        <v>38</v>
      </c>
      <c r="K47" s="29">
        <v>0</v>
      </c>
      <c r="L47" s="62">
        <f t="shared" si="1"/>
        <v>400000</v>
      </c>
      <c r="M47" s="33">
        <f t="shared" si="2"/>
        <v>0</v>
      </c>
      <c r="N47" s="57">
        <f>F47-(H47*40)</f>
        <v>6357827</v>
      </c>
      <c r="O47" s="58" t="s">
        <v>82</v>
      </c>
      <c r="P47" s="59" t="s">
        <v>131</v>
      </c>
      <c r="Q47" s="40">
        <f t="shared" si="3"/>
        <v>6357827</v>
      </c>
      <c r="R47" s="40">
        <f>+'[1]D N 2'!AF69</f>
        <v>6357827</v>
      </c>
      <c r="S47" s="33">
        <f t="shared" si="4"/>
        <v>0</v>
      </c>
    </row>
    <row r="48" spans="1:19">
      <c r="A48" s="29">
        <f t="shared" si="5"/>
        <v>44</v>
      </c>
      <c r="B48" s="30" t="s">
        <v>161</v>
      </c>
      <c r="C48" s="31" t="s">
        <v>162</v>
      </c>
      <c r="D48" s="32"/>
      <c r="E48" s="32">
        <v>42671</v>
      </c>
      <c r="F48" s="40">
        <f>6666000+166650+63750+200000+7903600</f>
        <v>15000000</v>
      </c>
      <c r="G48" s="34">
        <f t="shared" si="0"/>
        <v>19320000</v>
      </c>
      <c r="H48" s="33">
        <f>+F48/J48</f>
        <v>625000</v>
      </c>
      <c r="I48" s="33">
        <f>+F48*1.2%</f>
        <v>180000</v>
      </c>
      <c r="J48" s="29">
        <v>24</v>
      </c>
      <c r="K48" s="29">
        <f>4</f>
        <v>4</v>
      </c>
      <c r="L48" s="36">
        <f t="shared" si="1"/>
        <v>805000</v>
      </c>
      <c r="M48" s="36">
        <f t="shared" si="2"/>
        <v>3220000</v>
      </c>
      <c r="N48" s="34">
        <f>+H48*K48</f>
        <v>2500000</v>
      </c>
      <c r="O48" s="71" t="s">
        <v>119</v>
      </c>
      <c r="P48" s="39" t="s">
        <v>69</v>
      </c>
      <c r="Q48" s="40">
        <f t="shared" si="3"/>
        <v>2500000</v>
      </c>
      <c r="R48" s="40">
        <f>+'[1]D N 2'!AF70</f>
        <v>2500000</v>
      </c>
      <c r="S48" s="33">
        <f t="shared" si="4"/>
        <v>0</v>
      </c>
    </row>
    <row r="49" spans="1:19">
      <c r="A49" s="29">
        <f t="shared" si="5"/>
        <v>45</v>
      </c>
      <c r="B49" s="30" t="s">
        <v>163</v>
      </c>
      <c r="C49" s="31" t="s">
        <v>164</v>
      </c>
      <c r="D49" s="31" t="s">
        <v>165</v>
      </c>
      <c r="E49" s="32">
        <v>43090</v>
      </c>
      <c r="F49" s="41">
        <f>13486369+337159+50000+200000+5000000</f>
        <v>19073528</v>
      </c>
      <c r="G49" s="34">
        <f t="shared" si="0"/>
        <v>27324000</v>
      </c>
      <c r="H49" s="40">
        <v>530118</v>
      </c>
      <c r="I49" s="40">
        <v>228882</v>
      </c>
      <c r="J49" s="29">
        <v>36</v>
      </c>
      <c r="K49" s="29">
        <v>30</v>
      </c>
      <c r="L49" s="36">
        <f t="shared" si="1"/>
        <v>759000</v>
      </c>
      <c r="M49" s="37">
        <f t="shared" si="2"/>
        <v>22770000</v>
      </c>
      <c r="N49" s="38">
        <f>F49-(H49*6)</f>
        <v>15892820</v>
      </c>
      <c r="O49" s="39" t="s">
        <v>82</v>
      </c>
      <c r="P49" s="39" t="s">
        <v>49</v>
      </c>
      <c r="Q49" s="40">
        <f t="shared" si="3"/>
        <v>15892820</v>
      </c>
      <c r="R49" s="40">
        <f>+'[1]D N 2'!AF71</f>
        <v>15892820</v>
      </c>
      <c r="S49" s="33">
        <f t="shared" si="4"/>
        <v>0</v>
      </c>
    </row>
    <row r="50" spans="1:19">
      <c r="A50" s="29">
        <f t="shared" si="5"/>
        <v>46</v>
      </c>
      <c r="B50" s="30" t="s">
        <v>166</v>
      </c>
      <c r="C50" s="31" t="s">
        <v>167</v>
      </c>
      <c r="D50" s="43" t="s">
        <v>168</v>
      </c>
      <c r="E50" s="32">
        <v>42949</v>
      </c>
      <c r="F50" s="44">
        <f>15415500+385388+174194+200000+200000+33624918-25000000</f>
        <v>25000000</v>
      </c>
      <c r="G50" s="34">
        <f t="shared" si="0"/>
        <v>10500000</v>
      </c>
      <c r="H50" s="35">
        <v>200000</v>
      </c>
      <c r="I50" s="35">
        <f>+F50*1.2%</f>
        <v>300000</v>
      </c>
      <c r="J50" s="29">
        <v>21</v>
      </c>
      <c r="K50" s="29">
        <v>10</v>
      </c>
      <c r="L50" s="36">
        <f t="shared" si="1"/>
        <v>500000</v>
      </c>
      <c r="M50" s="37">
        <f t="shared" si="2"/>
        <v>5000000</v>
      </c>
      <c r="N50" s="38">
        <f>F50-(H50*11)-2500000-10000000-2500000</f>
        <v>7800000</v>
      </c>
      <c r="O50" s="39" t="s">
        <v>169</v>
      </c>
      <c r="P50" s="39" t="s">
        <v>49</v>
      </c>
      <c r="Q50" s="40">
        <f t="shared" si="3"/>
        <v>7800000</v>
      </c>
      <c r="R50" s="40">
        <f>+'[1]D N 2'!AF72</f>
        <v>7800000</v>
      </c>
      <c r="S50" s="33">
        <f t="shared" si="4"/>
        <v>0</v>
      </c>
    </row>
    <row r="51" spans="1:19">
      <c r="A51" s="29">
        <f t="shared" si="5"/>
        <v>47</v>
      </c>
      <c r="B51" s="30" t="s">
        <v>166</v>
      </c>
      <c r="C51" s="31" t="s">
        <v>167</v>
      </c>
      <c r="D51" s="43" t="s">
        <v>168</v>
      </c>
      <c r="E51" s="32">
        <v>42949</v>
      </c>
      <c r="F51" s="44">
        <v>25000000</v>
      </c>
      <c r="G51" s="34">
        <f t="shared" si="0"/>
        <v>10500000</v>
      </c>
      <c r="H51" s="35">
        <v>200000</v>
      </c>
      <c r="I51" s="35">
        <f>+F51*1.2%</f>
        <v>300000</v>
      </c>
      <c r="J51" s="29">
        <v>21</v>
      </c>
      <c r="K51" s="29">
        <v>10</v>
      </c>
      <c r="L51" s="36">
        <f t="shared" si="1"/>
        <v>500000</v>
      </c>
      <c r="M51" s="37">
        <f t="shared" si="2"/>
        <v>5000000</v>
      </c>
      <c r="N51" s="38">
        <f>F51-(H51*11)-2500000-10000000-2500000</f>
        <v>7800000</v>
      </c>
      <c r="O51" s="39" t="s">
        <v>169</v>
      </c>
      <c r="P51" s="39" t="s">
        <v>49</v>
      </c>
      <c r="Q51" s="40">
        <f t="shared" si="3"/>
        <v>7800000</v>
      </c>
      <c r="R51" s="40">
        <f>+'[1]D N 2'!AF73</f>
        <v>7800000</v>
      </c>
      <c r="S51" s="33">
        <f t="shared" si="4"/>
        <v>0</v>
      </c>
    </row>
    <row r="52" spans="1:19">
      <c r="A52" s="29">
        <f t="shared" si="5"/>
        <v>48</v>
      </c>
      <c r="B52" s="30" t="s">
        <v>170</v>
      </c>
      <c r="C52" s="31" t="s">
        <v>171</v>
      </c>
      <c r="D52" s="43" t="s">
        <v>172</v>
      </c>
      <c r="E52" s="32">
        <v>42907</v>
      </c>
      <c r="F52" s="44">
        <v>146654442</v>
      </c>
      <c r="G52" s="34">
        <f t="shared" si="0"/>
        <v>132000048</v>
      </c>
      <c r="H52" s="44">
        <v>990147</v>
      </c>
      <c r="I52" s="44">
        <v>1759854</v>
      </c>
      <c r="J52" s="29">
        <v>48</v>
      </c>
      <c r="K52" s="29">
        <v>36</v>
      </c>
      <c r="L52" s="36">
        <f t="shared" si="1"/>
        <v>2750001</v>
      </c>
      <c r="M52" s="37">
        <f t="shared" si="2"/>
        <v>99000036</v>
      </c>
      <c r="N52" s="38">
        <f>F52-(H52*12)-2500000-20000000-2500000</f>
        <v>109772678</v>
      </c>
      <c r="O52" s="39" t="s">
        <v>173</v>
      </c>
      <c r="P52" s="39" t="s">
        <v>78</v>
      </c>
      <c r="Q52" s="40">
        <f t="shared" si="3"/>
        <v>109772678</v>
      </c>
      <c r="R52" s="40">
        <f>+'[1]D N 2'!AF74</f>
        <v>109772678</v>
      </c>
      <c r="S52" s="33">
        <f t="shared" si="4"/>
        <v>0</v>
      </c>
    </row>
    <row r="53" spans="1:19">
      <c r="A53" s="29">
        <f t="shared" si="5"/>
        <v>49</v>
      </c>
      <c r="B53" s="30" t="s">
        <v>170</v>
      </c>
      <c r="C53" s="31" t="s">
        <v>171</v>
      </c>
      <c r="D53" s="43" t="s">
        <v>172</v>
      </c>
      <c r="E53" s="32">
        <v>42907</v>
      </c>
      <c r="F53" s="44">
        <f>234999000+5874975+1734909+500000+200000+50000000-146654442</f>
        <v>146654442</v>
      </c>
      <c r="G53" s="34">
        <f t="shared" si="0"/>
        <v>131999952</v>
      </c>
      <c r="H53" s="35">
        <v>990146</v>
      </c>
      <c r="I53" s="35">
        <v>1759853</v>
      </c>
      <c r="J53" s="29">
        <v>48</v>
      </c>
      <c r="K53" s="29">
        <f>37</f>
        <v>37</v>
      </c>
      <c r="L53" s="36">
        <f t="shared" si="1"/>
        <v>2749999</v>
      </c>
      <c r="M53" s="37">
        <f t="shared" si="2"/>
        <v>101749963</v>
      </c>
      <c r="N53" s="38">
        <f>F53-(H53*11)-2500000-20000000-2500000</f>
        <v>110762836</v>
      </c>
      <c r="O53" s="39" t="s">
        <v>173</v>
      </c>
      <c r="P53" s="39" t="s">
        <v>78</v>
      </c>
      <c r="Q53" s="40">
        <f t="shared" si="3"/>
        <v>110762836</v>
      </c>
      <c r="R53" s="40">
        <f>+'[1]D N 2'!AF75</f>
        <v>110762836</v>
      </c>
      <c r="S53" s="33">
        <f t="shared" si="4"/>
        <v>0</v>
      </c>
    </row>
    <row r="54" spans="1:19">
      <c r="A54" s="29">
        <f t="shared" si="5"/>
        <v>50</v>
      </c>
      <c r="B54" s="30" t="s">
        <v>174</v>
      </c>
      <c r="C54" s="45" t="s">
        <v>175</v>
      </c>
      <c r="D54" s="31" t="s">
        <v>176</v>
      </c>
      <c r="E54" s="32">
        <v>43185</v>
      </c>
      <c r="F54" s="41">
        <f>50850000+1271250+391500+200000+37287250</f>
        <v>90000000</v>
      </c>
      <c r="G54" s="34">
        <f t="shared" si="0"/>
        <v>58455000</v>
      </c>
      <c r="H54" s="40">
        <v>1085000</v>
      </c>
      <c r="I54" s="40">
        <f>+F54*1.2%</f>
        <v>1080000</v>
      </c>
      <c r="J54" s="29">
        <v>27</v>
      </c>
      <c r="K54" s="29">
        <f>24</f>
        <v>24</v>
      </c>
      <c r="L54" s="36">
        <f t="shared" si="1"/>
        <v>2165000</v>
      </c>
      <c r="M54" s="37">
        <f t="shared" si="2"/>
        <v>51960000</v>
      </c>
      <c r="N54" s="38">
        <f>F54-(H54*3)-15000000-3500000</f>
        <v>68245000</v>
      </c>
      <c r="O54" s="39" t="s">
        <v>77</v>
      </c>
      <c r="P54" s="39" t="s">
        <v>30</v>
      </c>
      <c r="Q54" s="40">
        <f t="shared" si="3"/>
        <v>68245000</v>
      </c>
      <c r="R54" s="40">
        <f>+'[1]D N 2'!AF76</f>
        <v>68245000</v>
      </c>
      <c r="S54" s="33">
        <f t="shared" si="4"/>
        <v>0</v>
      </c>
    </row>
    <row r="55" spans="1:19">
      <c r="A55" s="29">
        <f t="shared" si="5"/>
        <v>51</v>
      </c>
      <c r="B55" s="30" t="s">
        <v>177</v>
      </c>
      <c r="C55" s="31" t="s">
        <v>178</v>
      </c>
      <c r="D55" s="31" t="s">
        <v>179</v>
      </c>
      <c r="E55" s="32">
        <v>42961</v>
      </c>
      <c r="F55" s="41">
        <f>37822178+945554+1197940+100000+200000+10000000</f>
        <v>50265672</v>
      </c>
      <c r="G55" s="34">
        <f t="shared" si="0"/>
        <v>71985600</v>
      </c>
      <c r="H55" s="35">
        <v>1396412</v>
      </c>
      <c r="I55" s="35">
        <v>603188</v>
      </c>
      <c r="J55" s="29">
        <v>36</v>
      </c>
      <c r="K55" s="29">
        <v>25</v>
      </c>
      <c r="L55" s="36">
        <f t="shared" si="1"/>
        <v>1999600</v>
      </c>
      <c r="M55" s="37">
        <f t="shared" si="2"/>
        <v>49990000</v>
      </c>
      <c r="N55" s="38">
        <f>F55-(H55*11)</f>
        <v>34905140</v>
      </c>
      <c r="O55" s="42" t="s">
        <v>180</v>
      </c>
      <c r="P55" s="39" t="s">
        <v>49</v>
      </c>
      <c r="Q55" s="40">
        <f t="shared" si="3"/>
        <v>34905140</v>
      </c>
      <c r="R55" s="40">
        <f>+'[1]D N 2'!AF77</f>
        <v>34905140</v>
      </c>
      <c r="S55" s="33">
        <f t="shared" si="4"/>
        <v>0</v>
      </c>
    </row>
    <row r="56" spans="1:19">
      <c r="A56" s="29">
        <f t="shared" si="5"/>
        <v>52</v>
      </c>
      <c r="B56" s="30" t="s">
        <v>181</v>
      </c>
      <c r="C56" s="31" t="s">
        <v>182</v>
      </c>
      <c r="D56" s="31" t="s">
        <v>183</v>
      </c>
      <c r="E56" s="32">
        <v>42865</v>
      </c>
      <c r="F56" s="33">
        <f>3000000+75000+37626+200000+200000+46487374-25000000</f>
        <v>25000000</v>
      </c>
      <c r="G56" s="34">
        <f t="shared" si="0"/>
        <v>18770250</v>
      </c>
      <c r="H56" s="35">
        <v>347250</v>
      </c>
      <c r="I56" s="33">
        <f t="shared" ref="I56:I64" si="7">+F56*1.2%</f>
        <v>300000</v>
      </c>
      <c r="J56" s="29">
        <v>29</v>
      </c>
      <c r="K56" s="29">
        <v>15</v>
      </c>
      <c r="L56" s="36">
        <f t="shared" si="1"/>
        <v>647250</v>
      </c>
      <c r="M56" s="37">
        <f t="shared" si="2"/>
        <v>9708750</v>
      </c>
      <c r="N56" s="38">
        <f>F56-(H56*14)-2500000-5000000</f>
        <v>12638500</v>
      </c>
      <c r="O56" s="39" t="s">
        <v>184</v>
      </c>
      <c r="P56" s="39" t="s">
        <v>78</v>
      </c>
      <c r="Q56" s="40">
        <f t="shared" si="3"/>
        <v>12638500</v>
      </c>
      <c r="R56" s="40">
        <f>+'[1]D N 2'!AF78</f>
        <v>12638500</v>
      </c>
      <c r="S56" s="33">
        <f t="shared" si="4"/>
        <v>0</v>
      </c>
    </row>
    <row r="57" spans="1:19">
      <c r="A57" s="29">
        <f t="shared" si="5"/>
        <v>53</v>
      </c>
      <c r="B57" s="30" t="s">
        <v>181</v>
      </c>
      <c r="C57" s="31" t="s">
        <v>182</v>
      </c>
      <c r="D57" s="31" t="s">
        <v>183</v>
      </c>
      <c r="E57" s="32">
        <v>42865</v>
      </c>
      <c r="F57" s="33">
        <v>25000000</v>
      </c>
      <c r="G57" s="34">
        <f t="shared" si="0"/>
        <v>18770250</v>
      </c>
      <c r="H57" s="35">
        <v>347250</v>
      </c>
      <c r="I57" s="33">
        <f t="shared" si="7"/>
        <v>300000</v>
      </c>
      <c r="J57" s="29">
        <v>29</v>
      </c>
      <c r="K57" s="29">
        <v>15</v>
      </c>
      <c r="L57" s="36">
        <f t="shared" si="1"/>
        <v>647250</v>
      </c>
      <c r="M57" s="37">
        <f t="shared" si="2"/>
        <v>9708750</v>
      </c>
      <c r="N57" s="38">
        <f>F57-(H57*14)-2500000-5000000</f>
        <v>12638500</v>
      </c>
      <c r="O57" s="39" t="s">
        <v>184</v>
      </c>
      <c r="P57" s="39" t="s">
        <v>78</v>
      </c>
      <c r="Q57" s="40">
        <f t="shared" si="3"/>
        <v>12638500</v>
      </c>
      <c r="R57" s="40">
        <f>+'[1]D N 2'!AF79</f>
        <v>12638500</v>
      </c>
      <c r="S57" s="33">
        <f t="shared" si="4"/>
        <v>0</v>
      </c>
    </row>
    <row r="58" spans="1:19">
      <c r="A58" s="29">
        <f t="shared" si="5"/>
        <v>54</v>
      </c>
      <c r="B58" s="30" t="s">
        <v>185</v>
      </c>
      <c r="C58" s="31" t="s">
        <v>186</v>
      </c>
      <c r="D58" s="32"/>
      <c r="E58" s="32">
        <v>42543</v>
      </c>
      <c r="F58" s="44">
        <f>26160000+654000+550000+200000+57436000</f>
        <v>85000000</v>
      </c>
      <c r="G58" s="34">
        <f t="shared" si="0"/>
        <v>63455000</v>
      </c>
      <c r="H58" s="35">
        <v>695000</v>
      </c>
      <c r="I58" s="35">
        <f t="shared" si="7"/>
        <v>1020000</v>
      </c>
      <c r="J58" s="29">
        <v>37</v>
      </c>
      <c r="K58" s="29">
        <v>13</v>
      </c>
      <c r="L58" s="62">
        <f t="shared" si="1"/>
        <v>1715000</v>
      </c>
      <c r="M58" s="62">
        <f t="shared" si="2"/>
        <v>22295000</v>
      </c>
      <c r="N58" s="38">
        <f>F58-(H58*24)-2500000-15000000-2500000-2500000-15000000-2500000</f>
        <v>28320000</v>
      </c>
      <c r="O58" s="39" t="s">
        <v>187</v>
      </c>
      <c r="P58" s="39" t="s">
        <v>49</v>
      </c>
      <c r="Q58" s="40">
        <f t="shared" si="3"/>
        <v>28320000</v>
      </c>
      <c r="R58" s="40">
        <f>+'[1]D N 2'!AF80</f>
        <v>28320000</v>
      </c>
      <c r="S58" s="33">
        <f t="shared" si="4"/>
        <v>0</v>
      </c>
    </row>
    <row r="59" spans="1:19">
      <c r="A59" s="29">
        <f t="shared" si="5"/>
        <v>55</v>
      </c>
      <c r="B59" s="30" t="s">
        <v>188</v>
      </c>
      <c r="C59" s="31" t="s">
        <v>189</v>
      </c>
      <c r="D59" s="32"/>
      <c r="E59" s="32">
        <v>42614</v>
      </c>
      <c r="F59" s="33">
        <f>70200000+1755000+706452+798000+200000+76340548</f>
        <v>150000000</v>
      </c>
      <c r="G59" s="34">
        <f t="shared" si="0"/>
        <v>214812000</v>
      </c>
      <c r="H59" s="33">
        <v>4167000</v>
      </c>
      <c r="I59" s="33">
        <f t="shared" si="7"/>
        <v>1800000</v>
      </c>
      <c r="J59" s="29">
        <v>36</v>
      </c>
      <c r="K59" s="29">
        <v>14</v>
      </c>
      <c r="L59" s="36">
        <f t="shared" si="1"/>
        <v>5967000</v>
      </c>
      <c r="M59" s="36">
        <f t="shared" si="2"/>
        <v>83538000</v>
      </c>
      <c r="N59" s="38">
        <f>F59-(H59*22)</f>
        <v>58326000</v>
      </c>
      <c r="O59" s="39" t="s">
        <v>190</v>
      </c>
      <c r="P59" s="39" t="s">
        <v>191</v>
      </c>
      <c r="Q59" s="40">
        <f t="shared" si="3"/>
        <v>58326000</v>
      </c>
      <c r="R59" s="40">
        <f>+'[1]D N 2'!AF81</f>
        <v>58326000</v>
      </c>
      <c r="S59" s="33">
        <f t="shared" si="4"/>
        <v>0</v>
      </c>
    </row>
    <row r="60" spans="1:19">
      <c r="A60" s="29">
        <f t="shared" si="5"/>
        <v>56</v>
      </c>
      <c r="B60" s="30" t="s">
        <v>188</v>
      </c>
      <c r="C60" s="45" t="s">
        <v>189</v>
      </c>
      <c r="D60" s="45" t="s">
        <v>192</v>
      </c>
      <c r="E60" s="32">
        <v>43165</v>
      </c>
      <c r="F60" s="41">
        <f>300000+29700000</f>
        <v>30000000</v>
      </c>
      <c r="G60" s="34">
        <f t="shared" si="0"/>
        <v>38640000</v>
      </c>
      <c r="H60" s="40">
        <f>+F60/J60</f>
        <v>1250000</v>
      </c>
      <c r="I60" s="40">
        <f t="shared" si="7"/>
        <v>360000</v>
      </c>
      <c r="J60" s="29">
        <v>24</v>
      </c>
      <c r="K60" s="29">
        <v>20</v>
      </c>
      <c r="L60" s="36">
        <f t="shared" si="1"/>
        <v>1610000</v>
      </c>
      <c r="M60" s="37">
        <f t="shared" si="2"/>
        <v>32200000</v>
      </c>
      <c r="N60" s="34">
        <f>+H60*K60</f>
        <v>25000000</v>
      </c>
      <c r="O60" s="39" t="s">
        <v>193</v>
      </c>
      <c r="P60" s="39" t="s">
        <v>123</v>
      </c>
      <c r="Q60" s="40">
        <f t="shared" si="3"/>
        <v>25000000</v>
      </c>
      <c r="R60" s="40">
        <f>+'[1]D N 2'!AF82</f>
        <v>25000000</v>
      </c>
      <c r="S60" s="33">
        <f t="shared" si="4"/>
        <v>0</v>
      </c>
    </row>
    <row r="61" spans="1:19">
      <c r="A61" s="29">
        <f t="shared" si="5"/>
        <v>57</v>
      </c>
      <c r="B61" s="30" t="s">
        <v>194</v>
      </c>
      <c r="C61" s="31" t="s">
        <v>195</v>
      </c>
      <c r="D61" s="43" t="s">
        <v>196</v>
      </c>
      <c r="E61" s="32">
        <v>43041</v>
      </c>
      <c r="F61" s="44">
        <f>37286000+932150+293226+227140+200000+21061484</f>
        <v>60000000</v>
      </c>
      <c r="G61" s="34">
        <f t="shared" si="0"/>
        <v>46620000</v>
      </c>
      <c r="H61" s="35">
        <v>834000</v>
      </c>
      <c r="I61" s="72">
        <f t="shared" si="7"/>
        <v>720000</v>
      </c>
      <c r="J61" s="29">
        <v>30</v>
      </c>
      <c r="K61" s="29">
        <f>22</f>
        <v>22</v>
      </c>
      <c r="L61" s="36">
        <f t="shared" si="1"/>
        <v>1554000</v>
      </c>
      <c r="M61" s="37">
        <f t="shared" si="2"/>
        <v>34188000</v>
      </c>
      <c r="N61" s="38">
        <f>F61-(H61*8)-15000000</f>
        <v>38328000</v>
      </c>
      <c r="O61" s="39" t="s">
        <v>197</v>
      </c>
      <c r="P61" s="39" t="s">
        <v>49</v>
      </c>
      <c r="Q61" s="40">
        <f t="shared" si="3"/>
        <v>38328000</v>
      </c>
      <c r="R61" s="40">
        <f>+'[1]D N 2'!AF83</f>
        <v>38328000</v>
      </c>
      <c r="S61" s="33">
        <f t="shared" si="4"/>
        <v>0</v>
      </c>
    </row>
    <row r="62" spans="1:19">
      <c r="A62" s="29">
        <f t="shared" si="5"/>
        <v>58</v>
      </c>
      <c r="B62" s="30" t="s">
        <v>198</v>
      </c>
      <c r="C62" s="31" t="s">
        <v>199</v>
      </c>
      <c r="D62" s="43" t="s">
        <v>200</v>
      </c>
      <c r="E62" s="32">
        <v>42929</v>
      </c>
      <c r="F62" s="44">
        <f>19158000+478950+246581+700000+200000+79216469</f>
        <v>100000000</v>
      </c>
      <c r="G62" s="34">
        <f t="shared" si="0"/>
        <v>83340000</v>
      </c>
      <c r="H62" s="35">
        <v>1115000</v>
      </c>
      <c r="I62" s="35">
        <f t="shared" si="7"/>
        <v>1200000</v>
      </c>
      <c r="J62" s="29">
        <v>36</v>
      </c>
      <c r="K62" s="29">
        <v>24</v>
      </c>
      <c r="L62" s="36">
        <f t="shared" si="1"/>
        <v>2315000</v>
      </c>
      <c r="M62" s="37">
        <f t="shared" si="2"/>
        <v>55560000</v>
      </c>
      <c r="N62" s="38">
        <f>F62-(H62*12)-20000000</f>
        <v>66620000</v>
      </c>
      <c r="O62" s="39" t="s">
        <v>201</v>
      </c>
      <c r="P62" s="39" t="s">
        <v>35</v>
      </c>
      <c r="Q62" s="40">
        <f t="shared" si="3"/>
        <v>66620000</v>
      </c>
      <c r="R62" s="40">
        <f>+'[1]D N 2'!AF84</f>
        <v>66620000</v>
      </c>
      <c r="S62" s="33">
        <f t="shared" si="4"/>
        <v>0</v>
      </c>
    </row>
    <row r="63" spans="1:19">
      <c r="A63" s="29">
        <f t="shared" si="5"/>
        <v>59</v>
      </c>
      <c r="B63" s="73" t="s">
        <v>202</v>
      </c>
      <c r="C63" s="74" t="s">
        <v>203</v>
      </c>
      <c r="D63" s="74" t="s">
        <v>204</v>
      </c>
      <c r="E63" s="32">
        <v>43041</v>
      </c>
      <c r="F63" s="72">
        <f>4900000+75000+150000+9875000</f>
        <v>15000000</v>
      </c>
      <c r="G63" s="72">
        <f t="shared" si="0"/>
        <v>18252000</v>
      </c>
      <c r="H63" s="72">
        <v>834000</v>
      </c>
      <c r="I63" s="72">
        <f t="shared" si="7"/>
        <v>180000</v>
      </c>
      <c r="J63" s="75">
        <v>18</v>
      </c>
      <c r="K63" s="29">
        <v>10</v>
      </c>
      <c r="L63" s="76">
        <f t="shared" si="1"/>
        <v>1014000</v>
      </c>
      <c r="M63" s="77">
        <f t="shared" si="2"/>
        <v>10140000</v>
      </c>
      <c r="N63" s="38">
        <f>F63-(H63*8)</f>
        <v>8328000</v>
      </c>
      <c r="O63" s="78" t="s">
        <v>205</v>
      </c>
      <c r="P63" s="79" t="s">
        <v>206</v>
      </c>
      <c r="Q63" s="40">
        <f t="shared" si="3"/>
        <v>8328000</v>
      </c>
      <c r="R63" s="40">
        <f>+'[1]D N 2'!AF85</f>
        <v>8328000</v>
      </c>
      <c r="S63" s="33">
        <f t="shared" si="4"/>
        <v>0</v>
      </c>
    </row>
    <row r="64" spans="1:19">
      <c r="A64" s="29">
        <f t="shared" si="5"/>
        <v>60</v>
      </c>
      <c r="B64" s="30" t="s">
        <v>202</v>
      </c>
      <c r="C64" s="31" t="s">
        <v>203</v>
      </c>
      <c r="D64" s="31" t="s">
        <v>207</v>
      </c>
      <c r="E64" s="32">
        <v>42879</v>
      </c>
      <c r="F64" s="33">
        <f>366640+200000+49433360</f>
        <v>50000000</v>
      </c>
      <c r="G64" s="34">
        <f t="shared" si="0"/>
        <v>40145000</v>
      </c>
      <c r="H64" s="35">
        <v>695000</v>
      </c>
      <c r="I64" s="33">
        <f t="shared" si="7"/>
        <v>600000</v>
      </c>
      <c r="J64" s="29">
        <v>31</v>
      </c>
      <c r="K64" s="29">
        <f>18</f>
        <v>18</v>
      </c>
      <c r="L64" s="36">
        <f t="shared" si="1"/>
        <v>1295000</v>
      </c>
      <c r="M64" s="37">
        <f t="shared" si="2"/>
        <v>23310000</v>
      </c>
      <c r="N64" s="38">
        <f>F64-(H64*13)-5000000-5000000-5000000</f>
        <v>25965000</v>
      </c>
      <c r="O64" s="39" t="s">
        <v>208</v>
      </c>
      <c r="P64" s="39" t="s">
        <v>209</v>
      </c>
      <c r="Q64" s="40">
        <f t="shared" si="3"/>
        <v>25965000</v>
      </c>
      <c r="R64" s="40">
        <f>+'[1]D N 2'!AF86</f>
        <v>25965000</v>
      </c>
      <c r="S64" s="33">
        <f t="shared" si="4"/>
        <v>0</v>
      </c>
    </row>
    <row r="65" spans="1:19">
      <c r="A65" s="29">
        <f t="shared" si="5"/>
        <v>61</v>
      </c>
      <c r="B65" s="30" t="s">
        <v>202</v>
      </c>
      <c r="C65" s="31" t="s">
        <v>203</v>
      </c>
      <c r="D65" s="31" t="s">
        <v>210</v>
      </c>
      <c r="E65" s="32">
        <v>42992</v>
      </c>
      <c r="F65" s="33">
        <f>12496000+312400+217742+25000000</f>
        <v>38026142</v>
      </c>
      <c r="G65" s="34">
        <f t="shared" si="0"/>
        <v>54468000</v>
      </c>
      <c r="H65" s="35">
        <f>1513000-I65</f>
        <v>1056686</v>
      </c>
      <c r="I65" s="35">
        <v>456314</v>
      </c>
      <c r="J65" s="29">
        <v>36</v>
      </c>
      <c r="K65" s="29">
        <v>26</v>
      </c>
      <c r="L65" s="36">
        <f t="shared" si="1"/>
        <v>1513000</v>
      </c>
      <c r="M65" s="36">
        <f t="shared" si="2"/>
        <v>39338000</v>
      </c>
      <c r="N65" s="38">
        <f>F65-(H65*10)</f>
        <v>27459282</v>
      </c>
      <c r="O65" s="39" t="s">
        <v>205</v>
      </c>
      <c r="P65" s="39" t="s">
        <v>30</v>
      </c>
      <c r="Q65" s="40">
        <f t="shared" si="3"/>
        <v>27459282</v>
      </c>
      <c r="R65" s="40">
        <f>+'[1]D N 2'!AF87</f>
        <v>27459282</v>
      </c>
      <c r="S65" s="33">
        <f t="shared" si="4"/>
        <v>0</v>
      </c>
    </row>
    <row r="66" spans="1:19">
      <c r="A66" s="29">
        <f t="shared" si="5"/>
        <v>62</v>
      </c>
      <c r="B66" s="30" t="s">
        <v>211</v>
      </c>
      <c r="C66" s="45" t="s">
        <v>212</v>
      </c>
      <c r="D66" s="45" t="s">
        <v>213</v>
      </c>
      <c r="E66" s="32">
        <v>43215</v>
      </c>
      <c r="F66" s="41">
        <f>30554000+763850+194460+200000+18287690</f>
        <v>50000000</v>
      </c>
      <c r="G66" s="34">
        <f t="shared" si="0"/>
        <v>71600400</v>
      </c>
      <c r="H66" s="40">
        <f>1988900-I66</f>
        <v>1388900</v>
      </c>
      <c r="I66" s="40">
        <f>+F66*1.2%</f>
        <v>600000</v>
      </c>
      <c r="J66" s="29">
        <v>36</v>
      </c>
      <c r="K66" s="29">
        <v>34</v>
      </c>
      <c r="L66" s="36">
        <f t="shared" si="1"/>
        <v>1988900</v>
      </c>
      <c r="M66" s="37">
        <f t="shared" si="2"/>
        <v>67622600</v>
      </c>
      <c r="N66" s="38">
        <f>F66-(H66*2)</f>
        <v>47222200</v>
      </c>
      <c r="O66" s="39" t="s">
        <v>214</v>
      </c>
      <c r="P66" s="39" t="s">
        <v>35</v>
      </c>
      <c r="Q66" s="40">
        <f t="shared" si="3"/>
        <v>47222200</v>
      </c>
      <c r="R66" s="40">
        <f>+'[1]D N 2'!AF88</f>
        <v>47222200</v>
      </c>
      <c r="S66" s="33">
        <f t="shared" si="4"/>
        <v>0</v>
      </c>
    </row>
    <row r="67" spans="1:19">
      <c r="A67" s="29">
        <f t="shared" si="5"/>
        <v>63</v>
      </c>
      <c r="B67" s="30" t="s">
        <v>215</v>
      </c>
      <c r="C67" s="45" t="s">
        <v>216</v>
      </c>
      <c r="D67" s="45" t="s">
        <v>217</v>
      </c>
      <c r="E67" s="32">
        <v>43248</v>
      </c>
      <c r="F67" s="41">
        <f>32419417+810485+100000+200000+10000000</f>
        <v>43529902</v>
      </c>
      <c r="G67" s="34">
        <f t="shared" si="0"/>
        <v>25921000</v>
      </c>
      <c r="H67" s="40">
        <v>604641</v>
      </c>
      <c r="I67" s="40">
        <v>522359</v>
      </c>
      <c r="J67" s="29">
        <v>23</v>
      </c>
      <c r="K67" s="29">
        <v>22</v>
      </c>
      <c r="L67" s="36">
        <f t="shared" si="1"/>
        <v>1127000</v>
      </c>
      <c r="M67" s="37">
        <f t="shared" si="2"/>
        <v>24794000</v>
      </c>
      <c r="N67" s="38">
        <f>F67-(H67*1)</f>
        <v>42925261</v>
      </c>
      <c r="O67" s="39" t="s">
        <v>218</v>
      </c>
      <c r="P67" s="39" t="s">
        <v>49</v>
      </c>
      <c r="Q67" s="40">
        <f t="shared" si="3"/>
        <v>42925261</v>
      </c>
      <c r="R67" s="40">
        <f>+'[1]D N 2'!AF89</f>
        <v>42925261</v>
      </c>
      <c r="S67" s="33">
        <f t="shared" si="4"/>
        <v>0</v>
      </c>
    </row>
    <row r="68" spans="1:19">
      <c r="A68" s="29">
        <f t="shared" si="5"/>
        <v>64</v>
      </c>
      <c r="B68" s="30" t="s">
        <v>219</v>
      </c>
      <c r="C68" s="31" t="s">
        <v>220</v>
      </c>
      <c r="D68" s="32"/>
      <c r="E68" s="32">
        <v>42536</v>
      </c>
      <c r="F68" s="44">
        <f>3280000+37916500+1029913+495339+470000+200000+47000000</f>
        <v>90391752</v>
      </c>
      <c r="G68" s="34">
        <f t="shared" si="0"/>
        <v>81935000</v>
      </c>
      <c r="H68" s="35">
        <v>1256299</v>
      </c>
      <c r="I68" s="35">
        <v>1084701</v>
      </c>
      <c r="J68" s="29">
        <v>35</v>
      </c>
      <c r="K68" s="29">
        <v>10</v>
      </c>
      <c r="L68" s="33">
        <f t="shared" si="1"/>
        <v>2341000</v>
      </c>
      <c r="M68" s="33">
        <f t="shared" si="2"/>
        <v>23410000</v>
      </c>
      <c r="N68" s="80">
        <f>F68-(H68*25)-16000000-16000000</f>
        <v>26984277</v>
      </c>
      <c r="O68" s="39" t="s">
        <v>221</v>
      </c>
      <c r="P68" s="39" t="s">
        <v>144</v>
      </c>
      <c r="Q68" s="40">
        <f t="shared" si="3"/>
        <v>26984277</v>
      </c>
      <c r="R68" s="40">
        <f>+'[1]D N 2'!AF90</f>
        <v>26984277</v>
      </c>
      <c r="S68" s="33">
        <f t="shared" si="4"/>
        <v>0</v>
      </c>
    </row>
    <row r="69" spans="1:19">
      <c r="A69" s="29">
        <f t="shared" si="5"/>
        <v>65</v>
      </c>
      <c r="B69" s="30" t="s">
        <v>222</v>
      </c>
      <c r="C69" s="81" t="s">
        <v>223</v>
      </c>
      <c r="D69" s="82"/>
      <c r="E69" s="82">
        <v>42398</v>
      </c>
      <c r="F69" s="33">
        <f>18332400+875000+458310+106118+950000+200000+104078172</f>
        <v>125000000</v>
      </c>
      <c r="G69" s="33">
        <f t="shared" ref="G69:G102" si="8">+J69*L69</f>
        <v>106804500</v>
      </c>
      <c r="H69" s="35">
        <v>1736500</v>
      </c>
      <c r="I69" s="83">
        <f>+F69*1.2%</f>
        <v>1500000</v>
      </c>
      <c r="J69" s="29">
        <v>33</v>
      </c>
      <c r="K69" s="29">
        <f>4</f>
        <v>4</v>
      </c>
      <c r="L69" s="33">
        <f t="shared" ref="L69:L132" si="9">+H69+I69</f>
        <v>3236500</v>
      </c>
      <c r="M69" s="33">
        <f t="shared" ref="M69:M132" si="10">+K69*L69</f>
        <v>12946000</v>
      </c>
      <c r="N69" s="67">
        <f>F69-(H69*29)-18000000-3000000-3000000-18000000-1500000-1500000-3000000-18000000-3000000</f>
        <v>5641500</v>
      </c>
      <c r="O69" s="39" t="s">
        <v>224</v>
      </c>
      <c r="P69" s="39" t="s">
        <v>144</v>
      </c>
      <c r="Q69" s="40">
        <f t="shared" si="3"/>
        <v>5641500</v>
      </c>
      <c r="R69" s="40">
        <f>+'[1]D N 2'!AF91</f>
        <v>5641500</v>
      </c>
      <c r="S69" s="33">
        <f t="shared" si="4"/>
        <v>0</v>
      </c>
    </row>
    <row r="70" spans="1:19">
      <c r="A70" s="29">
        <f t="shared" si="5"/>
        <v>66</v>
      </c>
      <c r="B70" s="30" t="s">
        <v>225</v>
      </c>
      <c r="C70" s="31" t="s">
        <v>226</v>
      </c>
      <c r="D70" s="31" t="s">
        <v>227</v>
      </c>
      <c r="E70" s="32">
        <v>43119</v>
      </c>
      <c r="F70" s="41">
        <f>2000000+50000+4950000</f>
        <v>7000000</v>
      </c>
      <c r="G70" s="34">
        <f t="shared" si="8"/>
        <v>7000000</v>
      </c>
      <c r="H70" s="40">
        <f>+F70/J70</f>
        <v>500000</v>
      </c>
      <c r="I70" s="40">
        <v>0</v>
      </c>
      <c r="J70" s="29">
        <v>14</v>
      </c>
      <c r="K70" s="29">
        <v>8</v>
      </c>
      <c r="L70" s="36">
        <f t="shared" si="9"/>
        <v>500000</v>
      </c>
      <c r="M70" s="37">
        <f t="shared" si="10"/>
        <v>4000000</v>
      </c>
      <c r="N70" s="34">
        <f>+H70*K70</f>
        <v>4000000</v>
      </c>
      <c r="O70" s="39" t="s">
        <v>228</v>
      </c>
      <c r="P70" s="39" t="s">
        <v>49</v>
      </c>
      <c r="Q70" s="40">
        <f t="shared" ref="Q70:Q133" si="11">+N70</f>
        <v>4000000</v>
      </c>
      <c r="R70" s="40">
        <f>+'[1]D N 2'!AF92</f>
        <v>4000000</v>
      </c>
      <c r="S70" s="33">
        <f t="shared" ref="S70:S133" si="12">+Q70-R70</f>
        <v>0</v>
      </c>
    </row>
    <row r="71" spans="1:19">
      <c r="A71" s="29">
        <f t="shared" ref="A71:A134" si="13">+A70+1</f>
        <v>67</v>
      </c>
      <c r="B71" s="30" t="s">
        <v>225</v>
      </c>
      <c r="C71" s="45" t="s">
        <v>226</v>
      </c>
      <c r="D71" s="45" t="s">
        <v>229</v>
      </c>
      <c r="E71" s="32">
        <v>43215</v>
      </c>
      <c r="F71" s="41">
        <f>197250000+4931250+200000+0</f>
        <v>202381250</v>
      </c>
      <c r="G71" s="34">
        <f t="shared" si="8"/>
        <v>144000000</v>
      </c>
      <c r="H71" s="40">
        <v>571425</v>
      </c>
      <c r="I71" s="40">
        <f>+F71*1.2%</f>
        <v>2428575</v>
      </c>
      <c r="J71" s="29">
        <v>48</v>
      </c>
      <c r="K71" s="29">
        <v>46</v>
      </c>
      <c r="L71" s="36">
        <f t="shared" si="9"/>
        <v>3000000</v>
      </c>
      <c r="M71" s="37">
        <f t="shared" si="10"/>
        <v>138000000</v>
      </c>
      <c r="N71" s="38">
        <f>F71-(H71*2)-7500000</f>
        <v>193738400</v>
      </c>
      <c r="O71" s="39" t="s">
        <v>230</v>
      </c>
      <c r="P71" s="39" t="s">
        <v>231</v>
      </c>
      <c r="Q71" s="40">
        <f t="shared" si="11"/>
        <v>193738400</v>
      </c>
      <c r="R71" s="40">
        <f>+'[1]D N 2'!AF93</f>
        <v>193738400</v>
      </c>
      <c r="S71" s="33">
        <f t="shared" si="12"/>
        <v>0</v>
      </c>
    </row>
    <row r="72" spans="1:19">
      <c r="A72" s="29">
        <f t="shared" si="13"/>
        <v>68</v>
      </c>
      <c r="B72" s="30" t="s">
        <v>232</v>
      </c>
      <c r="C72" s="31" t="s">
        <v>233</v>
      </c>
      <c r="D72" s="32"/>
      <c r="E72" s="32">
        <v>41982</v>
      </c>
      <c r="F72" s="62">
        <f>350000+200000+64450000</f>
        <v>65000000</v>
      </c>
      <c r="G72" s="70">
        <f t="shared" si="8"/>
        <v>50700000</v>
      </c>
      <c r="H72" s="33">
        <v>520000</v>
      </c>
      <c r="I72" s="62">
        <f>+F72*1.2%</f>
        <v>780000</v>
      </c>
      <c r="J72" s="29">
        <v>39</v>
      </c>
      <c r="K72" s="29">
        <v>0</v>
      </c>
      <c r="L72" s="62">
        <f t="shared" si="9"/>
        <v>1300000</v>
      </c>
      <c r="M72" s="62">
        <f t="shared" si="10"/>
        <v>0</v>
      </c>
      <c r="N72" s="57">
        <f>F72-(H72*43)-(10000000)-10000000-10000000-10000000</f>
        <v>2640000</v>
      </c>
      <c r="O72" s="58" t="s">
        <v>234</v>
      </c>
      <c r="P72" s="59" t="s">
        <v>44</v>
      </c>
      <c r="Q72" s="40">
        <f t="shared" si="11"/>
        <v>2640000</v>
      </c>
      <c r="R72" s="40">
        <f>+'[1]D N 2'!AF94</f>
        <v>2640000</v>
      </c>
      <c r="S72" s="33">
        <f t="shared" si="12"/>
        <v>0</v>
      </c>
    </row>
    <row r="73" spans="1:19">
      <c r="A73" s="29">
        <f t="shared" si="13"/>
        <v>69</v>
      </c>
      <c r="B73" s="30" t="s">
        <v>235</v>
      </c>
      <c r="C73" s="31" t="s">
        <v>236</v>
      </c>
      <c r="D73" s="32"/>
      <c r="E73" s="32">
        <v>42639</v>
      </c>
      <c r="F73" s="33">
        <f>200000+200000+49600000</f>
        <v>50000000</v>
      </c>
      <c r="G73" s="34">
        <f t="shared" si="8"/>
        <v>41440000</v>
      </c>
      <c r="H73" s="33">
        <v>695000</v>
      </c>
      <c r="I73" s="33">
        <f>+F73*1.2%</f>
        <v>600000</v>
      </c>
      <c r="J73" s="29">
        <v>32</v>
      </c>
      <c r="K73" s="29">
        <v>11</v>
      </c>
      <c r="L73" s="36">
        <f t="shared" si="9"/>
        <v>1295000</v>
      </c>
      <c r="M73" s="36">
        <f t="shared" si="10"/>
        <v>14245000</v>
      </c>
      <c r="N73" s="38">
        <f>F73-(H73*21)-10000000-10000000</f>
        <v>15405000</v>
      </c>
      <c r="O73" s="39" t="s">
        <v>197</v>
      </c>
      <c r="P73" s="39" t="s">
        <v>44</v>
      </c>
      <c r="Q73" s="40">
        <f t="shared" si="11"/>
        <v>15405000</v>
      </c>
      <c r="R73" s="40">
        <f>+'[1]D N 2'!AF95</f>
        <v>15405000</v>
      </c>
      <c r="S73" s="33">
        <f t="shared" si="12"/>
        <v>0</v>
      </c>
    </row>
    <row r="74" spans="1:19">
      <c r="A74" s="29">
        <f t="shared" si="13"/>
        <v>70</v>
      </c>
      <c r="B74" s="30" t="s">
        <v>237</v>
      </c>
      <c r="C74" s="45" t="s">
        <v>238</v>
      </c>
      <c r="D74" s="45" t="s">
        <v>239</v>
      </c>
      <c r="E74" s="32">
        <v>43215</v>
      </c>
      <c r="F74" s="41">
        <f>47218000+1180450+200000+0</f>
        <v>48598450</v>
      </c>
      <c r="G74" s="34">
        <f t="shared" si="8"/>
        <v>44200000</v>
      </c>
      <c r="H74" s="40">
        <v>1116819</v>
      </c>
      <c r="I74" s="40">
        <v>583181</v>
      </c>
      <c r="J74" s="29">
        <v>26</v>
      </c>
      <c r="K74" s="29">
        <v>24</v>
      </c>
      <c r="L74" s="36">
        <f t="shared" si="9"/>
        <v>1700000</v>
      </c>
      <c r="M74" s="37">
        <f t="shared" si="10"/>
        <v>40800000</v>
      </c>
      <c r="N74" s="38">
        <f>F74-(H74*2)</f>
        <v>46364812</v>
      </c>
      <c r="O74" s="39" t="s">
        <v>240</v>
      </c>
      <c r="P74" s="39" t="s">
        <v>231</v>
      </c>
      <c r="Q74" s="40">
        <f t="shared" si="11"/>
        <v>46364812</v>
      </c>
      <c r="R74" s="40">
        <f>+'[1]D N 2'!AF96</f>
        <v>46364812</v>
      </c>
      <c r="S74" s="33">
        <f t="shared" si="12"/>
        <v>0</v>
      </c>
    </row>
    <row r="75" spans="1:19">
      <c r="A75" s="29">
        <f t="shared" si="13"/>
        <v>71</v>
      </c>
      <c r="B75" s="30" t="s">
        <v>241</v>
      </c>
      <c r="C75" s="31" t="s">
        <v>242</v>
      </c>
      <c r="D75" s="31" t="s">
        <v>243</v>
      </c>
      <c r="E75" s="32">
        <v>43130</v>
      </c>
      <c r="F75" s="41">
        <f>1049840+26246+60000+6000000</f>
        <v>7136086</v>
      </c>
      <c r="G75" s="34">
        <f t="shared" si="8"/>
        <v>9192000</v>
      </c>
      <c r="H75" s="40">
        <v>297367</v>
      </c>
      <c r="I75" s="40">
        <v>85633</v>
      </c>
      <c r="J75" s="29">
        <v>24</v>
      </c>
      <c r="K75" s="29">
        <v>19</v>
      </c>
      <c r="L75" s="36">
        <f t="shared" si="9"/>
        <v>383000</v>
      </c>
      <c r="M75" s="37">
        <f t="shared" si="10"/>
        <v>7277000</v>
      </c>
      <c r="N75" s="38">
        <f>F75-(H75*5)</f>
        <v>5649251</v>
      </c>
      <c r="O75" s="39" t="s">
        <v>244</v>
      </c>
      <c r="P75" s="39" t="s">
        <v>245</v>
      </c>
      <c r="Q75" s="40">
        <f t="shared" si="11"/>
        <v>5649251</v>
      </c>
      <c r="R75" s="40">
        <f>+'[1]D N 2'!AF97</f>
        <v>5649251</v>
      </c>
      <c r="S75" s="33">
        <f t="shared" si="12"/>
        <v>0</v>
      </c>
    </row>
    <row r="76" spans="1:19">
      <c r="A76" s="29">
        <f t="shared" si="13"/>
        <v>72</v>
      </c>
      <c r="B76" s="30" t="s">
        <v>241</v>
      </c>
      <c r="C76" s="31" t="s">
        <v>242</v>
      </c>
      <c r="D76" s="31" t="s">
        <v>246</v>
      </c>
      <c r="E76" s="32">
        <v>42926</v>
      </c>
      <c r="F76" s="33">
        <f>50765253+1269131+503282+200000+0-26368833</f>
        <v>26368833</v>
      </c>
      <c r="G76" s="34">
        <f t="shared" si="8"/>
        <v>18630000</v>
      </c>
      <c r="H76" s="35">
        <v>201074</v>
      </c>
      <c r="I76" s="35">
        <v>316426</v>
      </c>
      <c r="J76" s="29">
        <v>36</v>
      </c>
      <c r="K76" s="29">
        <v>25</v>
      </c>
      <c r="L76" s="36">
        <f t="shared" si="9"/>
        <v>517500</v>
      </c>
      <c r="M76" s="37">
        <f t="shared" si="10"/>
        <v>12937500</v>
      </c>
      <c r="N76" s="38">
        <f>F76-(H76*11)-1000000-3500000-2000000</f>
        <v>17657019</v>
      </c>
      <c r="O76" s="39" t="s">
        <v>247</v>
      </c>
      <c r="P76" s="39" t="s">
        <v>35</v>
      </c>
      <c r="Q76" s="40">
        <f t="shared" si="11"/>
        <v>17657019</v>
      </c>
      <c r="R76" s="40">
        <f>+'[1]D N 2'!AF98</f>
        <v>17657019</v>
      </c>
      <c r="S76" s="33">
        <f t="shared" si="12"/>
        <v>0</v>
      </c>
    </row>
    <row r="77" spans="1:19">
      <c r="A77" s="29">
        <f t="shared" si="13"/>
        <v>73</v>
      </c>
      <c r="B77" s="30" t="s">
        <v>241</v>
      </c>
      <c r="C77" s="31" t="s">
        <v>242</v>
      </c>
      <c r="D77" s="31" t="s">
        <v>246</v>
      </c>
      <c r="E77" s="32">
        <v>42926</v>
      </c>
      <c r="F77" s="33">
        <v>26368833</v>
      </c>
      <c r="G77" s="34">
        <f t="shared" si="8"/>
        <v>18630000</v>
      </c>
      <c r="H77" s="44">
        <v>201074</v>
      </c>
      <c r="I77" s="33">
        <v>316426</v>
      </c>
      <c r="J77" s="29">
        <v>36</v>
      </c>
      <c r="K77" s="29">
        <v>25</v>
      </c>
      <c r="L77" s="36">
        <f t="shared" si="9"/>
        <v>517500</v>
      </c>
      <c r="M77" s="37">
        <f t="shared" si="10"/>
        <v>12937500</v>
      </c>
      <c r="N77" s="38">
        <f>F77-(H77*11)-1000000-2000000</f>
        <v>21157019</v>
      </c>
      <c r="O77" s="39" t="s">
        <v>247</v>
      </c>
      <c r="P77" s="39" t="s">
        <v>35</v>
      </c>
      <c r="Q77" s="40">
        <f t="shared" si="11"/>
        <v>21157019</v>
      </c>
      <c r="R77" s="40">
        <f>+'[1]D N 2'!AF99</f>
        <v>21157019</v>
      </c>
      <c r="S77" s="33">
        <f t="shared" si="12"/>
        <v>0</v>
      </c>
    </row>
    <row r="78" spans="1:19">
      <c r="A78" s="29">
        <f t="shared" si="13"/>
        <v>74</v>
      </c>
      <c r="B78" s="30" t="s">
        <v>241</v>
      </c>
      <c r="C78" s="45" t="s">
        <v>242</v>
      </c>
      <c r="D78" s="45" t="s">
        <v>248</v>
      </c>
      <c r="E78" s="32">
        <v>43234</v>
      </c>
      <c r="F78" s="41">
        <f>10500000+105000+0</f>
        <v>10605000</v>
      </c>
      <c r="G78" s="34">
        <f t="shared" si="8"/>
        <v>15188400</v>
      </c>
      <c r="H78" s="40">
        <f>421900-I78</f>
        <v>294640</v>
      </c>
      <c r="I78" s="40">
        <f>+F78*1.2%</f>
        <v>127260</v>
      </c>
      <c r="J78" s="29">
        <v>36</v>
      </c>
      <c r="K78" s="29">
        <v>34</v>
      </c>
      <c r="L78" s="36">
        <f t="shared" si="9"/>
        <v>421900</v>
      </c>
      <c r="M78" s="37">
        <f t="shared" si="10"/>
        <v>14344600</v>
      </c>
      <c r="N78" s="38">
        <f>F78-(H78*2)</f>
        <v>10015720</v>
      </c>
      <c r="O78" s="39" t="s">
        <v>247</v>
      </c>
      <c r="P78" s="39" t="s">
        <v>249</v>
      </c>
      <c r="Q78" s="40">
        <f t="shared" si="11"/>
        <v>10015720</v>
      </c>
      <c r="R78" s="40">
        <f>+'[1]D N 2'!AF100</f>
        <v>10015720</v>
      </c>
      <c r="S78" s="33">
        <f t="shared" si="12"/>
        <v>0</v>
      </c>
    </row>
    <row r="79" spans="1:19">
      <c r="A79" s="29">
        <f t="shared" si="13"/>
        <v>75</v>
      </c>
      <c r="B79" s="30" t="s">
        <v>250</v>
      </c>
      <c r="C79" s="31" t="s">
        <v>251</v>
      </c>
      <c r="D79" s="31" t="s">
        <v>252</v>
      </c>
      <c r="E79" s="32">
        <v>42906</v>
      </c>
      <c r="F79" s="33">
        <f>450000+200000+74350000-37500000</f>
        <v>37500000</v>
      </c>
      <c r="G79" s="34">
        <f t="shared" si="8"/>
        <v>22800000</v>
      </c>
      <c r="H79" s="35">
        <v>500000</v>
      </c>
      <c r="I79" s="35">
        <f>F79*1.2%</f>
        <v>450000</v>
      </c>
      <c r="J79" s="29">
        <v>24</v>
      </c>
      <c r="K79" s="29">
        <v>12</v>
      </c>
      <c r="L79" s="36">
        <f t="shared" si="9"/>
        <v>950000</v>
      </c>
      <c r="M79" s="37">
        <f t="shared" si="10"/>
        <v>11400000</v>
      </c>
      <c r="N79" s="38">
        <f>F79-(H79*12)-2500000-7750000-2500000</f>
        <v>18750000</v>
      </c>
      <c r="O79" s="39" t="s">
        <v>253</v>
      </c>
      <c r="P79" s="39" t="s">
        <v>78</v>
      </c>
      <c r="Q79" s="40">
        <f t="shared" si="11"/>
        <v>18750000</v>
      </c>
      <c r="R79" s="40">
        <f>+'[1]D N 2'!AF101</f>
        <v>18750000</v>
      </c>
      <c r="S79" s="33">
        <f t="shared" si="12"/>
        <v>0</v>
      </c>
    </row>
    <row r="80" spans="1:19">
      <c r="A80" s="29">
        <f t="shared" si="13"/>
        <v>76</v>
      </c>
      <c r="B80" s="30" t="s">
        <v>250</v>
      </c>
      <c r="C80" s="31" t="s">
        <v>251</v>
      </c>
      <c r="D80" s="31" t="s">
        <v>252</v>
      </c>
      <c r="E80" s="32">
        <v>42906</v>
      </c>
      <c r="F80" s="44">
        <v>37500000</v>
      </c>
      <c r="G80" s="34">
        <f t="shared" si="8"/>
        <v>22800000</v>
      </c>
      <c r="H80" s="44">
        <v>500000</v>
      </c>
      <c r="I80" s="35">
        <f>F80*1.2%</f>
        <v>450000</v>
      </c>
      <c r="J80" s="29">
        <v>24</v>
      </c>
      <c r="K80" s="29">
        <v>12</v>
      </c>
      <c r="L80" s="36">
        <f t="shared" si="9"/>
        <v>950000</v>
      </c>
      <c r="M80" s="37">
        <f t="shared" si="10"/>
        <v>11400000</v>
      </c>
      <c r="N80" s="38">
        <f>F80-(H80*12)-2500000-7750000-2500000</f>
        <v>18750000</v>
      </c>
      <c r="O80" s="39" t="s">
        <v>253</v>
      </c>
      <c r="P80" s="39" t="s">
        <v>78</v>
      </c>
      <c r="Q80" s="40">
        <f t="shared" si="11"/>
        <v>18750000</v>
      </c>
      <c r="R80" s="40">
        <f>+'[1]D N 2'!AF102</f>
        <v>18750000</v>
      </c>
      <c r="S80" s="33">
        <f t="shared" si="12"/>
        <v>0</v>
      </c>
    </row>
    <row r="81" spans="1:19">
      <c r="A81" s="29">
        <f t="shared" si="13"/>
        <v>77</v>
      </c>
      <c r="B81" s="30" t="s">
        <v>254</v>
      </c>
      <c r="C81" s="31" t="s">
        <v>255</v>
      </c>
      <c r="D81" s="31" t="s">
        <v>256</v>
      </c>
      <c r="E81" s="32">
        <v>43063</v>
      </c>
      <c r="F81" s="41">
        <f>100000+9900000</f>
        <v>10000000</v>
      </c>
      <c r="G81" s="34">
        <f t="shared" si="8"/>
        <v>11448000</v>
      </c>
      <c r="H81" s="35">
        <f>954000-I81</f>
        <v>834000</v>
      </c>
      <c r="I81" s="35">
        <f>+F81*1.2%</f>
        <v>120000</v>
      </c>
      <c r="J81" s="29">
        <v>12</v>
      </c>
      <c r="K81" s="29">
        <v>5</v>
      </c>
      <c r="L81" s="36">
        <f t="shared" si="9"/>
        <v>954000</v>
      </c>
      <c r="M81" s="37">
        <f t="shared" si="10"/>
        <v>4770000</v>
      </c>
      <c r="N81" s="38">
        <f>F81-(H81*7)</f>
        <v>4162000</v>
      </c>
      <c r="O81" s="39" t="s">
        <v>257</v>
      </c>
      <c r="P81" s="39" t="s">
        <v>123</v>
      </c>
      <c r="Q81" s="40">
        <f t="shared" si="11"/>
        <v>4162000</v>
      </c>
      <c r="R81" s="40">
        <f>+'[1]D N 2'!AF103</f>
        <v>4162000</v>
      </c>
      <c r="S81" s="33">
        <f t="shared" si="12"/>
        <v>0</v>
      </c>
    </row>
    <row r="82" spans="1:19">
      <c r="A82" s="29">
        <f t="shared" si="13"/>
        <v>78</v>
      </c>
      <c r="B82" s="30" t="s">
        <v>254</v>
      </c>
      <c r="C82" s="31" t="s">
        <v>255</v>
      </c>
      <c r="D82" s="43" t="s">
        <v>258</v>
      </c>
      <c r="E82" s="32">
        <v>42818</v>
      </c>
      <c r="F82" s="33">
        <f>7000000</f>
        <v>7000000</v>
      </c>
      <c r="G82" s="34">
        <f t="shared" si="8"/>
        <v>7020000</v>
      </c>
      <c r="H82" s="33">
        <f>292500</f>
        <v>292500</v>
      </c>
      <c r="I82" s="33">
        <v>0</v>
      </c>
      <c r="J82" s="29">
        <v>24</v>
      </c>
      <c r="K82" s="29">
        <v>9</v>
      </c>
      <c r="L82" s="36">
        <f t="shared" si="9"/>
        <v>292500</v>
      </c>
      <c r="M82" s="36">
        <f t="shared" si="10"/>
        <v>2632500</v>
      </c>
      <c r="N82" s="38">
        <f>F82-(H82*15)</f>
        <v>2612500</v>
      </c>
      <c r="O82" s="39" t="s">
        <v>259</v>
      </c>
      <c r="P82" s="39" t="s">
        <v>95</v>
      </c>
      <c r="Q82" s="40">
        <f t="shared" si="11"/>
        <v>2612500</v>
      </c>
      <c r="R82" s="40">
        <f>+'[1]D N 2'!AF104</f>
        <v>2612500</v>
      </c>
      <c r="S82" s="33">
        <f t="shared" si="12"/>
        <v>0</v>
      </c>
    </row>
    <row r="83" spans="1:19">
      <c r="A83" s="29">
        <f t="shared" si="13"/>
        <v>79</v>
      </c>
      <c r="B83" s="30" t="s">
        <v>260</v>
      </c>
      <c r="C83" s="31" t="s">
        <v>261</v>
      </c>
      <c r="D83" s="43" t="s">
        <v>262</v>
      </c>
      <c r="E83" s="32">
        <v>42921</v>
      </c>
      <c r="F83" s="44">
        <f>50000+200000+34750000</f>
        <v>35000000</v>
      </c>
      <c r="G83" s="34">
        <f t="shared" si="8"/>
        <v>50166000</v>
      </c>
      <c r="H83" s="35">
        <v>973500</v>
      </c>
      <c r="I83" s="33">
        <f>+F83*1.2%</f>
        <v>420000</v>
      </c>
      <c r="J83" s="29">
        <v>36</v>
      </c>
      <c r="K83" s="29">
        <v>24</v>
      </c>
      <c r="L83" s="36">
        <f t="shared" si="9"/>
        <v>1393500</v>
      </c>
      <c r="M83" s="37">
        <f t="shared" si="10"/>
        <v>33444000</v>
      </c>
      <c r="N83" s="38">
        <f>F83-(H83*12)</f>
        <v>23318000</v>
      </c>
      <c r="O83" s="39" t="s">
        <v>263</v>
      </c>
      <c r="P83" s="39" t="s">
        <v>25</v>
      </c>
      <c r="Q83" s="40">
        <f t="shared" si="11"/>
        <v>23318000</v>
      </c>
      <c r="R83" s="40">
        <f>+'[1]D N 2'!AF105</f>
        <v>23318000</v>
      </c>
      <c r="S83" s="33">
        <f t="shared" si="12"/>
        <v>0</v>
      </c>
    </row>
    <row r="84" spans="1:19">
      <c r="A84" s="29">
        <f t="shared" si="13"/>
        <v>80</v>
      </c>
      <c r="B84" s="30" t="s">
        <v>264</v>
      </c>
      <c r="C84" s="31" t="s">
        <v>265</v>
      </c>
      <c r="D84" s="32"/>
      <c r="E84" s="32">
        <v>42507</v>
      </c>
      <c r="F84" s="44">
        <v>43500000</v>
      </c>
      <c r="G84" s="34">
        <f t="shared" si="8"/>
        <v>40554000</v>
      </c>
      <c r="H84" s="44">
        <v>604500</v>
      </c>
      <c r="I84" s="34">
        <f>+F84*1.2%</f>
        <v>522000</v>
      </c>
      <c r="J84" s="29">
        <v>36</v>
      </c>
      <c r="K84" s="29">
        <f>15</f>
        <v>15</v>
      </c>
      <c r="L84" s="33">
        <f t="shared" si="9"/>
        <v>1126500</v>
      </c>
      <c r="M84" s="33">
        <f t="shared" si="10"/>
        <v>16897500</v>
      </c>
      <c r="N84" s="67">
        <f>F84-(H84*21)-2500000-2500000-2500000-2500000-1250000-857116-2500000</f>
        <v>16198384</v>
      </c>
      <c r="O84" s="39" t="s">
        <v>266</v>
      </c>
      <c r="P84" s="39" t="s">
        <v>69</v>
      </c>
      <c r="Q84" s="40">
        <f t="shared" si="11"/>
        <v>16198384</v>
      </c>
      <c r="R84" s="40">
        <f>+'[1]D N 2'!AF106</f>
        <v>16198384</v>
      </c>
      <c r="S84" s="33">
        <f t="shared" si="12"/>
        <v>0</v>
      </c>
    </row>
    <row r="85" spans="1:19">
      <c r="A85" s="29">
        <f t="shared" si="13"/>
        <v>81</v>
      </c>
      <c r="B85" s="30" t="s">
        <v>264</v>
      </c>
      <c r="C85" s="31" t="s">
        <v>265</v>
      </c>
      <c r="D85" s="32"/>
      <c r="E85" s="32">
        <v>42507</v>
      </c>
      <c r="F85" s="44">
        <f>60624700+1515618+814994+263753+200000+23580935-43500000</f>
        <v>43500000</v>
      </c>
      <c r="G85" s="34">
        <f t="shared" si="8"/>
        <v>40554000</v>
      </c>
      <c r="H85" s="40">
        <v>604500</v>
      </c>
      <c r="I85" s="34">
        <f>+F85*1.2%</f>
        <v>522000</v>
      </c>
      <c r="J85" s="29">
        <v>36</v>
      </c>
      <c r="K85" s="29">
        <f>16</f>
        <v>16</v>
      </c>
      <c r="L85" s="33">
        <f t="shared" si="9"/>
        <v>1126500</v>
      </c>
      <c r="M85" s="33">
        <f t="shared" si="10"/>
        <v>18024000</v>
      </c>
      <c r="N85" s="67">
        <f>F85-(H85*20)-2500000-2500000-2500000-2500000-1250000-2500000</f>
        <v>17660000</v>
      </c>
      <c r="O85" s="39" t="s">
        <v>266</v>
      </c>
      <c r="P85" s="39" t="s">
        <v>69</v>
      </c>
      <c r="Q85" s="40">
        <f t="shared" si="11"/>
        <v>17660000</v>
      </c>
      <c r="R85" s="40">
        <f>+'[1]D N 2'!AF107</f>
        <v>17660000</v>
      </c>
      <c r="S85" s="33">
        <f t="shared" si="12"/>
        <v>0</v>
      </c>
    </row>
    <row r="86" spans="1:19">
      <c r="A86" s="29">
        <f t="shared" si="13"/>
        <v>82</v>
      </c>
      <c r="B86" s="33" t="s">
        <v>267</v>
      </c>
      <c r="C86" s="84" t="s">
        <v>268</v>
      </c>
      <c r="D86" s="32"/>
      <c r="E86" s="32">
        <v>42515</v>
      </c>
      <c r="F86" s="62">
        <f>37684390+942110+20000+200000+2000000</f>
        <v>40846500</v>
      </c>
      <c r="G86" s="62">
        <f t="shared" si="8"/>
        <v>37030000</v>
      </c>
      <c r="H86" s="33">
        <v>567842</v>
      </c>
      <c r="I86" s="62">
        <f>+F86*1.2%</f>
        <v>490158</v>
      </c>
      <c r="J86" s="85" t="s">
        <v>269</v>
      </c>
      <c r="K86" s="29">
        <v>10</v>
      </c>
      <c r="L86" s="33">
        <f t="shared" si="9"/>
        <v>1058000</v>
      </c>
      <c r="M86" s="33">
        <f t="shared" si="10"/>
        <v>10580000</v>
      </c>
      <c r="N86" s="80">
        <f>F86-(H86*25)-7000000-7000000</f>
        <v>12650450</v>
      </c>
      <c r="O86" s="68" t="s">
        <v>270</v>
      </c>
      <c r="P86" s="68" t="s">
        <v>144</v>
      </c>
      <c r="Q86" s="40">
        <f t="shared" si="11"/>
        <v>12650450</v>
      </c>
      <c r="R86" s="40">
        <f>+'[1]D N 2'!AF108</f>
        <v>12650450</v>
      </c>
      <c r="S86" s="33">
        <f t="shared" si="12"/>
        <v>0</v>
      </c>
    </row>
    <row r="87" spans="1:19">
      <c r="A87" s="29">
        <f t="shared" si="13"/>
        <v>83</v>
      </c>
      <c r="B87" s="30" t="s">
        <v>271</v>
      </c>
      <c r="C87" s="31" t="s">
        <v>272</v>
      </c>
      <c r="D87" s="31" t="s">
        <v>273</v>
      </c>
      <c r="E87" s="32">
        <v>43248</v>
      </c>
      <c r="F87" s="41">
        <f>87910000+2197750+500000+200000+50000000-70403875</f>
        <v>70403875</v>
      </c>
      <c r="G87" s="34">
        <f t="shared" si="8"/>
        <v>66416000</v>
      </c>
      <c r="H87" s="40">
        <v>1052753</v>
      </c>
      <c r="I87" s="40">
        <v>844847</v>
      </c>
      <c r="J87" s="29">
        <v>35</v>
      </c>
      <c r="K87" s="29">
        <v>34</v>
      </c>
      <c r="L87" s="36">
        <f t="shared" si="9"/>
        <v>1897600</v>
      </c>
      <c r="M87" s="37">
        <f t="shared" si="10"/>
        <v>64518400</v>
      </c>
      <c r="N87" s="38">
        <f>F87-(H87*1)</f>
        <v>69351122</v>
      </c>
      <c r="O87" s="39" t="s">
        <v>274</v>
      </c>
      <c r="P87" s="39" t="s">
        <v>49</v>
      </c>
      <c r="Q87" s="40">
        <f t="shared" si="11"/>
        <v>69351122</v>
      </c>
      <c r="R87" s="40">
        <f>+'[1]D N 2'!AF109</f>
        <v>69351122</v>
      </c>
      <c r="S87" s="33">
        <f t="shared" si="12"/>
        <v>0</v>
      </c>
    </row>
    <row r="88" spans="1:19">
      <c r="A88" s="29">
        <f t="shared" si="13"/>
        <v>84</v>
      </c>
      <c r="B88" s="30" t="s">
        <v>271</v>
      </c>
      <c r="C88" s="31" t="s">
        <v>272</v>
      </c>
      <c r="D88" s="31" t="s">
        <v>273</v>
      </c>
      <c r="E88" s="32">
        <v>43248</v>
      </c>
      <c r="F88" s="41">
        <v>70403875</v>
      </c>
      <c r="G88" s="34">
        <f t="shared" si="8"/>
        <v>66416000</v>
      </c>
      <c r="H88" s="40">
        <f>1052754</f>
        <v>1052754</v>
      </c>
      <c r="I88" s="40">
        <v>844846</v>
      </c>
      <c r="J88" s="29">
        <v>35</v>
      </c>
      <c r="K88" s="29">
        <f>34</f>
        <v>34</v>
      </c>
      <c r="L88" s="36">
        <f t="shared" si="9"/>
        <v>1897600</v>
      </c>
      <c r="M88" s="37">
        <f t="shared" si="10"/>
        <v>64518400</v>
      </c>
      <c r="N88" s="38">
        <f>F88-(H88*1)</f>
        <v>69351121</v>
      </c>
      <c r="O88" s="39" t="s">
        <v>274</v>
      </c>
      <c r="P88" s="39" t="s">
        <v>49</v>
      </c>
      <c r="Q88" s="40">
        <f t="shared" si="11"/>
        <v>69351121</v>
      </c>
      <c r="R88" s="40">
        <f>+'[1]D N 2'!AF110</f>
        <v>69351121</v>
      </c>
      <c r="S88" s="33">
        <f t="shared" si="12"/>
        <v>0</v>
      </c>
    </row>
    <row r="89" spans="1:19">
      <c r="A89" s="29">
        <f t="shared" si="13"/>
        <v>85</v>
      </c>
      <c r="B89" s="30" t="s">
        <v>275</v>
      </c>
      <c r="C89" s="31" t="s">
        <v>276</v>
      </c>
      <c r="D89" s="31" t="s">
        <v>277</v>
      </c>
      <c r="E89" s="32">
        <v>42982</v>
      </c>
      <c r="F89" s="41">
        <f>30833100+770828+590968+1441669+200000+141163435-87500000</f>
        <v>87500000</v>
      </c>
      <c r="G89" s="34">
        <f t="shared" si="8"/>
        <v>74769750</v>
      </c>
      <c r="H89" s="35">
        <v>1215750</v>
      </c>
      <c r="I89" s="35">
        <f t="shared" ref="I89:I93" si="14">+F89*1.2%</f>
        <v>1050000</v>
      </c>
      <c r="J89" s="29">
        <v>33</v>
      </c>
      <c r="K89" s="29">
        <v>23</v>
      </c>
      <c r="L89" s="36">
        <f t="shared" si="9"/>
        <v>2265750</v>
      </c>
      <c r="M89" s="37">
        <f t="shared" si="10"/>
        <v>52112250</v>
      </c>
      <c r="N89" s="38">
        <f>F89-(H89*10)-3500000-10000000-3500000</f>
        <v>58342500</v>
      </c>
      <c r="O89" s="42" t="s">
        <v>278</v>
      </c>
      <c r="P89" s="39" t="s">
        <v>30</v>
      </c>
      <c r="Q89" s="40">
        <f t="shared" si="11"/>
        <v>58342500</v>
      </c>
      <c r="R89" s="40">
        <f>+'[1]D N 2'!AF111</f>
        <v>58342500</v>
      </c>
      <c r="S89" s="33">
        <f t="shared" si="12"/>
        <v>0</v>
      </c>
    </row>
    <row r="90" spans="1:19">
      <c r="A90" s="29">
        <f t="shared" si="13"/>
        <v>86</v>
      </c>
      <c r="B90" s="30" t="s">
        <v>275</v>
      </c>
      <c r="C90" s="31" t="s">
        <v>276</v>
      </c>
      <c r="D90" s="31" t="s">
        <v>277</v>
      </c>
      <c r="E90" s="32">
        <v>42982</v>
      </c>
      <c r="F90" s="41">
        <v>87500000</v>
      </c>
      <c r="G90" s="34">
        <f t="shared" si="8"/>
        <v>74769750</v>
      </c>
      <c r="H90" s="35">
        <v>1215750</v>
      </c>
      <c r="I90" s="35">
        <f t="shared" si="14"/>
        <v>1050000</v>
      </c>
      <c r="J90" s="29">
        <v>33</v>
      </c>
      <c r="K90" s="29">
        <v>23</v>
      </c>
      <c r="L90" s="36">
        <f t="shared" si="9"/>
        <v>2265750</v>
      </c>
      <c r="M90" s="37">
        <f t="shared" si="10"/>
        <v>52112250</v>
      </c>
      <c r="N90" s="38">
        <f>F90-(H90*10)-3500000-10000000-3500000</f>
        <v>58342500</v>
      </c>
      <c r="O90" s="42" t="s">
        <v>278</v>
      </c>
      <c r="P90" s="39" t="s">
        <v>30</v>
      </c>
      <c r="Q90" s="40">
        <f t="shared" si="11"/>
        <v>58342500</v>
      </c>
      <c r="R90" s="40">
        <f>+'[1]D N 2'!AF112</f>
        <v>58342500</v>
      </c>
      <c r="S90" s="33">
        <f t="shared" si="12"/>
        <v>0</v>
      </c>
    </row>
    <row r="91" spans="1:19">
      <c r="A91" s="29">
        <f t="shared" si="13"/>
        <v>87</v>
      </c>
      <c r="B91" s="30" t="s">
        <v>279</v>
      </c>
      <c r="C91" s="31" t="s">
        <v>280</v>
      </c>
      <c r="D91" s="43" t="s">
        <v>281</v>
      </c>
      <c r="E91" s="32">
        <v>43003</v>
      </c>
      <c r="F91" s="41">
        <f>13928200+348205+500000+200000+65023595</f>
        <v>80000000</v>
      </c>
      <c r="G91" s="34">
        <f t="shared" si="8"/>
        <v>70000000</v>
      </c>
      <c r="H91" s="35">
        <v>2540000</v>
      </c>
      <c r="I91" s="35">
        <f t="shared" si="14"/>
        <v>960000</v>
      </c>
      <c r="J91" s="29">
        <v>20</v>
      </c>
      <c r="K91" s="29">
        <v>11</v>
      </c>
      <c r="L91" s="36">
        <f t="shared" si="9"/>
        <v>3500000</v>
      </c>
      <c r="M91" s="37">
        <f t="shared" si="10"/>
        <v>38500000</v>
      </c>
      <c r="N91" s="38">
        <f>F91-(H91*9)-15000000</f>
        <v>42140000</v>
      </c>
      <c r="O91" s="42" t="s">
        <v>73</v>
      </c>
      <c r="P91" s="39" t="s">
        <v>49</v>
      </c>
      <c r="Q91" s="40">
        <f t="shared" si="11"/>
        <v>42140000</v>
      </c>
      <c r="R91" s="40">
        <f>+'[1]D N 2'!AF113</f>
        <v>42140000</v>
      </c>
      <c r="S91" s="33">
        <f t="shared" si="12"/>
        <v>0</v>
      </c>
    </row>
    <row r="92" spans="1:19">
      <c r="A92" s="29">
        <f t="shared" si="13"/>
        <v>88</v>
      </c>
      <c r="B92" s="30" t="s">
        <v>282</v>
      </c>
      <c r="C92" s="31" t="s">
        <v>283</v>
      </c>
      <c r="D92" s="31" t="s">
        <v>284</v>
      </c>
      <c r="E92" s="32">
        <v>43157</v>
      </c>
      <c r="F92" s="41">
        <f>17500000+437500+200000+200000+31662500</f>
        <v>50000000</v>
      </c>
      <c r="G92" s="34">
        <f t="shared" si="8"/>
        <v>64416000</v>
      </c>
      <c r="H92" s="40">
        <v>2084000</v>
      </c>
      <c r="I92" s="40">
        <f t="shared" si="14"/>
        <v>600000</v>
      </c>
      <c r="J92" s="29">
        <v>24</v>
      </c>
      <c r="K92" s="29">
        <v>20</v>
      </c>
      <c r="L92" s="36">
        <f t="shared" si="9"/>
        <v>2684000</v>
      </c>
      <c r="M92" s="37">
        <f t="shared" si="10"/>
        <v>53680000</v>
      </c>
      <c r="N92" s="38">
        <f>F92-(H92*4)</f>
        <v>41664000</v>
      </c>
      <c r="O92" s="39" t="s">
        <v>285</v>
      </c>
      <c r="P92" s="39" t="s">
        <v>78</v>
      </c>
      <c r="Q92" s="40">
        <f t="shared" si="11"/>
        <v>41664000</v>
      </c>
      <c r="R92" s="40">
        <f>+'[1]D N 2'!AF114</f>
        <v>41664000</v>
      </c>
      <c r="S92" s="33">
        <f t="shared" si="12"/>
        <v>0</v>
      </c>
    </row>
    <row r="93" spans="1:19">
      <c r="A93" s="29">
        <f t="shared" si="13"/>
        <v>89</v>
      </c>
      <c r="B93" s="30" t="s">
        <v>286</v>
      </c>
      <c r="C93" s="31" t="s">
        <v>287</v>
      </c>
      <c r="D93" s="31" t="s">
        <v>288</v>
      </c>
      <c r="E93" s="32">
        <v>42942</v>
      </c>
      <c r="F93" s="41">
        <f>13330000+333250+100000+200000+26036750</f>
        <v>40000000</v>
      </c>
      <c r="G93" s="34">
        <f t="shared" si="8"/>
        <v>57330000</v>
      </c>
      <c r="H93" s="40">
        <v>1112500</v>
      </c>
      <c r="I93" s="40">
        <f t="shared" si="14"/>
        <v>480000</v>
      </c>
      <c r="J93" s="29">
        <v>36</v>
      </c>
      <c r="K93" s="29">
        <f>25</f>
        <v>25</v>
      </c>
      <c r="L93" s="36">
        <f t="shared" si="9"/>
        <v>1592500</v>
      </c>
      <c r="M93" s="37">
        <f t="shared" si="10"/>
        <v>39812500</v>
      </c>
      <c r="N93" s="38">
        <f>F93-(H93*11)</f>
        <v>27762500</v>
      </c>
      <c r="O93" s="42" t="s">
        <v>289</v>
      </c>
      <c r="P93" s="39" t="s">
        <v>49</v>
      </c>
      <c r="Q93" s="40">
        <f t="shared" si="11"/>
        <v>27762500</v>
      </c>
      <c r="R93" s="40">
        <f>+'[1]D N 2'!AF115</f>
        <v>27762500</v>
      </c>
      <c r="S93" s="33">
        <f t="shared" si="12"/>
        <v>0</v>
      </c>
    </row>
    <row r="94" spans="1:19">
      <c r="A94" s="29">
        <f t="shared" si="13"/>
        <v>90</v>
      </c>
      <c r="B94" s="50" t="s">
        <v>290</v>
      </c>
      <c r="C94" s="86" t="s">
        <v>291</v>
      </c>
      <c r="D94" s="86" t="s">
        <v>292</v>
      </c>
      <c r="E94" s="52">
        <v>43245</v>
      </c>
      <c r="F94" s="87">
        <f>379160000+9479000+200000+0</f>
        <v>388839000</v>
      </c>
      <c r="G94" s="88">
        <f t="shared" si="8"/>
        <v>285600000</v>
      </c>
      <c r="H94" s="89">
        <v>2133932</v>
      </c>
      <c r="I94" s="89">
        <v>4666068</v>
      </c>
      <c r="J94" s="56">
        <v>42</v>
      </c>
      <c r="K94" s="56">
        <f>41+1</f>
        <v>42</v>
      </c>
      <c r="L94" s="36">
        <f t="shared" si="9"/>
        <v>6800000</v>
      </c>
      <c r="M94" s="37">
        <f t="shared" si="10"/>
        <v>285600000</v>
      </c>
      <c r="N94" s="38">
        <f>F94-(H94*0)</f>
        <v>388839000</v>
      </c>
      <c r="O94" s="39" t="s">
        <v>293</v>
      </c>
      <c r="P94" s="39" t="s">
        <v>294</v>
      </c>
      <c r="Q94" s="40">
        <f t="shared" si="11"/>
        <v>388839000</v>
      </c>
      <c r="R94" s="40">
        <f>+'[1]D N 2'!AF116</f>
        <v>388839000</v>
      </c>
      <c r="S94" s="33">
        <f t="shared" si="12"/>
        <v>0</v>
      </c>
    </row>
    <row r="95" spans="1:19">
      <c r="A95" s="29">
        <f t="shared" si="13"/>
        <v>91</v>
      </c>
      <c r="B95" s="30" t="s">
        <v>295</v>
      </c>
      <c r="C95" s="31" t="s">
        <v>296</v>
      </c>
      <c r="D95" s="31" t="s">
        <v>297</v>
      </c>
      <c r="E95" s="32">
        <v>43220</v>
      </c>
      <c r="F95" s="41">
        <f>176877496+4421937+500000+200000+50000000-115999717</f>
        <v>115999716</v>
      </c>
      <c r="G95" s="34">
        <f t="shared" si="8"/>
        <v>119999952</v>
      </c>
      <c r="H95" s="40">
        <v>1108033</v>
      </c>
      <c r="I95" s="40">
        <v>1391966</v>
      </c>
      <c r="J95" s="29">
        <v>48</v>
      </c>
      <c r="K95" s="29">
        <v>46</v>
      </c>
      <c r="L95" s="36">
        <f t="shared" si="9"/>
        <v>2499999</v>
      </c>
      <c r="M95" s="37">
        <f t="shared" si="10"/>
        <v>114999954</v>
      </c>
      <c r="N95" s="38">
        <f>F95-(H95*2)</f>
        <v>113783650</v>
      </c>
      <c r="O95" s="39" t="s">
        <v>230</v>
      </c>
      <c r="P95" s="39" t="s">
        <v>35</v>
      </c>
      <c r="Q95" s="40">
        <f t="shared" si="11"/>
        <v>113783650</v>
      </c>
      <c r="R95" s="40">
        <f>+'[1]D N 2'!AF117</f>
        <v>113783650</v>
      </c>
      <c r="S95" s="33">
        <f t="shared" si="12"/>
        <v>0</v>
      </c>
    </row>
    <row r="96" spans="1:19">
      <c r="A96" s="29">
        <f t="shared" si="13"/>
        <v>92</v>
      </c>
      <c r="B96" s="30" t="s">
        <v>295</v>
      </c>
      <c r="C96" s="31" t="s">
        <v>296</v>
      </c>
      <c r="D96" s="31" t="s">
        <v>297</v>
      </c>
      <c r="E96" s="32">
        <v>43220</v>
      </c>
      <c r="F96" s="41">
        <v>115999717</v>
      </c>
      <c r="G96" s="34">
        <f t="shared" si="8"/>
        <v>120000048</v>
      </c>
      <c r="H96" s="40">
        <v>1108034</v>
      </c>
      <c r="I96" s="40">
        <v>1391967</v>
      </c>
      <c r="J96" s="29">
        <v>48</v>
      </c>
      <c r="K96" s="29">
        <v>46</v>
      </c>
      <c r="L96" s="36">
        <f t="shared" si="9"/>
        <v>2500001</v>
      </c>
      <c r="M96" s="37">
        <f t="shared" si="10"/>
        <v>115000046</v>
      </c>
      <c r="N96" s="38">
        <f>F96-(H96*2)</f>
        <v>113783649</v>
      </c>
      <c r="O96" s="39" t="s">
        <v>230</v>
      </c>
      <c r="P96" s="39" t="s">
        <v>35</v>
      </c>
      <c r="Q96" s="40">
        <f t="shared" si="11"/>
        <v>113783649</v>
      </c>
      <c r="R96" s="40">
        <f>+'[1]D N 2'!AF118</f>
        <v>113783649</v>
      </c>
      <c r="S96" s="33">
        <f t="shared" si="12"/>
        <v>0</v>
      </c>
    </row>
    <row r="97" spans="1:20">
      <c r="A97" s="29">
        <f t="shared" si="13"/>
        <v>93</v>
      </c>
      <c r="B97" s="30" t="s">
        <v>298</v>
      </c>
      <c r="C97" s="45" t="s">
        <v>299</v>
      </c>
      <c r="D97" s="45" t="s">
        <v>300</v>
      </c>
      <c r="E97" s="32">
        <v>43182</v>
      </c>
      <c r="F97" s="41">
        <f>29011219+725280+490112+200000+50000000</f>
        <v>80426611</v>
      </c>
      <c r="G97" s="34">
        <f t="shared" si="8"/>
        <v>57186000</v>
      </c>
      <c r="H97" s="40">
        <v>1152881</v>
      </c>
      <c r="I97" s="40">
        <v>965119</v>
      </c>
      <c r="J97" s="29">
        <v>27</v>
      </c>
      <c r="K97" s="29">
        <v>24</v>
      </c>
      <c r="L97" s="36">
        <f t="shared" si="9"/>
        <v>2118000</v>
      </c>
      <c r="M97" s="37">
        <f t="shared" si="10"/>
        <v>50832000</v>
      </c>
      <c r="N97" s="38">
        <f>F97-(H97*3)-3500000</f>
        <v>73467968</v>
      </c>
      <c r="O97" s="39" t="s">
        <v>57</v>
      </c>
      <c r="P97" s="39" t="s">
        <v>30</v>
      </c>
      <c r="Q97" s="40">
        <f t="shared" si="11"/>
        <v>73467968</v>
      </c>
      <c r="R97" s="40">
        <f>+'[1]D N 2'!AF119</f>
        <v>73467968</v>
      </c>
      <c r="S97" s="33">
        <f t="shared" si="12"/>
        <v>0</v>
      </c>
    </row>
    <row r="98" spans="1:20">
      <c r="A98" s="29">
        <f t="shared" si="13"/>
        <v>94</v>
      </c>
      <c r="B98" s="30" t="s">
        <v>301</v>
      </c>
      <c r="C98" s="31" t="s">
        <v>302</v>
      </c>
      <c r="D98" s="31" t="s">
        <v>303</v>
      </c>
      <c r="E98" s="32">
        <v>42943</v>
      </c>
      <c r="F98" s="41">
        <f>105644700+2641118+250000+200000+25000000-66867909</f>
        <v>66867909</v>
      </c>
      <c r="G98" s="34">
        <f t="shared" si="8"/>
        <v>49500000</v>
      </c>
      <c r="H98" s="40">
        <v>697585</v>
      </c>
      <c r="I98" s="40">
        <v>802415</v>
      </c>
      <c r="J98" s="29">
        <v>33</v>
      </c>
      <c r="K98" s="29">
        <v>22</v>
      </c>
      <c r="L98" s="36">
        <f t="shared" si="9"/>
        <v>1500000</v>
      </c>
      <c r="M98" s="37">
        <f t="shared" si="10"/>
        <v>33000000</v>
      </c>
      <c r="N98" s="38">
        <f>F98-(H98*11)-2500000-12000000-2500000</f>
        <v>42194474</v>
      </c>
      <c r="O98" s="39" t="s">
        <v>304</v>
      </c>
      <c r="P98" s="39" t="s">
        <v>49</v>
      </c>
      <c r="Q98" s="40">
        <f t="shared" si="11"/>
        <v>42194474</v>
      </c>
      <c r="R98" s="40">
        <f>+'[1]D N 2'!AF120</f>
        <v>42194474</v>
      </c>
      <c r="S98" s="33">
        <f t="shared" si="12"/>
        <v>0</v>
      </c>
    </row>
    <row r="99" spans="1:20">
      <c r="A99" s="29">
        <f t="shared" si="13"/>
        <v>95</v>
      </c>
      <c r="B99" s="30" t="s">
        <v>301</v>
      </c>
      <c r="C99" s="31" t="s">
        <v>302</v>
      </c>
      <c r="D99" s="31" t="s">
        <v>303</v>
      </c>
      <c r="E99" s="32">
        <v>42943</v>
      </c>
      <c r="F99" s="41">
        <v>66867909</v>
      </c>
      <c r="G99" s="34">
        <f t="shared" si="8"/>
        <v>49500000</v>
      </c>
      <c r="H99" s="41">
        <v>697585</v>
      </c>
      <c r="I99" s="41">
        <v>802415</v>
      </c>
      <c r="J99" s="29">
        <v>33</v>
      </c>
      <c r="K99" s="29">
        <v>22</v>
      </c>
      <c r="L99" s="36">
        <f t="shared" si="9"/>
        <v>1500000</v>
      </c>
      <c r="M99" s="37">
        <f t="shared" si="10"/>
        <v>33000000</v>
      </c>
      <c r="N99" s="38">
        <f>F99-(H99*11)-2500000-12000000-2500000</f>
        <v>42194474</v>
      </c>
      <c r="O99" s="39" t="s">
        <v>304</v>
      </c>
      <c r="P99" s="39" t="s">
        <v>49</v>
      </c>
      <c r="Q99" s="40">
        <f t="shared" si="11"/>
        <v>42194474</v>
      </c>
      <c r="R99" s="40">
        <f>+'[1]D N 2'!AF121</f>
        <v>42194474</v>
      </c>
      <c r="S99" s="33">
        <f t="shared" si="12"/>
        <v>0</v>
      </c>
    </row>
    <row r="100" spans="1:20">
      <c r="A100" s="29">
        <f t="shared" si="13"/>
        <v>96</v>
      </c>
      <c r="B100" s="30" t="s">
        <v>305</v>
      </c>
      <c r="C100" s="31" t="s">
        <v>306</v>
      </c>
      <c r="D100" s="90"/>
      <c r="E100" s="90">
        <v>41857</v>
      </c>
      <c r="F100" s="47">
        <f>1049300+7543+26233+700000+200000+98016924</f>
        <v>100000000</v>
      </c>
      <c r="G100" s="91">
        <f t="shared" si="8"/>
        <v>100800000</v>
      </c>
      <c r="H100" s="33">
        <v>200000</v>
      </c>
      <c r="I100" s="47">
        <f>+F100*1.2%</f>
        <v>1200000</v>
      </c>
      <c r="J100" s="29">
        <v>72</v>
      </c>
      <c r="K100" s="29">
        <v>25</v>
      </c>
      <c r="L100" s="62">
        <f t="shared" si="9"/>
        <v>1400000</v>
      </c>
      <c r="M100" s="62">
        <f t="shared" si="10"/>
        <v>35000000</v>
      </c>
      <c r="N100" s="92">
        <f>F100-(H100*47)</f>
        <v>90600000</v>
      </c>
      <c r="O100" s="58" t="s">
        <v>307</v>
      </c>
      <c r="P100" s="59" t="s">
        <v>157</v>
      </c>
      <c r="Q100" s="40">
        <f t="shared" si="11"/>
        <v>90600000</v>
      </c>
      <c r="R100" s="40">
        <f>+'[1]D N 2'!AF122</f>
        <v>90600000</v>
      </c>
      <c r="S100" s="33">
        <f t="shared" si="12"/>
        <v>0</v>
      </c>
    </row>
    <row r="101" spans="1:20">
      <c r="A101" s="29">
        <f t="shared" si="13"/>
        <v>97</v>
      </c>
      <c r="B101" s="30" t="s">
        <v>308</v>
      </c>
      <c r="C101" s="31" t="s">
        <v>309</v>
      </c>
      <c r="D101" s="32"/>
      <c r="E101" s="32">
        <v>42576</v>
      </c>
      <c r="F101" s="33">
        <f>2450000+1500000</f>
        <v>3950000</v>
      </c>
      <c r="G101" s="62">
        <f t="shared" si="8"/>
        <v>5688000</v>
      </c>
      <c r="H101" s="35">
        <f>158000-I101</f>
        <v>110600</v>
      </c>
      <c r="I101" s="35">
        <f>+F101*1.2%</f>
        <v>47400</v>
      </c>
      <c r="J101" s="29">
        <v>36</v>
      </c>
      <c r="K101" s="29">
        <v>14</v>
      </c>
      <c r="L101" s="93">
        <f t="shared" si="9"/>
        <v>158000</v>
      </c>
      <c r="M101" s="93">
        <f t="shared" si="10"/>
        <v>2212000</v>
      </c>
      <c r="N101" s="38">
        <f>F101-(H101*22)</f>
        <v>1516800</v>
      </c>
      <c r="O101" s="39" t="s">
        <v>310</v>
      </c>
      <c r="P101" s="39" t="s">
        <v>95</v>
      </c>
      <c r="Q101" s="40">
        <f t="shared" si="11"/>
        <v>1516800</v>
      </c>
      <c r="R101" s="40">
        <f>+'[1]D N 2'!AF123</f>
        <v>1516800</v>
      </c>
      <c r="S101" s="33">
        <f t="shared" si="12"/>
        <v>0</v>
      </c>
    </row>
    <row r="102" spans="1:20">
      <c r="A102" s="29">
        <f t="shared" si="13"/>
        <v>98</v>
      </c>
      <c r="B102" s="30" t="s">
        <v>308</v>
      </c>
      <c r="C102" s="31" t="s">
        <v>309</v>
      </c>
      <c r="D102" s="32"/>
      <c r="E102" s="32">
        <v>42530</v>
      </c>
      <c r="F102" s="44">
        <f>214388400+5359710+1663279+2943493+200000+234086000+30000000+5000000+5000000+13700000+6554000+9271-259452077</f>
        <v>259452076</v>
      </c>
      <c r="G102" s="34">
        <f t="shared" si="8"/>
        <v>263500000</v>
      </c>
      <c r="H102" s="35">
        <v>1136575</v>
      </c>
      <c r="I102" s="44">
        <v>3113425</v>
      </c>
      <c r="J102" s="29">
        <v>62</v>
      </c>
      <c r="K102" s="29">
        <v>40</v>
      </c>
      <c r="L102" s="33">
        <f t="shared" si="9"/>
        <v>4250000</v>
      </c>
      <c r="M102" s="33">
        <f t="shared" si="10"/>
        <v>170000000</v>
      </c>
      <c r="N102" s="80">
        <f>F102-(H102*22)-2500000-2500000-2500000-30000000-2500000-5000000-1136575-30000000-2500000</f>
        <v>155810851</v>
      </c>
      <c r="O102" s="39" t="s">
        <v>311</v>
      </c>
      <c r="P102" s="39" t="s">
        <v>144</v>
      </c>
      <c r="Q102" s="40">
        <f t="shared" si="11"/>
        <v>155810851</v>
      </c>
      <c r="R102" s="40">
        <f>+'[1]D N 2'!AF124</f>
        <v>155810851</v>
      </c>
      <c r="S102" s="33">
        <f t="shared" si="12"/>
        <v>0</v>
      </c>
      <c r="T102" s="94"/>
    </row>
    <row r="103" spans="1:20">
      <c r="A103" s="29">
        <f t="shared" si="13"/>
        <v>99</v>
      </c>
      <c r="B103" s="30" t="s">
        <v>308</v>
      </c>
      <c r="C103" s="31" t="s">
        <v>309</v>
      </c>
      <c r="D103" s="32"/>
      <c r="E103" s="32">
        <v>42530</v>
      </c>
      <c r="F103" s="44">
        <v>259452077</v>
      </c>
      <c r="G103" s="34">
        <v>263500000</v>
      </c>
      <c r="H103" s="34">
        <v>1136575</v>
      </c>
      <c r="I103" s="34">
        <v>3113425</v>
      </c>
      <c r="J103" s="29">
        <v>62</v>
      </c>
      <c r="K103" s="29">
        <v>40</v>
      </c>
      <c r="L103" s="33">
        <f t="shared" si="9"/>
        <v>4250000</v>
      </c>
      <c r="M103" s="33">
        <f t="shared" si="10"/>
        <v>170000000</v>
      </c>
      <c r="N103" s="80">
        <f>F103-(H103*22)-2500000-2500000-2500000-30000000-2500000-5000000-1136575-30000000-2500000</f>
        <v>155810852</v>
      </c>
      <c r="O103" s="39" t="s">
        <v>311</v>
      </c>
      <c r="P103" s="39" t="s">
        <v>144</v>
      </c>
      <c r="Q103" s="40">
        <f t="shared" si="11"/>
        <v>155810852</v>
      </c>
      <c r="R103" s="40">
        <f>+'[1]D N 2'!AF125</f>
        <v>155810852</v>
      </c>
      <c r="S103" s="33">
        <f t="shared" si="12"/>
        <v>0</v>
      </c>
    </row>
    <row r="104" spans="1:20">
      <c r="A104" s="29">
        <f t="shared" si="13"/>
        <v>100</v>
      </c>
      <c r="B104" s="30" t="s">
        <v>312</v>
      </c>
      <c r="C104" s="31" t="s">
        <v>313</v>
      </c>
      <c r="D104" s="32"/>
      <c r="E104" s="32">
        <v>42639</v>
      </c>
      <c r="F104" s="33">
        <f>700000+200000+99100000</f>
        <v>100000000</v>
      </c>
      <c r="G104" s="34">
        <f t="shared" ref="G104:G167" si="15">+J104*L104</f>
        <v>53208000</v>
      </c>
      <c r="H104" s="33">
        <v>278000</v>
      </c>
      <c r="I104" s="33">
        <f>+F104*1.2%</f>
        <v>1200000</v>
      </c>
      <c r="J104" s="29">
        <v>36</v>
      </c>
      <c r="K104" s="29">
        <v>15</v>
      </c>
      <c r="L104" s="36">
        <f t="shared" si="9"/>
        <v>1478000</v>
      </c>
      <c r="M104" s="36">
        <f t="shared" si="10"/>
        <v>22170000</v>
      </c>
      <c r="N104" s="38">
        <f>F104-(H104*21)-5000000-20000000-5000000-5000000-20000000-5000000</f>
        <v>34162000</v>
      </c>
      <c r="O104" s="39" t="s">
        <v>314</v>
      </c>
      <c r="P104" s="39" t="s">
        <v>44</v>
      </c>
      <c r="Q104" s="40">
        <f t="shared" si="11"/>
        <v>34162000</v>
      </c>
      <c r="R104" s="40">
        <f>+'[1]D N 2'!AF126</f>
        <v>34162000</v>
      </c>
      <c r="S104" s="33">
        <f t="shared" si="12"/>
        <v>0</v>
      </c>
    </row>
    <row r="105" spans="1:20">
      <c r="A105" s="29">
        <f t="shared" si="13"/>
        <v>101</v>
      </c>
      <c r="B105" s="30" t="s">
        <v>315</v>
      </c>
      <c r="C105" s="45" t="s">
        <v>316</v>
      </c>
      <c r="D105" s="45" t="s">
        <v>317</v>
      </c>
      <c r="E105" s="32">
        <v>43186</v>
      </c>
      <c r="F105" s="41">
        <f>1200000+200000+148600000</f>
        <v>150000000</v>
      </c>
      <c r="G105" s="34">
        <f t="shared" si="15"/>
        <v>139860000</v>
      </c>
      <c r="H105" s="40">
        <v>2085000</v>
      </c>
      <c r="I105" s="40">
        <f>+F105*1.2%</f>
        <v>1800000</v>
      </c>
      <c r="J105" s="29">
        <v>36</v>
      </c>
      <c r="K105" s="29">
        <v>33</v>
      </c>
      <c r="L105" s="36">
        <f t="shared" si="9"/>
        <v>3885000</v>
      </c>
      <c r="M105" s="37">
        <f t="shared" si="10"/>
        <v>128205000</v>
      </c>
      <c r="N105" s="38">
        <f>F105-(H105*3)-15000000-5000000</f>
        <v>123745000</v>
      </c>
      <c r="O105" s="39" t="s">
        <v>57</v>
      </c>
      <c r="P105" s="39" t="s">
        <v>30</v>
      </c>
      <c r="Q105" s="40">
        <f t="shared" si="11"/>
        <v>123745000</v>
      </c>
      <c r="R105" s="40">
        <f>+'[1]D N 2'!AF127</f>
        <v>123745000</v>
      </c>
      <c r="S105" s="33">
        <f t="shared" si="12"/>
        <v>0</v>
      </c>
    </row>
    <row r="106" spans="1:20">
      <c r="A106" s="29">
        <f t="shared" si="13"/>
        <v>102</v>
      </c>
      <c r="B106" s="30" t="s">
        <v>318</v>
      </c>
      <c r="C106" s="45" t="s">
        <v>319</v>
      </c>
      <c r="D106" s="45" t="s">
        <v>320</v>
      </c>
      <c r="E106" s="32">
        <v>43215</v>
      </c>
      <c r="F106" s="41">
        <f>91700000+2292500+200000+0</f>
        <v>94192500</v>
      </c>
      <c r="G106" s="34">
        <f t="shared" si="15"/>
        <v>41328000</v>
      </c>
      <c r="H106" s="40">
        <v>591690</v>
      </c>
      <c r="I106" s="40">
        <f>+F106*1.2%</f>
        <v>1130310</v>
      </c>
      <c r="J106" s="29">
        <v>24</v>
      </c>
      <c r="K106" s="29">
        <v>22</v>
      </c>
      <c r="L106" s="36">
        <f t="shared" si="9"/>
        <v>1722000</v>
      </c>
      <c r="M106" s="37">
        <f t="shared" si="10"/>
        <v>37884000</v>
      </c>
      <c r="N106" s="38">
        <f>F106-(H106*2)</f>
        <v>93009120</v>
      </c>
      <c r="O106" s="39" t="s">
        <v>321</v>
      </c>
      <c r="P106" s="39" t="s">
        <v>231</v>
      </c>
      <c r="Q106" s="40">
        <f t="shared" si="11"/>
        <v>93009120</v>
      </c>
      <c r="R106" s="40">
        <f>+'[1]D N 2'!AF128</f>
        <v>93009120</v>
      </c>
      <c r="S106" s="33">
        <f t="shared" si="12"/>
        <v>0</v>
      </c>
    </row>
    <row r="107" spans="1:20">
      <c r="A107" s="29">
        <f t="shared" si="13"/>
        <v>103</v>
      </c>
      <c r="B107" s="50" t="s">
        <v>322</v>
      </c>
      <c r="C107" s="86" t="s">
        <v>323</v>
      </c>
      <c r="D107" s="86" t="s">
        <v>324</v>
      </c>
      <c r="E107" s="95">
        <v>43228</v>
      </c>
      <c r="F107" s="87">
        <f>100000+9900000</f>
        <v>10000000</v>
      </c>
      <c r="G107" s="88">
        <f t="shared" si="15"/>
        <v>12880800</v>
      </c>
      <c r="H107" s="89">
        <f>536700-I107</f>
        <v>416700</v>
      </c>
      <c r="I107" s="89">
        <f>+F107*1.2%</f>
        <v>120000</v>
      </c>
      <c r="J107" s="56">
        <v>24</v>
      </c>
      <c r="K107" s="56">
        <f>22+1</f>
        <v>23</v>
      </c>
      <c r="L107" s="36">
        <f t="shared" si="9"/>
        <v>536700</v>
      </c>
      <c r="M107" s="37">
        <f t="shared" si="10"/>
        <v>12344100</v>
      </c>
      <c r="N107" s="38">
        <f>F107-(H107*1)</f>
        <v>9583300</v>
      </c>
      <c r="O107" s="46" t="s">
        <v>325</v>
      </c>
      <c r="P107" s="39" t="s">
        <v>326</v>
      </c>
      <c r="Q107" s="40">
        <f t="shared" si="11"/>
        <v>9583300</v>
      </c>
      <c r="R107" s="40">
        <f>+'[1]D N 2'!AF129</f>
        <v>9583300</v>
      </c>
      <c r="S107" s="33">
        <f t="shared" si="12"/>
        <v>0</v>
      </c>
    </row>
    <row r="108" spans="1:20">
      <c r="A108" s="29">
        <f t="shared" si="13"/>
        <v>104</v>
      </c>
      <c r="B108" s="50" t="s">
        <v>322</v>
      </c>
      <c r="C108" s="51" t="s">
        <v>323</v>
      </c>
      <c r="D108" s="95" t="s">
        <v>327</v>
      </c>
      <c r="E108" s="52">
        <v>42922</v>
      </c>
      <c r="F108" s="55">
        <f>25830000+645750+165290+200000+4000000-15420520</f>
        <v>15420520</v>
      </c>
      <c r="G108" s="88">
        <f t="shared" si="15"/>
        <v>22095000</v>
      </c>
      <c r="H108" s="96">
        <v>428704</v>
      </c>
      <c r="I108" s="55">
        <v>185046</v>
      </c>
      <c r="J108" s="56">
        <v>36</v>
      </c>
      <c r="K108" s="56">
        <f>24+1</f>
        <v>25</v>
      </c>
      <c r="L108" s="36">
        <f t="shared" si="9"/>
        <v>613750</v>
      </c>
      <c r="M108" s="36">
        <f t="shared" si="10"/>
        <v>15343750</v>
      </c>
      <c r="N108" s="38">
        <f>F108-(H108*11)</f>
        <v>10704776</v>
      </c>
      <c r="O108" s="39" t="s">
        <v>328</v>
      </c>
      <c r="P108" s="39" t="s">
        <v>35</v>
      </c>
      <c r="Q108" s="40">
        <f t="shared" si="11"/>
        <v>10704776</v>
      </c>
      <c r="R108" s="40">
        <f>+'[1]D N 2'!AF130</f>
        <v>10704776</v>
      </c>
      <c r="S108" s="33">
        <f t="shared" si="12"/>
        <v>0</v>
      </c>
    </row>
    <row r="109" spans="1:20">
      <c r="A109" s="29">
        <f t="shared" si="13"/>
        <v>105</v>
      </c>
      <c r="B109" s="50" t="s">
        <v>322</v>
      </c>
      <c r="C109" s="51" t="s">
        <v>323</v>
      </c>
      <c r="D109" s="95" t="s">
        <v>327</v>
      </c>
      <c r="E109" s="52">
        <v>42922</v>
      </c>
      <c r="F109" s="55">
        <v>15420520</v>
      </c>
      <c r="G109" s="88">
        <f t="shared" si="15"/>
        <v>22095000</v>
      </c>
      <c r="H109" s="55">
        <v>428704</v>
      </c>
      <c r="I109" s="55">
        <v>185046</v>
      </c>
      <c r="J109" s="56">
        <v>36</v>
      </c>
      <c r="K109" s="56">
        <f>24+1</f>
        <v>25</v>
      </c>
      <c r="L109" s="36">
        <f t="shared" si="9"/>
        <v>613750</v>
      </c>
      <c r="M109" s="36">
        <f t="shared" si="10"/>
        <v>15343750</v>
      </c>
      <c r="N109" s="38">
        <f>F109-(H109*11)</f>
        <v>10704776</v>
      </c>
      <c r="O109" s="39" t="s">
        <v>328</v>
      </c>
      <c r="P109" s="39" t="s">
        <v>35</v>
      </c>
      <c r="Q109" s="40">
        <f t="shared" si="11"/>
        <v>10704776</v>
      </c>
      <c r="R109" s="40">
        <f>+'[1]D N 2'!AF131</f>
        <v>10704776</v>
      </c>
      <c r="S109" s="33">
        <f t="shared" si="12"/>
        <v>0</v>
      </c>
    </row>
    <row r="110" spans="1:20">
      <c r="A110" s="29">
        <f t="shared" si="13"/>
        <v>106</v>
      </c>
      <c r="B110" s="30" t="s">
        <v>329</v>
      </c>
      <c r="C110" s="45" t="s">
        <v>330</v>
      </c>
      <c r="D110" s="45" t="s">
        <v>331</v>
      </c>
      <c r="E110" s="32">
        <v>43231</v>
      </c>
      <c r="F110" s="41">
        <f>25480000+637000+299968+154800+200000+20000000</f>
        <v>46771768</v>
      </c>
      <c r="G110" s="34">
        <f t="shared" si="15"/>
        <v>29520000</v>
      </c>
      <c r="H110" s="40">
        <v>258739</v>
      </c>
      <c r="I110" s="40">
        <v>561261</v>
      </c>
      <c r="J110" s="29">
        <v>36</v>
      </c>
      <c r="K110" s="29">
        <f>34</f>
        <v>34</v>
      </c>
      <c r="L110" s="36">
        <f t="shared" si="9"/>
        <v>820000</v>
      </c>
      <c r="M110" s="37">
        <f t="shared" si="10"/>
        <v>27880000</v>
      </c>
      <c r="N110" s="97">
        <f>F110-(H110*2)</f>
        <v>46254290</v>
      </c>
      <c r="O110" s="39" t="s">
        <v>332</v>
      </c>
      <c r="P110" s="39" t="s">
        <v>64</v>
      </c>
      <c r="Q110" s="40">
        <f t="shared" si="11"/>
        <v>46254290</v>
      </c>
      <c r="R110" s="40">
        <f>+'[1]D N 2'!AF132</f>
        <v>46254290</v>
      </c>
      <c r="S110" s="33">
        <f t="shared" si="12"/>
        <v>0</v>
      </c>
    </row>
    <row r="111" spans="1:20">
      <c r="A111" s="29">
        <f t="shared" si="13"/>
        <v>107</v>
      </c>
      <c r="B111" s="30" t="s">
        <v>333</v>
      </c>
      <c r="C111" s="31" t="s">
        <v>334</v>
      </c>
      <c r="D111" s="43" t="s">
        <v>335</v>
      </c>
      <c r="E111" s="32">
        <v>42879</v>
      </c>
      <c r="F111" s="44">
        <f>23332000+583300+333320+200000+40000000</f>
        <v>64448620</v>
      </c>
      <c r="G111" s="34">
        <f t="shared" si="15"/>
        <v>46550000</v>
      </c>
      <c r="H111" s="35">
        <v>556617</v>
      </c>
      <c r="I111" s="33">
        <v>773383</v>
      </c>
      <c r="J111" s="29">
        <v>35</v>
      </c>
      <c r="K111" s="29">
        <f>22</f>
        <v>22</v>
      </c>
      <c r="L111" s="36">
        <f t="shared" si="9"/>
        <v>1330000</v>
      </c>
      <c r="M111" s="37">
        <f t="shared" si="10"/>
        <v>29260000</v>
      </c>
      <c r="N111" s="38">
        <f>F111-(H111*13)-15000000</f>
        <v>42212599</v>
      </c>
      <c r="O111" s="39" t="s">
        <v>336</v>
      </c>
      <c r="P111" s="39" t="s">
        <v>337</v>
      </c>
      <c r="Q111" s="40">
        <f t="shared" si="11"/>
        <v>42212599</v>
      </c>
      <c r="R111" s="40">
        <f>+'[1]D N 2'!AF133</f>
        <v>42212599</v>
      </c>
      <c r="S111" s="33">
        <f t="shared" si="12"/>
        <v>0</v>
      </c>
    </row>
    <row r="112" spans="1:20">
      <c r="A112" s="29">
        <f t="shared" si="13"/>
        <v>108</v>
      </c>
      <c r="B112" s="30" t="s">
        <v>338</v>
      </c>
      <c r="C112" s="31" t="s">
        <v>339</v>
      </c>
      <c r="D112" s="43" t="s">
        <v>340</v>
      </c>
      <c r="E112" s="32">
        <v>43033</v>
      </c>
      <c r="F112" s="44">
        <v>116939025</v>
      </c>
      <c r="G112" s="34">
        <f t="shared" si="15"/>
        <v>108738042</v>
      </c>
      <c r="H112" s="35">
        <v>1185732</v>
      </c>
      <c r="I112" s="35">
        <v>1403269</v>
      </c>
      <c r="J112" s="29">
        <v>42</v>
      </c>
      <c r="K112" s="29">
        <v>34</v>
      </c>
      <c r="L112" s="36">
        <f t="shared" si="9"/>
        <v>2589001</v>
      </c>
      <c r="M112" s="37">
        <f t="shared" si="10"/>
        <v>88026034</v>
      </c>
      <c r="N112" s="38">
        <f>F112-(H112*8)-1250000-17500000-1250000</f>
        <v>87453169</v>
      </c>
      <c r="O112" s="39" t="s">
        <v>341</v>
      </c>
      <c r="P112" s="39" t="s">
        <v>78</v>
      </c>
      <c r="Q112" s="40">
        <f t="shared" si="11"/>
        <v>87453169</v>
      </c>
      <c r="R112" s="40">
        <f>+'[1]D N 2'!AF134</f>
        <v>87453169</v>
      </c>
      <c r="S112" s="33">
        <f t="shared" si="12"/>
        <v>0</v>
      </c>
    </row>
    <row r="113" spans="1:19">
      <c r="A113" s="29">
        <f t="shared" si="13"/>
        <v>109</v>
      </c>
      <c r="B113" s="30" t="s">
        <v>338</v>
      </c>
      <c r="C113" s="31" t="s">
        <v>339</v>
      </c>
      <c r="D113" s="43" t="s">
        <v>340</v>
      </c>
      <c r="E113" s="32">
        <v>43033</v>
      </c>
      <c r="F113" s="44">
        <f>129442000+3236050+1000000+200000+100000000-116939025</f>
        <v>116939025</v>
      </c>
      <c r="G113" s="34">
        <f t="shared" si="15"/>
        <v>108737958</v>
      </c>
      <c r="H113" s="35">
        <v>1185731</v>
      </c>
      <c r="I113" s="35">
        <v>1403268</v>
      </c>
      <c r="J113" s="29">
        <v>42</v>
      </c>
      <c r="K113" s="29">
        <v>34</v>
      </c>
      <c r="L113" s="36">
        <f t="shared" si="9"/>
        <v>2588999</v>
      </c>
      <c r="M113" s="37">
        <f t="shared" si="10"/>
        <v>88025966</v>
      </c>
      <c r="N113" s="38">
        <f>F113-(H113*8)-1250000-17500000-1250000</f>
        <v>87453177</v>
      </c>
      <c r="O113" s="39" t="s">
        <v>341</v>
      </c>
      <c r="P113" s="39" t="s">
        <v>78</v>
      </c>
      <c r="Q113" s="40">
        <f t="shared" si="11"/>
        <v>87453177</v>
      </c>
      <c r="R113" s="40">
        <f>+'[1]D N 2'!AF135</f>
        <v>87453177</v>
      </c>
      <c r="S113" s="33">
        <f t="shared" si="12"/>
        <v>0</v>
      </c>
    </row>
    <row r="114" spans="1:19">
      <c r="A114" s="29">
        <f t="shared" si="13"/>
        <v>110</v>
      </c>
      <c r="B114" s="50" t="s">
        <v>342</v>
      </c>
      <c r="C114" s="51" t="s">
        <v>343</v>
      </c>
      <c r="D114" s="51" t="s">
        <v>344</v>
      </c>
      <c r="E114" s="52">
        <v>42825</v>
      </c>
      <c r="F114" s="65">
        <f>2500000</f>
        <v>2500000</v>
      </c>
      <c r="G114" s="65">
        <f t="shared" si="15"/>
        <v>3252000</v>
      </c>
      <c r="H114" s="65">
        <f>135500-I114</f>
        <v>105500</v>
      </c>
      <c r="I114" s="65">
        <f>+F114*1.2%</f>
        <v>30000</v>
      </c>
      <c r="J114" s="56">
        <v>24</v>
      </c>
      <c r="K114" s="56">
        <f>20+1</f>
        <v>21</v>
      </c>
      <c r="L114" s="69">
        <f t="shared" si="9"/>
        <v>135500</v>
      </c>
      <c r="M114" s="37">
        <f t="shared" si="10"/>
        <v>2845500</v>
      </c>
      <c r="N114" s="38">
        <f>F114-(H114*3)-500000</f>
        <v>1683500</v>
      </c>
      <c r="O114" s="39" t="s">
        <v>345</v>
      </c>
      <c r="P114" s="39" t="s">
        <v>95</v>
      </c>
      <c r="Q114" s="40">
        <f t="shared" si="11"/>
        <v>1683500</v>
      </c>
      <c r="R114" s="40">
        <f>+'[1]D N 2'!AF136</f>
        <v>1683500</v>
      </c>
      <c r="S114" s="33">
        <f t="shared" si="12"/>
        <v>0</v>
      </c>
    </row>
    <row r="115" spans="1:19">
      <c r="A115" s="29">
        <f t="shared" si="13"/>
        <v>111</v>
      </c>
      <c r="B115" s="50" t="s">
        <v>342</v>
      </c>
      <c r="C115" s="51" t="s">
        <v>343</v>
      </c>
      <c r="D115" s="52"/>
      <c r="E115" s="52">
        <v>42586</v>
      </c>
      <c r="F115" s="65">
        <v>35143714</v>
      </c>
      <c r="G115" s="88">
        <f t="shared" si="15"/>
        <v>31850049</v>
      </c>
      <c r="H115" s="96">
        <v>228276</v>
      </c>
      <c r="I115" s="96">
        <v>421725</v>
      </c>
      <c r="J115" s="56">
        <v>49</v>
      </c>
      <c r="K115" s="56">
        <f>36+1</f>
        <v>37</v>
      </c>
      <c r="L115" s="36">
        <f t="shared" si="9"/>
        <v>650001</v>
      </c>
      <c r="M115" s="98">
        <f t="shared" si="10"/>
        <v>24050037</v>
      </c>
      <c r="N115" s="38">
        <f>F115-(H115*12)-500000-5000000-100000-500000-5000000</f>
        <v>21304402</v>
      </c>
      <c r="O115" s="39" t="s">
        <v>346</v>
      </c>
      <c r="P115" s="39" t="s">
        <v>347</v>
      </c>
      <c r="Q115" s="40">
        <f t="shared" si="11"/>
        <v>21304402</v>
      </c>
      <c r="R115" s="40">
        <f>+'[1]D N 2'!AF137</f>
        <v>21304402</v>
      </c>
      <c r="S115" s="33">
        <f t="shared" si="12"/>
        <v>0</v>
      </c>
    </row>
    <row r="116" spans="1:19">
      <c r="A116" s="29">
        <f t="shared" si="13"/>
        <v>112</v>
      </c>
      <c r="B116" s="50" t="s">
        <v>342</v>
      </c>
      <c r="C116" s="51" t="s">
        <v>343</v>
      </c>
      <c r="D116" s="52"/>
      <c r="E116" s="52">
        <v>42586</v>
      </c>
      <c r="F116" s="65">
        <f>1500000+60772468+1750000+2375000+1556812+327147+112500+693500+1000000+200000+0-35143714</f>
        <v>35143713</v>
      </c>
      <c r="G116" s="88">
        <f t="shared" si="15"/>
        <v>31849951</v>
      </c>
      <c r="H116" s="96">
        <v>228275</v>
      </c>
      <c r="I116" s="55">
        <v>421724</v>
      </c>
      <c r="J116" s="56">
        <v>49</v>
      </c>
      <c r="K116" s="56">
        <f>41+1</f>
        <v>42</v>
      </c>
      <c r="L116" s="36">
        <f t="shared" si="9"/>
        <v>649999</v>
      </c>
      <c r="M116" s="98">
        <f t="shared" si="10"/>
        <v>27299958</v>
      </c>
      <c r="N116" s="38">
        <f>F116-(H116*7)-500000-5000000-500000-5000000</f>
        <v>22545788</v>
      </c>
      <c r="O116" s="39" t="s">
        <v>346</v>
      </c>
      <c r="P116" s="39" t="s">
        <v>347</v>
      </c>
      <c r="Q116" s="40">
        <f t="shared" si="11"/>
        <v>22545788</v>
      </c>
      <c r="R116" s="40">
        <f>+'[1]D N 2'!AF138</f>
        <v>22545788</v>
      </c>
      <c r="S116" s="33">
        <f t="shared" si="12"/>
        <v>0</v>
      </c>
    </row>
    <row r="117" spans="1:19">
      <c r="A117" s="29">
        <f t="shared" si="13"/>
        <v>113</v>
      </c>
      <c r="B117" s="30" t="s">
        <v>348</v>
      </c>
      <c r="C117" s="31" t="s">
        <v>349</v>
      </c>
      <c r="D117" s="31" t="s">
        <v>350</v>
      </c>
      <c r="E117" s="32">
        <v>43063</v>
      </c>
      <c r="F117" s="41">
        <f>100000+9900000</f>
        <v>10000000</v>
      </c>
      <c r="G117" s="34">
        <f t="shared" si="15"/>
        <v>12888000</v>
      </c>
      <c r="H117" s="35">
        <v>417000</v>
      </c>
      <c r="I117" s="35">
        <f>+F117*1.2%</f>
        <v>120000</v>
      </c>
      <c r="J117" s="29">
        <v>24</v>
      </c>
      <c r="K117" s="29">
        <v>17</v>
      </c>
      <c r="L117" s="36">
        <f t="shared" si="9"/>
        <v>537000</v>
      </c>
      <c r="M117" s="37">
        <f t="shared" si="10"/>
        <v>9129000</v>
      </c>
      <c r="N117" s="38">
        <f>F117-(H117*7)</f>
        <v>7081000</v>
      </c>
      <c r="O117" s="39" t="s">
        <v>351</v>
      </c>
      <c r="P117" s="39" t="s">
        <v>123</v>
      </c>
      <c r="Q117" s="40">
        <f t="shared" si="11"/>
        <v>7081000</v>
      </c>
      <c r="R117" s="40">
        <f>+'[1]D N 2'!AF139</f>
        <v>7081000</v>
      </c>
      <c r="S117" s="33">
        <f t="shared" si="12"/>
        <v>0</v>
      </c>
    </row>
    <row r="118" spans="1:19">
      <c r="A118" s="29">
        <f t="shared" si="13"/>
        <v>114</v>
      </c>
      <c r="B118" s="30" t="s">
        <v>352</v>
      </c>
      <c r="C118" s="31" t="s">
        <v>349</v>
      </c>
      <c r="D118" s="31" t="s">
        <v>353</v>
      </c>
      <c r="E118" s="32">
        <v>43052</v>
      </c>
      <c r="F118" s="41">
        <f>400000+39600000</f>
        <v>40000000</v>
      </c>
      <c r="G118" s="34">
        <f t="shared" si="15"/>
        <v>57312000</v>
      </c>
      <c r="H118" s="40">
        <v>1112000</v>
      </c>
      <c r="I118" s="40">
        <f>+F118*1.2%</f>
        <v>480000</v>
      </c>
      <c r="J118" s="29">
        <v>36</v>
      </c>
      <c r="K118" s="29">
        <v>28</v>
      </c>
      <c r="L118" s="36">
        <f t="shared" si="9"/>
        <v>1592000</v>
      </c>
      <c r="M118" s="37">
        <f t="shared" si="10"/>
        <v>44576000</v>
      </c>
      <c r="N118" s="38">
        <f>F118-(H118*8)</f>
        <v>31104000</v>
      </c>
      <c r="O118" s="39" t="s">
        <v>351</v>
      </c>
      <c r="P118" s="39" t="s">
        <v>113</v>
      </c>
      <c r="Q118" s="40">
        <f t="shared" si="11"/>
        <v>31104000</v>
      </c>
      <c r="R118" s="40">
        <f>+'[1]D N 2'!AF140</f>
        <v>31104000</v>
      </c>
      <c r="S118" s="33">
        <f t="shared" si="12"/>
        <v>0</v>
      </c>
    </row>
    <row r="119" spans="1:19">
      <c r="A119" s="29">
        <f t="shared" si="13"/>
        <v>115</v>
      </c>
      <c r="B119" s="30" t="s">
        <v>348</v>
      </c>
      <c r="C119" s="31" t="s">
        <v>349</v>
      </c>
      <c r="D119" s="31" t="s">
        <v>354</v>
      </c>
      <c r="E119" s="32">
        <v>43140</v>
      </c>
      <c r="F119" s="41">
        <f>25000000+625000+150000+15000000</f>
        <v>40775000</v>
      </c>
      <c r="G119" s="34">
        <f t="shared" si="15"/>
        <v>58392000</v>
      </c>
      <c r="H119" s="40">
        <f>1622000-I119</f>
        <v>1132700</v>
      </c>
      <c r="I119" s="40">
        <f>+F119*1.2%</f>
        <v>489300</v>
      </c>
      <c r="J119" s="29">
        <v>36</v>
      </c>
      <c r="K119" s="29">
        <v>31</v>
      </c>
      <c r="L119" s="36">
        <f t="shared" si="9"/>
        <v>1622000</v>
      </c>
      <c r="M119" s="37">
        <f t="shared" si="10"/>
        <v>50282000</v>
      </c>
      <c r="N119" s="38">
        <f>F119-(H119*5)</f>
        <v>35111500</v>
      </c>
      <c r="O119" s="39" t="s">
        <v>355</v>
      </c>
      <c r="P119" s="39" t="s">
        <v>356</v>
      </c>
      <c r="Q119" s="40">
        <f t="shared" si="11"/>
        <v>35111500</v>
      </c>
      <c r="R119" s="40">
        <f>+'[1]D N 2'!AF141</f>
        <v>35111500</v>
      </c>
      <c r="S119" s="33">
        <f t="shared" si="12"/>
        <v>0</v>
      </c>
    </row>
    <row r="120" spans="1:19">
      <c r="A120" s="29">
        <f t="shared" si="13"/>
        <v>116</v>
      </c>
      <c r="B120" s="30" t="s">
        <v>352</v>
      </c>
      <c r="C120" s="31" t="s">
        <v>349</v>
      </c>
      <c r="D120" s="43" t="s">
        <v>357</v>
      </c>
      <c r="E120" s="32">
        <v>42853</v>
      </c>
      <c r="F120" s="44">
        <f>342194140+8554854+1000000+200000+100000000-225974497</f>
        <v>225974497</v>
      </c>
      <c r="G120" s="34">
        <f t="shared" si="15"/>
        <v>206400000</v>
      </c>
      <c r="H120" s="35">
        <v>1588306</v>
      </c>
      <c r="I120" s="33">
        <v>2711694</v>
      </c>
      <c r="J120" s="29">
        <v>48</v>
      </c>
      <c r="K120" s="29">
        <v>34</v>
      </c>
      <c r="L120" s="36">
        <f t="shared" si="9"/>
        <v>4300000</v>
      </c>
      <c r="M120" s="37">
        <f t="shared" si="10"/>
        <v>146200000</v>
      </c>
      <c r="N120" s="38">
        <f>F120-(H120*14)-6250000-6250000-25000000-6250000</f>
        <v>159988213</v>
      </c>
      <c r="O120" s="39" t="s">
        <v>358</v>
      </c>
      <c r="P120" s="39" t="s">
        <v>78</v>
      </c>
      <c r="Q120" s="40">
        <f t="shared" si="11"/>
        <v>159988213</v>
      </c>
      <c r="R120" s="40">
        <f>+'[1]D N 2'!AF142</f>
        <v>159988213</v>
      </c>
      <c r="S120" s="33">
        <f t="shared" si="12"/>
        <v>0</v>
      </c>
    </row>
    <row r="121" spans="1:19">
      <c r="A121" s="29">
        <f t="shared" si="13"/>
        <v>117</v>
      </c>
      <c r="B121" s="30" t="s">
        <v>352</v>
      </c>
      <c r="C121" s="31" t="s">
        <v>349</v>
      </c>
      <c r="D121" s="43" t="s">
        <v>357</v>
      </c>
      <c r="E121" s="32">
        <v>42853</v>
      </c>
      <c r="F121" s="44">
        <v>225974497</v>
      </c>
      <c r="G121" s="34">
        <f t="shared" si="15"/>
        <v>206400000</v>
      </c>
      <c r="H121" s="44">
        <v>1588306</v>
      </c>
      <c r="I121" s="44">
        <v>2711694</v>
      </c>
      <c r="J121" s="29">
        <v>48</v>
      </c>
      <c r="K121" s="29">
        <v>34</v>
      </c>
      <c r="L121" s="36">
        <f t="shared" si="9"/>
        <v>4300000</v>
      </c>
      <c r="M121" s="37">
        <f t="shared" si="10"/>
        <v>146200000</v>
      </c>
      <c r="N121" s="38">
        <f>F121-(H121*14)-6250000-6250000-25000000-6250000</f>
        <v>159988213</v>
      </c>
      <c r="O121" s="39" t="s">
        <v>358</v>
      </c>
      <c r="P121" s="39" t="s">
        <v>78</v>
      </c>
      <c r="Q121" s="40">
        <f t="shared" si="11"/>
        <v>159988213</v>
      </c>
      <c r="R121" s="40">
        <f>+'[1]D N 2'!AF143</f>
        <v>159988213</v>
      </c>
      <c r="S121" s="33">
        <f t="shared" si="12"/>
        <v>0</v>
      </c>
    </row>
    <row r="122" spans="1:19">
      <c r="A122" s="29">
        <f t="shared" si="13"/>
        <v>118</v>
      </c>
      <c r="B122" s="50" t="s">
        <v>359</v>
      </c>
      <c r="C122" s="51" t="s">
        <v>360</v>
      </c>
      <c r="D122" s="99"/>
      <c r="E122" s="99">
        <v>41474</v>
      </c>
      <c r="F122" s="100">
        <f>4000000+5000000+15000000</f>
        <v>24000000</v>
      </c>
      <c r="G122" s="53">
        <f t="shared" si="15"/>
        <v>44736480</v>
      </c>
      <c r="H122" s="55">
        <v>333340</v>
      </c>
      <c r="I122" s="53">
        <f>+F122*1.2%</f>
        <v>288000</v>
      </c>
      <c r="J122" s="101">
        <v>72</v>
      </c>
      <c r="K122" s="56">
        <f>62+1</f>
        <v>63</v>
      </c>
      <c r="L122" s="62">
        <f t="shared" si="9"/>
        <v>621340</v>
      </c>
      <c r="M122" s="62">
        <f t="shared" si="10"/>
        <v>39144420</v>
      </c>
      <c r="N122" s="63">
        <f>H122*K122-1250000</f>
        <v>19750420</v>
      </c>
      <c r="O122" s="42" t="s">
        <v>361</v>
      </c>
      <c r="P122" s="42" t="s">
        <v>362</v>
      </c>
      <c r="Q122" s="40">
        <f t="shared" si="11"/>
        <v>19750420</v>
      </c>
      <c r="R122" s="40">
        <f>+'[1]D N 2'!AF144</f>
        <v>19750420</v>
      </c>
      <c r="S122" s="33">
        <f t="shared" si="12"/>
        <v>0</v>
      </c>
    </row>
    <row r="123" spans="1:19">
      <c r="A123" s="29">
        <f t="shared" si="13"/>
        <v>119</v>
      </c>
      <c r="B123" s="50" t="s">
        <v>359</v>
      </c>
      <c r="C123" s="51" t="s">
        <v>360</v>
      </c>
      <c r="D123" s="99"/>
      <c r="E123" s="99">
        <v>41473</v>
      </c>
      <c r="F123" s="100">
        <f>74510058+20528773+1862751+1102532+6000+590000+200000+35000000</f>
        <v>133800114</v>
      </c>
      <c r="G123" s="53">
        <f t="shared" si="15"/>
        <v>135263520</v>
      </c>
      <c r="H123" s="55">
        <v>273059</v>
      </c>
      <c r="I123" s="53">
        <v>1605601</v>
      </c>
      <c r="J123" s="101">
        <v>72</v>
      </c>
      <c r="K123" s="56">
        <f>62+1</f>
        <v>63</v>
      </c>
      <c r="L123" s="62">
        <f t="shared" si="9"/>
        <v>1878660</v>
      </c>
      <c r="M123" s="62">
        <f t="shared" si="10"/>
        <v>118355580</v>
      </c>
      <c r="N123" s="63">
        <f>F123-(H123*9)-(1139000)-(2500000)-(2500000)-(20000000)-(20000000)-(2512786)-1250000-750000-149091-3000000-20000000-222955-156250</f>
        <v>57162501</v>
      </c>
      <c r="O123" s="42" t="s">
        <v>361</v>
      </c>
      <c r="P123" s="42" t="s">
        <v>362</v>
      </c>
      <c r="Q123" s="40">
        <f t="shared" si="11"/>
        <v>57162501</v>
      </c>
      <c r="R123" s="40">
        <f>+'[1]D N 2'!AF145</f>
        <v>57162501</v>
      </c>
      <c r="S123" s="33">
        <f t="shared" si="12"/>
        <v>0</v>
      </c>
    </row>
    <row r="124" spans="1:19">
      <c r="A124" s="29">
        <f t="shared" si="13"/>
        <v>120</v>
      </c>
      <c r="B124" s="30" t="s">
        <v>363</v>
      </c>
      <c r="C124" s="31" t="s">
        <v>364</v>
      </c>
      <c r="D124" s="43" t="s">
        <v>365</v>
      </c>
      <c r="E124" s="32">
        <v>42879</v>
      </c>
      <c r="F124" s="44">
        <f>2896800+19864883+569042+121750+200000+12175000</f>
        <v>35827475</v>
      </c>
      <c r="G124" s="34">
        <f t="shared" si="15"/>
        <v>51336000</v>
      </c>
      <c r="H124" s="35">
        <v>996070</v>
      </c>
      <c r="I124" s="33">
        <v>429930</v>
      </c>
      <c r="J124" s="29">
        <v>36</v>
      </c>
      <c r="K124" s="29">
        <v>23</v>
      </c>
      <c r="L124" s="36">
        <f t="shared" si="9"/>
        <v>1426000</v>
      </c>
      <c r="M124" s="37">
        <f t="shared" si="10"/>
        <v>32798000</v>
      </c>
      <c r="N124" s="38">
        <f>F124-(H124*13)</f>
        <v>22878565</v>
      </c>
      <c r="O124" s="39" t="s">
        <v>351</v>
      </c>
      <c r="P124" s="39" t="s">
        <v>337</v>
      </c>
      <c r="Q124" s="40">
        <f t="shared" si="11"/>
        <v>22878565</v>
      </c>
      <c r="R124" s="40">
        <f>+'[1]D N 2'!AF146</f>
        <v>22878565</v>
      </c>
      <c r="S124" s="33">
        <f t="shared" si="12"/>
        <v>0</v>
      </c>
    </row>
    <row r="125" spans="1:19">
      <c r="A125" s="29">
        <f t="shared" si="13"/>
        <v>121</v>
      </c>
      <c r="B125" s="30" t="s">
        <v>366</v>
      </c>
      <c r="C125" s="45" t="s">
        <v>367</v>
      </c>
      <c r="D125" s="45" t="s">
        <v>368</v>
      </c>
      <c r="E125" s="32">
        <v>43248</v>
      </c>
      <c r="F125" s="41">
        <f>77081504+1927038+800000+200000+46200000+22510000+1545000+4200000+5545000-80004271</f>
        <v>80004271</v>
      </c>
      <c r="G125" s="34">
        <f t="shared" si="15"/>
        <v>74925000</v>
      </c>
      <c r="H125" s="40">
        <v>1064948</v>
      </c>
      <c r="I125" s="40">
        <v>960052</v>
      </c>
      <c r="J125" s="29">
        <v>37</v>
      </c>
      <c r="K125" s="29">
        <v>36</v>
      </c>
      <c r="L125" s="36">
        <f t="shared" si="9"/>
        <v>2025000</v>
      </c>
      <c r="M125" s="37">
        <f t="shared" si="10"/>
        <v>72900000</v>
      </c>
      <c r="N125" s="38">
        <f>F125-(H125*1)</f>
        <v>78939323</v>
      </c>
      <c r="O125" s="39" t="s">
        <v>218</v>
      </c>
      <c r="P125" s="39" t="s">
        <v>49</v>
      </c>
      <c r="Q125" s="40">
        <f t="shared" si="11"/>
        <v>78939323</v>
      </c>
      <c r="R125" s="40">
        <f>+'[1]D N 2'!AF147</f>
        <v>78939323</v>
      </c>
      <c r="S125" s="33">
        <f t="shared" si="12"/>
        <v>0</v>
      </c>
    </row>
    <row r="126" spans="1:19">
      <c r="A126" s="29">
        <f t="shared" si="13"/>
        <v>122</v>
      </c>
      <c r="B126" s="30" t="s">
        <v>366</v>
      </c>
      <c r="C126" s="45" t="s">
        <v>367</v>
      </c>
      <c r="D126" s="45" t="s">
        <v>368</v>
      </c>
      <c r="E126" s="32">
        <v>43248</v>
      </c>
      <c r="F126" s="41">
        <v>80004271</v>
      </c>
      <c r="G126" s="34">
        <f t="shared" si="15"/>
        <v>74925000</v>
      </c>
      <c r="H126" s="40">
        <v>1064949</v>
      </c>
      <c r="I126" s="40">
        <v>960051</v>
      </c>
      <c r="J126" s="29">
        <v>37</v>
      </c>
      <c r="K126" s="29">
        <v>36</v>
      </c>
      <c r="L126" s="36">
        <f t="shared" si="9"/>
        <v>2025000</v>
      </c>
      <c r="M126" s="37">
        <f t="shared" si="10"/>
        <v>72900000</v>
      </c>
      <c r="N126" s="38">
        <f>F126-(H126*1)</f>
        <v>78939322</v>
      </c>
      <c r="O126" s="39" t="s">
        <v>218</v>
      </c>
      <c r="P126" s="39" t="s">
        <v>49</v>
      </c>
      <c r="Q126" s="40">
        <f t="shared" si="11"/>
        <v>78939322</v>
      </c>
      <c r="R126" s="40">
        <f>+'[1]D N 2'!AF148</f>
        <v>78939322</v>
      </c>
      <c r="S126" s="33">
        <f t="shared" si="12"/>
        <v>0</v>
      </c>
    </row>
    <row r="127" spans="1:19">
      <c r="A127" s="29">
        <f t="shared" si="13"/>
        <v>123</v>
      </c>
      <c r="B127" s="30" t="s">
        <v>369</v>
      </c>
      <c r="C127" s="31" t="s">
        <v>370</v>
      </c>
      <c r="D127" s="32"/>
      <c r="E127" s="32">
        <v>42502</v>
      </c>
      <c r="F127" s="44">
        <f>17499000+437475+222968+200000+200000+31440557-25000000</f>
        <v>25000000</v>
      </c>
      <c r="G127" s="62">
        <f t="shared" si="15"/>
        <v>23301000</v>
      </c>
      <c r="H127" s="44">
        <v>347250</v>
      </c>
      <c r="I127" s="62">
        <f>+F127*1.2%</f>
        <v>300000</v>
      </c>
      <c r="J127" s="29">
        <v>36</v>
      </c>
      <c r="K127" s="29">
        <v>10</v>
      </c>
      <c r="L127" s="33">
        <f t="shared" si="9"/>
        <v>647250</v>
      </c>
      <c r="M127" s="33">
        <f t="shared" si="10"/>
        <v>6472500</v>
      </c>
      <c r="N127" s="67">
        <f>F127-(H127*26)-1250000-1250000-2500000-1250000-1250000-2500000-1250000</f>
        <v>4721500</v>
      </c>
      <c r="O127" s="39" t="s">
        <v>371</v>
      </c>
      <c r="P127" s="39" t="s">
        <v>69</v>
      </c>
      <c r="Q127" s="40">
        <f t="shared" si="11"/>
        <v>4721500</v>
      </c>
      <c r="R127" s="40">
        <f>+'[1]D N 2'!AF149</f>
        <v>4721500</v>
      </c>
      <c r="S127" s="33">
        <f t="shared" si="12"/>
        <v>0</v>
      </c>
    </row>
    <row r="128" spans="1:19">
      <c r="A128" s="29">
        <f t="shared" si="13"/>
        <v>124</v>
      </c>
      <c r="B128" s="30" t="s">
        <v>369</v>
      </c>
      <c r="C128" s="31" t="s">
        <v>370</v>
      </c>
      <c r="D128" s="32"/>
      <c r="E128" s="32">
        <v>42502</v>
      </c>
      <c r="F128" s="44">
        <v>25000000</v>
      </c>
      <c r="G128" s="62">
        <f t="shared" si="15"/>
        <v>23301000</v>
      </c>
      <c r="H128" s="44">
        <v>347250</v>
      </c>
      <c r="I128" s="62">
        <f>+F128*1.2%</f>
        <v>300000</v>
      </c>
      <c r="J128" s="29">
        <v>36</v>
      </c>
      <c r="K128" s="29">
        <v>10</v>
      </c>
      <c r="L128" s="33">
        <f t="shared" si="9"/>
        <v>647250</v>
      </c>
      <c r="M128" s="33">
        <f t="shared" si="10"/>
        <v>6472500</v>
      </c>
      <c r="N128" s="67">
        <f>F128-(H128*26)-1250000-1250000-2500000-1250000-1250000-2500000-1250000</f>
        <v>4721500</v>
      </c>
      <c r="O128" s="39" t="s">
        <v>371</v>
      </c>
      <c r="P128" s="39" t="s">
        <v>69</v>
      </c>
      <c r="Q128" s="40">
        <f t="shared" si="11"/>
        <v>4721500</v>
      </c>
      <c r="R128" s="40">
        <f>+'[1]D N 2'!AF150</f>
        <v>4721500</v>
      </c>
      <c r="S128" s="33">
        <f t="shared" si="12"/>
        <v>0</v>
      </c>
    </row>
    <row r="129" spans="1:20">
      <c r="A129" s="29">
        <f t="shared" si="13"/>
        <v>125</v>
      </c>
      <c r="B129" s="30" t="s">
        <v>372</v>
      </c>
      <c r="C129" s="31" t="s">
        <v>373</v>
      </c>
      <c r="D129" s="32"/>
      <c r="E129" s="32">
        <v>42608</v>
      </c>
      <c r="F129" s="33">
        <f>35643122+891078+1010000+200000+50000000+6000000+35000000+10000000</f>
        <v>138744200</v>
      </c>
      <c r="G129" s="34">
        <f t="shared" si="15"/>
        <v>100576000</v>
      </c>
      <c r="H129" s="35">
        <v>1927070</v>
      </c>
      <c r="I129" s="35">
        <v>1664930</v>
      </c>
      <c r="J129" s="29">
        <v>28</v>
      </c>
      <c r="K129" s="29">
        <v>6</v>
      </c>
      <c r="L129" s="36">
        <f t="shared" si="9"/>
        <v>3592000</v>
      </c>
      <c r="M129" s="36">
        <f t="shared" si="10"/>
        <v>21552000</v>
      </c>
      <c r="N129" s="38">
        <f>F129-(H129*22)-5000000-35000000-5000000-35000000</f>
        <v>16348660</v>
      </c>
      <c r="O129" s="39" t="s">
        <v>61</v>
      </c>
      <c r="P129" s="39" t="s">
        <v>191</v>
      </c>
      <c r="Q129" s="40">
        <f t="shared" si="11"/>
        <v>16348660</v>
      </c>
      <c r="R129" s="40">
        <f>+'[1]D N 2'!AF151</f>
        <v>16348660</v>
      </c>
      <c r="S129" s="33">
        <f t="shared" si="12"/>
        <v>0</v>
      </c>
    </row>
    <row r="130" spans="1:20">
      <c r="A130" s="29">
        <f t="shared" si="13"/>
        <v>126</v>
      </c>
      <c r="B130" s="30" t="s">
        <v>374</v>
      </c>
      <c r="C130" s="31" t="s">
        <v>375</v>
      </c>
      <c r="D130" s="32"/>
      <c r="E130" s="32">
        <v>42500</v>
      </c>
      <c r="F130" s="33">
        <f>64589475+1614737+492281+104105+200000+7999402</f>
        <v>75000000</v>
      </c>
      <c r="G130" s="62">
        <f t="shared" si="15"/>
        <v>82000000</v>
      </c>
      <c r="H130" s="33">
        <v>1100000</v>
      </c>
      <c r="I130" s="62">
        <f>+F130*1.2%</f>
        <v>900000</v>
      </c>
      <c r="J130" s="29">
        <v>41</v>
      </c>
      <c r="K130" s="29">
        <v>15</v>
      </c>
      <c r="L130" s="33">
        <f t="shared" si="9"/>
        <v>2000000</v>
      </c>
      <c r="M130" s="33">
        <f t="shared" si="10"/>
        <v>30000000</v>
      </c>
      <c r="N130" s="67">
        <f>F130-(H130*26)-10150000-10150000</f>
        <v>26100000</v>
      </c>
      <c r="O130" s="39" t="s">
        <v>376</v>
      </c>
      <c r="P130" s="39" t="s">
        <v>69</v>
      </c>
      <c r="Q130" s="40">
        <f t="shared" si="11"/>
        <v>26100000</v>
      </c>
      <c r="R130" s="40">
        <f>+'[1]D N 2'!AF152</f>
        <v>26100000</v>
      </c>
      <c r="S130" s="33">
        <f t="shared" si="12"/>
        <v>0</v>
      </c>
    </row>
    <row r="131" spans="1:20">
      <c r="A131" s="29">
        <f t="shared" si="13"/>
        <v>127</v>
      </c>
      <c r="B131" s="30" t="s">
        <v>377</v>
      </c>
      <c r="C131" s="45" t="s">
        <v>375</v>
      </c>
      <c r="D131" s="45" t="s">
        <v>378</v>
      </c>
      <c r="E131" s="32">
        <v>43227</v>
      </c>
      <c r="F131" s="41">
        <f>250000+24750000</f>
        <v>25000000</v>
      </c>
      <c r="G131" s="34">
        <f t="shared" si="15"/>
        <v>32200800</v>
      </c>
      <c r="H131" s="40">
        <v>1041700</v>
      </c>
      <c r="I131" s="40">
        <f>+F131*1.2%</f>
        <v>300000</v>
      </c>
      <c r="J131" s="29">
        <v>24</v>
      </c>
      <c r="K131" s="29">
        <v>22</v>
      </c>
      <c r="L131" s="36">
        <f t="shared" si="9"/>
        <v>1341700</v>
      </c>
      <c r="M131" s="37">
        <f t="shared" si="10"/>
        <v>29517400</v>
      </c>
      <c r="N131" s="38">
        <f>F131-(H131*2)</f>
        <v>22916600</v>
      </c>
      <c r="O131" s="39" t="s">
        <v>379</v>
      </c>
      <c r="P131" s="39" t="s">
        <v>326</v>
      </c>
      <c r="Q131" s="40">
        <f t="shared" si="11"/>
        <v>22916600</v>
      </c>
      <c r="R131" s="40">
        <f>+'[1]D N 2'!AF153</f>
        <v>22916600</v>
      </c>
      <c r="S131" s="33">
        <f t="shared" si="12"/>
        <v>0</v>
      </c>
    </row>
    <row r="132" spans="1:20">
      <c r="A132" s="29">
        <f t="shared" si="13"/>
        <v>128</v>
      </c>
      <c r="B132" s="33" t="s">
        <v>374</v>
      </c>
      <c r="C132" s="84" t="s">
        <v>375</v>
      </c>
      <c r="D132" s="32"/>
      <c r="E132" s="32">
        <v>41907</v>
      </c>
      <c r="F132" s="62">
        <f>3333400+314788333+7953043+1000000+200000+101150000</f>
        <v>428424776</v>
      </c>
      <c r="G132" s="70">
        <f t="shared" si="15"/>
        <v>396000000</v>
      </c>
      <c r="H132" s="33">
        <v>358903</v>
      </c>
      <c r="I132" s="62">
        <v>5141097</v>
      </c>
      <c r="J132" s="29">
        <v>72</v>
      </c>
      <c r="K132" s="29">
        <v>27</v>
      </c>
      <c r="L132" s="62">
        <f t="shared" si="9"/>
        <v>5500000</v>
      </c>
      <c r="M132" s="62">
        <f t="shared" si="10"/>
        <v>148500000</v>
      </c>
      <c r="N132" s="57">
        <f>F132-(H132*45)-(5000000)-(40000000)-(5000000)-5000000-40000000-5000000-5000000-40000000-5000000-5000000-40000000-5000000</f>
        <v>212274141</v>
      </c>
      <c r="O132" s="68" t="s">
        <v>376</v>
      </c>
      <c r="P132" s="68" t="s">
        <v>49</v>
      </c>
      <c r="Q132" s="40">
        <f t="shared" si="11"/>
        <v>212274141</v>
      </c>
      <c r="R132" s="40">
        <f>+'[1]D N 2'!AF154</f>
        <v>212274141</v>
      </c>
      <c r="S132" s="33">
        <f t="shared" si="12"/>
        <v>0</v>
      </c>
    </row>
    <row r="133" spans="1:20">
      <c r="A133" s="29">
        <f t="shared" si="13"/>
        <v>129</v>
      </c>
      <c r="B133" s="30" t="s">
        <v>380</v>
      </c>
      <c r="C133" s="31" t="s">
        <v>381</v>
      </c>
      <c r="D133" s="32"/>
      <c r="E133" s="32">
        <v>42247</v>
      </c>
      <c r="F133" s="33">
        <f>2500000+62500+50000+200000+17187500</f>
        <v>20000000</v>
      </c>
      <c r="G133" s="70">
        <f t="shared" si="15"/>
        <v>28641600</v>
      </c>
      <c r="H133" s="33">
        <v>555600</v>
      </c>
      <c r="I133" s="62">
        <f>F133*1.2%</f>
        <v>240000</v>
      </c>
      <c r="J133" s="29">
        <v>36</v>
      </c>
      <c r="K133" s="29">
        <v>2</v>
      </c>
      <c r="L133" s="33">
        <f t="shared" ref="L133:L196" si="16">+H133+I133</f>
        <v>795600</v>
      </c>
      <c r="M133" s="33">
        <f t="shared" ref="M133:M196" si="17">+K133*L133</f>
        <v>1591200</v>
      </c>
      <c r="N133" s="57">
        <f>F133-(H133*34)</f>
        <v>1109600</v>
      </c>
      <c r="O133" s="39" t="s">
        <v>382</v>
      </c>
      <c r="P133" s="39" t="s">
        <v>144</v>
      </c>
      <c r="Q133" s="40">
        <f t="shared" si="11"/>
        <v>1109600</v>
      </c>
      <c r="R133" s="40">
        <f>+'[1]D N 2'!AF155</f>
        <v>1109600</v>
      </c>
      <c r="S133" s="33">
        <f t="shared" si="12"/>
        <v>0</v>
      </c>
      <c r="T133" s="94"/>
    </row>
    <row r="134" spans="1:20">
      <c r="A134" s="29">
        <f t="shared" si="13"/>
        <v>130</v>
      </c>
      <c r="B134" s="30" t="s">
        <v>383</v>
      </c>
      <c r="C134" s="31" t="s">
        <v>384</v>
      </c>
      <c r="D134" s="32"/>
      <c r="E134" s="32">
        <v>42669</v>
      </c>
      <c r="F134" s="33">
        <f>50003200+1250080+999968+200000+97546752-75000000</f>
        <v>75000000</v>
      </c>
      <c r="G134" s="34">
        <f t="shared" si="15"/>
        <v>69912000</v>
      </c>
      <c r="H134" s="33">
        <v>1042000</v>
      </c>
      <c r="I134" s="33">
        <f>+F134*1.2%</f>
        <v>900000</v>
      </c>
      <c r="J134" s="29">
        <v>36</v>
      </c>
      <c r="K134" s="29">
        <v>16</v>
      </c>
      <c r="L134" s="36">
        <f t="shared" si="16"/>
        <v>1942000</v>
      </c>
      <c r="M134" s="36">
        <f t="shared" si="17"/>
        <v>31072000</v>
      </c>
      <c r="N134" s="38">
        <f>F134-(H134*20)-1500000-10000000-1000000-1500000-10000000-1000000</f>
        <v>29160000</v>
      </c>
      <c r="O134" s="39" t="s">
        <v>385</v>
      </c>
      <c r="P134" s="39" t="s">
        <v>69</v>
      </c>
      <c r="Q134" s="40">
        <f t="shared" ref="Q134:Q197" si="18">+N134</f>
        <v>29160000</v>
      </c>
      <c r="R134" s="40">
        <f>+'[1]D N 2'!AF156</f>
        <v>29160000</v>
      </c>
      <c r="S134" s="33">
        <f t="shared" ref="S134:S197" si="19">+Q134-R134</f>
        <v>0</v>
      </c>
    </row>
    <row r="135" spans="1:20">
      <c r="A135" s="29">
        <f t="shared" ref="A135:A198" si="20">+A134+1</f>
        <v>131</v>
      </c>
      <c r="B135" s="30" t="s">
        <v>383</v>
      </c>
      <c r="C135" s="31" t="s">
        <v>384</v>
      </c>
      <c r="D135" s="32"/>
      <c r="E135" s="32">
        <v>42669</v>
      </c>
      <c r="F135" s="33">
        <v>75000000</v>
      </c>
      <c r="G135" s="34">
        <f t="shared" si="15"/>
        <v>69912000</v>
      </c>
      <c r="H135" s="33">
        <v>1042000</v>
      </c>
      <c r="I135" s="33">
        <f>+F135*1.2%</f>
        <v>900000</v>
      </c>
      <c r="J135" s="29">
        <v>36</v>
      </c>
      <c r="K135" s="29">
        <v>16</v>
      </c>
      <c r="L135" s="36">
        <f t="shared" si="16"/>
        <v>1942000</v>
      </c>
      <c r="M135" s="36">
        <f t="shared" si="17"/>
        <v>31072000</v>
      </c>
      <c r="N135" s="38">
        <f>F135-(H135*20)-1500000-10000000-1000000-1500000-10000000-1000000</f>
        <v>29160000</v>
      </c>
      <c r="O135" s="39" t="s">
        <v>385</v>
      </c>
      <c r="P135" s="39" t="s">
        <v>69</v>
      </c>
      <c r="Q135" s="40">
        <f t="shared" si="18"/>
        <v>29160000</v>
      </c>
      <c r="R135" s="40">
        <f>+'[1]D N 2'!AF157</f>
        <v>29160000</v>
      </c>
      <c r="S135" s="33">
        <f t="shared" si="19"/>
        <v>0</v>
      </c>
    </row>
    <row r="136" spans="1:20">
      <c r="A136" s="29">
        <f t="shared" si="20"/>
        <v>132</v>
      </c>
      <c r="B136" s="30" t="s">
        <v>386</v>
      </c>
      <c r="C136" s="45" t="s">
        <v>387</v>
      </c>
      <c r="D136" s="45" t="s">
        <v>388</v>
      </c>
      <c r="E136" s="32">
        <v>43248</v>
      </c>
      <c r="F136" s="41">
        <f>29154000+728850+391540+200000+40000000</f>
        <v>70474390</v>
      </c>
      <c r="G136" s="34">
        <f t="shared" si="15"/>
        <v>100922400</v>
      </c>
      <c r="H136" s="40">
        <v>1957707</v>
      </c>
      <c r="I136" s="40">
        <v>845693</v>
      </c>
      <c r="J136" s="29">
        <v>36</v>
      </c>
      <c r="K136" s="29">
        <v>35</v>
      </c>
      <c r="L136" s="36">
        <f t="shared" si="16"/>
        <v>2803400</v>
      </c>
      <c r="M136" s="37">
        <f t="shared" si="17"/>
        <v>98119000</v>
      </c>
      <c r="N136" s="38">
        <f>F136-(H136*1)</f>
        <v>68516683</v>
      </c>
      <c r="O136" s="39" t="s">
        <v>389</v>
      </c>
      <c r="P136" s="39" t="s">
        <v>49</v>
      </c>
      <c r="Q136" s="40">
        <f t="shared" si="18"/>
        <v>68516683</v>
      </c>
      <c r="R136" s="40">
        <f>+'[1]D N 2'!AF158</f>
        <v>68516683</v>
      </c>
      <c r="S136" s="33">
        <f t="shared" si="19"/>
        <v>0</v>
      </c>
    </row>
    <row r="137" spans="1:20">
      <c r="A137" s="29">
        <f t="shared" si="20"/>
        <v>133</v>
      </c>
      <c r="B137" s="30" t="s">
        <v>390</v>
      </c>
      <c r="C137" s="45" t="s">
        <v>391</v>
      </c>
      <c r="D137" s="45" t="s">
        <v>392</v>
      </c>
      <c r="E137" s="32">
        <v>43215</v>
      </c>
      <c r="F137" s="41">
        <f>31666000+791650+183340+200000+17159010</f>
        <v>50000000</v>
      </c>
      <c r="G137" s="34">
        <f t="shared" si="15"/>
        <v>46620000</v>
      </c>
      <c r="H137" s="40">
        <v>695000</v>
      </c>
      <c r="I137" s="40">
        <f>+F137*1.2%</f>
        <v>600000</v>
      </c>
      <c r="J137" s="29">
        <v>36</v>
      </c>
      <c r="K137" s="29">
        <v>34</v>
      </c>
      <c r="L137" s="36">
        <f t="shared" si="16"/>
        <v>1295000</v>
      </c>
      <c r="M137" s="37">
        <f t="shared" si="17"/>
        <v>44030000</v>
      </c>
      <c r="N137" s="38">
        <f>F137-(H137*2)</f>
        <v>48610000</v>
      </c>
      <c r="O137" s="39" t="s">
        <v>393</v>
      </c>
      <c r="P137" s="39" t="s">
        <v>35</v>
      </c>
      <c r="Q137" s="40">
        <f t="shared" si="18"/>
        <v>48610000</v>
      </c>
      <c r="R137" s="40">
        <f>+'[1]D N 2'!AF159</f>
        <v>48610000</v>
      </c>
      <c r="S137" s="33">
        <f t="shared" si="19"/>
        <v>0</v>
      </c>
    </row>
    <row r="138" spans="1:20">
      <c r="A138" s="29">
        <f t="shared" si="20"/>
        <v>134</v>
      </c>
      <c r="B138" s="30" t="s">
        <v>394</v>
      </c>
      <c r="C138" s="45" t="s">
        <v>395</v>
      </c>
      <c r="D138" s="45" t="s">
        <v>396</v>
      </c>
      <c r="E138" s="43">
        <v>43238</v>
      </c>
      <c r="F138" s="41">
        <f>3055500+253150706+10000000+0</f>
        <v>266206206</v>
      </c>
      <c r="G138" s="34">
        <f t="shared" si="15"/>
        <v>195000000</v>
      </c>
      <c r="H138" s="40">
        <v>55526</v>
      </c>
      <c r="I138" s="40">
        <v>3194474</v>
      </c>
      <c r="J138" s="29">
        <v>60</v>
      </c>
      <c r="K138" s="29">
        <v>58</v>
      </c>
      <c r="L138" s="36">
        <f t="shared" si="16"/>
        <v>3250000</v>
      </c>
      <c r="M138" s="37">
        <f t="shared" si="17"/>
        <v>188500000</v>
      </c>
      <c r="N138" s="38">
        <f>F138-(H138*2)-5000000</f>
        <v>261095154</v>
      </c>
      <c r="O138" s="39" t="s">
        <v>371</v>
      </c>
      <c r="P138" s="39" t="s">
        <v>249</v>
      </c>
      <c r="Q138" s="40">
        <f t="shared" si="18"/>
        <v>261095154</v>
      </c>
      <c r="R138" s="40">
        <f>+'[1]D N 2'!AF160</f>
        <v>261095154</v>
      </c>
      <c r="S138" s="33">
        <f t="shared" si="19"/>
        <v>0</v>
      </c>
    </row>
    <row r="139" spans="1:20">
      <c r="A139" s="29">
        <f t="shared" si="20"/>
        <v>135</v>
      </c>
      <c r="B139" s="30" t="s">
        <v>397</v>
      </c>
      <c r="C139" s="31" t="s">
        <v>398</v>
      </c>
      <c r="D139" s="32"/>
      <c r="E139" s="32">
        <v>42639</v>
      </c>
      <c r="F139" s="33">
        <f>400000000+200000+0</f>
        <v>400200000</v>
      </c>
      <c r="G139" s="34">
        <f t="shared" si="15"/>
        <v>469000000</v>
      </c>
      <c r="H139" s="33">
        <v>2197600</v>
      </c>
      <c r="I139" s="33">
        <f>+F139*1.2%</f>
        <v>4802400</v>
      </c>
      <c r="J139" s="29">
        <v>67</v>
      </c>
      <c r="K139" s="29">
        <v>46</v>
      </c>
      <c r="L139" s="36">
        <f t="shared" si="16"/>
        <v>7000000</v>
      </c>
      <c r="M139" s="36">
        <f t="shared" si="17"/>
        <v>322000000</v>
      </c>
      <c r="N139" s="38">
        <f>F139-(H139*21)-50000000-50000000</f>
        <v>254050400</v>
      </c>
      <c r="O139" s="39" t="s">
        <v>399</v>
      </c>
      <c r="P139" s="39" t="s">
        <v>249</v>
      </c>
      <c r="Q139" s="40">
        <f t="shared" si="18"/>
        <v>254050400</v>
      </c>
      <c r="R139" s="40">
        <f>+'[1]D N 2'!AF161</f>
        <v>254050400</v>
      </c>
      <c r="S139" s="33">
        <f t="shared" si="19"/>
        <v>0</v>
      </c>
    </row>
    <row r="140" spans="1:20">
      <c r="A140" s="29">
        <f t="shared" si="20"/>
        <v>136</v>
      </c>
      <c r="B140" s="30" t="s">
        <v>400</v>
      </c>
      <c r="C140" s="31" t="s">
        <v>401</v>
      </c>
      <c r="D140" s="31" t="s">
        <v>402</v>
      </c>
      <c r="E140" s="32">
        <v>43090</v>
      </c>
      <c r="F140" s="41">
        <f>40648+9959352</f>
        <v>10000000</v>
      </c>
      <c r="G140" s="34">
        <f t="shared" si="15"/>
        <v>11200000</v>
      </c>
      <c r="H140" s="40">
        <f>+F140/J140</f>
        <v>1000000</v>
      </c>
      <c r="I140" s="40">
        <f>+F140*1.2%</f>
        <v>120000</v>
      </c>
      <c r="J140" s="29">
        <v>10</v>
      </c>
      <c r="K140" s="29">
        <v>4</v>
      </c>
      <c r="L140" s="36">
        <f t="shared" si="16"/>
        <v>1120000</v>
      </c>
      <c r="M140" s="37">
        <f t="shared" si="17"/>
        <v>4480000</v>
      </c>
      <c r="N140" s="34">
        <f>+H140*K140</f>
        <v>4000000</v>
      </c>
      <c r="O140" s="39" t="s">
        <v>403</v>
      </c>
      <c r="P140" s="39" t="s">
        <v>123</v>
      </c>
      <c r="Q140" s="40">
        <f t="shared" si="18"/>
        <v>4000000</v>
      </c>
      <c r="R140" s="40">
        <f>+'[1]D N 2'!AF162</f>
        <v>4000000</v>
      </c>
      <c r="S140" s="33">
        <f t="shared" si="19"/>
        <v>0</v>
      </c>
    </row>
    <row r="141" spans="1:20">
      <c r="A141" s="29">
        <f t="shared" si="20"/>
        <v>137</v>
      </c>
      <c r="B141" s="50" t="s">
        <v>404</v>
      </c>
      <c r="C141" s="51">
        <v>901781</v>
      </c>
      <c r="D141" s="102"/>
      <c r="E141" s="102">
        <v>41586</v>
      </c>
      <c r="F141" s="61">
        <f>17373187+4178733+434330+128879+18000+200000</f>
        <v>22333129</v>
      </c>
      <c r="G141" s="53">
        <f t="shared" si="15"/>
        <v>28800000</v>
      </c>
      <c r="H141" s="55">
        <v>132002</v>
      </c>
      <c r="I141" s="53">
        <v>267998</v>
      </c>
      <c r="J141" s="56">
        <v>72</v>
      </c>
      <c r="K141" s="56">
        <f>66+1</f>
        <v>67</v>
      </c>
      <c r="L141" s="62">
        <f t="shared" si="16"/>
        <v>400000</v>
      </c>
      <c r="M141" s="62">
        <f t="shared" si="17"/>
        <v>26800000</v>
      </c>
      <c r="N141" s="63">
        <f>F141-(H141*5)-(326344)-(100000)-(12500)-(1000000)-(4592002)-(660000)-692002-1049-1000000-197245</f>
        <v>13091977</v>
      </c>
      <c r="O141" s="42" t="s">
        <v>405</v>
      </c>
      <c r="P141" s="42" t="s">
        <v>406</v>
      </c>
      <c r="Q141" s="40">
        <f t="shared" si="18"/>
        <v>13091977</v>
      </c>
      <c r="R141" s="40">
        <f>+'[1]D N 2'!AF163</f>
        <v>13091977</v>
      </c>
      <c r="S141" s="33">
        <f t="shared" si="19"/>
        <v>0</v>
      </c>
    </row>
    <row r="142" spans="1:20">
      <c r="A142" s="29">
        <f t="shared" si="20"/>
        <v>138</v>
      </c>
      <c r="B142" s="30" t="s">
        <v>407</v>
      </c>
      <c r="C142" s="31" t="s">
        <v>408</v>
      </c>
      <c r="D142" s="31" t="s">
        <v>409</v>
      </c>
      <c r="E142" s="32">
        <v>42975</v>
      </c>
      <c r="F142" s="41">
        <f>48454000+1211350+265460+200000+24869190-37500000</f>
        <v>37500000</v>
      </c>
      <c r="G142" s="34">
        <f t="shared" si="15"/>
        <v>33993750</v>
      </c>
      <c r="H142" s="35">
        <v>521250</v>
      </c>
      <c r="I142" s="35">
        <f>+F142*1.2%</f>
        <v>450000</v>
      </c>
      <c r="J142" s="29">
        <v>35</v>
      </c>
      <c r="K142" s="29">
        <v>25</v>
      </c>
      <c r="L142" s="36">
        <f t="shared" si="16"/>
        <v>971250</v>
      </c>
      <c r="M142" s="37">
        <f t="shared" si="17"/>
        <v>24281250</v>
      </c>
      <c r="N142" s="38">
        <f>F142-(H142*10)-6500000</f>
        <v>25787500</v>
      </c>
      <c r="O142" s="42" t="s">
        <v>410</v>
      </c>
      <c r="P142" s="39" t="s">
        <v>49</v>
      </c>
      <c r="Q142" s="40">
        <f t="shared" si="18"/>
        <v>25787500</v>
      </c>
      <c r="R142" s="40">
        <f>+'[1]D N 2'!AF164</f>
        <v>25787500</v>
      </c>
      <c r="S142" s="33">
        <f t="shared" si="19"/>
        <v>0</v>
      </c>
    </row>
    <row r="143" spans="1:20">
      <c r="A143" s="29">
        <f t="shared" si="20"/>
        <v>139</v>
      </c>
      <c r="B143" s="30" t="s">
        <v>407</v>
      </c>
      <c r="C143" s="31" t="s">
        <v>408</v>
      </c>
      <c r="D143" s="31" t="s">
        <v>409</v>
      </c>
      <c r="E143" s="32">
        <v>42975</v>
      </c>
      <c r="F143" s="41">
        <v>37500000</v>
      </c>
      <c r="G143" s="34">
        <f t="shared" si="15"/>
        <v>33993750</v>
      </c>
      <c r="H143" s="35">
        <v>521250</v>
      </c>
      <c r="I143" s="35">
        <v>450000</v>
      </c>
      <c r="J143" s="29">
        <v>35</v>
      </c>
      <c r="K143" s="29">
        <f>25</f>
        <v>25</v>
      </c>
      <c r="L143" s="36">
        <f t="shared" si="16"/>
        <v>971250</v>
      </c>
      <c r="M143" s="37">
        <f t="shared" si="17"/>
        <v>24281250</v>
      </c>
      <c r="N143" s="38">
        <f>F143-(H143*10)-6500000</f>
        <v>25787500</v>
      </c>
      <c r="O143" s="42" t="s">
        <v>410</v>
      </c>
      <c r="P143" s="39" t="s">
        <v>49</v>
      </c>
      <c r="Q143" s="40">
        <f t="shared" si="18"/>
        <v>25787500</v>
      </c>
      <c r="R143" s="40">
        <f>+'[1]D N 2'!AF165</f>
        <v>25787500</v>
      </c>
      <c r="S143" s="33">
        <f t="shared" si="19"/>
        <v>0</v>
      </c>
    </row>
    <row r="144" spans="1:20">
      <c r="A144" s="29">
        <f t="shared" si="20"/>
        <v>140</v>
      </c>
      <c r="B144" s="30" t="s">
        <v>411</v>
      </c>
      <c r="C144" s="45" t="s">
        <v>412</v>
      </c>
      <c r="D144" s="45" t="s">
        <v>413</v>
      </c>
      <c r="E144" s="32">
        <v>43245</v>
      </c>
      <c r="F144" s="41">
        <f>4500000+112500+670000+200000+91517500</f>
        <v>97000000</v>
      </c>
      <c r="G144" s="34">
        <f t="shared" si="15"/>
        <v>65040000</v>
      </c>
      <c r="H144" s="40">
        <f>2710000-I144</f>
        <v>1546000</v>
      </c>
      <c r="I144" s="40">
        <f t="shared" ref="I144:I148" si="21">+F144*1.2%</f>
        <v>1164000</v>
      </c>
      <c r="J144" s="29">
        <v>24</v>
      </c>
      <c r="K144" s="29">
        <v>23</v>
      </c>
      <c r="L144" s="36">
        <f t="shared" si="16"/>
        <v>2710000</v>
      </c>
      <c r="M144" s="37">
        <f t="shared" si="17"/>
        <v>62330000</v>
      </c>
      <c r="N144" s="38">
        <f>F144-(H144*1)</f>
        <v>95454000</v>
      </c>
      <c r="O144" s="39" t="s">
        <v>285</v>
      </c>
      <c r="P144" s="39" t="s">
        <v>49</v>
      </c>
      <c r="Q144" s="40">
        <f t="shared" si="18"/>
        <v>95454000</v>
      </c>
      <c r="R144" s="40">
        <f>+'[1]D N 2'!AF166</f>
        <v>95454000</v>
      </c>
      <c r="S144" s="33">
        <f t="shared" si="19"/>
        <v>0</v>
      </c>
    </row>
    <row r="145" spans="1:19">
      <c r="A145" s="29">
        <f t="shared" si="20"/>
        <v>141</v>
      </c>
      <c r="B145" s="30" t="s">
        <v>414</v>
      </c>
      <c r="C145" s="45" t="s">
        <v>415</v>
      </c>
      <c r="D145" s="45" t="s">
        <v>416</v>
      </c>
      <c r="E145" s="32">
        <v>43185</v>
      </c>
      <c r="F145" s="41">
        <f>42355000+1058875+576450+200000+55809675</f>
        <v>100000000</v>
      </c>
      <c r="G145" s="34">
        <f t="shared" si="15"/>
        <v>69903000</v>
      </c>
      <c r="H145" s="40">
        <v>1389000</v>
      </c>
      <c r="I145" s="40">
        <f t="shared" si="21"/>
        <v>1200000</v>
      </c>
      <c r="J145" s="29">
        <v>27</v>
      </c>
      <c r="K145" s="29">
        <v>24</v>
      </c>
      <c r="L145" s="36">
        <f t="shared" si="16"/>
        <v>2589000</v>
      </c>
      <c r="M145" s="37">
        <f t="shared" si="17"/>
        <v>62136000</v>
      </c>
      <c r="N145" s="38">
        <f>F145-(H145*3)-5000000-5000000</f>
        <v>85833000</v>
      </c>
      <c r="O145" s="39" t="s">
        <v>417</v>
      </c>
      <c r="P145" s="39" t="s">
        <v>30</v>
      </c>
      <c r="Q145" s="40">
        <f t="shared" si="18"/>
        <v>85833000</v>
      </c>
      <c r="R145" s="40">
        <f>+'[1]D N 2'!AF167</f>
        <v>85833000</v>
      </c>
      <c r="S145" s="33">
        <f t="shared" si="19"/>
        <v>0</v>
      </c>
    </row>
    <row r="146" spans="1:19">
      <c r="A146" s="29">
        <f t="shared" si="20"/>
        <v>142</v>
      </c>
      <c r="B146" s="30" t="s">
        <v>418</v>
      </c>
      <c r="C146" s="31" t="s">
        <v>419</v>
      </c>
      <c r="D146" s="31" t="s">
        <v>420</v>
      </c>
      <c r="E146" s="32">
        <v>43006</v>
      </c>
      <c r="F146" s="41">
        <f>48000000+1200000+370000+200000+35230000</f>
        <v>85000000</v>
      </c>
      <c r="G146" s="34">
        <f t="shared" si="15"/>
        <v>57350000</v>
      </c>
      <c r="H146" s="35">
        <v>530000</v>
      </c>
      <c r="I146" s="35">
        <f t="shared" si="21"/>
        <v>1020000</v>
      </c>
      <c r="J146" s="29">
        <v>37</v>
      </c>
      <c r="K146" s="29">
        <v>28</v>
      </c>
      <c r="L146" s="36">
        <f t="shared" si="16"/>
        <v>1550000</v>
      </c>
      <c r="M146" s="37">
        <f t="shared" si="17"/>
        <v>43400000</v>
      </c>
      <c r="N146" s="38">
        <f>F146-(H146*9)-22000000</f>
        <v>58230000</v>
      </c>
      <c r="O146" s="42" t="s">
        <v>336</v>
      </c>
      <c r="P146" s="39" t="s">
        <v>49</v>
      </c>
      <c r="Q146" s="40">
        <f t="shared" si="18"/>
        <v>58230000</v>
      </c>
      <c r="R146" s="40">
        <f>+'[1]D N 2'!AF168</f>
        <v>58230000</v>
      </c>
      <c r="S146" s="33">
        <f t="shared" si="19"/>
        <v>0</v>
      </c>
    </row>
    <row r="147" spans="1:19">
      <c r="A147" s="29">
        <f t="shared" si="20"/>
        <v>143</v>
      </c>
      <c r="B147" s="30" t="s">
        <v>421</v>
      </c>
      <c r="C147" s="31" t="s">
        <v>422</v>
      </c>
      <c r="D147" s="31" t="s">
        <v>423</v>
      </c>
      <c r="E147" s="32">
        <v>42986</v>
      </c>
      <c r="F147" s="41">
        <f>400000+39600000</f>
        <v>40000000</v>
      </c>
      <c r="G147" s="34">
        <f t="shared" si="15"/>
        <v>22400000</v>
      </c>
      <c r="H147" s="35">
        <v>220000</v>
      </c>
      <c r="I147" s="35">
        <f t="shared" si="21"/>
        <v>480000</v>
      </c>
      <c r="J147" s="29">
        <v>32</v>
      </c>
      <c r="K147" s="29">
        <v>22</v>
      </c>
      <c r="L147" s="36">
        <f t="shared" si="16"/>
        <v>700000</v>
      </c>
      <c r="M147" s="37">
        <f t="shared" si="17"/>
        <v>15400000</v>
      </c>
      <c r="N147" s="38">
        <f>F147-(H147*10)-15000000</f>
        <v>22800000</v>
      </c>
      <c r="O147" s="42" t="s">
        <v>424</v>
      </c>
      <c r="P147" s="39" t="s">
        <v>123</v>
      </c>
      <c r="Q147" s="40">
        <f t="shared" si="18"/>
        <v>22800000</v>
      </c>
      <c r="R147" s="40">
        <f>+'[1]D N 2'!AF169</f>
        <v>22800000</v>
      </c>
      <c r="S147" s="33">
        <f t="shared" si="19"/>
        <v>0</v>
      </c>
    </row>
    <row r="148" spans="1:19">
      <c r="A148" s="29">
        <f t="shared" si="20"/>
        <v>144</v>
      </c>
      <c r="B148" s="30" t="s">
        <v>421</v>
      </c>
      <c r="C148" s="31" t="s">
        <v>422</v>
      </c>
      <c r="D148" s="43" t="s">
        <v>425</v>
      </c>
      <c r="E148" s="32">
        <v>42933</v>
      </c>
      <c r="F148" s="44">
        <f>500000+200000+49300000</f>
        <v>50000000</v>
      </c>
      <c r="G148" s="34">
        <f t="shared" si="15"/>
        <v>26520000</v>
      </c>
      <c r="H148" s="35">
        <v>180000</v>
      </c>
      <c r="I148" s="35">
        <f t="shared" si="21"/>
        <v>600000</v>
      </c>
      <c r="J148" s="29">
        <v>34</v>
      </c>
      <c r="K148" s="29">
        <v>22</v>
      </c>
      <c r="L148" s="36">
        <f t="shared" si="16"/>
        <v>780000</v>
      </c>
      <c r="M148" s="37">
        <f t="shared" si="17"/>
        <v>17160000</v>
      </c>
      <c r="N148" s="38">
        <f>F148-(H148*12)-15000000</f>
        <v>32840000</v>
      </c>
      <c r="O148" s="39" t="s">
        <v>426</v>
      </c>
      <c r="P148" s="39" t="s">
        <v>95</v>
      </c>
      <c r="Q148" s="40">
        <f t="shared" si="18"/>
        <v>32840000</v>
      </c>
      <c r="R148" s="40">
        <f>+'[1]D N 2'!AF170</f>
        <v>32840000</v>
      </c>
      <c r="S148" s="33">
        <f t="shared" si="19"/>
        <v>0</v>
      </c>
    </row>
    <row r="149" spans="1:19">
      <c r="A149" s="29">
        <f t="shared" si="20"/>
        <v>145</v>
      </c>
      <c r="B149" s="30" t="s">
        <v>427</v>
      </c>
      <c r="C149" s="45" t="s">
        <v>428</v>
      </c>
      <c r="D149" s="45" t="s">
        <v>429</v>
      </c>
      <c r="E149" s="32">
        <v>43231</v>
      </c>
      <c r="F149" s="41">
        <f>97776000+2444400+1411613+200000+0-50916007</f>
        <v>50916006</v>
      </c>
      <c r="G149" s="34">
        <f t="shared" si="15"/>
        <v>45600000</v>
      </c>
      <c r="H149" s="40">
        <v>1289008</v>
      </c>
      <c r="I149" s="40">
        <v>610992</v>
      </c>
      <c r="J149" s="29">
        <v>24</v>
      </c>
      <c r="K149" s="29">
        <v>22</v>
      </c>
      <c r="L149" s="36">
        <f t="shared" si="16"/>
        <v>1900000</v>
      </c>
      <c r="M149" s="37">
        <f t="shared" si="17"/>
        <v>41800000</v>
      </c>
      <c r="N149" s="38">
        <f>F149-(H149*2)</f>
        <v>48337990</v>
      </c>
      <c r="O149" s="39" t="s">
        <v>430</v>
      </c>
      <c r="P149" s="39" t="s">
        <v>249</v>
      </c>
      <c r="Q149" s="40">
        <f t="shared" si="18"/>
        <v>48337990</v>
      </c>
      <c r="R149" s="40">
        <f>+'[1]D N 2'!AF171</f>
        <v>48337990</v>
      </c>
      <c r="S149" s="33">
        <f t="shared" si="19"/>
        <v>0</v>
      </c>
    </row>
    <row r="150" spans="1:19">
      <c r="A150" s="29">
        <f t="shared" si="20"/>
        <v>146</v>
      </c>
      <c r="B150" s="30" t="s">
        <v>427</v>
      </c>
      <c r="C150" s="45" t="s">
        <v>428</v>
      </c>
      <c r="D150" s="45" t="s">
        <v>429</v>
      </c>
      <c r="E150" s="32">
        <v>43231</v>
      </c>
      <c r="F150" s="41">
        <v>50916007</v>
      </c>
      <c r="G150" s="34">
        <f t="shared" si="15"/>
        <v>45600000</v>
      </c>
      <c r="H150" s="40">
        <v>1289008</v>
      </c>
      <c r="I150" s="40">
        <v>610992</v>
      </c>
      <c r="J150" s="29">
        <v>24</v>
      </c>
      <c r="K150" s="29">
        <f>22</f>
        <v>22</v>
      </c>
      <c r="L150" s="36">
        <f t="shared" si="16"/>
        <v>1900000</v>
      </c>
      <c r="M150" s="37">
        <f t="shared" si="17"/>
        <v>41800000</v>
      </c>
      <c r="N150" s="38">
        <f>F150-(H150*2)</f>
        <v>48337991</v>
      </c>
      <c r="O150" s="39" t="s">
        <v>430</v>
      </c>
      <c r="P150" s="39" t="s">
        <v>249</v>
      </c>
      <c r="Q150" s="40">
        <f t="shared" si="18"/>
        <v>48337991</v>
      </c>
      <c r="R150" s="40">
        <f>+'[1]D N 2'!AF172</f>
        <v>48337991</v>
      </c>
      <c r="S150" s="33">
        <f t="shared" si="19"/>
        <v>0</v>
      </c>
    </row>
    <row r="151" spans="1:19">
      <c r="A151" s="29">
        <f t="shared" si="20"/>
        <v>147</v>
      </c>
      <c r="B151" s="30" t="s">
        <v>431</v>
      </c>
      <c r="C151" s="31" t="s">
        <v>432</v>
      </c>
      <c r="D151" s="32"/>
      <c r="E151" s="32">
        <v>42521</v>
      </c>
      <c r="F151" s="44">
        <f>26776800+669420+100000+200000+12253780</f>
        <v>40000000</v>
      </c>
      <c r="G151" s="34">
        <f t="shared" si="15"/>
        <v>25600000</v>
      </c>
      <c r="H151" s="33">
        <v>320000</v>
      </c>
      <c r="I151" s="62">
        <f>+F151*1.2%</f>
        <v>480000</v>
      </c>
      <c r="J151" s="29">
        <v>32</v>
      </c>
      <c r="K151" s="29">
        <f>12</f>
        <v>12</v>
      </c>
      <c r="L151" s="33">
        <f t="shared" si="16"/>
        <v>800000</v>
      </c>
      <c r="M151" s="33">
        <f t="shared" si="17"/>
        <v>9600000</v>
      </c>
      <c r="N151" s="80">
        <f>F151-(H151*20)-15000000-15000000</f>
        <v>3600000</v>
      </c>
      <c r="O151" s="39" t="s">
        <v>433</v>
      </c>
      <c r="P151" s="39" t="s">
        <v>144</v>
      </c>
      <c r="Q151" s="40">
        <f t="shared" si="18"/>
        <v>3600000</v>
      </c>
      <c r="R151" s="40">
        <f>+'[1]D N 2'!AF173</f>
        <v>3600000</v>
      </c>
      <c r="S151" s="33">
        <f t="shared" si="19"/>
        <v>0</v>
      </c>
    </row>
    <row r="152" spans="1:19">
      <c r="A152" s="29">
        <f t="shared" si="20"/>
        <v>148</v>
      </c>
      <c r="B152" s="30" t="s">
        <v>434</v>
      </c>
      <c r="C152" s="31" t="s">
        <v>435</v>
      </c>
      <c r="D152" s="43" t="s">
        <v>436</v>
      </c>
      <c r="E152" s="32">
        <v>42907</v>
      </c>
      <c r="F152" s="44">
        <f>4164600+104115+1200000+200000+144331285-75000000</f>
        <v>75000000</v>
      </c>
      <c r="G152" s="34">
        <f t="shared" si="15"/>
        <v>69912000</v>
      </c>
      <c r="H152" s="35">
        <v>1042000</v>
      </c>
      <c r="I152" s="35">
        <f>F152*1.2%</f>
        <v>900000</v>
      </c>
      <c r="J152" s="29">
        <v>36</v>
      </c>
      <c r="K152" s="29">
        <v>24</v>
      </c>
      <c r="L152" s="36">
        <f t="shared" si="16"/>
        <v>1942000</v>
      </c>
      <c r="M152" s="37">
        <f t="shared" si="17"/>
        <v>46608000</v>
      </c>
      <c r="N152" s="38">
        <f>F152-(H152*12)-1250000-10000000-1250000</f>
        <v>49996000</v>
      </c>
      <c r="O152" s="39" t="s">
        <v>77</v>
      </c>
      <c r="P152" s="39" t="s">
        <v>78</v>
      </c>
      <c r="Q152" s="40">
        <f t="shared" si="18"/>
        <v>49996000</v>
      </c>
      <c r="R152" s="40">
        <f>+'[1]D N 2'!AF174</f>
        <v>49996000</v>
      </c>
      <c r="S152" s="33">
        <f t="shared" si="19"/>
        <v>0</v>
      </c>
    </row>
    <row r="153" spans="1:19">
      <c r="A153" s="29">
        <f t="shared" si="20"/>
        <v>149</v>
      </c>
      <c r="B153" s="30" t="s">
        <v>434</v>
      </c>
      <c r="C153" s="31" t="s">
        <v>435</v>
      </c>
      <c r="D153" s="43" t="s">
        <v>436</v>
      </c>
      <c r="E153" s="32">
        <v>42907</v>
      </c>
      <c r="F153" s="44">
        <v>75000000</v>
      </c>
      <c r="G153" s="34">
        <f t="shared" si="15"/>
        <v>69912000</v>
      </c>
      <c r="H153" s="44">
        <v>1042000</v>
      </c>
      <c r="I153" s="35">
        <f>F153*1.2%</f>
        <v>900000</v>
      </c>
      <c r="J153" s="29">
        <v>36</v>
      </c>
      <c r="K153" s="29">
        <v>24</v>
      </c>
      <c r="L153" s="36">
        <f t="shared" si="16"/>
        <v>1942000</v>
      </c>
      <c r="M153" s="37">
        <f t="shared" si="17"/>
        <v>46608000</v>
      </c>
      <c r="N153" s="38">
        <f>F153-(H153*12)-1250000-10000000-1250000</f>
        <v>49996000</v>
      </c>
      <c r="O153" s="39" t="s">
        <v>77</v>
      </c>
      <c r="P153" s="39" t="s">
        <v>78</v>
      </c>
      <c r="Q153" s="40">
        <f t="shared" si="18"/>
        <v>49996000</v>
      </c>
      <c r="R153" s="40">
        <f>+'[1]D N 2'!AF175</f>
        <v>49996000</v>
      </c>
      <c r="S153" s="33">
        <f t="shared" si="19"/>
        <v>0</v>
      </c>
    </row>
    <row r="154" spans="1:19">
      <c r="A154" s="29">
        <f t="shared" si="20"/>
        <v>150</v>
      </c>
      <c r="B154" s="30" t="s">
        <v>437</v>
      </c>
      <c r="C154" s="31" t="s">
        <v>438</v>
      </c>
      <c r="D154" s="31" t="s">
        <v>439</v>
      </c>
      <c r="E154" s="32">
        <v>43004</v>
      </c>
      <c r="F154" s="41">
        <f>19158000+478950+200000+200000+29963050</f>
        <v>50000000</v>
      </c>
      <c r="G154" s="34">
        <f t="shared" si="15"/>
        <v>25000000</v>
      </c>
      <c r="H154" s="35">
        <v>400000</v>
      </c>
      <c r="I154" s="35">
        <f t="shared" ref="I154:I161" si="22">+F154*1.2%</f>
        <v>600000</v>
      </c>
      <c r="J154" s="29">
        <v>25</v>
      </c>
      <c r="K154" s="29">
        <v>16</v>
      </c>
      <c r="L154" s="36">
        <f t="shared" si="16"/>
        <v>1000000</v>
      </c>
      <c r="M154" s="37">
        <f t="shared" si="17"/>
        <v>16000000</v>
      </c>
      <c r="N154" s="38">
        <f>F154-(H154*9)-10000000-10000000</f>
        <v>26400000</v>
      </c>
      <c r="O154" s="42" t="s">
        <v>440</v>
      </c>
      <c r="P154" s="39" t="s">
        <v>49</v>
      </c>
      <c r="Q154" s="40">
        <f t="shared" si="18"/>
        <v>26400000</v>
      </c>
      <c r="R154" s="40">
        <f>+'[1]D N 2'!AF176</f>
        <v>26400000</v>
      </c>
      <c r="S154" s="33">
        <f t="shared" si="19"/>
        <v>0</v>
      </c>
    </row>
    <row r="155" spans="1:19">
      <c r="A155" s="29">
        <f t="shared" si="20"/>
        <v>151</v>
      </c>
      <c r="B155" s="30" t="s">
        <v>441</v>
      </c>
      <c r="C155" s="45" t="s">
        <v>442</v>
      </c>
      <c r="D155" s="45" t="s">
        <v>443</v>
      </c>
      <c r="E155" s="32">
        <v>43223</v>
      </c>
      <c r="F155" s="41">
        <f>200000+200000+49600000</f>
        <v>50000000</v>
      </c>
      <c r="G155" s="34">
        <f t="shared" si="15"/>
        <v>30400800</v>
      </c>
      <c r="H155" s="40">
        <v>666700</v>
      </c>
      <c r="I155" s="40">
        <f t="shared" si="22"/>
        <v>600000</v>
      </c>
      <c r="J155" s="29">
        <v>24</v>
      </c>
      <c r="K155" s="29">
        <v>22</v>
      </c>
      <c r="L155" s="36">
        <f t="shared" si="16"/>
        <v>1266700</v>
      </c>
      <c r="M155" s="37">
        <f t="shared" si="17"/>
        <v>27867400</v>
      </c>
      <c r="N155" s="38">
        <f>F155-(H155*2)</f>
        <v>48666600</v>
      </c>
      <c r="O155" s="39" t="s">
        <v>389</v>
      </c>
      <c r="P155" s="39" t="s">
        <v>157</v>
      </c>
      <c r="Q155" s="40">
        <f t="shared" si="18"/>
        <v>48666600</v>
      </c>
      <c r="R155" s="40">
        <f>+'[1]D N 2'!AF177</f>
        <v>48666600</v>
      </c>
      <c r="S155" s="33">
        <f t="shared" si="19"/>
        <v>0</v>
      </c>
    </row>
    <row r="156" spans="1:19">
      <c r="A156" s="29">
        <f t="shared" si="20"/>
        <v>152</v>
      </c>
      <c r="B156" s="30" t="s">
        <v>444</v>
      </c>
      <c r="C156" s="45" t="s">
        <v>445</v>
      </c>
      <c r="D156" s="45" t="s">
        <v>446</v>
      </c>
      <c r="E156" s="32">
        <v>43248</v>
      </c>
      <c r="F156" s="41">
        <f>99920000+2498000+750800+200000+71631200-87500000</f>
        <v>87500000</v>
      </c>
      <c r="G156" s="34">
        <f t="shared" si="15"/>
        <v>79275000</v>
      </c>
      <c r="H156" s="40">
        <f>2430000-H157</f>
        <v>1215000</v>
      </c>
      <c r="I156" s="40">
        <f t="shared" si="22"/>
        <v>1050000</v>
      </c>
      <c r="J156" s="29">
        <v>35</v>
      </c>
      <c r="K156" s="29">
        <v>34</v>
      </c>
      <c r="L156" s="36">
        <f t="shared" si="16"/>
        <v>2265000</v>
      </c>
      <c r="M156" s="37">
        <f t="shared" si="17"/>
        <v>77010000</v>
      </c>
      <c r="N156" s="38">
        <f>F156-(H156*1)</f>
        <v>86285000</v>
      </c>
      <c r="O156" s="39" t="s">
        <v>417</v>
      </c>
      <c r="P156" s="39" t="s">
        <v>49</v>
      </c>
      <c r="Q156" s="40">
        <f t="shared" si="18"/>
        <v>86285000</v>
      </c>
      <c r="R156" s="40">
        <f>+'[1]D N 2'!AF178</f>
        <v>86285000</v>
      </c>
      <c r="S156" s="33">
        <f t="shared" si="19"/>
        <v>0</v>
      </c>
    </row>
    <row r="157" spans="1:19">
      <c r="A157" s="29">
        <f t="shared" si="20"/>
        <v>153</v>
      </c>
      <c r="B157" s="30" t="s">
        <v>444</v>
      </c>
      <c r="C157" s="45" t="s">
        <v>445</v>
      </c>
      <c r="D157" s="45" t="s">
        <v>446</v>
      </c>
      <c r="E157" s="32">
        <v>43248</v>
      </c>
      <c r="F157" s="41">
        <v>87500000</v>
      </c>
      <c r="G157" s="34">
        <f t="shared" si="15"/>
        <v>79275000</v>
      </c>
      <c r="H157" s="41">
        <v>1215000</v>
      </c>
      <c r="I157" s="40">
        <f t="shared" si="22"/>
        <v>1050000</v>
      </c>
      <c r="J157" s="29">
        <v>35</v>
      </c>
      <c r="K157" s="29">
        <v>34</v>
      </c>
      <c r="L157" s="36">
        <f t="shared" si="16"/>
        <v>2265000</v>
      </c>
      <c r="M157" s="37">
        <f t="shared" si="17"/>
        <v>77010000</v>
      </c>
      <c r="N157" s="38">
        <f>F157-(H157*1)</f>
        <v>86285000</v>
      </c>
      <c r="O157" s="39" t="s">
        <v>417</v>
      </c>
      <c r="P157" s="39" t="s">
        <v>49</v>
      </c>
      <c r="Q157" s="40">
        <f t="shared" si="18"/>
        <v>86285000</v>
      </c>
      <c r="R157" s="40">
        <f>+'[1]D N 2'!AF179</f>
        <v>86285000</v>
      </c>
      <c r="S157" s="33">
        <f t="shared" si="19"/>
        <v>0</v>
      </c>
    </row>
    <row r="158" spans="1:19">
      <c r="A158" s="29">
        <f t="shared" si="20"/>
        <v>154</v>
      </c>
      <c r="B158" s="30" t="s">
        <v>447</v>
      </c>
      <c r="C158" s="31" t="s">
        <v>448</v>
      </c>
      <c r="D158" s="32"/>
      <c r="E158" s="32">
        <v>42565</v>
      </c>
      <c r="F158" s="33">
        <f>8000000+200000+369290+150000+200000+36080710</f>
        <v>45000000</v>
      </c>
      <c r="G158" s="62">
        <f t="shared" si="15"/>
        <v>39610000</v>
      </c>
      <c r="H158" s="33">
        <v>625000</v>
      </c>
      <c r="I158" s="33">
        <f t="shared" si="22"/>
        <v>540000</v>
      </c>
      <c r="J158" s="29">
        <v>34</v>
      </c>
      <c r="K158" s="29">
        <v>10</v>
      </c>
      <c r="L158" s="93">
        <f t="shared" si="16"/>
        <v>1165000</v>
      </c>
      <c r="M158" s="93">
        <f t="shared" si="17"/>
        <v>11650000</v>
      </c>
      <c r="N158" s="67">
        <f>F158-(H158*24)-2000000-6000000-2000000-2000000-6000000-2000000</f>
        <v>10000000</v>
      </c>
      <c r="O158" s="39" t="s">
        <v>449</v>
      </c>
      <c r="P158" s="39" t="s">
        <v>49</v>
      </c>
      <c r="Q158" s="40">
        <f t="shared" si="18"/>
        <v>10000000</v>
      </c>
      <c r="R158" s="40">
        <f>+'[1]D N 2'!AF180</f>
        <v>10000000</v>
      </c>
      <c r="S158" s="33">
        <f t="shared" si="19"/>
        <v>0</v>
      </c>
    </row>
    <row r="159" spans="1:19">
      <c r="A159" s="29">
        <f t="shared" si="20"/>
        <v>155</v>
      </c>
      <c r="B159" s="30" t="s">
        <v>450</v>
      </c>
      <c r="C159" s="31" t="s">
        <v>451</v>
      </c>
      <c r="D159" s="43" t="s">
        <v>452</v>
      </c>
      <c r="E159" s="32">
        <v>43033</v>
      </c>
      <c r="F159" s="44">
        <f>10215000+255375+200000+200000+39129625</f>
        <v>50000000</v>
      </c>
      <c r="G159" s="34">
        <f t="shared" si="15"/>
        <v>30000000</v>
      </c>
      <c r="H159" s="35">
        <v>400000</v>
      </c>
      <c r="I159" s="35">
        <f t="shared" si="22"/>
        <v>600000</v>
      </c>
      <c r="J159" s="29">
        <v>30</v>
      </c>
      <c r="K159" s="29">
        <v>22</v>
      </c>
      <c r="L159" s="36">
        <f t="shared" si="16"/>
        <v>1000000</v>
      </c>
      <c r="M159" s="37">
        <f t="shared" si="17"/>
        <v>22000000</v>
      </c>
      <c r="N159" s="38">
        <f>F159-(H159*8)-2500000-7500000-5000000</f>
        <v>31800000</v>
      </c>
      <c r="O159" s="39" t="s">
        <v>453</v>
      </c>
      <c r="P159" s="39" t="s">
        <v>78</v>
      </c>
      <c r="Q159" s="40">
        <f t="shared" si="18"/>
        <v>31800000</v>
      </c>
      <c r="R159" s="40">
        <f>+'[1]D N 2'!AF181</f>
        <v>31800000</v>
      </c>
      <c r="S159" s="33">
        <f t="shared" si="19"/>
        <v>0</v>
      </c>
    </row>
    <row r="160" spans="1:19">
      <c r="A160" s="29">
        <f t="shared" si="20"/>
        <v>156</v>
      </c>
      <c r="B160" s="30" t="s">
        <v>454</v>
      </c>
      <c r="C160" s="31" t="s">
        <v>455</v>
      </c>
      <c r="D160" s="31" t="s">
        <v>456</v>
      </c>
      <c r="E160" s="32">
        <v>42983</v>
      </c>
      <c r="F160" s="41">
        <f>15830500+395763+213290+200000+200000+33160447</f>
        <v>50000000</v>
      </c>
      <c r="G160" s="34">
        <f t="shared" si="15"/>
        <v>24720000</v>
      </c>
      <c r="H160" s="35">
        <v>430000</v>
      </c>
      <c r="I160" s="35">
        <f t="shared" si="22"/>
        <v>600000</v>
      </c>
      <c r="J160" s="29">
        <v>24</v>
      </c>
      <c r="K160" s="29">
        <v>14</v>
      </c>
      <c r="L160" s="36">
        <f t="shared" si="16"/>
        <v>1030000</v>
      </c>
      <c r="M160" s="37">
        <f t="shared" si="17"/>
        <v>14420000</v>
      </c>
      <c r="N160" s="38">
        <f>F160-(H160*10)-5000000-10000000-5000000</f>
        <v>25700000</v>
      </c>
      <c r="O160" s="42" t="s">
        <v>457</v>
      </c>
      <c r="P160" s="39" t="s">
        <v>30</v>
      </c>
      <c r="Q160" s="40">
        <f t="shared" si="18"/>
        <v>25700000</v>
      </c>
      <c r="R160" s="40">
        <f>+'[1]D N 2'!AF182</f>
        <v>25700000</v>
      </c>
      <c r="S160" s="33">
        <f t="shared" si="19"/>
        <v>0</v>
      </c>
    </row>
    <row r="161" spans="1:19">
      <c r="A161" s="29">
        <f t="shared" si="20"/>
        <v>157</v>
      </c>
      <c r="B161" s="30" t="s">
        <v>458</v>
      </c>
      <c r="C161" s="45" t="s">
        <v>459</v>
      </c>
      <c r="D161" s="31" t="s">
        <v>460</v>
      </c>
      <c r="E161" s="43">
        <v>43234</v>
      </c>
      <c r="F161" s="103">
        <f>34117724+852943+425353+158823+200000+14245157</f>
        <v>50000000</v>
      </c>
      <c r="G161" s="34">
        <f t="shared" si="15"/>
        <v>43200000</v>
      </c>
      <c r="H161" s="40">
        <f>1200000-I161</f>
        <v>600000</v>
      </c>
      <c r="I161" s="40">
        <f t="shared" si="22"/>
        <v>600000</v>
      </c>
      <c r="J161" s="29">
        <v>36</v>
      </c>
      <c r="K161" s="29">
        <v>34</v>
      </c>
      <c r="L161" s="36">
        <f t="shared" si="16"/>
        <v>1200000</v>
      </c>
      <c r="M161" s="37">
        <f t="shared" si="17"/>
        <v>40800000</v>
      </c>
      <c r="N161" s="38">
        <f>F161-(H161*2)</f>
        <v>48800000</v>
      </c>
      <c r="O161" s="46" t="s">
        <v>461</v>
      </c>
      <c r="P161" s="39" t="s">
        <v>64</v>
      </c>
      <c r="Q161" s="40">
        <f t="shared" si="18"/>
        <v>48800000</v>
      </c>
      <c r="R161" s="40">
        <f>+'[1]D N 2'!AF183</f>
        <v>48800000</v>
      </c>
      <c r="S161" s="33">
        <f t="shared" si="19"/>
        <v>0</v>
      </c>
    </row>
    <row r="162" spans="1:19">
      <c r="A162" s="29">
        <f t="shared" si="20"/>
        <v>158</v>
      </c>
      <c r="B162" s="30" t="s">
        <v>462</v>
      </c>
      <c r="C162" s="31" t="s">
        <v>463</v>
      </c>
      <c r="D162" s="43" t="s">
        <v>464</v>
      </c>
      <c r="E162" s="32">
        <v>42907</v>
      </c>
      <c r="F162" s="44">
        <f>19581700+489543+950000+200000+103778757-62500000</f>
        <v>62500000</v>
      </c>
      <c r="G162" s="34">
        <f t="shared" si="15"/>
        <v>51000000</v>
      </c>
      <c r="H162" s="44">
        <v>750000</v>
      </c>
      <c r="I162" s="35">
        <f>F162*1.2%</f>
        <v>750000</v>
      </c>
      <c r="J162" s="29">
        <v>34</v>
      </c>
      <c r="K162" s="29">
        <f>24</f>
        <v>24</v>
      </c>
      <c r="L162" s="36">
        <f t="shared" si="16"/>
        <v>1500000</v>
      </c>
      <c r="M162" s="37">
        <f t="shared" si="17"/>
        <v>36000000</v>
      </c>
      <c r="N162" s="38">
        <f>F162-(H162*10)-12500000</f>
        <v>42500000</v>
      </c>
      <c r="O162" s="39" t="s">
        <v>465</v>
      </c>
      <c r="P162" s="39" t="s">
        <v>78</v>
      </c>
      <c r="Q162" s="40">
        <f t="shared" si="18"/>
        <v>42500000</v>
      </c>
      <c r="R162" s="40">
        <f>+'[1]D N 2'!AF184</f>
        <v>42500000</v>
      </c>
      <c r="S162" s="33">
        <f t="shared" si="19"/>
        <v>0</v>
      </c>
    </row>
    <row r="163" spans="1:19">
      <c r="A163" s="29">
        <f t="shared" si="20"/>
        <v>159</v>
      </c>
      <c r="B163" s="30" t="s">
        <v>462</v>
      </c>
      <c r="C163" s="31" t="s">
        <v>463</v>
      </c>
      <c r="D163" s="43" t="s">
        <v>464</v>
      </c>
      <c r="E163" s="32">
        <v>42907</v>
      </c>
      <c r="F163" s="44">
        <v>62500000</v>
      </c>
      <c r="G163" s="34">
        <f t="shared" si="15"/>
        <v>51000000</v>
      </c>
      <c r="H163" s="44">
        <v>750000</v>
      </c>
      <c r="I163" s="35">
        <f>F163*1.2%</f>
        <v>750000</v>
      </c>
      <c r="J163" s="29">
        <v>34</v>
      </c>
      <c r="K163" s="29">
        <f>24</f>
        <v>24</v>
      </c>
      <c r="L163" s="36">
        <f t="shared" si="16"/>
        <v>1500000</v>
      </c>
      <c r="M163" s="37">
        <f t="shared" si="17"/>
        <v>36000000</v>
      </c>
      <c r="N163" s="38">
        <f>F163-(H163*10)-12500000</f>
        <v>42500000</v>
      </c>
      <c r="O163" s="39" t="s">
        <v>465</v>
      </c>
      <c r="P163" s="39" t="s">
        <v>78</v>
      </c>
      <c r="Q163" s="40">
        <f t="shared" si="18"/>
        <v>42500000</v>
      </c>
      <c r="R163" s="40">
        <f>+'[1]D N 2'!AF185</f>
        <v>42500000</v>
      </c>
      <c r="S163" s="33">
        <f t="shared" si="19"/>
        <v>0</v>
      </c>
    </row>
    <row r="164" spans="1:19">
      <c r="A164" s="29">
        <f t="shared" si="20"/>
        <v>160</v>
      </c>
      <c r="B164" s="50" t="s">
        <v>466</v>
      </c>
      <c r="C164" s="51" t="s">
        <v>467</v>
      </c>
      <c r="D164" s="52"/>
      <c r="E164" s="52">
        <v>42642</v>
      </c>
      <c r="F164" s="89">
        <f>132844400+10000000+3750000+1660555+9250164+2665200+700000+200000+1818000</f>
        <v>162888319</v>
      </c>
      <c r="G164" s="88">
        <f t="shared" si="15"/>
        <v>183000000</v>
      </c>
      <c r="H164" s="55">
        <v>1045340</v>
      </c>
      <c r="I164" s="55">
        <v>1954660</v>
      </c>
      <c r="J164" s="56">
        <v>61</v>
      </c>
      <c r="K164" s="56">
        <f>47+1</f>
        <v>48</v>
      </c>
      <c r="L164" s="36">
        <f t="shared" si="16"/>
        <v>3000000</v>
      </c>
      <c r="M164" s="36">
        <f t="shared" si="17"/>
        <v>144000000</v>
      </c>
      <c r="N164" s="38">
        <f>F164-(H164*13)-20000000-10000000</f>
        <v>119298899</v>
      </c>
      <c r="O164" s="71" t="s">
        <v>468</v>
      </c>
      <c r="P164" s="39" t="s">
        <v>35</v>
      </c>
      <c r="Q164" s="40">
        <f t="shared" si="18"/>
        <v>119298899</v>
      </c>
      <c r="R164" s="40">
        <f>+'[1]D N 2'!AF186</f>
        <v>119298899</v>
      </c>
      <c r="S164" s="33">
        <f t="shared" si="19"/>
        <v>0</v>
      </c>
    </row>
    <row r="165" spans="1:19">
      <c r="A165" s="29">
        <f t="shared" si="20"/>
        <v>161</v>
      </c>
      <c r="B165" s="30" t="s">
        <v>198</v>
      </c>
      <c r="C165" s="31" t="s">
        <v>469</v>
      </c>
      <c r="D165" s="43" t="s">
        <v>470</v>
      </c>
      <c r="E165" s="32">
        <v>42873</v>
      </c>
      <c r="F165" s="44">
        <f>80000+2000+3902+450000+200000+74264098-37500000</f>
        <v>37500000</v>
      </c>
      <c r="G165" s="34">
        <f t="shared" si="15"/>
        <v>34965000</v>
      </c>
      <c r="H165" s="35">
        <v>521250</v>
      </c>
      <c r="I165" s="33">
        <f>F165*1.2%</f>
        <v>450000</v>
      </c>
      <c r="J165" s="29">
        <v>36</v>
      </c>
      <c r="K165" s="29">
        <v>22</v>
      </c>
      <c r="L165" s="36">
        <f t="shared" si="16"/>
        <v>971250</v>
      </c>
      <c r="M165" s="37">
        <f t="shared" si="17"/>
        <v>21367500</v>
      </c>
      <c r="N165" s="38">
        <f>F165-(H165*14)-1000000-6500000-1000000</f>
        <v>21702500</v>
      </c>
      <c r="O165" s="39" t="s">
        <v>148</v>
      </c>
      <c r="P165" s="39" t="s">
        <v>78</v>
      </c>
      <c r="Q165" s="40">
        <f t="shared" si="18"/>
        <v>21702500</v>
      </c>
      <c r="R165" s="40">
        <f>+'[1]D N 2'!AF187</f>
        <v>21702500</v>
      </c>
      <c r="S165" s="33">
        <f t="shared" si="19"/>
        <v>0</v>
      </c>
    </row>
    <row r="166" spans="1:19">
      <c r="A166" s="29">
        <f t="shared" si="20"/>
        <v>162</v>
      </c>
      <c r="B166" s="30" t="s">
        <v>198</v>
      </c>
      <c r="C166" s="31" t="s">
        <v>469</v>
      </c>
      <c r="D166" s="43" t="s">
        <v>470</v>
      </c>
      <c r="E166" s="32">
        <v>42873</v>
      </c>
      <c r="F166" s="44">
        <v>37500000</v>
      </c>
      <c r="G166" s="34">
        <f t="shared" si="15"/>
        <v>34965000</v>
      </c>
      <c r="H166" s="35">
        <v>521250</v>
      </c>
      <c r="I166" s="33">
        <f>F166*1.2%</f>
        <v>450000</v>
      </c>
      <c r="J166" s="29">
        <v>36</v>
      </c>
      <c r="K166" s="29">
        <v>22</v>
      </c>
      <c r="L166" s="36">
        <f t="shared" si="16"/>
        <v>971250</v>
      </c>
      <c r="M166" s="37">
        <f t="shared" si="17"/>
        <v>21367500</v>
      </c>
      <c r="N166" s="38">
        <f>F166-(H166*14)-1000000-6500000-1000000</f>
        <v>21702500</v>
      </c>
      <c r="O166" s="39" t="s">
        <v>148</v>
      </c>
      <c r="P166" s="39" t="s">
        <v>78</v>
      </c>
      <c r="Q166" s="40">
        <f t="shared" si="18"/>
        <v>21702500</v>
      </c>
      <c r="R166" s="40">
        <f>+'[1]D N 2'!AF188</f>
        <v>21702500</v>
      </c>
      <c r="S166" s="33">
        <f t="shared" si="19"/>
        <v>0</v>
      </c>
    </row>
    <row r="167" spans="1:19">
      <c r="A167" s="29">
        <f t="shared" si="20"/>
        <v>163</v>
      </c>
      <c r="B167" s="30" t="s">
        <v>471</v>
      </c>
      <c r="C167" s="45" t="s">
        <v>472</v>
      </c>
      <c r="D167" s="45" t="s">
        <v>473</v>
      </c>
      <c r="E167" s="32">
        <v>43245</v>
      </c>
      <c r="F167" s="41">
        <f>26151874+9151500+882584+200000+0</f>
        <v>36385958</v>
      </c>
      <c r="G167" s="34">
        <f t="shared" si="15"/>
        <v>26640000</v>
      </c>
      <c r="H167" s="40">
        <v>1783368</v>
      </c>
      <c r="I167" s="40">
        <v>436632</v>
      </c>
      <c r="J167" s="29">
        <v>12</v>
      </c>
      <c r="K167" s="29">
        <v>11</v>
      </c>
      <c r="L167" s="36">
        <f t="shared" si="16"/>
        <v>2220000</v>
      </c>
      <c r="M167" s="37">
        <f t="shared" si="17"/>
        <v>24420000</v>
      </c>
      <c r="N167" s="38">
        <f>F167-(H167*1)</f>
        <v>34602590</v>
      </c>
      <c r="O167" s="39" t="s">
        <v>148</v>
      </c>
      <c r="P167" s="39" t="s">
        <v>294</v>
      </c>
      <c r="Q167" s="40">
        <f t="shared" si="18"/>
        <v>34602590</v>
      </c>
      <c r="R167" s="40">
        <f>+'[1]D N 2'!AF189</f>
        <v>34602590</v>
      </c>
      <c r="S167" s="33">
        <f t="shared" si="19"/>
        <v>0</v>
      </c>
    </row>
    <row r="168" spans="1:19">
      <c r="A168" s="29">
        <f t="shared" si="20"/>
        <v>164</v>
      </c>
      <c r="B168" s="30" t="s">
        <v>474</v>
      </c>
      <c r="C168" s="31" t="s">
        <v>475</v>
      </c>
      <c r="D168" s="31" t="s">
        <v>476</v>
      </c>
      <c r="E168" s="32">
        <v>43045</v>
      </c>
      <c r="F168" s="41">
        <f>6664800+166620+177290+300000+200000+60000000</f>
        <v>67508710</v>
      </c>
      <c r="G168" s="34">
        <f t="shared" ref="G168:G231" si="23">+J168*L168</f>
        <v>61200000</v>
      </c>
      <c r="H168" s="35">
        <v>889895</v>
      </c>
      <c r="I168" s="35">
        <v>810105</v>
      </c>
      <c r="J168" s="29">
        <v>36</v>
      </c>
      <c r="K168" s="29">
        <f>28</f>
        <v>28</v>
      </c>
      <c r="L168" s="36">
        <f t="shared" si="16"/>
        <v>1700000</v>
      </c>
      <c r="M168" s="37">
        <f t="shared" si="17"/>
        <v>47600000</v>
      </c>
      <c r="N168" s="38">
        <f>F168-(H168*8)-12000000</f>
        <v>48389550</v>
      </c>
      <c r="O168" s="42" t="s">
        <v>477</v>
      </c>
      <c r="P168" s="39" t="s">
        <v>49</v>
      </c>
      <c r="Q168" s="40">
        <f t="shared" si="18"/>
        <v>48389550</v>
      </c>
      <c r="R168" s="40">
        <f>+'[1]D N 2'!AF190</f>
        <v>48389550</v>
      </c>
      <c r="S168" s="33">
        <f t="shared" si="19"/>
        <v>0</v>
      </c>
    </row>
    <row r="169" spans="1:19">
      <c r="A169" s="29">
        <f t="shared" si="20"/>
        <v>165</v>
      </c>
      <c r="B169" s="30" t="s">
        <v>478</v>
      </c>
      <c r="C169" s="45" t="s">
        <v>479</v>
      </c>
      <c r="D169" s="45" t="s">
        <v>480</v>
      </c>
      <c r="E169" s="32">
        <v>43185</v>
      </c>
      <c r="F169" s="41">
        <f>200000+200000+49600000</f>
        <v>50000000</v>
      </c>
      <c r="G169" s="34">
        <f t="shared" si="23"/>
        <v>57204000</v>
      </c>
      <c r="H169" s="40">
        <v>4167000</v>
      </c>
      <c r="I169" s="40">
        <f>+F169*1.2%</f>
        <v>600000</v>
      </c>
      <c r="J169" s="29">
        <v>12</v>
      </c>
      <c r="K169" s="29">
        <v>9</v>
      </c>
      <c r="L169" s="36">
        <f t="shared" si="16"/>
        <v>4767000</v>
      </c>
      <c r="M169" s="37">
        <f t="shared" si="17"/>
        <v>42903000</v>
      </c>
      <c r="N169" s="38">
        <f>F169-(H169*3)</f>
        <v>37499000</v>
      </c>
      <c r="O169" s="39" t="s">
        <v>481</v>
      </c>
      <c r="P169" s="39" t="s">
        <v>157</v>
      </c>
      <c r="Q169" s="40">
        <f t="shared" si="18"/>
        <v>37499000</v>
      </c>
      <c r="R169" s="40">
        <f>+'[1]D N 2'!AF191</f>
        <v>37499000</v>
      </c>
      <c r="S169" s="33">
        <f t="shared" si="19"/>
        <v>0</v>
      </c>
    </row>
    <row r="170" spans="1:19">
      <c r="A170" s="29">
        <f t="shared" si="20"/>
        <v>166</v>
      </c>
      <c r="B170" s="30" t="s">
        <v>482</v>
      </c>
      <c r="C170" s="31" t="s">
        <v>483</v>
      </c>
      <c r="D170" s="31" t="s">
        <v>484</v>
      </c>
      <c r="E170" s="32">
        <v>43084</v>
      </c>
      <c r="F170" s="41">
        <f>1100000+27500+700000+200000+97972500-50000000</f>
        <v>50000000</v>
      </c>
      <c r="G170" s="34">
        <f t="shared" si="23"/>
        <v>30000000</v>
      </c>
      <c r="H170" s="40">
        <v>600000</v>
      </c>
      <c r="I170" s="40">
        <f>+F170*1.2%</f>
        <v>600000</v>
      </c>
      <c r="J170" s="29">
        <v>25</v>
      </c>
      <c r="K170" s="29">
        <v>19</v>
      </c>
      <c r="L170" s="36">
        <f t="shared" si="16"/>
        <v>1200000</v>
      </c>
      <c r="M170" s="37">
        <f t="shared" si="17"/>
        <v>22800000</v>
      </c>
      <c r="N170" s="38">
        <f>F170-(H170*6)-10000000-7500000</f>
        <v>28900000</v>
      </c>
      <c r="O170" s="39" t="s">
        <v>90</v>
      </c>
      <c r="P170" s="39" t="s">
        <v>49</v>
      </c>
      <c r="Q170" s="40">
        <f t="shared" si="18"/>
        <v>28900000</v>
      </c>
      <c r="R170" s="40">
        <f>+'[1]D N 2'!AF192</f>
        <v>28900000</v>
      </c>
      <c r="S170" s="33">
        <f t="shared" si="19"/>
        <v>0</v>
      </c>
    </row>
    <row r="171" spans="1:19">
      <c r="A171" s="29">
        <f t="shared" si="20"/>
        <v>167</v>
      </c>
      <c r="B171" s="30" t="s">
        <v>482</v>
      </c>
      <c r="C171" s="31" t="s">
        <v>483</v>
      </c>
      <c r="D171" s="31" t="s">
        <v>484</v>
      </c>
      <c r="E171" s="32">
        <v>43084</v>
      </c>
      <c r="F171" s="41">
        <v>50000000</v>
      </c>
      <c r="G171" s="34">
        <f t="shared" si="23"/>
        <v>30000000</v>
      </c>
      <c r="H171" s="40">
        <v>600000</v>
      </c>
      <c r="I171" s="40">
        <f>+F171*1.2%</f>
        <v>600000</v>
      </c>
      <c r="J171" s="29">
        <v>25</v>
      </c>
      <c r="K171" s="29">
        <v>19</v>
      </c>
      <c r="L171" s="36">
        <f t="shared" si="16"/>
        <v>1200000</v>
      </c>
      <c r="M171" s="37">
        <f t="shared" si="17"/>
        <v>22800000</v>
      </c>
      <c r="N171" s="38">
        <f>F171-(H171*6)-10000000-7500000</f>
        <v>28900000</v>
      </c>
      <c r="O171" s="39" t="s">
        <v>90</v>
      </c>
      <c r="P171" s="39" t="s">
        <v>49</v>
      </c>
      <c r="Q171" s="40">
        <f t="shared" si="18"/>
        <v>28900000</v>
      </c>
      <c r="R171" s="40">
        <f>+'[1]D N 2'!AF193</f>
        <v>28900000</v>
      </c>
      <c r="S171" s="33">
        <f t="shared" si="19"/>
        <v>0</v>
      </c>
    </row>
    <row r="172" spans="1:19">
      <c r="A172" s="29">
        <f t="shared" si="20"/>
        <v>168</v>
      </c>
      <c r="B172" s="30" t="s">
        <v>485</v>
      </c>
      <c r="C172" s="31" t="s">
        <v>486</v>
      </c>
      <c r="D172" s="31" t="s">
        <v>487</v>
      </c>
      <c r="E172" s="32">
        <v>42941</v>
      </c>
      <c r="F172" s="41">
        <f>76490318+1912258+625000+200000+62500000</f>
        <v>141727576</v>
      </c>
      <c r="G172" s="34">
        <f t="shared" si="23"/>
        <v>98000000</v>
      </c>
      <c r="H172" s="40">
        <v>1099269</v>
      </c>
      <c r="I172" s="40">
        <v>1700731</v>
      </c>
      <c r="J172" s="29">
        <v>35</v>
      </c>
      <c r="K172" s="29">
        <v>24</v>
      </c>
      <c r="L172" s="36">
        <f t="shared" si="16"/>
        <v>2800000</v>
      </c>
      <c r="M172" s="37">
        <f t="shared" si="17"/>
        <v>67200000</v>
      </c>
      <c r="N172" s="38">
        <f>F172-(H172*11)-5000000-25000000-5000000</f>
        <v>94635617</v>
      </c>
      <c r="O172" s="42" t="s">
        <v>389</v>
      </c>
      <c r="P172" s="39" t="s">
        <v>49</v>
      </c>
      <c r="Q172" s="40">
        <f t="shared" si="18"/>
        <v>94635617</v>
      </c>
      <c r="R172" s="40">
        <f>+'[1]D N 2'!AF194</f>
        <v>94635617</v>
      </c>
      <c r="S172" s="33">
        <f t="shared" si="19"/>
        <v>0</v>
      </c>
    </row>
    <row r="173" spans="1:19">
      <c r="A173" s="29">
        <f t="shared" si="20"/>
        <v>169</v>
      </c>
      <c r="B173" s="30" t="s">
        <v>488</v>
      </c>
      <c r="C173" s="31" t="s">
        <v>489</v>
      </c>
      <c r="D173" s="32"/>
      <c r="E173" s="32">
        <v>42608</v>
      </c>
      <c r="F173" s="33">
        <f>200000+200000+49600000-25000000</f>
        <v>25000000</v>
      </c>
      <c r="G173" s="34">
        <f t="shared" si="23"/>
        <v>17400000</v>
      </c>
      <c r="H173" s="35">
        <v>425000</v>
      </c>
      <c r="I173" s="35">
        <f>+F173*1.2%</f>
        <v>300000</v>
      </c>
      <c r="J173" s="29">
        <v>24</v>
      </c>
      <c r="K173" s="29">
        <v>2</v>
      </c>
      <c r="L173" s="36">
        <f t="shared" si="16"/>
        <v>725000</v>
      </c>
      <c r="M173" s="36">
        <f t="shared" si="17"/>
        <v>1450000</v>
      </c>
      <c r="N173" s="38">
        <f>F173-(H173*22)-7500000-7500000</f>
        <v>650000</v>
      </c>
      <c r="O173" s="39" t="s">
        <v>490</v>
      </c>
      <c r="P173" s="39" t="s">
        <v>191</v>
      </c>
      <c r="Q173" s="40">
        <f t="shared" si="18"/>
        <v>650000</v>
      </c>
      <c r="R173" s="40">
        <f>+'[1]D N 2'!AF195</f>
        <v>650000</v>
      </c>
      <c r="S173" s="33">
        <f t="shared" si="19"/>
        <v>0</v>
      </c>
    </row>
    <row r="174" spans="1:19">
      <c r="A174" s="29">
        <f t="shared" si="20"/>
        <v>170</v>
      </c>
      <c r="B174" s="30" t="s">
        <v>488</v>
      </c>
      <c r="C174" s="31" t="s">
        <v>489</v>
      </c>
      <c r="D174" s="32"/>
      <c r="E174" s="32">
        <v>42608</v>
      </c>
      <c r="F174" s="33">
        <v>25000000</v>
      </c>
      <c r="G174" s="34">
        <f t="shared" si="23"/>
        <v>17400000</v>
      </c>
      <c r="H174" s="33">
        <v>425000</v>
      </c>
      <c r="I174" s="35">
        <f>+F174*1.2%</f>
        <v>300000</v>
      </c>
      <c r="J174" s="29">
        <v>24</v>
      </c>
      <c r="K174" s="29">
        <v>2</v>
      </c>
      <c r="L174" s="36">
        <f t="shared" si="16"/>
        <v>725000</v>
      </c>
      <c r="M174" s="36">
        <f t="shared" si="17"/>
        <v>1450000</v>
      </c>
      <c r="N174" s="38">
        <f>F174-(H174*22)-7500000-7500000</f>
        <v>650000</v>
      </c>
      <c r="O174" s="39" t="s">
        <v>490</v>
      </c>
      <c r="P174" s="39" t="s">
        <v>191</v>
      </c>
      <c r="Q174" s="40">
        <f t="shared" si="18"/>
        <v>650000</v>
      </c>
      <c r="R174" s="40">
        <f>+'[1]D N 2'!AF196</f>
        <v>650000</v>
      </c>
      <c r="S174" s="33">
        <f t="shared" si="19"/>
        <v>0</v>
      </c>
    </row>
    <row r="175" spans="1:19">
      <c r="A175" s="29">
        <f t="shared" si="20"/>
        <v>171</v>
      </c>
      <c r="B175" s="30" t="s">
        <v>491</v>
      </c>
      <c r="C175" s="45" t="s">
        <v>492</v>
      </c>
      <c r="D175" s="45" t="s">
        <v>493</v>
      </c>
      <c r="E175" s="43">
        <v>43228</v>
      </c>
      <c r="F175" s="41">
        <f>19158000+478950+176903+10186147</f>
        <v>30000000</v>
      </c>
      <c r="G175" s="34">
        <f t="shared" si="23"/>
        <v>42962400</v>
      </c>
      <c r="H175" s="40">
        <v>833400</v>
      </c>
      <c r="I175" s="40">
        <f>+F175*1.2%</f>
        <v>360000</v>
      </c>
      <c r="J175" s="29">
        <v>36</v>
      </c>
      <c r="K175" s="29">
        <v>34</v>
      </c>
      <c r="L175" s="36">
        <f t="shared" si="16"/>
        <v>1193400</v>
      </c>
      <c r="M175" s="37">
        <f t="shared" si="17"/>
        <v>40575600</v>
      </c>
      <c r="N175" s="38">
        <f>F175-(H175*2)</f>
        <v>28333200</v>
      </c>
      <c r="O175" s="39" t="s">
        <v>494</v>
      </c>
      <c r="P175" s="39" t="s">
        <v>64</v>
      </c>
      <c r="Q175" s="40">
        <f t="shared" si="18"/>
        <v>28333200</v>
      </c>
      <c r="R175" s="40">
        <f>+'[1]D N 2'!AF197</f>
        <v>28333200</v>
      </c>
      <c r="S175" s="33">
        <f t="shared" si="19"/>
        <v>0</v>
      </c>
    </row>
    <row r="176" spans="1:19">
      <c r="A176" s="29">
        <f t="shared" si="20"/>
        <v>172</v>
      </c>
      <c r="B176" s="30" t="s">
        <v>495</v>
      </c>
      <c r="C176" s="45" t="s">
        <v>496</v>
      </c>
      <c r="D176" s="45" t="s">
        <v>103</v>
      </c>
      <c r="E176" s="32">
        <v>43245</v>
      </c>
      <c r="F176" s="41">
        <f>92602468+2315062+1573975+200000+153308495-125000000</f>
        <v>125000000</v>
      </c>
      <c r="G176" s="34">
        <f t="shared" si="23"/>
        <v>104000400</v>
      </c>
      <c r="H176" s="40">
        <v>1388900</v>
      </c>
      <c r="I176" s="40">
        <f>+F176*1.2%</f>
        <v>1500000</v>
      </c>
      <c r="J176" s="29">
        <v>36</v>
      </c>
      <c r="K176" s="29">
        <v>35</v>
      </c>
      <c r="L176" s="36">
        <f t="shared" si="16"/>
        <v>2888900</v>
      </c>
      <c r="M176" s="37">
        <f t="shared" si="17"/>
        <v>101111500</v>
      </c>
      <c r="N176" s="38">
        <f>F176-(H176*1)</f>
        <v>123611100</v>
      </c>
      <c r="O176" s="39" t="s">
        <v>77</v>
      </c>
      <c r="P176" s="39" t="s">
        <v>49</v>
      </c>
      <c r="Q176" s="40">
        <f t="shared" si="18"/>
        <v>123611100</v>
      </c>
      <c r="R176" s="40">
        <f>+'[1]D N 2'!AF198</f>
        <v>123611100</v>
      </c>
      <c r="S176" s="33">
        <f t="shared" si="19"/>
        <v>0</v>
      </c>
    </row>
    <row r="177" spans="1:20">
      <c r="A177" s="29">
        <f t="shared" si="20"/>
        <v>173</v>
      </c>
      <c r="B177" s="30" t="s">
        <v>495</v>
      </c>
      <c r="C177" s="45" t="s">
        <v>496</v>
      </c>
      <c r="D177" s="45" t="s">
        <v>103</v>
      </c>
      <c r="E177" s="32">
        <v>43245</v>
      </c>
      <c r="F177" s="41">
        <v>125000000</v>
      </c>
      <c r="G177" s="34">
        <f t="shared" si="23"/>
        <v>104000400</v>
      </c>
      <c r="H177" s="40">
        <v>1388900</v>
      </c>
      <c r="I177" s="40">
        <f>+F177*1.2%</f>
        <v>1500000</v>
      </c>
      <c r="J177" s="29">
        <v>36</v>
      </c>
      <c r="K177" s="29">
        <f>35</f>
        <v>35</v>
      </c>
      <c r="L177" s="36">
        <f t="shared" si="16"/>
        <v>2888900</v>
      </c>
      <c r="M177" s="37">
        <f t="shared" si="17"/>
        <v>101111500</v>
      </c>
      <c r="N177" s="38">
        <f>F177-(H177*1)</f>
        <v>123611100</v>
      </c>
      <c r="O177" s="39" t="s">
        <v>497</v>
      </c>
      <c r="P177" s="39" t="s">
        <v>49</v>
      </c>
      <c r="Q177" s="40">
        <f t="shared" si="18"/>
        <v>123611100</v>
      </c>
      <c r="R177" s="40">
        <f>+'[1]D N 2'!AF199</f>
        <v>123611100</v>
      </c>
      <c r="S177" s="33">
        <f t="shared" si="19"/>
        <v>0</v>
      </c>
    </row>
    <row r="178" spans="1:20">
      <c r="A178" s="29">
        <f t="shared" si="20"/>
        <v>174</v>
      </c>
      <c r="B178" s="50" t="s">
        <v>498</v>
      </c>
      <c r="C178" s="51" t="s">
        <v>499</v>
      </c>
      <c r="D178" s="102"/>
      <c r="E178" s="102">
        <v>42369</v>
      </c>
      <c r="F178" s="61">
        <f>119029821+1200424+900000+2975746+14308974+810976+450000+200000+0-69937971</f>
        <v>69937970</v>
      </c>
      <c r="G178" s="53">
        <f t="shared" si="23"/>
        <v>51999948</v>
      </c>
      <c r="H178" s="55">
        <v>160744</v>
      </c>
      <c r="I178" s="53">
        <v>839255</v>
      </c>
      <c r="J178" s="66" t="s">
        <v>500</v>
      </c>
      <c r="K178" s="56">
        <f>46+1</f>
        <v>47</v>
      </c>
      <c r="L178" s="33">
        <f t="shared" si="16"/>
        <v>999999</v>
      </c>
      <c r="M178" s="33">
        <f t="shared" si="17"/>
        <v>46999953</v>
      </c>
      <c r="N178" s="57">
        <f>F178-(H178*5)-10000000-10000000-588449</f>
        <v>48545801</v>
      </c>
      <c r="O178" s="104" t="s">
        <v>112</v>
      </c>
      <c r="P178" s="68" t="s">
        <v>144</v>
      </c>
      <c r="Q178" s="40">
        <f t="shared" si="18"/>
        <v>48545801</v>
      </c>
      <c r="R178" s="40">
        <f>+'[1]D N 2'!AF200</f>
        <v>48545801</v>
      </c>
      <c r="S178" s="33">
        <f t="shared" si="19"/>
        <v>0</v>
      </c>
      <c r="T178" s="94"/>
    </row>
    <row r="179" spans="1:20">
      <c r="A179" s="29">
        <f t="shared" si="20"/>
        <v>175</v>
      </c>
      <c r="B179" s="50" t="s">
        <v>498</v>
      </c>
      <c r="C179" s="51" t="s">
        <v>499</v>
      </c>
      <c r="D179" s="102"/>
      <c r="E179" s="102">
        <v>42369</v>
      </c>
      <c r="F179" s="61">
        <v>69937971</v>
      </c>
      <c r="G179" s="53">
        <f t="shared" si="23"/>
        <v>52000052</v>
      </c>
      <c r="H179" s="55">
        <v>160745</v>
      </c>
      <c r="I179" s="55">
        <v>839256</v>
      </c>
      <c r="J179" s="66" t="s">
        <v>500</v>
      </c>
      <c r="K179" s="56">
        <f>47+1</f>
        <v>48</v>
      </c>
      <c r="L179" s="33">
        <f t="shared" si="16"/>
        <v>1000001</v>
      </c>
      <c r="M179" s="33">
        <f t="shared" si="17"/>
        <v>48000048</v>
      </c>
      <c r="N179" s="57">
        <f>F179-(H179*4)-10000000-5000000-10000000</f>
        <v>44294991</v>
      </c>
      <c r="O179" s="104" t="s">
        <v>112</v>
      </c>
      <c r="P179" s="68" t="s">
        <v>144</v>
      </c>
      <c r="Q179" s="40">
        <f t="shared" si="18"/>
        <v>44294991</v>
      </c>
      <c r="R179" s="40">
        <f>+'[1]D N 2'!AF201</f>
        <v>44294991</v>
      </c>
      <c r="S179" s="33">
        <f t="shared" si="19"/>
        <v>0</v>
      </c>
    </row>
    <row r="180" spans="1:20">
      <c r="A180" s="29">
        <f t="shared" si="20"/>
        <v>176</v>
      </c>
      <c r="B180" s="30" t="s">
        <v>501</v>
      </c>
      <c r="C180" s="31" t="s">
        <v>502</v>
      </c>
      <c r="D180" s="31" t="s">
        <v>503</v>
      </c>
      <c r="E180" s="32">
        <v>42990</v>
      </c>
      <c r="F180" s="33">
        <f>433000+69470704+1747593+894684+300963+200000+26953056-50000000</f>
        <v>50000000</v>
      </c>
      <c r="G180" s="34">
        <f t="shared" si="23"/>
        <v>35604000</v>
      </c>
      <c r="H180" s="35">
        <v>389000</v>
      </c>
      <c r="I180" s="35">
        <f>+F180*1.2%</f>
        <v>600000</v>
      </c>
      <c r="J180" s="29">
        <v>36</v>
      </c>
      <c r="K180" s="29">
        <f>26</f>
        <v>26</v>
      </c>
      <c r="L180" s="36">
        <f t="shared" si="16"/>
        <v>989000</v>
      </c>
      <c r="M180" s="36">
        <f t="shared" si="17"/>
        <v>25714000</v>
      </c>
      <c r="N180" s="38">
        <f>F180-(H180*10)-3000000-6000000-3000000</f>
        <v>34110000</v>
      </c>
      <c r="O180" s="39" t="s">
        <v>504</v>
      </c>
      <c r="P180" s="39" t="s">
        <v>30</v>
      </c>
      <c r="Q180" s="40">
        <f t="shared" si="18"/>
        <v>34110000</v>
      </c>
      <c r="R180" s="40">
        <f>+'[1]D N 2'!AF202</f>
        <v>34110000</v>
      </c>
      <c r="S180" s="33">
        <f t="shared" si="19"/>
        <v>0</v>
      </c>
    </row>
    <row r="181" spans="1:20">
      <c r="A181" s="29">
        <f t="shared" si="20"/>
        <v>177</v>
      </c>
      <c r="B181" s="30" t="s">
        <v>501</v>
      </c>
      <c r="C181" s="31" t="s">
        <v>502</v>
      </c>
      <c r="D181" s="31" t="s">
        <v>503</v>
      </c>
      <c r="E181" s="32">
        <v>42990</v>
      </c>
      <c r="F181" s="33">
        <v>50000000</v>
      </c>
      <c r="G181" s="34">
        <f t="shared" si="23"/>
        <v>35604000</v>
      </c>
      <c r="H181" s="35">
        <v>389000</v>
      </c>
      <c r="I181" s="35">
        <f>+F181*1.2%</f>
        <v>600000</v>
      </c>
      <c r="J181" s="29">
        <v>36</v>
      </c>
      <c r="K181" s="29">
        <f>26</f>
        <v>26</v>
      </c>
      <c r="L181" s="36">
        <f t="shared" si="16"/>
        <v>989000</v>
      </c>
      <c r="M181" s="36">
        <f t="shared" si="17"/>
        <v>25714000</v>
      </c>
      <c r="N181" s="38">
        <f>F181-(H181*10)-3000000-6000000-3000000</f>
        <v>34110000</v>
      </c>
      <c r="O181" s="39" t="s">
        <v>504</v>
      </c>
      <c r="P181" s="39" t="s">
        <v>30</v>
      </c>
      <c r="Q181" s="40">
        <f t="shared" si="18"/>
        <v>34110000</v>
      </c>
      <c r="R181" s="40">
        <f>+'[1]D N 2'!AF203</f>
        <v>34110000</v>
      </c>
      <c r="S181" s="33">
        <f t="shared" si="19"/>
        <v>0</v>
      </c>
    </row>
    <row r="182" spans="1:20">
      <c r="A182" s="29">
        <f t="shared" si="20"/>
        <v>178</v>
      </c>
      <c r="B182" s="30" t="s">
        <v>505</v>
      </c>
      <c r="C182" s="31" t="s">
        <v>506</v>
      </c>
      <c r="D182" s="31" t="s">
        <v>507</v>
      </c>
      <c r="E182" s="32">
        <v>42886</v>
      </c>
      <c r="F182" s="44">
        <f>700000+700000+24000</f>
        <v>1424000</v>
      </c>
      <c r="G182" s="34">
        <f t="shared" si="23"/>
        <v>1860000</v>
      </c>
      <c r="H182" s="40">
        <v>60412</v>
      </c>
      <c r="I182" s="33">
        <f>+F182*1.2%</f>
        <v>17088</v>
      </c>
      <c r="J182" s="29">
        <v>24</v>
      </c>
      <c r="K182" s="29">
        <v>11</v>
      </c>
      <c r="L182" s="36">
        <f t="shared" si="16"/>
        <v>77500</v>
      </c>
      <c r="M182" s="37">
        <f t="shared" si="17"/>
        <v>852500</v>
      </c>
      <c r="N182" s="38">
        <f>F182-(H182*13)</f>
        <v>638644</v>
      </c>
      <c r="O182" s="42" t="s">
        <v>508</v>
      </c>
      <c r="P182" s="42" t="s">
        <v>209</v>
      </c>
      <c r="Q182" s="40">
        <f t="shared" si="18"/>
        <v>638644</v>
      </c>
      <c r="R182" s="40">
        <f>+'[1]D N 2'!AF204</f>
        <v>638644</v>
      </c>
      <c r="S182" s="33">
        <f t="shared" si="19"/>
        <v>0</v>
      </c>
    </row>
    <row r="183" spans="1:20">
      <c r="A183" s="29">
        <f t="shared" si="20"/>
        <v>179</v>
      </c>
      <c r="B183" s="30" t="s">
        <v>509</v>
      </c>
      <c r="C183" s="31" t="s">
        <v>506</v>
      </c>
      <c r="D183" s="43" t="s">
        <v>510</v>
      </c>
      <c r="E183" s="32">
        <v>42871</v>
      </c>
      <c r="F183" s="44">
        <f>22967186+574180+252054+1300000+200000+134706580-80000000</f>
        <v>80000000</v>
      </c>
      <c r="G183" s="34">
        <f t="shared" si="23"/>
        <v>61250000</v>
      </c>
      <c r="H183" s="35">
        <v>790000</v>
      </c>
      <c r="I183" s="33">
        <f>F183*1.2%</f>
        <v>960000</v>
      </c>
      <c r="J183" s="29">
        <v>35</v>
      </c>
      <c r="K183" s="29">
        <v>21</v>
      </c>
      <c r="L183" s="36">
        <f t="shared" si="16"/>
        <v>1750000</v>
      </c>
      <c r="M183" s="37">
        <f t="shared" si="17"/>
        <v>36750000</v>
      </c>
      <c r="N183" s="38">
        <f>F183-(H183*14)-3125000-1250000-6250000-7500000-6250000</f>
        <v>44565000</v>
      </c>
      <c r="O183" s="39" t="s">
        <v>511</v>
      </c>
      <c r="P183" s="39" t="s">
        <v>78</v>
      </c>
      <c r="Q183" s="40">
        <f t="shared" si="18"/>
        <v>44565000</v>
      </c>
      <c r="R183" s="40">
        <f>+'[1]D N 2'!AF205</f>
        <v>44565000</v>
      </c>
      <c r="S183" s="33">
        <f t="shared" si="19"/>
        <v>0</v>
      </c>
    </row>
    <row r="184" spans="1:20">
      <c r="A184" s="29">
        <f t="shared" si="20"/>
        <v>180</v>
      </c>
      <c r="B184" s="30" t="s">
        <v>509</v>
      </c>
      <c r="C184" s="31" t="s">
        <v>506</v>
      </c>
      <c r="D184" s="43" t="s">
        <v>510</v>
      </c>
      <c r="E184" s="32">
        <v>42871</v>
      </c>
      <c r="F184" s="44">
        <v>80000000</v>
      </c>
      <c r="G184" s="34">
        <f t="shared" si="23"/>
        <v>61250000</v>
      </c>
      <c r="H184" s="44">
        <v>790000</v>
      </c>
      <c r="I184" s="33">
        <f>F184*1.2%</f>
        <v>960000</v>
      </c>
      <c r="J184" s="29">
        <v>35</v>
      </c>
      <c r="K184" s="29">
        <v>21</v>
      </c>
      <c r="L184" s="36">
        <f t="shared" si="16"/>
        <v>1750000</v>
      </c>
      <c r="M184" s="37">
        <f t="shared" si="17"/>
        <v>36750000</v>
      </c>
      <c r="N184" s="38">
        <f>F184-(H184*14)-3125000-1250000-6250000-7500000-6250000</f>
        <v>44565000</v>
      </c>
      <c r="O184" s="39" t="s">
        <v>511</v>
      </c>
      <c r="P184" s="39" t="s">
        <v>78</v>
      </c>
      <c r="Q184" s="40">
        <f t="shared" si="18"/>
        <v>44565000</v>
      </c>
      <c r="R184" s="40">
        <f>+'[1]D N 2'!AF206</f>
        <v>44565000</v>
      </c>
      <c r="S184" s="33">
        <f t="shared" si="19"/>
        <v>0</v>
      </c>
    </row>
    <row r="185" spans="1:20">
      <c r="A185" s="29">
        <f t="shared" si="20"/>
        <v>181</v>
      </c>
      <c r="B185" s="30" t="s">
        <v>512</v>
      </c>
      <c r="C185" s="45" t="s">
        <v>513</v>
      </c>
      <c r="D185" s="45" t="s">
        <v>514</v>
      </c>
      <c r="E185" s="32">
        <v>43245</v>
      </c>
      <c r="F185" s="41">
        <f>147515447+24069026+3687886+312897+2406903+1000000+200000+100000000</f>
        <v>279192159</v>
      </c>
      <c r="G185" s="34">
        <f t="shared" si="23"/>
        <v>237760000</v>
      </c>
      <c r="H185" s="40">
        <v>4079694</v>
      </c>
      <c r="I185" s="40">
        <v>3350306</v>
      </c>
      <c r="J185" s="29">
        <v>32</v>
      </c>
      <c r="K185" s="29">
        <f>31</f>
        <v>31</v>
      </c>
      <c r="L185" s="36">
        <f t="shared" si="16"/>
        <v>7430000</v>
      </c>
      <c r="M185" s="37">
        <f t="shared" si="17"/>
        <v>230330000</v>
      </c>
      <c r="N185" s="38">
        <f>F185-(H185*1)</f>
        <v>275112465</v>
      </c>
      <c r="O185" s="39" t="s">
        <v>515</v>
      </c>
      <c r="P185" s="39" t="s">
        <v>49</v>
      </c>
      <c r="Q185" s="40">
        <f t="shared" si="18"/>
        <v>275112465</v>
      </c>
      <c r="R185" s="40">
        <f>+'[1]D N 2'!AF207</f>
        <v>275112465</v>
      </c>
      <c r="S185" s="33">
        <f t="shared" si="19"/>
        <v>0</v>
      </c>
      <c r="T185" s="94"/>
    </row>
    <row r="186" spans="1:20">
      <c r="A186" s="29">
        <f t="shared" si="20"/>
        <v>182</v>
      </c>
      <c r="B186" s="30" t="s">
        <v>516</v>
      </c>
      <c r="C186" s="45" t="s">
        <v>517</v>
      </c>
      <c r="D186" s="45" t="s">
        <v>518</v>
      </c>
      <c r="E186" s="32">
        <v>43182</v>
      </c>
      <c r="F186" s="41">
        <f>77600000+1940000+2224000+200000+218036000</f>
        <v>300000000</v>
      </c>
      <c r="G186" s="34">
        <f t="shared" si="23"/>
        <v>179450000</v>
      </c>
      <c r="H186" s="40">
        <v>1250000</v>
      </c>
      <c r="I186" s="40">
        <f>+F186*1.2%</f>
        <v>3600000</v>
      </c>
      <c r="J186" s="29">
        <v>37</v>
      </c>
      <c r="K186" s="29">
        <v>34</v>
      </c>
      <c r="L186" s="36">
        <f t="shared" si="16"/>
        <v>4850000</v>
      </c>
      <c r="M186" s="37">
        <f t="shared" si="17"/>
        <v>164900000</v>
      </c>
      <c r="N186" s="38">
        <f>F186-(H186*3)-12500000</f>
        <v>283750000</v>
      </c>
      <c r="O186" s="39" t="s">
        <v>519</v>
      </c>
      <c r="P186" s="39" t="s">
        <v>30</v>
      </c>
      <c r="Q186" s="40">
        <f t="shared" si="18"/>
        <v>283750000</v>
      </c>
      <c r="R186" s="40">
        <f>+'[1]D N 2'!AF208</f>
        <v>283750000</v>
      </c>
      <c r="S186" s="33">
        <f t="shared" si="19"/>
        <v>0</v>
      </c>
      <c r="T186" s="94"/>
    </row>
    <row r="187" spans="1:20">
      <c r="A187" s="29">
        <f t="shared" si="20"/>
        <v>183</v>
      </c>
      <c r="B187" s="30" t="s">
        <v>520</v>
      </c>
      <c r="C187" s="31" t="s">
        <v>521</v>
      </c>
      <c r="D187" s="31" t="s">
        <v>522</v>
      </c>
      <c r="E187" s="32">
        <v>43089</v>
      </c>
      <c r="F187" s="41">
        <v>31517782</v>
      </c>
      <c r="G187" s="34">
        <f t="shared" si="23"/>
        <v>28638036</v>
      </c>
      <c r="H187" s="40">
        <v>417287</v>
      </c>
      <c r="I187" s="40">
        <v>378214</v>
      </c>
      <c r="J187" s="29">
        <v>36</v>
      </c>
      <c r="K187" s="29">
        <v>30</v>
      </c>
      <c r="L187" s="36">
        <f t="shared" si="16"/>
        <v>795501</v>
      </c>
      <c r="M187" s="37">
        <f t="shared" si="17"/>
        <v>23865030</v>
      </c>
      <c r="N187" s="38">
        <f>F187-(H187*6)-5500000</f>
        <v>23514060</v>
      </c>
      <c r="O187" s="39" t="s">
        <v>156</v>
      </c>
      <c r="P187" s="39" t="s">
        <v>49</v>
      </c>
      <c r="Q187" s="40">
        <f t="shared" si="18"/>
        <v>23514060</v>
      </c>
      <c r="R187" s="40">
        <f>+'[1]D N 2'!AF209</f>
        <v>23514060</v>
      </c>
      <c r="S187" s="33">
        <f t="shared" si="19"/>
        <v>0</v>
      </c>
    </row>
    <row r="188" spans="1:20">
      <c r="A188" s="29">
        <f t="shared" si="20"/>
        <v>184</v>
      </c>
      <c r="B188" s="50" t="s">
        <v>520</v>
      </c>
      <c r="C188" s="51" t="s">
        <v>521</v>
      </c>
      <c r="D188" s="51" t="s">
        <v>522</v>
      </c>
      <c r="E188" s="52">
        <v>43089</v>
      </c>
      <c r="F188" s="87">
        <f>46522500+1163063+150000+200000+15000000-31517782</f>
        <v>31517781</v>
      </c>
      <c r="G188" s="88">
        <f t="shared" si="23"/>
        <v>28637964</v>
      </c>
      <c r="H188" s="89">
        <v>417286</v>
      </c>
      <c r="I188" s="89">
        <v>378213</v>
      </c>
      <c r="J188" s="56">
        <v>36</v>
      </c>
      <c r="K188" s="56">
        <f>30+1</f>
        <v>31</v>
      </c>
      <c r="L188" s="36">
        <f t="shared" si="16"/>
        <v>795499</v>
      </c>
      <c r="M188" s="37">
        <f t="shared" si="17"/>
        <v>24660469</v>
      </c>
      <c r="N188" s="38">
        <f>F188-(H188*5)-5500000</f>
        <v>23931351</v>
      </c>
      <c r="O188" s="39" t="s">
        <v>156</v>
      </c>
      <c r="P188" s="39" t="s">
        <v>49</v>
      </c>
      <c r="Q188" s="40">
        <f t="shared" si="18"/>
        <v>23931351</v>
      </c>
      <c r="R188" s="40">
        <f>+'[1]D N 2'!AF210</f>
        <v>23931351</v>
      </c>
      <c r="S188" s="33">
        <f t="shared" si="19"/>
        <v>0</v>
      </c>
    </row>
    <row r="189" spans="1:20">
      <c r="A189" s="29">
        <f t="shared" si="20"/>
        <v>185</v>
      </c>
      <c r="B189" s="30" t="s">
        <v>523</v>
      </c>
      <c r="C189" s="45" t="s">
        <v>524</v>
      </c>
      <c r="D189" s="45" t="s">
        <v>525</v>
      </c>
      <c r="E189" s="32">
        <v>43235</v>
      </c>
      <c r="F189" s="41">
        <f>97111800+2427795+1772068+200000+0</f>
        <v>101511663</v>
      </c>
      <c r="G189" s="34">
        <f t="shared" si="23"/>
        <v>86400000</v>
      </c>
      <c r="H189" s="40">
        <v>1181860</v>
      </c>
      <c r="I189" s="40">
        <v>1218140</v>
      </c>
      <c r="J189" s="29">
        <v>36</v>
      </c>
      <c r="K189" s="29">
        <v>34</v>
      </c>
      <c r="L189" s="36">
        <f t="shared" si="16"/>
        <v>2400000</v>
      </c>
      <c r="M189" s="37">
        <f t="shared" si="17"/>
        <v>81600000</v>
      </c>
      <c r="N189" s="38">
        <f>F189-(H189*2)</f>
        <v>99147943</v>
      </c>
      <c r="O189" s="39" t="s">
        <v>86</v>
      </c>
      <c r="P189" s="39" t="s">
        <v>249</v>
      </c>
      <c r="Q189" s="40">
        <f t="shared" si="18"/>
        <v>99147943</v>
      </c>
      <c r="R189" s="40">
        <f>+'[1]D N 2'!AF211</f>
        <v>99147943</v>
      </c>
      <c r="S189" s="33">
        <f t="shared" si="19"/>
        <v>0</v>
      </c>
    </row>
    <row r="190" spans="1:20">
      <c r="A190" s="29">
        <f t="shared" si="20"/>
        <v>186</v>
      </c>
      <c r="B190" s="30" t="s">
        <v>526</v>
      </c>
      <c r="C190" s="31" t="s">
        <v>527</v>
      </c>
      <c r="D190" s="31" t="s">
        <v>528</v>
      </c>
      <c r="E190" s="32">
        <v>43154</v>
      </c>
      <c r="F190" s="41">
        <f>40273500+1006838+597265+200000+57922397</f>
        <v>100000000</v>
      </c>
      <c r="G190" s="34">
        <f t="shared" si="23"/>
        <v>68000000</v>
      </c>
      <c r="H190" s="40">
        <f>2000000-I190</f>
        <v>800000</v>
      </c>
      <c r="I190" s="40">
        <f t="shared" ref="I190:I195" si="24">+F190*1.2%</f>
        <v>1200000</v>
      </c>
      <c r="J190" s="29">
        <v>34</v>
      </c>
      <c r="K190" s="29">
        <v>30</v>
      </c>
      <c r="L190" s="36">
        <f t="shared" si="16"/>
        <v>2000000</v>
      </c>
      <c r="M190" s="37">
        <f t="shared" si="17"/>
        <v>60000000</v>
      </c>
      <c r="N190" s="38">
        <f>F190-(H190*4)-20000000-2000000</f>
        <v>74800000</v>
      </c>
      <c r="O190" s="39" t="s">
        <v>48</v>
      </c>
      <c r="P190" s="39" t="s">
        <v>78</v>
      </c>
      <c r="Q190" s="40">
        <f t="shared" si="18"/>
        <v>74800000</v>
      </c>
      <c r="R190" s="40">
        <f>+'[1]D N 2'!AF212</f>
        <v>74800000</v>
      </c>
      <c r="S190" s="33">
        <f t="shared" si="19"/>
        <v>0</v>
      </c>
    </row>
    <row r="191" spans="1:20">
      <c r="A191" s="29">
        <f t="shared" si="20"/>
        <v>187</v>
      </c>
      <c r="B191" s="30" t="s">
        <v>529</v>
      </c>
      <c r="C191" s="31" t="s">
        <v>530</v>
      </c>
      <c r="D191" s="43" t="s">
        <v>531</v>
      </c>
      <c r="E191" s="32">
        <v>43063</v>
      </c>
      <c r="F191" s="44">
        <f>11663000+291575+66620+200000+17778805</f>
        <v>30000000</v>
      </c>
      <c r="G191" s="34">
        <f t="shared" si="23"/>
        <v>42984000</v>
      </c>
      <c r="H191" s="35">
        <f>1194000-I191</f>
        <v>834000</v>
      </c>
      <c r="I191" s="35">
        <f t="shared" si="24"/>
        <v>360000</v>
      </c>
      <c r="J191" s="29">
        <v>36</v>
      </c>
      <c r="K191" s="29">
        <v>29</v>
      </c>
      <c r="L191" s="36">
        <f t="shared" si="16"/>
        <v>1194000</v>
      </c>
      <c r="M191" s="37">
        <f t="shared" si="17"/>
        <v>34626000</v>
      </c>
      <c r="N191" s="38">
        <f>F191-(H191*7)</f>
        <v>24162000</v>
      </c>
      <c r="O191" s="39" t="s">
        <v>532</v>
      </c>
      <c r="P191" s="39" t="s">
        <v>49</v>
      </c>
      <c r="Q191" s="40">
        <f t="shared" si="18"/>
        <v>24162000</v>
      </c>
      <c r="R191" s="40">
        <f>+'[1]D N 2'!AF213</f>
        <v>24162000</v>
      </c>
      <c r="S191" s="33">
        <f t="shared" si="19"/>
        <v>0</v>
      </c>
    </row>
    <row r="192" spans="1:20">
      <c r="A192" s="29">
        <f t="shared" si="20"/>
        <v>188</v>
      </c>
      <c r="B192" s="30" t="s">
        <v>533</v>
      </c>
      <c r="C192" s="31" t="s">
        <v>534</v>
      </c>
      <c r="D192" s="32"/>
      <c r="E192" s="32">
        <v>42586</v>
      </c>
      <c r="F192" s="33">
        <f>37846261+946157+234022+121537+200000+10652023</f>
        <v>50000000</v>
      </c>
      <c r="G192" s="34">
        <f t="shared" si="23"/>
        <v>64416000</v>
      </c>
      <c r="H192" s="33">
        <f>2684000-I192</f>
        <v>2084000</v>
      </c>
      <c r="I192" s="33">
        <f t="shared" si="24"/>
        <v>600000</v>
      </c>
      <c r="J192" s="29">
        <v>24</v>
      </c>
      <c r="K192" s="29">
        <v>1</v>
      </c>
      <c r="L192" s="36">
        <f t="shared" si="16"/>
        <v>2684000</v>
      </c>
      <c r="M192" s="36">
        <f t="shared" si="17"/>
        <v>2684000</v>
      </c>
      <c r="N192" s="38">
        <f>F192-(H192*23)</f>
        <v>2068000</v>
      </c>
      <c r="O192" s="39" t="s">
        <v>535</v>
      </c>
      <c r="P192" s="39" t="s">
        <v>347</v>
      </c>
      <c r="Q192" s="40">
        <f t="shared" si="18"/>
        <v>2068000</v>
      </c>
      <c r="R192" s="40">
        <f>+'[1]D N 2'!AF214</f>
        <v>2068000</v>
      </c>
      <c r="S192" s="33">
        <f t="shared" si="19"/>
        <v>0</v>
      </c>
    </row>
    <row r="193" spans="1:20">
      <c r="A193" s="29">
        <f t="shared" si="20"/>
        <v>189</v>
      </c>
      <c r="B193" s="30" t="s">
        <v>533</v>
      </c>
      <c r="C193" s="31" t="s">
        <v>534</v>
      </c>
      <c r="D193" s="31" t="s">
        <v>536</v>
      </c>
      <c r="E193" s="32">
        <v>43157</v>
      </c>
      <c r="F193" s="41">
        <f>5000000</f>
        <v>5000000</v>
      </c>
      <c r="G193" s="34">
        <f t="shared" si="23"/>
        <v>5364000</v>
      </c>
      <c r="H193" s="40">
        <f>894000-I193</f>
        <v>834000</v>
      </c>
      <c r="I193" s="40">
        <f t="shared" si="24"/>
        <v>60000</v>
      </c>
      <c r="J193" s="29">
        <v>6</v>
      </c>
      <c r="K193" s="29">
        <v>2</v>
      </c>
      <c r="L193" s="36">
        <f t="shared" si="16"/>
        <v>894000</v>
      </c>
      <c r="M193" s="37">
        <f t="shared" si="17"/>
        <v>1788000</v>
      </c>
      <c r="N193" s="38">
        <f>F193-(H193*4)</f>
        <v>1664000</v>
      </c>
      <c r="O193" s="39" t="s">
        <v>537</v>
      </c>
      <c r="P193" s="39" t="s">
        <v>326</v>
      </c>
      <c r="Q193" s="40">
        <f t="shared" si="18"/>
        <v>1664000</v>
      </c>
      <c r="R193" s="40">
        <f>+'[1]D N 2'!AF215</f>
        <v>1664000</v>
      </c>
      <c r="S193" s="33">
        <f t="shared" si="19"/>
        <v>0</v>
      </c>
    </row>
    <row r="194" spans="1:20">
      <c r="A194" s="29">
        <f t="shared" si="20"/>
        <v>190</v>
      </c>
      <c r="B194" s="30" t="s">
        <v>533</v>
      </c>
      <c r="C194" s="31" t="s">
        <v>534</v>
      </c>
      <c r="D194" s="43" t="s">
        <v>538</v>
      </c>
      <c r="E194" s="32">
        <v>42720</v>
      </c>
      <c r="F194" s="33">
        <f>100000+9900000</f>
        <v>10000000</v>
      </c>
      <c r="G194" s="34">
        <f t="shared" si="23"/>
        <v>12888000</v>
      </c>
      <c r="H194" s="33">
        <v>417000</v>
      </c>
      <c r="I194" s="33">
        <f t="shared" si="24"/>
        <v>120000</v>
      </c>
      <c r="J194" s="29">
        <v>24</v>
      </c>
      <c r="K194" s="29">
        <v>6</v>
      </c>
      <c r="L194" s="36">
        <f t="shared" si="16"/>
        <v>537000</v>
      </c>
      <c r="M194" s="36">
        <f t="shared" si="17"/>
        <v>3222000</v>
      </c>
      <c r="N194" s="38">
        <f>F194-(H194*18)</f>
        <v>2494000</v>
      </c>
      <c r="O194" s="39" t="s">
        <v>539</v>
      </c>
      <c r="P194" s="39" t="s">
        <v>540</v>
      </c>
      <c r="Q194" s="40">
        <f t="shared" si="18"/>
        <v>2494000</v>
      </c>
      <c r="R194" s="40">
        <f>+'[1]D N 2'!AF216</f>
        <v>2494000</v>
      </c>
      <c r="S194" s="33">
        <f t="shared" si="19"/>
        <v>0</v>
      </c>
    </row>
    <row r="195" spans="1:20">
      <c r="A195" s="29">
        <f t="shared" si="20"/>
        <v>191</v>
      </c>
      <c r="B195" s="30" t="s">
        <v>541</v>
      </c>
      <c r="C195" s="31" t="s">
        <v>542</v>
      </c>
      <c r="D195" s="32"/>
      <c r="E195" s="32">
        <v>42313</v>
      </c>
      <c r="F195" s="33">
        <f>11886000+297150+104110+700000+200000+30000000+18500000+10000000+10000000+8000000+5970000+2045000+2200000+97740</f>
        <v>100000000</v>
      </c>
      <c r="G195" s="70">
        <f t="shared" si="23"/>
        <v>53200800</v>
      </c>
      <c r="H195" s="33">
        <v>277800</v>
      </c>
      <c r="I195" s="62">
        <f t="shared" si="24"/>
        <v>1200000</v>
      </c>
      <c r="J195" s="29">
        <v>36</v>
      </c>
      <c r="K195" s="29">
        <v>4</v>
      </c>
      <c r="L195" s="33">
        <f t="shared" si="16"/>
        <v>1477800</v>
      </c>
      <c r="M195" s="33">
        <f t="shared" si="17"/>
        <v>5911200</v>
      </c>
      <c r="N195" s="57">
        <f>F195-(H195*32)-5000000-20000000-5000000-5000000-20000000-5000000-5000000-20000000-5000000</f>
        <v>1110400</v>
      </c>
      <c r="O195" s="42" t="s">
        <v>543</v>
      </c>
      <c r="P195" s="42" t="s">
        <v>69</v>
      </c>
      <c r="Q195" s="40">
        <f t="shared" si="18"/>
        <v>1110400</v>
      </c>
      <c r="R195" s="40">
        <f>+'[1]D N 2'!AF217</f>
        <v>1110400</v>
      </c>
      <c r="S195" s="33">
        <f t="shared" si="19"/>
        <v>0</v>
      </c>
    </row>
    <row r="196" spans="1:20">
      <c r="A196" s="29">
        <f t="shared" si="20"/>
        <v>192</v>
      </c>
      <c r="B196" s="50" t="s">
        <v>544</v>
      </c>
      <c r="C196" s="51" t="s">
        <v>545</v>
      </c>
      <c r="D196" s="95" t="s">
        <v>546</v>
      </c>
      <c r="E196" s="52">
        <v>43040</v>
      </c>
      <c r="F196" s="65">
        <f>72550880+1813772+509310+1680000+1120178+70000+200000+7000000</f>
        <v>84944140</v>
      </c>
      <c r="G196" s="88">
        <f t="shared" si="23"/>
        <v>66000000</v>
      </c>
      <c r="H196" s="96">
        <v>1180670</v>
      </c>
      <c r="I196" s="96">
        <v>1019330</v>
      </c>
      <c r="J196" s="56">
        <v>30</v>
      </c>
      <c r="K196" s="56">
        <f>27+1</f>
        <v>28</v>
      </c>
      <c r="L196" s="36">
        <f t="shared" si="16"/>
        <v>2200000</v>
      </c>
      <c r="M196" s="37">
        <f t="shared" si="17"/>
        <v>61600000</v>
      </c>
      <c r="N196" s="38">
        <f>F196-(H196*2)-15000000-5000000</f>
        <v>62582800</v>
      </c>
      <c r="O196" s="39" t="s">
        <v>61</v>
      </c>
      <c r="P196" s="39" t="s">
        <v>49</v>
      </c>
      <c r="Q196" s="40">
        <f t="shared" si="18"/>
        <v>62582800</v>
      </c>
      <c r="R196" s="40">
        <f>+'[1]D N 2'!AF218</f>
        <v>62582800</v>
      </c>
      <c r="S196" s="33">
        <f t="shared" si="19"/>
        <v>0</v>
      </c>
    </row>
    <row r="197" spans="1:20">
      <c r="A197" s="29">
        <f t="shared" si="20"/>
        <v>193</v>
      </c>
      <c r="B197" s="30" t="s">
        <v>547</v>
      </c>
      <c r="C197" s="45" t="s">
        <v>548</v>
      </c>
      <c r="D197" s="45" t="s">
        <v>549</v>
      </c>
      <c r="E197" s="32">
        <v>43245</v>
      </c>
      <c r="F197" s="41">
        <f>2083150+52079+200000+200000+47464771</f>
        <v>50000000</v>
      </c>
      <c r="G197" s="34">
        <f t="shared" si="23"/>
        <v>24480000</v>
      </c>
      <c r="H197" s="40">
        <v>420000</v>
      </c>
      <c r="I197" s="40">
        <f>+F197*1.2%</f>
        <v>600000</v>
      </c>
      <c r="J197" s="29">
        <v>24</v>
      </c>
      <c r="K197" s="29">
        <v>23</v>
      </c>
      <c r="L197" s="36">
        <f t="shared" ref="L197:L260" si="25">+H197+I197</f>
        <v>1020000</v>
      </c>
      <c r="M197" s="37">
        <f t="shared" ref="M197:M260" si="26">+K197*L197</f>
        <v>23460000</v>
      </c>
      <c r="N197" s="38">
        <f>F197-(H197*1)</f>
        <v>49580000</v>
      </c>
      <c r="O197" s="39" t="s">
        <v>550</v>
      </c>
      <c r="P197" s="39" t="s">
        <v>49</v>
      </c>
      <c r="Q197" s="40">
        <f t="shared" si="18"/>
        <v>49580000</v>
      </c>
      <c r="R197" s="40">
        <f>+'[1]D N 2'!AF219</f>
        <v>49580000</v>
      </c>
      <c r="S197" s="33">
        <f t="shared" si="19"/>
        <v>0</v>
      </c>
    </row>
    <row r="198" spans="1:20">
      <c r="A198" s="29">
        <f t="shared" si="20"/>
        <v>194</v>
      </c>
      <c r="B198" s="30" t="s">
        <v>551</v>
      </c>
      <c r="C198" s="31">
        <v>912031</v>
      </c>
      <c r="D198" s="105"/>
      <c r="E198" s="105">
        <v>41214</v>
      </c>
      <c r="F198" s="33">
        <f>26503966+2870804+662600+100646+200000+0</f>
        <v>30338016</v>
      </c>
      <c r="G198" s="62">
        <f t="shared" si="23"/>
        <v>36000000</v>
      </c>
      <c r="H198" s="33">
        <v>105605</v>
      </c>
      <c r="I198" s="62">
        <v>394395</v>
      </c>
      <c r="J198" s="106">
        <v>72</v>
      </c>
      <c r="K198" s="29">
        <v>15</v>
      </c>
      <c r="L198" s="62">
        <f t="shared" si="25"/>
        <v>500000</v>
      </c>
      <c r="M198" s="62">
        <f t="shared" si="26"/>
        <v>7500000</v>
      </c>
      <c r="N198" s="67">
        <f>F198-(H198*57)-(596936)</f>
        <v>23721595</v>
      </c>
      <c r="O198" s="42" t="s">
        <v>552</v>
      </c>
      <c r="P198" s="42" t="s">
        <v>553</v>
      </c>
      <c r="Q198" s="40">
        <f t="shared" ref="Q198:Q261" si="27">+N198</f>
        <v>23721595</v>
      </c>
      <c r="R198" s="40">
        <f>+'[1]D N 2'!AF220</f>
        <v>23721595</v>
      </c>
      <c r="S198" s="33">
        <f t="shared" ref="S198:S261" si="28">+Q198-R198</f>
        <v>0</v>
      </c>
    </row>
    <row r="199" spans="1:20">
      <c r="A199" s="29">
        <f t="shared" ref="A199:A262" si="29">+A198+1</f>
        <v>195</v>
      </c>
      <c r="B199" s="30" t="s">
        <v>554</v>
      </c>
      <c r="C199" s="31" t="s">
        <v>555</v>
      </c>
      <c r="D199" s="32"/>
      <c r="E199" s="32">
        <v>42585</v>
      </c>
      <c r="F199" s="44">
        <v>33542440</v>
      </c>
      <c r="G199" s="34">
        <f t="shared" si="23"/>
        <v>21700031</v>
      </c>
      <c r="H199" s="44">
        <v>297491</v>
      </c>
      <c r="I199" s="35">
        <v>402510</v>
      </c>
      <c r="J199" s="29">
        <v>31</v>
      </c>
      <c r="K199" s="29">
        <v>8</v>
      </c>
      <c r="L199" s="36">
        <f t="shared" si="25"/>
        <v>700001</v>
      </c>
      <c r="M199" s="36">
        <f t="shared" si="26"/>
        <v>5600008</v>
      </c>
      <c r="N199" s="38">
        <f>F199-(H199*23)-1500000-8500000-1500000-1500000-8500000-1500000</f>
        <v>3700147</v>
      </c>
      <c r="O199" s="39" t="s">
        <v>556</v>
      </c>
      <c r="P199" s="39" t="s">
        <v>347</v>
      </c>
      <c r="Q199" s="40">
        <f t="shared" si="27"/>
        <v>3700147</v>
      </c>
      <c r="R199" s="40">
        <f>+'[1]D N 2'!AF221</f>
        <v>3700147</v>
      </c>
      <c r="S199" s="33">
        <f t="shared" si="28"/>
        <v>0</v>
      </c>
    </row>
    <row r="200" spans="1:20">
      <c r="A200" s="29">
        <f t="shared" si="29"/>
        <v>196</v>
      </c>
      <c r="B200" s="30" t="s">
        <v>554</v>
      </c>
      <c r="C200" s="31" t="s">
        <v>555</v>
      </c>
      <c r="D200" s="32"/>
      <c r="E200" s="32">
        <v>42585</v>
      </c>
      <c r="F200" s="44">
        <f>6250000+156250+116129+362500+200000+60000000-33542440</f>
        <v>33542439</v>
      </c>
      <c r="G200" s="34">
        <f t="shared" si="23"/>
        <v>21699969</v>
      </c>
      <c r="H200" s="35">
        <v>297490</v>
      </c>
      <c r="I200" s="35">
        <v>402509</v>
      </c>
      <c r="J200" s="29">
        <v>31</v>
      </c>
      <c r="K200" s="29">
        <v>8</v>
      </c>
      <c r="L200" s="36">
        <f t="shared" si="25"/>
        <v>699999</v>
      </c>
      <c r="M200" s="36">
        <f t="shared" si="26"/>
        <v>5599992</v>
      </c>
      <c r="N200" s="38">
        <f>F200-(H200*23)-1500000-8500000-1500000-1500000-8500000-1500000</f>
        <v>3700169</v>
      </c>
      <c r="O200" s="39" t="s">
        <v>556</v>
      </c>
      <c r="P200" s="39" t="s">
        <v>347</v>
      </c>
      <c r="Q200" s="40">
        <f t="shared" si="27"/>
        <v>3700169</v>
      </c>
      <c r="R200" s="40">
        <f>+'[1]D N 2'!AF222</f>
        <v>3700169</v>
      </c>
      <c r="S200" s="33">
        <f t="shared" si="28"/>
        <v>0</v>
      </c>
      <c r="T200" s="94"/>
    </row>
    <row r="201" spans="1:20">
      <c r="A201" s="29">
        <f t="shared" si="29"/>
        <v>197</v>
      </c>
      <c r="B201" s="30" t="s">
        <v>557</v>
      </c>
      <c r="C201" s="31" t="s">
        <v>558</v>
      </c>
      <c r="D201" s="43" t="s">
        <v>559</v>
      </c>
      <c r="E201" s="32">
        <v>43013</v>
      </c>
      <c r="F201" s="44">
        <f>45270000+1131750+358581+500000+200000+50000000</f>
        <v>97460331</v>
      </c>
      <c r="G201" s="34">
        <f t="shared" si="23"/>
        <v>87990000</v>
      </c>
      <c r="H201" s="35">
        <v>1344476</v>
      </c>
      <c r="I201" s="35">
        <v>1169524</v>
      </c>
      <c r="J201" s="29">
        <v>35</v>
      </c>
      <c r="K201" s="29">
        <f>26</f>
        <v>26</v>
      </c>
      <c r="L201" s="36">
        <f t="shared" si="25"/>
        <v>2514000</v>
      </c>
      <c r="M201" s="37">
        <f t="shared" si="26"/>
        <v>65364000</v>
      </c>
      <c r="N201" s="38">
        <f>F201-(H201*9)-15000000-2000000</f>
        <v>68360047</v>
      </c>
      <c r="O201" s="39" t="s">
        <v>560</v>
      </c>
      <c r="P201" s="39" t="s">
        <v>49</v>
      </c>
      <c r="Q201" s="40">
        <f t="shared" si="27"/>
        <v>68360047</v>
      </c>
      <c r="R201" s="40">
        <f>+'[1]D N 2'!AF223</f>
        <v>68360047</v>
      </c>
      <c r="S201" s="33">
        <f t="shared" si="28"/>
        <v>0</v>
      </c>
      <c r="T201" s="94"/>
    </row>
    <row r="202" spans="1:20">
      <c r="A202" s="29">
        <f t="shared" si="29"/>
        <v>198</v>
      </c>
      <c r="B202" s="30" t="s">
        <v>561</v>
      </c>
      <c r="C202" s="31" t="s">
        <v>562</v>
      </c>
      <c r="D202" s="31" t="s">
        <v>563</v>
      </c>
      <c r="E202" s="32">
        <v>43125</v>
      </c>
      <c r="F202" s="41">
        <f>32212500+805313+100000+200000+10000000</f>
        <v>43317813</v>
      </c>
      <c r="G202" s="34">
        <f t="shared" si="23"/>
        <v>62064000</v>
      </c>
      <c r="H202" s="40">
        <v>1204186</v>
      </c>
      <c r="I202" s="40">
        <v>519814</v>
      </c>
      <c r="J202" s="29">
        <v>36</v>
      </c>
      <c r="K202" s="29">
        <v>31</v>
      </c>
      <c r="L202" s="36">
        <f t="shared" si="25"/>
        <v>1724000</v>
      </c>
      <c r="M202" s="37">
        <f t="shared" si="26"/>
        <v>53444000</v>
      </c>
      <c r="N202" s="38">
        <f>F202-(H202*5)</f>
        <v>37296883</v>
      </c>
      <c r="O202" s="39" t="s">
        <v>457</v>
      </c>
      <c r="P202" s="39" t="s">
        <v>35</v>
      </c>
      <c r="Q202" s="40">
        <f t="shared" si="27"/>
        <v>37296883</v>
      </c>
      <c r="R202" s="40">
        <f>+'[1]D N 2'!AF224</f>
        <v>37296883</v>
      </c>
      <c r="S202" s="33">
        <f t="shared" si="28"/>
        <v>0</v>
      </c>
    </row>
    <row r="203" spans="1:20">
      <c r="A203" s="29">
        <f t="shared" si="29"/>
        <v>199</v>
      </c>
      <c r="B203" s="30" t="s">
        <v>564</v>
      </c>
      <c r="C203" s="31" t="s">
        <v>565</v>
      </c>
      <c r="D203" s="31" t="s">
        <v>566</v>
      </c>
      <c r="E203" s="32">
        <v>42886</v>
      </c>
      <c r="F203" s="44">
        <f>23606000+590150+100000+200000+15503850</f>
        <v>40000000</v>
      </c>
      <c r="G203" s="34">
        <f t="shared" si="23"/>
        <v>57330000</v>
      </c>
      <c r="H203" s="40">
        <v>1112500</v>
      </c>
      <c r="I203" s="33">
        <f>+F203*1.2%</f>
        <v>480000</v>
      </c>
      <c r="J203" s="29">
        <v>36</v>
      </c>
      <c r="K203" s="29">
        <v>23</v>
      </c>
      <c r="L203" s="36">
        <f t="shared" si="25"/>
        <v>1592500</v>
      </c>
      <c r="M203" s="37">
        <f t="shared" si="26"/>
        <v>36627500</v>
      </c>
      <c r="N203" s="38">
        <f>F203-(H203*13)</f>
        <v>25537500</v>
      </c>
      <c r="O203" s="42" t="s">
        <v>567</v>
      </c>
      <c r="P203" s="42" t="s">
        <v>337</v>
      </c>
      <c r="Q203" s="40">
        <f t="shared" si="27"/>
        <v>25537500</v>
      </c>
      <c r="R203" s="40">
        <f>+'[1]D N 2'!AF225</f>
        <v>25537500</v>
      </c>
      <c r="S203" s="33">
        <f t="shared" si="28"/>
        <v>0</v>
      </c>
    </row>
    <row r="204" spans="1:20">
      <c r="A204" s="29">
        <f t="shared" si="29"/>
        <v>200</v>
      </c>
      <c r="B204" s="30" t="s">
        <v>568</v>
      </c>
      <c r="C204" s="45" t="s">
        <v>565</v>
      </c>
      <c r="D204" s="45" t="s">
        <v>569</v>
      </c>
      <c r="E204" s="32">
        <v>43235</v>
      </c>
      <c r="F204" s="41">
        <f>750000+200000+75000000</f>
        <v>75950000</v>
      </c>
      <c r="G204" s="34">
        <f t="shared" si="23"/>
        <v>108774000</v>
      </c>
      <c r="H204" s="40">
        <v>2110100</v>
      </c>
      <c r="I204" s="40">
        <f>+F204*1.2%</f>
        <v>911400</v>
      </c>
      <c r="J204" s="29">
        <v>36</v>
      </c>
      <c r="K204" s="29">
        <v>34</v>
      </c>
      <c r="L204" s="36">
        <f t="shared" si="25"/>
        <v>3021500</v>
      </c>
      <c r="M204" s="37">
        <f t="shared" si="26"/>
        <v>102731000</v>
      </c>
      <c r="N204" s="38">
        <f>F204-(H204*2)</f>
        <v>71729800</v>
      </c>
      <c r="O204" s="39" t="s">
        <v>570</v>
      </c>
      <c r="P204" s="107" t="s">
        <v>326</v>
      </c>
      <c r="Q204" s="40">
        <f t="shared" si="27"/>
        <v>71729800</v>
      </c>
      <c r="R204" s="40">
        <f>+'[1]D N 2'!AF226</f>
        <v>71729800</v>
      </c>
      <c r="S204" s="33">
        <f t="shared" si="28"/>
        <v>0</v>
      </c>
    </row>
    <row r="205" spans="1:20">
      <c r="A205" s="29">
        <f t="shared" si="29"/>
        <v>201</v>
      </c>
      <c r="B205" s="30" t="s">
        <v>571</v>
      </c>
      <c r="C205" s="31" t="s">
        <v>572</v>
      </c>
      <c r="D205" s="31" t="s">
        <v>573</v>
      </c>
      <c r="E205" s="32">
        <v>43153</v>
      </c>
      <c r="F205" s="41">
        <f>41721221+1043031+506455+200000+50645500-47058104</f>
        <v>47058103</v>
      </c>
      <c r="G205" s="34">
        <f t="shared" si="23"/>
        <v>34500000</v>
      </c>
      <c r="H205" s="40">
        <v>185303</v>
      </c>
      <c r="I205" s="35">
        <v>564697</v>
      </c>
      <c r="J205" s="29">
        <v>46</v>
      </c>
      <c r="K205" s="29">
        <v>42</v>
      </c>
      <c r="L205" s="36">
        <f t="shared" si="25"/>
        <v>750000</v>
      </c>
      <c r="M205" s="37">
        <f t="shared" si="26"/>
        <v>31500000</v>
      </c>
      <c r="N205" s="38">
        <f>F205-(H205*4)-5000000-2500000</f>
        <v>38816891</v>
      </c>
      <c r="O205" s="39" t="s">
        <v>574</v>
      </c>
      <c r="P205" s="107" t="s">
        <v>78</v>
      </c>
      <c r="Q205" s="40">
        <f t="shared" si="27"/>
        <v>38816891</v>
      </c>
      <c r="R205" s="40">
        <f>+'[1]D N 2'!AF227</f>
        <v>38816891</v>
      </c>
      <c r="S205" s="33">
        <f t="shared" si="28"/>
        <v>0</v>
      </c>
    </row>
    <row r="206" spans="1:20">
      <c r="A206" s="29">
        <f t="shared" si="29"/>
        <v>202</v>
      </c>
      <c r="B206" s="30" t="s">
        <v>571</v>
      </c>
      <c r="C206" s="31" t="s">
        <v>572</v>
      </c>
      <c r="D206" s="31" t="s">
        <v>573</v>
      </c>
      <c r="E206" s="32">
        <v>43153</v>
      </c>
      <c r="F206" s="41">
        <v>47058104</v>
      </c>
      <c r="G206" s="34">
        <f t="shared" si="23"/>
        <v>34500000</v>
      </c>
      <c r="H206" s="40">
        <v>185303</v>
      </c>
      <c r="I206" s="40">
        <v>564697</v>
      </c>
      <c r="J206" s="29">
        <v>46</v>
      </c>
      <c r="K206" s="29">
        <v>42</v>
      </c>
      <c r="L206" s="36">
        <f t="shared" si="25"/>
        <v>750000</v>
      </c>
      <c r="M206" s="37">
        <f t="shared" si="26"/>
        <v>31500000</v>
      </c>
      <c r="N206" s="38">
        <f>F206-(H206*4)-5000000-2500000</f>
        <v>38816892</v>
      </c>
      <c r="O206" s="39" t="s">
        <v>574</v>
      </c>
      <c r="P206" s="107" t="s">
        <v>78</v>
      </c>
      <c r="Q206" s="40">
        <f t="shared" si="27"/>
        <v>38816892</v>
      </c>
      <c r="R206" s="40">
        <f>+'[1]D N 2'!AF228</f>
        <v>38816892</v>
      </c>
      <c r="S206" s="33">
        <f t="shared" si="28"/>
        <v>0</v>
      </c>
    </row>
    <row r="207" spans="1:20">
      <c r="A207" s="29">
        <f t="shared" si="29"/>
        <v>203</v>
      </c>
      <c r="B207" s="30" t="s">
        <v>575</v>
      </c>
      <c r="C207" s="45" t="s">
        <v>576</v>
      </c>
      <c r="D207" s="45" t="s">
        <v>577</v>
      </c>
      <c r="E207" s="32">
        <v>43245</v>
      </c>
      <c r="F207" s="41">
        <f>34000000+850000+910000+200000+89040000</f>
        <v>125000000</v>
      </c>
      <c r="G207" s="34">
        <f t="shared" si="23"/>
        <v>77700000</v>
      </c>
      <c r="H207" s="40">
        <f>2100000-I207</f>
        <v>600000</v>
      </c>
      <c r="I207" s="40">
        <f>+F207*1.2%</f>
        <v>1500000</v>
      </c>
      <c r="J207" s="29">
        <v>37</v>
      </c>
      <c r="K207" s="29">
        <v>36</v>
      </c>
      <c r="L207" s="36">
        <f t="shared" si="25"/>
        <v>2100000</v>
      </c>
      <c r="M207" s="37">
        <f t="shared" si="26"/>
        <v>75600000</v>
      </c>
      <c r="N207" s="38">
        <f>F207-(H207*1)</f>
        <v>124400000</v>
      </c>
      <c r="O207" s="39" t="s">
        <v>578</v>
      </c>
      <c r="P207" s="107" t="s">
        <v>49</v>
      </c>
      <c r="Q207" s="40">
        <f t="shared" si="27"/>
        <v>124400000</v>
      </c>
      <c r="R207" s="40">
        <f>+'[1]D N 2'!AF229</f>
        <v>124400000</v>
      </c>
      <c r="S207" s="33">
        <f t="shared" si="28"/>
        <v>0</v>
      </c>
    </row>
    <row r="208" spans="1:20">
      <c r="A208" s="29">
        <f t="shared" si="29"/>
        <v>204</v>
      </c>
      <c r="B208" s="30" t="s">
        <v>579</v>
      </c>
      <c r="C208" s="31" t="s">
        <v>580</v>
      </c>
      <c r="D208" s="31" t="s">
        <v>581</v>
      </c>
      <c r="E208" s="32">
        <v>42943</v>
      </c>
      <c r="F208" s="41">
        <f>27515510+687888+224845+200000+21371757-25000000</f>
        <v>25000000</v>
      </c>
      <c r="G208" s="34">
        <f t="shared" si="23"/>
        <v>21375750</v>
      </c>
      <c r="H208" s="40">
        <v>347750</v>
      </c>
      <c r="I208" s="40">
        <f>+F208*1.2%</f>
        <v>300000</v>
      </c>
      <c r="J208" s="29">
        <v>33</v>
      </c>
      <c r="K208" s="29">
        <v>22</v>
      </c>
      <c r="L208" s="36">
        <f t="shared" si="25"/>
        <v>647750</v>
      </c>
      <c r="M208" s="37">
        <f t="shared" si="26"/>
        <v>14250500</v>
      </c>
      <c r="N208" s="38">
        <f>F208-(H208*11)-5000000</f>
        <v>16174750</v>
      </c>
      <c r="O208" s="39" t="s">
        <v>39</v>
      </c>
      <c r="P208" s="107" t="s">
        <v>49</v>
      </c>
      <c r="Q208" s="40">
        <f t="shared" si="27"/>
        <v>16174750</v>
      </c>
      <c r="R208" s="40">
        <f>+'[1]D N 2'!AF230</f>
        <v>16174750</v>
      </c>
      <c r="S208" s="33">
        <f t="shared" si="28"/>
        <v>0</v>
      </c>
    </row>
    <row r="209" spans="1:20">
      <c r="A209" s="29">
        <f t="shared" si="29"/>
        <v>205</v>
      </c>
      <c r="B209" s="30" t="s">
        <v>579</v>
      </c>
      <c r="C209" s="31" t="s">
        <v>580</v>
      </c>
      <c r="D209" s="31" t="s">
        <v>581</v>
      </c>
      <c r="E209" s="32">
        <v>42943</v>
      </c>
      <c r="F209" s="41">
        <v>25000000</v>
      </c>
      <c r="G209" s="34">
        <f t="shared" si="23"/>
        <v>21375750</v>
      </c>
      <c r="H209" s="41">
        <v>347750</v>
      </c>
      <c r="I209" s="40">
        <f>+F209*1.2%</f>
        <v>300000</v>
      </c>
      <c r="J209" s="29">
        <v>33</v>
      </c>
      <c r="K209" s="29">
        <v>22</v>
      </c>
      <c r="L209" s="36">
        <f t="shared" si="25"/>
        <v>647750</v>
      </c>
      <c r="M209" s="37">
        <f t="shared" si="26"/>
        <v>14250500</v>
      </c>
      <c r="N209" s="38">
        <f>F209-(H209*11)-5000000</f>
        <v>16174750</v>
      </c>
      <c r="O209" s="39" t="s">
        <v>39</v>
      </c>
      <c r="P209" s="107" t="s">
        <v>49</v>
      </c>
      <c r="Q209" s="40">
        <f t="shared" si="27"/>
        <v>16174750</v>
      </c>
      <c r="R209" s="40">
        <f>+'[1]D N 2'!AF231</f>
        <v>16174750</v>
      </c>
      <c r="S209" s="33">
        <f t="shared" si="28"/>
        <v>0</v>
      </c>
    </row>
    <row r="210" spans="1:20">
      <c r="A210" s="29">
        <f t="shared" si="29"/>
        <v>206</v>
      </c>
      <c r="B210" s="30" t="s">
        <v>582</v>
      </c>
      <c r="C210" s="31" t="s">
        <v>583</v>
      </c>
      <c r="D210" s="43" t="s">
        <v>584</v>
      </c>
      <c r="E210" s="32">
        <v>42892</v>
      </c>
      <c r="F210" s="44">
        <f>61946606+2300000-1231808+1548665+594866+200000-32679165</f>
        <v>32679164</v>
      </c>
      <c r="G210" s="34">
        <f t="shared" si="23"/>
        <v>24000000</v>
      </c>
      <c r="H210" s="35">
        <v>357850</v>
      </c>
      <c r="I210" s="33">
        <v>392150</v>
      </c>
      <c r="J210" s="29">
        <v>32</v>
      </c>
      <c r="K210" s="29">
        <v>19</v>
      </c>
      <c r="L210" s="36">
        <f t="shared" si="25"/>
        <v>750000</v>
      </c>
      <c r="M210" s="37">
        <f t="shared" si="26"/>
        <v>14250000</v>
      </c>
      <c r="N210" s="38">
        <f>F210-(H210*13)-3750000-5000000</f>
        <v>19277114</v>
      </c>
      <c r="O210" s="39" t="s">
        <v>585</v>
      </c>
      <c r="P210" s="107" t="s">
        <v>131</v>
      </c>
      <c r="Q210" s="40">
        <f t="shared" si="27"/>
        <v>19277114</v>
      </c>
      <c r="R210" s="40">
        <f>+'[1]D N 2'!AF232</f>
        <v>19277114</v>
      </c>
      <c r="S210" s="33">
        <f t="shared" si="28"/>
        <v>0</v>
      </c>
    </row>
    <row r="211" spans="1:20">
      <c r="A211" s="29">
        <f t="shared" si="29"/>
        <v>207</v>
      </c>
      <c r="B211" s="30" t="s">
        <v>582</v>
      </c>
      <c r="C211" s="31" t="s">
        <v>583</v>
      </c>
      <c r="D211" s="43" t="s">
        <v>584</v>
      </c>
      <c r="E211" s="32">
        <v>42892</v>
      </c>
      <c r="F211" s="44">
        <v>32679165</v>
      </c>
      <c r="G211" s="34">
        <f t="shared" si="23"/>
        <v>24000000</v>
      </c>
      <c r="H211" s="35">
        <v>357850</v>
      </c>
      <c r="I211" s="35">
        <v>392150</v>
      </c>
      <c r="J211" s="29">
        <v>32</v>
      </c>
      <c r="K211" s="29">
        <v>19</v>
      </c>
      <c r="L211" s="36">
        <f t="shared" si="25"/>
        <v>750000</v>
      </c>
      <c r="M211" s="37">
        <f t="shared" si="26"/>
        <v>14250000</v>
      </c>
      <c r="N211" s="38">
        <f>F211-(H211*13)-3750000-3200000-1800000</f>
        <v>19277115</v>
      </c>
      <c r="O211" s="39" t="s">
        <v>585</v>
      </c>
      <c r="P211" s="107" t="s">
        <v>131</v>
      </c>
      <c r="Q211" s="40">
        <f t="shared" si="27"/>
        <v>19277115</v>
      </c>
      <c r="R211" s="40">
        <f>+'[1]D N 2'!AF233</f>
        <v>19277115</v>
      </c>
      <c r="S211" s="33">
        <f t="shared" si="28"/>
        <v>0</v>
      </c>
    </row>
    <row r="212" spans="1:20">
      <c r="A212" s="29">
        <f t="shared" si="29"/>
        <v>208</v>
      </c>
      <c r="B212" s="30" t="s">
        <v>586</v>
      </c>
      <c r="C212" s="31" t="s">
        <v>587</v>
      </c>
      <c r="D212" s="31" t="s">
        <v>588</v>
      </c>
      <c r="E212" s="32">
        <v>42985</v>
      </c>
      <c r="F212" s="33">
        <f>52504288+1312607+635385+474957+200000+44872763-50000000</f>
        <v>50000000</v>
      </c>
      <c r="G212" s="34">
        <f t="shared" si="23"/>
        <v>37547750</v>
      </c>
      <c r="H212" s="35">
        <v>694750</v>
      </c>
      <c r="I212" s="35">
        <f>+F212*1.2%</f>
        <v>600000</v>
      </c>
      <c r="J212" s="29">
        <v>29</v>
      </c>
      <c r="K212" s="29">
        <v>19</v>
      </c>
      <c r="L212" s="36">
        <f t="shared" si="25"/>
        <v>1294750</v>
      </c>
      <c r="M212" s="36">
        <f t="shared" si="26"/>
        <v>24600250</v>
      </c>
      <c r="N212" s="38">
        <f>F212-(H212*10)-5000000-5000000-2500000</f>
        <v>30552500</v>
      </c>
      <c r="O212" s="39" t="s">
        <v>589</v>
      </c>
      <c r="P212" s="107" t="s">
        <v>30</v>
      </c>
      <c r="Q212" s="40">
        <f t="shared" si="27"/>
        <v>30552500</v>
      </c>
      <c r="R212" s="40">
        <f>+'[1]D N 2'!AF234</f>
        <v>30552500</v>
      </c>
      <c r="S212" s="33">
        <f t="shared" si="28"/>
        <v>0</v>
      </c>
      <c r="T212" s="108"/>
    </row>
    <row r="213" spans="1:20">
      <c r="A213" s="29">
        <f t="shared" si="29"/>
        <v>209</v>
      </c>
      <c r="B213" s="30" t="s">
        <v>586</v>
      </c>
      <c r="C213" s="31" t="s">
        <v>587</v>
      </c>
      <c r="D213" s="31" t="s">
        <v>588</v>
      </c>
      <c r="E213" s="32">
        <v>42985</v>
      </c>
      <c r="F213" s="33">
        <v>50000000</v>
      </c>
      <c r="G213" s="34">
        <f t="shared" si="23"/>
        <v>37547750</v>
      </c>
      <c r="H213" s="33">
        <v>694750</v>
      </c>
      <c r="I213" s="35">
        <f>+F213*1.2%</f>
        <v>600000</v>
      </c>
      <c r="J213" s="29">
        <v>29</v>
      </c>
      <c r="K213" s="29">
        <v>19</v>
      </c>
      <c r="L213" s="36">
        <f t="shared" si="25"/>
        <v>1294750</v>
      </c>
      <c r="M213" s="36">
        <f t="shared" si="26"/>
        <v>24600250</v>
      </c>
      <c r="N213" s="38">
        <f>F213-(H213*10)-5000000-5000000-2500000</f>
        <v>30552500</v>
      </c>
      <c r="O213" s="39" t="s">
        <v>589</v>
      </c>
      <c r="P213" s="107" t="s">
        <v>30</v>
      </c>
      <c r="Q213" s="40">
        <f t="shared" si="27"/>
        <v>30552500</v>
      </c>
      <c r="R213" s="40">
        <f>+'[1]D N 2'!AF235</f>
        <v>30552500</v>
      </c>
      <c r="S213" s="33">
        <f t="shared" si="28"/>
        <v>0</v>
      </c>
    </row>
    <row r="214" spans="1:20">
      <c r="A214" s="29">
        <f t="shared" si="29"/>
        <v>210</v>
      </c>
      <c r="B214" s="30" t="s">
        <v>590</v>
      </c>
      <c r="C214" s="45" t="s">
        <v>591</v>
      </c>
      <c r="D214" s="45" t="s">
        <v>592</v>
      </c>
      <c r="E214" s="32">
        <v>43224</v>
      </c>
      <c r="F214" s="41">
        <f>22489500+562238+130452+450000+200000+51167810</f>
        <v>75000000</v>
      </c>
      <c r="G214" s="34">
        <f t="shared" si="23"/>
        <v>66500000</v>
      </c>
      <c r="H214" s="40">
        <v>1000000</v>
      </c>
      <c r="I214" s="40">
        <f>+F214*1.2%</f>
        <v>900000</v>
      </c>
      <c r="J214" s="29">
        <v>35</v>
      </c>
      <c r="K214" s="29">
        <v>33</v>
      </c>
      <c r="L214" s="36">
        <f t="shared" si="25"/>
        <v>1900000</v>
      </c>
      <c r="M214" s="37">
        <f t="shared" si="26"/>
        <v>62700000</v>
      </c>
      <c r="N214" s="38">
        <f>F214-(H214*2)-5000000</f>
        <v>68000000</v>
      </c>
      <c r="O214" s="39" t="s">
        <v>593</v>
      </c>
      <c r="P214" s="107" t="s">
        <v>64</v>
      </c>
      <c r="Q214" s="40">
        <f t="shared" si="27"/>
        <v>68000000</v>
      </c>
      <c r="R214" s="40">
        <f>+'[1]D N 2'!AF236</f>
        <v>68000000</v>
      </c>
      <c r="S214" s="33">
        <f t="shared" si="28"/>
        <v>0</v>
      </c>
    </row>
    <row r="215" spans="1:20">
      <c r="A215" s="29">
        <f t="shared" si="29"/>
        <v>211</v>
      </c>
      <c r="B215" s="30" t="s">
        <v>594</v>
      </c>
      <c r="C215" s="45" t="s">
        <v>595</v>
      </c>
      <c r="D215" s="45" t="s">
        <v>596</v>
      </c>
      <c r="E215" s="32">
        <v>43236</v>
      </c>
      <c r="F215" s="41">
        <f>1046100+60840000+1547153+766806+381139+200000+35218802</f>
        <v>100000000</v>
      </c>
      <c r="G215" s="34">
        <f t="shared" si="23"/>
        <v>62001600</v>
      </c>
      <c r="H215" s="40">
        <v>1383400</v>
      </c>
      <c r="I215" s="40">
        <f>+F215*1.2%</f>
        <v>1200000</v>
      </c>
      <c r="J215" s="29">
        <v>24</v>
      </c>
      <c r="K215" s="29">
        <v>22</v>
      </c>
      <c r="L215" s="36">
        <f t="shared" si="25"/>
        <v>2583400</v>
      </c>
      <c r="M215" s="37">
        <f t="shared" si="26"/>
        <v>56834800</v>
      </c>
      <c r="N215" s="38">
        <f>F215-(H215*2)</f>
        <v>97233200</v>
      </c>
      <c r="O215" s="39" t="s">
        <v>597</v>
      </c>
      <c r="P215" s="107" t="s">
        <v>64</v>
      </c>
      <c r="Q215" s="40">
        <f t="shared" si="27"/>
        <v>97233200</v>
      </c>
      <c r="R215" s="40">
        <f>+'[1]D N 2'!AF237</f>
        <v>97233200</v>
      </c>
      <c r="S215" s="33">
        <f t="shared" si="28"/>
        <v>0</v>
      </c>
    </row>
    <row r="216" spans="1:20">
      <c r="A216" s="29">
        <f t="shared" si="29"/>
        <v>212</v>
      </c>
      <c r="B216" s="30" t="s">
        <v>598</v>
      </c>
      <c r="C216" s="31" t="s">
        <v>599</v>
      </c>
      <c r="D216" s="31" t="s">
        <v>600</v>
      </c>
      <c r="E216" s="32">
        <v>43140</v>
      </c>
      <c r="F216" s="41">
        <f>48624767+1215619+359287+600000+200000+60000000-55499837</f>
        <v>55499836</v>
      </c>
      <c r="G216" s="34">
        <f t="shared" si="23"/>
        <v>49000000</v>
      </c>
      <c r="H216" s="40">
        <v>734002</v>
      </c>
      <c r="I216" s="40">
        <f>1331996-I217</f>
        <v>665998</v>
      </c>
      <c r="J216" s="29">
        <v>35</v>
      </c>
      <c r="K216" s="29">
        <v>30</v>
      </c>
      <c r="L216" s="36">
        <f t="shared" si="25"/>
        <v>1400000</v>
      </c>
      <c r="M216" s="37">
        <f t="shared" si="26"/>
        <v>42000000</v>
      </c>
      <c r="N216" s="38">
        <f>F216-(H216*5)-7500000</f>
        <v>44329826</v>
      </c>
      <c r="O216" s="39" t="s">
        <v>601</v>
      </c>
      <c r="P216" s="107" t="s">
        <v>602</v>
      </c>
      <c r="Q216" s="40">
        <f t="shared" si="27"/>
        <v>44329826</v>
      </c>
      <c r="R216" s="40">
        <f>+'[1]D N 2'!AF238</f>
        <v>44329826</v>
      </c>
      <c r="S216" s="33">
        <f t="shared" si="28"/>
        <v>0</v>
      </c>
    </row>
    <row r="217" spans="1:20">
      <c r="A217" s="29">
        <f t="shared" si="29"/>
        <v>213</v>
      </c>
      <c r="B217" s="30" t="s">
        <v>598</v>
      </c>
      <c r="C217" s="31" t="s">
        <v>599</v>
      </c>
      <c r="D217" s="31" t="s">
        <v>600</v>
      </c>
      <c r="E217" s="32">
        <v>43140</v>
      </c>
      <c r="F217" s="41">
        <v>55499837</v>
      </c>
      <c r="G217" s="34">
        <f t="shared" si="23"/>
        <v>49000000</v>
      </c>
      <c r="H217" s="40">
        <v>734002</v>
      </c>
      <c r="I217" s="40">
        <v>665998</v>
      </c>
      <c r="J217" s="29">
        <v>35</v>
      </c>
      <c r="K217" s="29">
        <v>30</v>
      </c>
      <c r="L217" s="36">
        <f t="shared" si="25"/>
        <v>1400000</v>
      </c>
      <c r="M217" s="37">
        <f t="shared" si="26"/>
        <v>42000000</v>
      </c>
      <c r="N217" s="38">
        <f>F217-(H217*5)-7500000</f>
        <v>44329827</v>
      </c>
      <c r="O217" s="39" t="s">
        <v>601</v>
      </c>
      <c r="P217" s="107" t="s">
        <v>602</v>
      </c>
      <c r="Q217" s="40">
        <f t="shared" si="27"/>
        <v>44329827</v>
      </c>
      <c r="R217" s="40">
        <f>+'[1]D N 2'!AF239</f>
        <v>44329827</v>
      </c>
      <c r="S217" s="33">
        <f t="shared" si="28"/>
        <v>0</v>
      </c>
    </row>
    <row r="218" spans="1:20">
      <c r="A218" s="29">
        <f t="shared" si="29"/>
        <v>214</v>
      </c>
      <c r="B218" s="30" t="s">
        <v>603</v>
      </c>
      <c r="C218" s="31" t="s">
        <v>604</v>
      </c>
      <c r="D218" s="43" t="s">
        <v>605</v>
      </c>
      <c r="E218" s="32">
        <v>42972</v>
      </c>
      <c r="F218" s="44">
        <f>31082678+777067+500000+200000+50000000</f>
        <v>82559745</v>
      </c>
      <c r="G218" s="34">
        <f t="shared" si="23"/>
        <v>76248000</v>
      </c>
      <c r="H218" s="35">
        <v>1127283</v>
      </c>
      <c r="I218" s="35">
        <v>990717</v>
      </c>
      <c r="J218" s="29">
        <v>36</v>
      </c>
      <c r="K218" s="29">
        <v>26</v>
      </c>
      <c r="L218" s="36">
        <f t="shared" si="25"/>
        <v>2118000</v>
      </c>
      <c r="M218" s="37">
        <f t="shared" si="26"/>
        <v>55068000</v>
      </c>
      <c r="N218" s="38">
        <f>F218-(H218*10)-2000000-10000000-2000000</f>
        <v>57286915</v>
      </c>
      <c r="O218" s="39" t="s">
        <v>184</v>
      </c>
      <c r="P218" s="107" t="s">
        <v>49</v>
      </c>
      <c r="Q218" s="40">
        <f t="shared" si="27"/>
        <v>57286915</v>
      </c>
      <c r="R218" s="40">
        <f>+'[1]D N 2'!AF240</f>
        <v>57286915</v>
      </c>
      <c r="S218" s="33">
        <f t="shared" si="28"/>
        <v>0</v>
      </c>
    </row>
    <row r="219" spans="1:20">
      <c r="A219" s="29">
        <f t="shared" si="29"/>
        <v>215</v>
      </c>
      <c r="B219" s="30" t="s">
        <v>606</v>
      </c>
      <c r="C219" s="31" t="s">
        <v>607</v>
      </c>
      <c r="D219" s="31" t="s">
        <v>608</v>
      </c>
      <c r="E219" s="32">
        <v>43224</v>
      </c>
      <c r="F219" s="41">
        <f>700000+200000+99100000</f>
        <v>100000000</v>
      </c>
      <c r="G219" s="34">
        <f t="shared" si="23"/>
        <v>54000000</v>
      </c>
      <c r="H219" s="40">
        <v>300000</v>
      </c>
      <c r="I219" s="40">
        <f>+F219*1.2%</f>
        <v>1200000</v>
      </c>
      <c r="J219" s="29">
        <v>36</v>
      </c>
      <c r="K219" s="29">
        <f>34</f>
        <v>34</v>
      </c>
      <c r="L219" s="36">
        <f t="shared" si="25"/>
        <v>1500000</v>
      </c>
      <c r="M219" s="37">
        <f t="shared" si="26"/>
        <v>51000000</v>
      </c>
      <c r="N219" s="38">
        <f>F219-(H219*2)-7500000</f>
        <v>91900000</v>
      </c>
      <c r="O219" s="39" t="s">
        <v>609</v>
      </c>
      <c r="P219" s="107" t="s">
        <v>157</v>
      </c>
      <c r="Q219" s="40">
        <f t="shared" si="27"/>
        <v>91900000</v>
      </c>
      <c r="R219" s="40">
        <f>+'[1]D N 2'!AF241</f>
        <v>91900000</v>
      </c>
      <c r="S219" s="33">
        <f t="shared" si="28"/>
        <v>0</v>
      </c>
    </row>
    <row r="220" spans="1:20">
      <c r="A220" s="29">
        <f t="shared" si="29"/>
        <v>216</v>
      </c>
      <c r="B220" s="30" t="s">
        <v>610</v>
      </c>
      <c r="C220" s="31" t="s">
        <v>611</v>
      </c>
      <c r="D220" s="32"/>
      <c r="E220" s="32">
        <v>42647</v>
      </c>
      <c r="F220" s="33">
        <f>10555800+263895+216774+405558+200000+60000000</f>
        <v>71642027</v>
      </c>
      <c r="G220" s="34">
        <f t="shared" si="23"/>
        <v>57505000</v>
      </c>
      <c r="H220" s="33">
        <v>995296</v>
      </c>
      <c r="I220" s="33">
        <v>859704</v>
      </c>
      <c r="J220" s="29">
        <v>31</v>
      </c>
      <c r="K220" s="29">
        <v>10</v>
      </c>
      <c r="L220" s="36">
        <f t="shared" si="25"/>
        <v>1855000</v>
      </c>
      <c r="M220" s="36">
        <f t="shared" si="26"/>
        <v>18550000</v>
      </c>
      <c r="N220" s="38">
        <f>F220-(H220*21)-20000000-20000000</f>
        <v>10740811</v>
      </c>
      <c r="O220" s="39" t="s">
        <v>612</v>
      </c>
      <c r="P220" s="107" t="s">
        <v>78</v>
      </c>
      <c r="Q220" s="40">
        <f t="shared" si="27"/>
        <v>10740811</v>
      </c>
      <c r="R220" s="40">
        <f>+'[1]D N 2'!AF242</f>
        <v>10740811</v>
      </c>
      <c r="S220" s="33">
        <f t="shared" si="28"/>
        <v>0</v>
      </c>
    </row>
    <row r="221" spans="1:20">
      <c r="A221" s="29">
        <f t="shared" si="29"/>
        <v>217</v>
      </c>
      <c r="B221" s="30" t="s">
        <v>613</v>
      </c>
      <c r="C221" s="31" t="s">
        <v>614</v>
      </c>
      <c r="D221" s="43" t="s">
        <v>615</v>
      </c>
      <c r="E221" s="32">
        <v>42930</v>
      </c>
      <c r="F221" s="44">
        <f>48954000+1223850+616452+260460+200000+23745238</f>
        <v>75000000</v>
      </c>
      <c r="G221" s="34">
        <f t="shared" si="23"/>
        <v>69930000</v>
      </c>
      <c r="H221" s="35">
        <v>1042500</v>
      </c>
      <c r="I221" s="35">
        <f>+F221*1.2%</f>
        <v>900000</v>
      </c>
      <c r="J221" s="29">
        <v>36</v>
      </c>
      <c r="K221" s="29">
        <f>24</f>
        <v>24</v>
      </c>
      <c r="L221" s="36">
        <f t="shared" si="25"/>
        <v>1942500</v>
      </c>
      <c r="M221" s="37">
        <f t="shared" si="26"/>
        <v>46620000</v>
      </c>
      <c r="N221" s="38">
        <f>F221-(H221*12)-12500000</f>
        <v>49990000</v>
      </c>
      <c r="O221" s="39" t="s">
        <v>351</v>
      </c>
      <c r="P221" s="107" t="s">
        <v>35</v>
      </c>
      <c r="Q221" s="40">
        <f t="shared" si="27"/>
        <v>49990000</v>
      </c>
      <c r="R221" s="40">
        <f>+'[1]D N 2'!AF243</f>
        <v>49990000</v>
      </c>
      <c r="S221" s="33">
        <f t="shared" si="28"/>
        <v>0</v>
      </c>
    </row>
    <row r="222" spans="1:20">
      <c r="A222" s="29">
        <f t="shared" si="29"/>
        <v>218</v>
      </c>
      <c r="B222" s="30" t="s">
        <v>613</v>
      </c>
      <c r="C222" s="31" t="s">
        <v>614</v>
      </c>
      <c r="D222" s="43" t="s">
        <v>616</v>
      </c>
      <c r="E222" s="32">
        <v>43003</v>
      </c>
      <c r="F222" s="44">
        <f>100000+9900000</f>
        <v>10000000</v>
      </c>
      <c r="G222" s="34">
        <f t="shared" si="23"/>
        <v>14328000</v>
      </c>
      <c r="H222" s="35">
        <v>278000</v>
      </c>
      <c r="I222" s="35">
        <f>+F222*1.2%</f>
        <v>120000</v>
      </c>
      <c r="J222" s="29">
        <v>36</v>
      </c>
      <c r="K222" s="29">
        <f>27</f>
        <v>27</v>
      </c>
      <c r="L222" s="36">
        <f t="shared" si="25"/>
        <v>398000</v>
      </c>
      <c r="M222" s="37">
        <f t="shared" si="26"/>
        <v>10746000</v>
      </c>
      <c r="N222" s="38">
        <f>F222-(H222*9)</f>
        <v>7498000</v>
      </c>
      <c r="O222" s="39" t="s">
        <v>351</v>
      </c>
      <c r="P222" s="107" t="s">
        <v>95</v>
      </c>
      <c r="Q222" s="40">
        <f t="shared" si="27"/>
        <v>7498000</v>
      </c>
      <c r="R222" s="40">
        <f>+'[1]D N 2'!AF244</f>
        <v>7498000</v>
      </c>
      <c r="S222" s="33">
        <f t="shared" si="28"/>
        <v>0</v>
      </c>
    </row>
    <row r="223" spans="1:20">
      <c r="A223" s="29">
        <f t="shared" si="29"/>
        <v>219</v>
      </c>
      <c r="B223" s="30" t="s">
        <v>617</v>
      </c>
      <c r="C223" s="31" t="s">
        <v>618</v>
      </c>
      <c r="D223" s="31" t="s">
        <v>619</v>
      </c>
      <c r="E223" s="32">
        <v>42906</v>
      </c>
      <c r="F223" s="33">
        <f>1163940+68344180+1737703+404919+200000+38149258-55000000</f>
        <v>55000000</v>
      </c>
      <c r="G223" s="34">
        <f t="shared" si="23"/>
        <v>48771000</v>
      </c>
      <c r="H223" s="35">
        <v>694750</v>
      </c>
      <c r="I223" s="35">
        <f>F223*1.2%</f>
        <v>660000</v>
      </c>
      <c r="J223" s="29">
        <v>36</v>
      </c>
      <c r="K223" s="29">
        <v>24</v>
      </c>
      <c r="L223" s="36">
        <f t="shared" si="25"/>
        <v>1354750</v>
      </c>
      <c r="M223" s="37">
        <f t="shared" si="26"/>
        <v>32514000</v>
      </c>
      <c r="N223" s="38">
        <f>F223-(H223*12)-1250000-7500000-1250000</f>
        <v>36663000</v>
      </c>
      <c r="O223" s="39" t="s">
        <v>537</v>
      </c>
      <c r="P223" s="107" t="s">
        <v>78</v>
      </c>
      <c r="Q223" s="40">
        <f t="shared" si="27"/>
        <v>36663000</v>
      </c>
      <c r="R223" s="40">
        <f>+'[1]D N 2'!AF245</f>
        <v>36663000</v>
      </c>
      <c r="S223" s="33">
        <f t="shared" si="28"/>
        <v>0</v>
      </c>
    </row>
    <row r="224" spans="1:20">
      <c r="A224" s="29">
        <f t="shared" si="29"/>
        <v>220</v>
      </c>
      <c r="B224" s="50" t="s">
        <v>617</v>
      </c>
      <c r="C224" s="51" t="s">
        <v>618</v>
      </c>
      <c r="D224" s="51" t="s">
        <v>619</v>
      </c>
      <c r="E224" s="52">
        <v>42906</v>
      </c>
      <c r="F224" s="55">
        <v>55000000</v>
      </c>
      <c r="G224" s="88">
        <f t="shared" si="23"/>
        <v>48771000</v>
      </c>
      <c r="H224" s="55">
        <v>694750</v>
      </c>
      <c r="I224" s="96">
        <f>F224*1.2%</f>
        <v>660000</v>
      </c>
      <c r="J224" s="56">
        <v>36</v>
      </c>
      <c r="K224" s="56">
        <f>24+1</f>
        <v>25</v>
      </c>
      <c r="L224" s="36">
        <f t="shared" si="25"/>
        <v>1354750</v>
      </c>
      <c r="M224" s="37">
        <f t="shared" si="26"/>
        <v>33868750</v>
      </c>
      <c r="N224" s="38">
        <f>F224-(H224*11)-1250000-3750000-3571863-178137-1250000</f>
        <v>37357750</v>
      </c>
      <c r="O224" s="39" t="s">
        <v>537</v>
      </c>
      <c r="P224" s="107" t="s">
        <v>78</v>
      </c>
      <c r="Q224" s="40">
        <f t="shared" si="27"/>
        <v>37357750</v>
      </c>
      <c r="R224" s="40">
        <f>+'[1]D N 2'!AF246</f>
        <v>37357750</v>
      </c>
      <c r="S224" s="33">
        <f t="shared" si="28"/>
        <v>0</v>
      </c>
    </row>
    <row r="225" spans="1:19">
      <c r="A225" s="29">
        <f t="shared" si="29"/>
        <v>221</v>
      </c>
      <c r="B225" s="30" t="s">
        <v>620</v>
      </c>
      <c r="C225" s="31" t="s">
        <v>621</v>
      </c>
      <c r="D225" s="31" t="s">
        <v>622</v>
      </c>
      <c r="E225" s="32">
        <v>43130</v>
      </c>
      <c r="F225" s="41">
        <f>25000+2475000</f>
        <v>2500000</v>
      </c>
      <c r="G225" s="34">
        <f t="shared" si="23"/>
        <v>2868000</v>
      </c>
      <c r="H225" s="40">
        <f>239000-I225</f>
        <v>209000</v>
      </c>
      <c r="I225" s="40">
        <f>+F225*1.2%</f>
        <v>30000</v>
      </c>
      <c r="J225" s="29">
        <v>12</v>
      </c>
      <c r="K225" s="29">
        <v>7</v>
      </c>
      <c r="L225" s="36">
        <f t="shared" si="25"/>
        <v>239000</v>
      </c>
      <c r="M225" s="37">
        <f t="shared" si="26"/>
        <v>1673000</v>
      </c>
      <c r="N225" s="38">
        <f>F225-(H225*5)</f>
        <v>1455000</v>
      </c>
      <c r="O225" s="39" t="s">
        <v>623</v>
      </c>
      <c r="P225" s="107" t="s">
        <v>245</v>
      </c>
      <c r="Q225" s="40">
        <f t="shared" si="27"/>
        <v>1455000</v>
      </c>
      <c r="R225" s="40">
        <f>+'[1]D N 2'!AF247</f>
        <v>1455000</v>
      </c>
      <c r="S225" s="33">
        <f t="shared" si="28"/>
        <v>0</v>
      </c>
    </row>
    <row r="226" spans="1:19">
      <c r="A226" s="29">
        <f t="shared" si="29"/>
        <v>222</v>
      </c>
      <c r="B226" s="30" t="s">
        <v>620</v>
      </c>
      <c r="C226" s="31" t="s">
        <v>621</v>
      </c>
      <c r="D226" s="43" t="s">
        <v>624</v>
      </c>
      <c r="E226" s="32">
        <v>42867</v>
      </c>
      <c r="F226" s="44">
        <f>31082500+777063+410323+389175+200000+37140939-35000000</f>
        <v>35000000</v>
      </c>
      <c r="G226" s="34">
        <f t="shared" si="23"/>
        <v>32400000</v>
      </c>
      <c r="H226" s="35">
        <v>480000</v>
      </c>
      <c r="I226" s="33">
        <f>+F226*1.2%</f>
        <v>420000</v>
      </c>
      <c r="J226" s="29">
        <v>36</v>
      </c>
      <c r="K226" s="29">
        <v>22</v>
      </c>
      <c r="L226" s="36">
        <f t="shared" si="25"/>
        <v>900000</v>
      </c>
      <c r="M226" s="37">
        <f t="shared" si="26"/>
        <v>19800000</v>
      </c>
      <c r="N226" s="38">
        <f>F226-(H226*14)-750000-750000-4500000-750000</f>
        <v>21530000</v>
      </c>
      <c r="O226" s="39" t="s">
        <v>57</v>
      </c>
      <c r="P226" s="107" t="s">
        <v>78</v>
      </c>
      <c r="Q226" s="40">
        <f t="shared" si="27"/>
        <v>21530000</v>
      </c>
      <c r="R226" s="40">
        <f>+'[1]D N 2'!AF248</f>
        <v>21530000</v>
      </c>
      <c r="S226" s="33">
        <f t="shared" si="28"/>
        <v>0</v>
      </c>
    </row>
    <row r="227" spans="1:19">
      <c r="A227" s="29">
        <f t="shared" si="29"/>
        <v>223</v>
      </c>
      <c r="B227" s="30" t="s">
        <v>620</v>
      </c>
      <c r="C227" s="31" t="s">
        <v>621</v>
      </c>
      <c r="D227" s="43" t="s">
        <v>624</v>
      </c>
      <c r="E227" s="32">
        <v>42867</v>
      </c>
      <c r="F227" s="44">
        <v>35000000</v>
      </c>
      <c r="G227" s="34">
        <f t="shared" si="23"/>
        <v>32400000</v>
      </c>
      <c r="H227" s="44">
        <v>480000</v>
      </c>
      <c r="I227" s="33">
        <f>+F227*1.2%</f>
        <v>420000</v>
      </c>
      <c r="J227" s="29">
        <v>36</v>
      </c>
      <c r="K227" s="29">
        <f>22</f>
        <v>22</v>
      </c>
      <c r="L227" s="36">
        <f t="shared" si="25"/>
        <v>900000</v>
      </c>
      <c r="M227" s="37">
        <f t="shared" si="26"/>
        <v>19800000</v>
      </c>
      <c r="N227" s="38">
        <f>F227-(H227*14)-750000-750000-4500000-750000</f>
        <v>21530000</v>
      </c>
      <c r="O227" s="39" t="s">
        <v>57</v>
      </c>
      <c r="P227" s="107" t="s">
        <v>78</v>
      </c>
      <c r="Q227" s="40">
        <f t="shared" si="27"/>
        <v>21530000</v>
      </c>
      <c r="R227" s="40">
        <f>+'[1]D N 2'!AF249</f>
        <v>21530000</v>
      </c>
      <c r="S227" s="33">
        <f t="shared" si="28"/>
        <v>0</v>
      </c>
    </row>
    <row r="228" spans="1:19">
      <c r="A228" s="29">
        <f t="shared" si="29"/>
        <v>224</v>
      </c>
      <c r="B228" s="30" t="s">
        <v>625</v>
      </c>
      <c r="C228" s="31" t="s">
        <v>626</v>
      </c>
      <c r="D228" s="31" t="s">
        <v>627</v>
      </c>
      <c r="E228" s="32">
        <v>43111</v>
      </c>
      <c r="F228" s="41">
        <f>43719000+1092975+445161+170000+200000+17000000-31313568</f>
        <v>31313568</v>
      </c>
      <c r="G228" s="34">
        <f t="shared" si="23"/>
        <v>27000000</v>
      </c>
      <c r="H228" s="40">
        <v>374237</v>
      </c>
      <c r="I228" s="40">
        <v>375763</v>
      </c>
      <c r="J228" s="29">
        <v>36</v>
      </c>
      <c r="K228" s="29">
        <v>30</v>
      </c>
      <c r="L228" s="36">
        <f t="shared" si="25"/>
        <v>750000</v>
      </c>
      <c r="M228" s="37">
        <f t="shared" si="26"/>
        <v>22500000</v>
      </c>
      <c r="N228" s="38">
        <f>F228-(H228*6)-2500000-1000000</f>
        <v>25568146</v>
      </c>
      <c r="O228" s="39" t="s">
        <v>628</v>
      </c>
      <c r="P228" s="107" t="s">
        <v>49</v>
      </c>
      <c r="Q228" s="40">
        <f t="shared" si="27"/>
        <v>25568146</v>
      </c>
      <c r="R228" s="40">
        <f>+'[1]D N 2'!AF250</f>
        <v>25568146</v>
      </c>
      <c r="S228" s="33">
        <f t="shared" si="28"/>
        <v>0</v>
      </c>
    </row>
    <row r="229" spans="1:19">
      <c r="A229" s="29">
        <f t="shared" si="29"/>
        <v>225</v>
      </c>
      <c r="B229" s="30" t="s">
        <v>625</v>
      </c>
      <c r="C229" s="31" t="s">
        <v>626</v>
      </c>
      <c r="D229" s="31" t="s">
        <v>627</v>
      </c>
      <c r="E229" s="32">
        <v>43111</v>
      </c>
      <c r="F229" s="41">
        <v>31313568</v>
      </c>
      <c r="G229" s="34">
        <f t="shared" si="23"/>
        <v>27000000</v>
      </c>
      <c r="H229" s="41">
        <v>374237</v>
      </c>
      <c r="I229" s="41">
        <v>375763</v>
      </c>
      <c r="J229" s="29">
        <v>36</v>
      </c>
      <c r="K229" s="29">
        <f>30</f>
        <v>30</v>
      </c>
      <c r="L229" s="36">
        <f t="shared" si="25"/>
        <v>750000</v>
      </c>
      <c r="M229" s="37">
        <f t="shared" si="26"/>
        <v>22500000</v>
      </c>
      <c r="N229" s="38">
        <f>F229-(H229*6)-2500000-1000000</f>
        <v>25568146</v>
      </c>
      <c r="O229" s="39" t="s">
        <v>628</v>
      </c>
      <c r="P229" s="107" t="s">
        <v>49</v>
      </c>
      <c r="Q229" s="40">
        <f t="shared" si="27"/>
        <v>25568146</v>
      </c>
      <c r="R229" s="40">
        <f>+'[1]D N 2'!AF251</f>
        <v>25568146</v>
      </c>
      <c r="S229" s="33">
        <f t="shared" si="28"/>
        <v>0</v>
      </c>
    </row>
    <row r="230" spans="1:19">
      <c r="A230" s="29">
        <f t="shared" si="29"/>
        <v>226</v>
      </c>
      <c r="B230" s="30" t="s">
        <v>629</v>
      </c>
      <c r="C230" s="31" t="s">
        <v>630</v>
      </c>
      <c r="D230" s="43" t="s">
        <v>631</v>
      </c>
      <c r="E230" s="32">
        <v>42802</v>
      </c>
      <c r="F230" s="33">
        <f>6000000</f>
        <v>6000000</v>
      </c>
      <c r="G230" s="34">
        <f t="shared" si="23"/>
        <v>6000000</v>
      </c>
      <c r="H230" s="33">
        <f>+F230/J230</f>
        <v>250000</v>
      </c>
      <c r="I230" s="33">
        <v>0</v>
      </c>
      <c r="J230" s="29">
        <v>24</v>
      </c>
      <c r="K230" s="29">
        <v>8</v>
      </c>
      <c r="L230" s="36">
        <f t="shared" si="25"/>
        <v>250000</v>
      </c>
      <c r="M230" s="36">
        <f t="shared" si="26"/>
        <v>2000000</v>
      </c>
      <c r="N230" s="34">
        <f>+H230*K230</f>
        <v>2000000</v>
      </c>
      <c r="O230" s="39" t="s">
        <v>632</v>
      </c>
      <c r="P230" s="107" t="s">
        <v>633</v>
      </c>
      <c r="Q230" s="40">
        <f t="shared" si="27"/>
        <v>2000000</v>
      </c>
      <c r="R230" s="40">
        <f>+'[1]D N 2'!AF252</f>
        <v>2000000</v>
      </c>
      <c r="S230" s="33">
        <f t="shared" si="28"/>
        <v>0</v>
      </c>
    </row>
    <row r="231" spans="1:19">
      <c r="A231" s="29">
        <f t="shared" si="29"/>
        <v>227</v>
      </c>
      <c r="B231" s="30" t="s">
        <v>634</v>
      </c>
      <c r="C231" s="45" t="s">
        <v>635</v>
      </c>
      <c r="D231" s="45" t="s">
        <v>636</v>
      </c>
      <c r="E231" s="43">
        <v>43228</v>
      </c>
      <c r="F231" s="41">
        <f>22489500+562238+211742+500000+200000+50000000</f>
        <v>73963480</v>
      </c>
      <c r="G231" s="34">
        <f t="shared" si="23"/>
        <v>22872000</v>
      </c>
      <c r="H231" s="40">
        <f>1906000-I231</f>
        <v>1018438</v>
      </c>
      <c r="I231" s="40">
        <v>887562</v>
      </c>
      <c r="J231" s="29">
        <v>12</v>
      </c>
      <c r="K231" s="29">
        <v>10</v>
      </c>
      <c r="L231" s="36">
        <f t="shared" si="25"/>
        <v>1906000</v>
      </c>
      <c r="M231" s="37">
        <f t="shared" si="26"/>
        <v>19060000</v>
      </c>
      <c r="N231" s="38">
        <f>F231-(H231*2)-10000000</f>
        <v>61926604</v>
      </c>
      <c r="O231" s="46" t="s">
        <v>637</v>
      </c>
      <c r="P231" s="107" t="s">
        <v>64</v>
      </c>
      <c r="Q231" s="40">
        <f t="shared" si="27"/>
        <v>61926604</v>
      </c>
      <c r="R231" s="40">
        <f>+'[1]D N 2'!AF253</f>
        <v>61926604</v>
      </c>
      <c r="S231" s="33">
        <f t="shared" si="28"/>
        <v>0</v>
      </c>
    </row>
    <row r="232" spans="1:19">
      <c r="A232" s="29">
        <f t="shared" si="29"/>
        <v>228</v>
      </c>
      <c r="B232" s="30" t="s">
        <v>638</v>
      </c>
      <c r="C232" s="31" t="s">
        <v>639</v>
      </c>
      <c r="D232" s="31" t="s">
        <v>640</v>
      </c>
      <c r="E232" s="32">
        <v>43097</v>
      </c>
      <c r="F232" s="41">
        <f>870890+200000+117089000</f>
        <v>118159890</v>
      </c>
      <c r="G232" s="34">
        <f t="shared" ref="G232:G295" si="30">+J232*L232</f>
        <v>45000000</v>
      </c>
      <c r="H232" s="40">
        <f>1500000-I232</f>
        <v>909201</v>
      </c>
      <c r="I232" s="40">
        <v>590799</v>
      </c>
      <c r="J232" s="29">
        <v>30</v>
      </c>
      <c r="K232" s="29">
        <v>24</v>
      </c>
      <c r="L232" s="36">
        <f t="shared" si="25"/>
        <v>1500000</v>
      </c>
      <c r="M232" s="37">
        <f t="shared" si="26"/>
        <v>36000000</v>
      </c>
      <c r="N232" s="38">
        <f>F232-(H232*6)-25000000-10000000</f>
        <v>77704684</v>
      </c>
      <c r="O232" s="39" t="s">
        <v>641</v>
      </c>
      <c r="P232" s="107" t="s">
        <v>157</v>
      </c>
      <c r="Q232" s="40">
        <f t="shared" si="27"/>
        <v>77704684</v>
      </c>
      <c r="R232" s="40">
        <f>+'[1]D N 2'!AF254</f>
        <v>77704684</v>
      </c>
      <c r="S232" s="33">
        <f t="shared" si="28"/>
        <v>0</v>
      </c>
    </row>
    <row r="233" spans="1:19">
      <c r="A233" s="29">
        <f t="shared" si="29"/>
        <v>229</v>
      </c>
      <c r="B233" s="30" t="s">
        <v>642</v>
      </c>
      <c r="C233" s="31" t="s">
        <v>643</v>
      </c>
      <c r="D233" s="31" t="s">
        <v>644</v>
      </c>
      <c r="E233" s="32">
        <v>42941</v>
      </c>
      <c r="F233" s="41">
        <f>69400000+1735000+250000+200000+25000000-48292500</f>
        <v>48292500</v>
      </c>
      <c r="G233" s="34">
        <f t="shared" si="30"/>
        <v>31680000</v>
      </c>
      <c r="H233" s="40">
        <v>380490</v>
      </c>
      <c r="I233" s="40">
        <f>+F233*1.2%</f>
        <v>579510</v>
      </c>
      <c r="J233" s="29">
        <v>33</v>
      </c>
      <c r="K233" s="29">
        <v>22</v>
      </c>
      <c r="L233" s="36">
        <f t="shared" si="25"/>
        <v>960000</v>
      </c>
      <c r="M233" s="37">
        <f t="shared" si="26"/>
        <v>21120000</v>
      </c>
      <c r="N233" s="38">
        <f>F233-(H233*11)-1000000-10000000-1500000</f>
        <v>31607110</v>
      </c>
      <c r="O233" s="42" t="s">
        <v>148</v>
      </c>
      <c r="P233" s="107" t="s">
        <v>49</v>
      </c>
      <c r="Q233" s="40">
        <f t="shared" si="27"/>
        <v>31607110</v>
      </c>
      <c r="R233" s="40">
        <f>+'[1]D N 2'!AF255</f>
        <v>31607110</v>
      </c>
      <c r="S233" s="33">
        <f t="shared" si="28"/>
        <v>0</v>
      </c>
    </row>
    <row r="234" spans="1:19">
      <c r="A234" s="29">
        <f t="shared" si="29"/>
        <v>230</v>
      </c>
      <c r="B234" s="30" t="s">
        <v>642</v>
      </c>
      <c r="C234" s="31" t="s">
        <v>643</v>
      </c>
      <c r="D234" s="31" t="s">
        <v>644</v>
      </c>
      <c r="E234" s="32">
        <v>42941</v>
      </c>
      <c r="F234" s="41">
        <v>48292500</v>
      </c>
      <c r="G234" s="34">
        <f t="shared" si="30"/>
        <v>31680000</v>
      </c>
      <c r="H234" s="41">
        <v>380490</v>
      </c>
      <c r="I234" s="40">
        <f>+F234*1.2%</f>
        <v>579510</v>
      </c>
      <c r="J234" s="29">
        <v>33</v>
      </c>
      <c r="K234" s="29">
        <f>22</f>
        <v>22</v>
      </c>
      <c r="L234" s="36">
        <f t="shared" si="25"/>
        <v>960000</v>
      </c>
      <c r="M234" s="37">
        <f t="shared" si="26"/>
        <v>21120000</v>
      </c>
      <c r="N234" s="38">
        <f>F234-(H234*11)-1000000-10000000-1500000</f>
        <v>31607110</v>
      </c>
      <c r="O234" s="42" t="s">
        <v>148</v>
      </c>
      <c r="P234" s="107" t="s">
        <v>49</v>
      </c>
      <c r="Q234" s="40">
        <f t="shared" si="27"/>
        <v>31607110</v>
      </c>
      <c r="R234" s="40">
        <f>+'[1]D N 2'!AF256</f>
        <v>31607110</v>
      </c>
      <c r="S234" s="33">
        <f t="shared" si="28"/>
        <v>0</v>
      </c>
    </row>
    <row r="235" spans="1:19">
      <c r="A235" s="29">
        <f t="shared" si="29"/>
        <v>231</v>
      </c>
      <c r="B235" s="30" t="s">
        <v>645</v>
      </c>
      <c r="C235" s="31" t="s">
        <v>646</v>
      </c>
      <c r="D235" s="43" t="s">
        <v>647</v>
      </c>
      <c r="E235" s="32">
        <v>42768</v>
      </c>
      <c r="F235" s="33">
        <f>50000+4950000</f>
        <v>5000000</v>
      </c>
      <c r="G235" s="34">
        <f t="shared" si="30"/>
        <v>5004000</v>
      </c>
      <c r="H235" s="33">
        <f>139000</f>
        <v>139000</v>
      </c>
      <c r="I235" s="62">
        <v>0</v>
      </c>
      <c r="J235" s="29">
        <v>36</v>
      </c>
      <c r="K235" s="29">
        <v>19</v>
      </c>
      <c r="L235" s="36">
        <f t="shared" si="25"/>
        <v>139000</v>
      </c>
      <c r="M235" s="36">
        <f t="shared" si="26"/>
        <v>2641000</v>
      </c>
      <c r="N235" s="38">
        <f>F235-(H235*17)</f>
        <v>2637000</v>
      </c>
      <c r="O235" s="39" t="s">
        <v>371</v>
      </c>
      <c r="P235" s="107" t="s">
        <v>113</v>
      </c>
      <c r="Q235" s="40">
        <f t="shared" si="27"/>
        <v>2637000</v>
      </c>
      <c r="R235" s="40">
        <f>+'[1]D N 2'!AF257</f>
        <v>2637000</v>
      </c>
      <c r="S235" s="33">
        <f t="shared" si="28"/>
        <v>0</v>
      </c>
    </row>
    <row r="236" spans="1:19">
      <c r="A236" s="29">
        <f t="shared" si="29"/>
        <v>232</v>
      </c>
      <c r="B236" s="30" t="s">
        <v>645</v>
      </c>
      <c r="C236" s="31" t="s">
        <v>646</v>
      </c>
      <c r="D236" s="31" t="s">
        <v>648</v>
      </c>
      <c r="E236" s="32">
        <v>42787</v>
      </c>
      <c r="F236" s="44">
        <f>2000000</f>
        <v>2000000</v>
      </c>
      <c r="G236" s="34">
        <f t="shared" si="30"/>
        <v>2016000</v>
      </c>
      <c r="H236" s="44">
        <v>56000</v>
      </c>
      <c r="I236" s="109">
        <v>0</v>
      </c>
      <c r="J236" s="29">
        <v>36</v>
      </c>
      <c r="K236" s="29">
        <v>20</v>
      </c>
      <c r="L236" s="36">
        <f t="shared" si="25"/>
        <v>56000</v>
      </c>
      <c r="M236" s="36">
        <f t="shared" si="26"/>
        <v>1120000</v>
      </c>
      <c r="N236" s="38">
        <f>F236-(H236*16)</f>
        <v>1104000</v>
      </c>
      <c r="O236" s="39" t="s">
        <v>184</v>
      </c>
      <c r="P236" s="107" t="s">
        <v>113</v>
      </c>
      <c r="Q236" s="40">
        <f t="shared" si="27"/>
        <v>1104000</v>
      </c>
      <c r="R236" s="40">
        <f>+'[1]D N 2'!AF258</f>
        <v>1104000</v>
      </c>
      <c r="S236" s="33">
        <f t="shared" si="28"/>
        <v>0</v>
      </c>
    </row>
    <row r="237" spans="1:19">
      <c r="A237" s="29">
        <f t="shared" si="29"/>
        <v>233</v>
      </c>
      <c r="B237" s="30" t="s">
        <v>649</v>
      </c>
      <c r="C237" s="45" t="s">
        <v>650</v>
      </c>
      <c r="D237" s="45" t="s">
        <v>651</v>
      </c>
      <c r="E237" s="32">
        <v>43236</v>
      </c>
      <c r="F237" s="41">
        <f>56240000+1406000+764452+337600+200000+31051948</f>
        <v>90000000</v>
      </c>
      <c r="G237" s="34">
        <f t="shared" si="30"/>
        <v>54000000</v>
      </c>
      <c r="H237" s="40">
        <v>420000</v>
      </c>
      <c r="I237" s="40">
        <f t="shared" ref="I237:I244" si="31">+F237*1.2%</f>
        <v>1080000</v>
      </c>
      <c r="J237" s="29">
        <v>36</v>
      </c>
      <c r="K237" s="29">
        <v>34</v>
      </c>
      <c r="L237" s="36">
        <f t="shared" si="25"/>
        <v>1500000</v>
      </c>
      <c r="M237" s="37">
        <f t="shared" si="26"/>
        <v>51000000</v>
      </c>
      <c r="N237" s="38">
        <f>F237-(H237*2)-1500000</f>
        <v>87660000</v>
      </c>
      <c r="O237" s="39" t="s">
        <v>652</v>
      </c>
      <c r="P237" s="107" t="s">
        <v>64</v>
      </c>
      <c r="Q237" s="40">
        <f t="shared" si="27"/>
        <v>87660000</v>
      </c>
      <c r="R237" s="40">
        <f>+'[1]D N 2'!AF259</f>
        <v>87660000</v>
      </c>
      <c r="S237" s="33">
        <f t="shared" si="28"/>
        <v>0</v>
      </c>
    </row>
    <row r="238" spans="1:19">
      <c r="A238" s="29">
        <f t="shared" si="29"/>
        <v>234</v>
      </c>
      <c r="B238" s="30" t="s">
        <v>653</v>
      </c>
      <c r="C238" s="45" t="s">
        <v>654</v>
      </c>
      <c r="D238" s="45" t="s">
        <v>655</v>
      </c>
      <c r="E238" s="32">
        <v>43251</v>
      </c>
      <c r="F238" s="41">
        <f>30000+2970000</f>
        <v>3000000</v>
      </c>
      <c r="G238" s="34">
        <f t="shared" si="30"/>
        <v>3360000</v>
      </c>
      <c r="H238" s="40">
        <f>F238/J238</f>
        <v>300000</v>
      </c>
      <c r="I238" s="40">
        <f t="shared" si="31"/>
        <v>36000</v>
      </c>
      <c r="J238" s="29">
        <v>10</v>
      </c>
      <c r="K238" s="29">
        <v>9</v>
      </c>
      <c r="L238" s="36">
        <f t="shared" si="25"/>
        <v>336000</v>
      </c>
      <c r="M238" s="37">
        <f t="shared" si="26"/>
        <v>3024000</v>
      </c>
      <c r="N238" s="34">
        <f>+H238*K238</f>
        <v>2700000</v>
      </c>
      <c r="O238" s="39" t="s">
        <v>156</v>
      </c>
      <c r="P238" s="107" t="s">
        <v>123</v>
      </c>
      <c r="Q238" s="40">
        <f t="shared" si="27"/>
        <v>2700000</v>
      </c>
      <c r="R238" s="40">
        <f>+'[1]D N 2'!AF260</f>
        <v>2700000</v>
      </c>
      <c r="S238" s="33">
        <f t="shared" si="28"/>
        <v>0</v>
      </c>
    </row>
    <row r="239" spans="1:19">
      <c r="A239" s="29">
        <f t="shared" si="29"/>
        <v>235</v>
      </c>
      <c r="B239" s="30" t="s">
        <v>653</v>
      </c>
      <c r="C239" s="31" t="s">
        <v>654</v>
      </c>
      <c r="D239" s="32"/>
      <c r="E239" s="32">
        <v>42506</v>
      </c>
      <c r="F239" s="44">
        <f>28712759+717819+876542+1700000+200000+157792880+10000000-F240</f>
        <v>100000000</v>
      </c>
      <c r="G239" s="34">
        <f t="shared" si="30"/>
        <v>120000000</v>
      </c>
      <c r="H239" s="35">
        <v>800000</v>
      </c>
      <c r="I239" s="34">
        <f t="shared" si="31"/>
        <v>1200000</v>
      </c>
      <c r="J239" s="29">
        <v>60</v>
      </c>
      <c r="K239" s="29">
        <v>34</v>
      </c>
      <c r="L239" s="33">
        <f t="shared" si="25"/>
        <v>2000000</v>
      </c>
      <c r="M239" s="33">
        <f t="shared" si="26"/>
        <v>68000000</v>
      </c>
      <c r="N239" s="67">
        <f>F239-(H239*26)-3000000-3000000-4500000-3000000-3000000-4500000-3000000</f>
        <v>55200000</v>
      </c>
      <c r="O239" s="39" t="s">
        <v>656</v>
      </c>
      <c r="P239" s="107" t="s">
        <v>69</v>
      </c>
      <c r="Q239" s="40">
        <f t="shared" si="27"/>
        <v>55200000</v>
      </c>
      <c r="R239" s="40">
        <f>+'[1]D N 2'!AF261</f>
        <v>55200000</v>
      </c>
      <c r="S239" s="33">
        <f t="shared" si="28"/>
        <v>0</v>
      </c>
    </row>
    <row r="240" spans="1:19">
      <c r="A240" s="29">
        <f t="shared" si="29"/>
        <v>236</v>
      </c>
      <c r="B240" s="30" t="s">
        <v>653</v>
      </c>
      <c r="C240" s="31" t="s">
        <v>654</v>
      </c>
      <c r="D240" s="32"/>
      <c r="E240" s="32">
        <v>42506</v>
      </c>
      <c r="F240" s="44">
        <v>100000000</v>
      </c>
      <c r="G240" s="34">
        <f t="shared" si="30"/>
        <v>120000000</v>
      </c>
      <c r="H240" s="35">
        <v>800000</v>
      </c>
      <c r="I240" s="34">
        <f t="shared" si="31"/>
        <v>1200000</v>
      </c>
      <c r="J240" s="29">
        <v>60</v>
      </c>
      <c r="K240" s="29">
        <f>34</f>
        <v>34</v>
      </c>
      <c r="L240" s="33">
        <f t="shared" si="25"/>
        <v>2000000</v>
      </c>
      <c r="M240" s="33">
        <f t="shared" si="26"/>
        <v>68000000</v>
      </c>
      <c r="N240" s="67">
        <f>F240-(H240*26)-3000000-3000000-4500000-3000000-3000000-4500000-3000000</f>
        <v>55200000</v>
      </c>
      <c r="O240" s="39" t="s">
        <v>656</v>
      </c>
      <c r="P240" s="107" t="s">
        <v>69</v>
      </c>
      <c r="Q240" s="40">
        <f t="shared" si="27"/>
        <v>55200000</v>
      </c>
      <c r="R240" s="40">
        <f>+'[1]D N 2'!AF262</f>
        <v>55200000</v>
      </c>
      <c r="S240" s="33">
        <f t="shared" si="28"/>
        <v>0</v>
      </c>
    </row>
    <row r="241" spans="1:19">
      <c r="A241" s="29">
        <f t="shared" si="29"/>
        <v>237</v>
      </c>
      <c r="B241" s="30" t="s">
        <v>657</v>
      </c>
      <c r="C241" s="31" t="s">
        <v>658</v>
      </c>
      <c r="D241" s="31" t="s">
        <v>659</v>
      </c>
      <c r="E241" s="32">
        <v>42942</v>
      </c>
      <c r="F241" s="41">
        <f>72493221+1812331+275068+200000+25219380-50000000</f>
        <v>50000000</v>
      </c>
      <c r="G241" s="34">
        <f t="shared" si="30"/>
        <v>39000000</v>
      </c>
      <c r="H241" s="40">
        <v>900000</v>
      </c>
      <c r="I241" s="40">
        <f t="shared" si="31"/>
        <v>600000</v>
      </c>
      <c r="J241" s="29">
        <v>26</v>
      </c>
      <c r="K241" s="29">
        <v>15</v>
      </c>
      <c r="L241" s="36">
        <f t="shared" si="25"/>
        <v>1500000</v>
      </c>
      <c r="M241" s="37">
        <f t="shared" si="26"/>
        <v>22500000</v>
      </c>
      <c r="N241" s="38">
        <f>F241-(H241*11)-3000000-7500000-3000000</f>
        <v>26600000</v>
      </c>
      <c r="O241" s="42" t="s">
        <v>389</v>
      </c>
      <c r="P241" s="107" t="s">
        <v>49</v>
      </c>
      <c r="Q241" s="40">
        <f t="shared" si="27"/>
        <v>26600000</v>
      </c>
      <c r="R241" s="40">
        <f>+'[1]D N 2'!AF263</f>
        <v>26600000</v>
      </c>
      <c r="S241" s="33">
        <f t="shared" si="28"/>
        <v>0</v>
      </c>
    </row>
    <row r="242" spans="1:19">
      <c r="A242" s="29">
        <f t="shared" si="29"/>
        <v>238</v>
      </c>
      <c r="B242" s="30" t="s">
        <v>657</v>
      </c>
      <c r="C242" s="31" t="s">
        <v>658</v>
      </c>
      <c r="D242" s="31" t="s">
        <v>659</v>
      </c>
      <c r="E242" s="32">
        <v>42942</v>
      </c>
      <c r="F242" s="41">
        <v>50000000</v>
      </c>
      <c r="G242" s="34">
        <f t="shared" si="30"/>
        <v>39000000</v>
      </c>
      <c r="H242" s="40">
        <v>900000</v>
      </c>
      <c r="I242" s="40">
        <f t="shared" si="31"/>
        <v>600000</v>
      </c>
      <c r="J242" s="29">
        <v>26</v>
      </c>
      <c r="K242" s="29">
        <v>15</v>
      </c>
      <c r="L242" s="36">
        <f t="shared" si="25"/>
        <v>1500000</v>
      </c>
      <c r="M242" s="37">
        <f t="shared" si="26"/>
        <v>22500000</v>
      </c>
      <c r="N242" s="38">
        <f>F242-(H242*11)-3000000-7500000-3000000</f>
        <v>26600000</v>
      </c>
      <c r="O242" s="42" t="s">
        <v>389</v>
      </c>
      <c r="P242" s="107" t="s">
        <v>49</v>
      </c>
      <c r="Q242" s="40">
        <f t="shared" si="27"/>
        <v>26600000</v>
      </c>
      <c r="R242" s="40">
        <f>+'[1]D N 2'!AF264</f>
        <v>26600000</v>
      </c>
      <c r="S242" s="33">
        <f t="shared" si="28"/>
        <v>0</v>
      </c>
    </row>
    <row r="243" spans="1:19">
      <c r="A243" s="29">
        <f t="shared" si="29"/>
        <v>239</v>
      </c>
      <c r="B243" s="30" t="s">
        <v>660</v>
      </c>
      <c r="C243" s="31" t="s">
        <v>661</v>
      </c>
      <c r="D243" s="31" t="s">
        <v>662</v>
      </c>
      <c r="E243" s="32">
        <v>42976</v>
      </c>
      <c r="F243" s="41">
        <f>20000000+500000+300000+200000+39000000</f>
        <v>60000000</v>
      </c>
      <c r="G243" s="34">
        <f t="shared" si="30"/>
        <v>52500000</v>
      </c>
      <c r="H243" s="35">
        <v>780000</v>
      </c>
      <c r="I243" s="35">
        <f t="shared" si="31"/>
        <v>720000</v>
      </c>
      <c r="J243" s="29">
        <v>35</v>
      </c>
      <c r="K243" s="29">
        <v>25</v>
      </c>
      <c r="L243" s="36">
        <f t="shared" si="25"/>
        <v>1500000</v>
      </c>
      <c r="M243" s="37">
        <f t="shared" si="26"/>
        <v>37500000</v>
      </c>
      <c r="N243" s="38">
        <f>F243-(H243*10)-11000000</f>
        <v>41200000</v>
      </c>
      <c r="O243" s="42" t="s">
        <v>663</v>
      </c>
      <c r="P243" s="107" t="s">
        <v>49</v>
      </c>
      <c r="Q243" s="40">
        <f t="shared" si="27"/>
        <v>41200000</v>
      </c>
      <c r="R243" s="40">
        <f>+'[1]D N 2'!AF265</f>
        <v>41200000</v>
      </c>
      <c r="S243" s="33">
        <f t="shared" si="28"/>
        <v>0</v>
      </c>
    </row>
    <row r="244" spans="1:19">
      <c r="A244" s="29">
        <f t="shared" si="29"/>
        <v>240</v>
      </c>
      <c r="B244" s="30" t="s">
        <v>664</v>
      </c>
      <c r="C244" s="31" t="s">
        <v>665</v>
      </c>
      <c r="D244" s="31" t="s">
        <v>666</v>
      </c>
      <c r="E244" s="32">
        <v>43087</v>
      </c>
      <c r="F244" s="41">
        <f>5831400+145785+1700000+200000+192122815</f>
        <v>200000000</v>
      </c>
      <c r="G244" s="34">
        <f t="shared" si="30"/>
        <v>144956000</v>
      </c>
      <c r="H244" s="40">
        <v>2777000</v>
      </c>
      <c r="I244" s="40">
        <f t="shared" si="31"/>
        <v>2400000</v>
      </c>
      <c r="J244" s="29">
        <v>28</v>
      </c>
      <c r="K244" s="29">
        <v>22</v>
      </c>
      <c r="L244" s="36">
        <f t="shared" si="25"/>
        <v>5177000</v>
      </c>
      <c r="M244" s="37">
        <f t="shared" si="26"/>
        <v>113894000</v>
      </c>
      <c r="N244" s="38">
        <f>F244-(H244*6)-30000000-10000000</f>
        <v>143338000</v>
      </c>
      <c r="O244" s="39" t="s">
        <v>218</v>
      </c>
      <c r="P244" s="107" t="s">
        <v>49</v>
      </c>
      <c r="Q244" s="40">
        <f t="shared" si="27"/>
        <v>143338000</v>
      </c>
      <c r="R244" s="40">
        <f>+'[1]D N 2'!AF266</f>
        <v>143338000</v>
      </c>
      <c r="S244" s="33">
        <f t="shared" si="28"/>
        <v>0</v>
      </c>
    </row>
    <row r="245" spans="1:19">
      <c r="A245" s="29">
        <f t="shared" si="29"/>
        <v>241</v>
      </c>
      <c r="B245" s="30" t="s">
        <v>667</v>
      </c>
      <c r="C245" s="31" t="s">
        <v>668</v>
      </c>
      <c r="D245" s="31" t="s">
        <v>669</v>
      </c>
      <c r="E245" s="32">
        <v>43087</v>
      </c>
      <c r="F245" s="40">
        <f>41285647+1032141+1000000+200000+100000000-71758894</f>
        <v>71758894</v>
      </c>
      <c r="G245" s="34">
        <f t="shared" si="30"/>
        <v>47599966</v>
      </c>
      <c r="H245" s="40">
        <v>538893</v>
      </c>
      <c r="I245" s="40">
        <v>861106</v>
      </c>
      <c r="J245" s="29">
        <v>34</v>
      </c>
      <c r="K245" s="29">
        <v>28</v>
      </c>
      <c r="L245" s="36">
        <f t="shared" si="25"/>
        <v>1399999</v>
      </c>
      <c r="M245" s="37">
        <f t="shared" si="26"/>
        <v>39199972</v>
      </c>
      <c r="N245" s="38">
        <f>F245-(H245*6)-12500000-3000000</f>
        <v>53025536</v>
      </c>
      <c r="O245" s="39" t="s">
        <v>218</v>
      </c>
      <c r="P245" s="107" t="s">
        <v>49</v>
      </c>
      <c r="Q245" s="40">
        <f t="shared" si="27"/>
        <v>53025536</v>
      </c>
      <c r="R245" s="40">
        <f>+'[1]D N 2'!AF267</f>
        <v>53025536</v>
      </c>
      <c r="S245" s="33">
        <f t="shared" si="28"/>
        <v>0</v>
      </c>
    </row>
    <row r="246" spans="1:19">
      <c r="A246" s="29">
        <f t="shared" si="29"/>
        <v>242</v>
      </c>
      <c r="B246" s="30" t="s">
        <v>667</v>
      </c>
      <c r="C246" s="31" t="s">
        <v>668</v>
      </c>
      <c r="D246" s="31" t="s">
        <v>669</v>
      </c>
      <c r="E246" s="32">
        <v>43087</v>
      </c>
      <c r="F246" s="40">
        <v>71758894</v>
      </c>
      <c r="G246" s="34">
        <f t="shared" si="30"/>
        <v>47600034</v>
      </c>
      <c r="H246" s="40">
        <v>538894</v>
      </c>
      <c r="I246" s="40">
        <v>861107</v>
      </c>
      <c r="J246" s="29">
        <v>34</v>
      </c>
      <c r="K246" s="29">
        <f>28</f>
        <v>28</v>
      </c>
      <c r="L246" s="36">
        <f t="shared" si="25"/>
        <v>1400001</v>
      </c>
      <c r="M246" s="37">
        <f t="shared" si="26"/>
        <v>39200028</v>
      </c>
      <c r="N246" s="38">
        <f>F246-(H246*6)-12500000-3000000</f>
        <v>53025530</v>
      </c>
      <c r="O246" s="39" t="s">
        <v>218</v>
      </c>
      <c r="P246" s="107" t="s">
        <v>49</v>
      </c>
      <c r="Q246" s="40">
        <f t="shared" si="27"/>
        <v>53025530</v>
      </c>
      <c r="R246" s="40">
        <f>+'[1]D N 2'!AF268</f>
        <v>53025530</v>
      </c>
      <c r="S246" s="33">
        <f t="shared" si="28"/>
        <v>0</v>
      </c>
    </row>
    <row r="247" spans="1:19">
      <c r="A247" s="29">
        <f t="shared" si="29"/>
        <v>243</v>
      </c>
      <c r="B247" s="30" t="s">
        <v>670</v>
      </c>
      <c r="C247" s="31" t="s">
        <v>671</v>
      </c>
      <c r="D247" s="31" t="s">
        <v>672</v>
      </c>
      <c r="E247" s="32">
        <v>42825</v>
      </c>
      <c r="F247" s="44">
        <f>2500000</f>
        <v>2500000</v>
      </c>
      <c r="G247" s="44">
        <f t="shared" si="30"/>
        <v>3252000</v>
      </c>
      <c r="H247" s="44">
        <f>135500-I247</f>
        <v>105500</v>
      </c>
      <c r="I247" s="44">
        <f>+F247*1.2%</f>
        <v>30000</v>
      </c>
      <c r="J247" s="29">
        <v>24</v>
      </c>
      <c r="K247" s="29">
        <v>9</v>
      </c>
      <c r="L247" s="69">
        <f t="shared" si="25"/>
        <v>135500</v>
      </c>
      <c r="M247" s="37">
        <f t="shared" si="26"/>
        <v>1219500</v>
      </c>
      <c r="N247" s="38">
        <f>F247-(H247*15)</f>
        <v>917500</v>
      </c>
      <c r="O247" s="39" t="s">
        <v>673</v>
      </c>
      <c r="P247" s="107" t="s">
        <v>95</v>
      </c>
      <c r="Q247" s="40">
        <f t="shared" si="27"/>
        <v>917500</v>
      </c>
      <c r="R247" s="40">
        <f>+'[1]D N 2'!AF269</f>
        <v>917500</v>
      </c>
      <c r="S247" s="33">
        <f t="shared" si="28"/>
        <v>0</v>
      </c>
    </row>
    <row r="248" spans="1:19">
      <c r="A248" s="29">
        <f t="shared" si="29"/>
        <v>244</v>
      </c>
      <c r="B248" s="30" t="s">
        <v>674</v>
      </c>
      <c r="C248" s="31" t="s">
        <v>675</v>
      </c>
      <c r="D248" s="31" t="s">
        <v>676</v>
      </c>
      <c r="E248" s="32">
        <v>42976</v>
      </c>
      <c r="F248" s="41">
        <f>450000+200000+74350000</f>
        <v>75000000</v>
      </c>
      <c r="G248" s="34">
        <f t="shared" si="30"/>
        <v>46800000</v>
      </c>
      <c r="H248" s="35">
        <v>1050000</v>
      </c>
      <c r="I248" s="35">
        <f>+F248*1.2%</f>
        <v>900000</v>
      </c>
      <c r="J248" s="29">
        <v>24</v>
      </c>
      <c r="K248" s="29">
        <v>14</v>
      </c>
      <c r="L248" s="36">
        <f t="shared" si="25"/>
        <v>1950000</v>
      </c>
      <c r="M248" s="37">
        <f t="shared" si="26"/>
        <v>27300000</v>
      </c>
      <c r="N248" s="38">
        <f>F248-(H248*10)-20000000-5000000</f>
        <v>39500000</v>
      </c>
      <c r="O248" s="42" t="s">
        <v>218</v>
      </c>
      <c r="P248" s="107" t="s">
        <v>25</v>
      </c>
      <c r="Q248" s="40">
        <f t="shared" si="27"/>
        <v>39500000</v>
      </c>
      <c r="R248" s="40">
        <f>+'[1]D N 2'!AF270</f>
        <v>39500000</v>
      </c>
      <c r="S248" s="33">
        <f t="shared" si="28"/>
        <v>0</v>
      </c>
    </row>
    <row r="249" spans="1:19">
      <c r="A249" s="29">
        <f t="shared" si="29"/>
        <v>245</v>
      </c>
      <c r="B249" s="30" t="s">
        <v>677</v>
      </c>
      <c r="C249" s="31" t="s">
        <v>678</v>
      </c>
      <c r="D249" s="43" t="s">
        <v>679</v>
      </c>
      <c r="E249" s="32">
        <v>43066</v>
      </c>
      <c r="F249" s="44">
        <f>50000+200000+34750000</f>
        <v>35000000</v>
      </c>
      <c r="G249" s="34">
        <f t="shared" si="30"/>
        <v>50148000</v>
      </c>
      <c r="H249" s="35">
        <v>973000</v>
      </c>
      <c r="I249" s="35">
        <f>+F249*1.2%</f>
        <v>420000</v>
      </c>
      <c r="J249" s="29">
        <v>36</v>
      </c>
      <c r="K249" s="29">
        <v>29</v>
      </c>
      <c r="L249" s="36">
        <f t="shared" si="25"/>
        <v>1393000</v>
      </c>
      <c r="M249" s="37">
        <f t="shared" si="26"/>
        <v>40397000</v>
      </c>
      <c r="N249" s="38">
        <f>F249-(H249*7)</f>
        <v>28189000</v>
      </c>
      <c r="O249" s="39" t="s">
        <v>537</v>
      </c>
      <c r="P249" s="107" t="s">
        <v>49</v>
      </c>
      <c r="Q249" s="40">
        <f t="shared" si="27"/>
        <v>28189000</v>
      </c>
      <c r="R249" s="40">
        <f>+'[1]D N 2'!AF271</f>
        <v>28189000</v>
      </c>
      <c r="S249" s="33">
        <f t="shared" si="28"/>
        <v>0</v>
      </c>
    </row>
    <row r="250" spans="1:19">
      <c r="A250" s="29">
        <f t="shared" si="29"/>
        <v>246</v>
      </c>
      <c r="B250" s="50" t="s">
        <v>680</v>
      </c>
      <c r="C250" s="51" t="s">
        <v>681</v>
      </c>
      <c r="D250" s="51" t="s">
        <v>682</v>
      </c>
      <c r="E250" s="52">
        <v>42942</v>
      </c>
      <c r="F250" s="87">
        <v>50000000</v>
      </c>
      <c r="G250" s="88">
        <f t="shared" si="30"/>
        <v>45000000</v>
      </c>
      <c r="H250" s="89">
        <v>650000</v>
      </c>
      <c r="I250" s="89">
        <f>+F250*1.2%</f>
        <v>600000</v>
      </c>
      <c r="J250" s="56">
        <v>36</v>
      </c>
      <c r="K250" s="56">
        <f>29+1</f>
        <v>30</v>
      </c>
      <c r="L250" s="36">
        <f t="shared" si="25"/>
        <v>1250000</v>
      </c>
      <c r="M250" s="37">
        <f t="shared" si="26"/>
        <v>37500000</v>
      </c>
      <c r="N250" s="38">
        <f>F250-(H250*6)-1250000-7750000</f>
        <v>37100000</v>
      </c>
      <c r="O250" s="42" t="s">
        <v>278</v>
      </c>
      <c r="P250" s="107" t="s">
        <v>49</v>
      </c>
      <c r="Q250" s="40">
        <f t="shared" si="27"/>
        <v>37100000</v>
      </c>
      <c r="R250" s="40">
        <f>+'[1]D N 2'!AF272</f>
        <v>37100000</v>
      </c>
      <c r="S250" s="33">
        <f t="shared" si="28"/>
        <v>0</v>
      </c>
    </row>
    <row r="251" spans="1:19">
      <c r="A251" s="29">
        <f t="shared" si="29"/>
        <v>247</v>
      </c>
      <c r="B251" s="50" t="s">
        <v>680</v>
      </c>
      <c r="C251" s="51" t="s">
        <v>681</v>
      </c>
      <c r="D251" s="51" t="s">
        <v>682</v>
      </c>
      <c r="E251" s="52">
        <v>42942</v>
      </c>
      <c r="F251" s="87">
        <f>57009000+1425225+429910+200000+40935865-50000000</f>
        <v>50000000</v>
      </c>
      <c r="G251" s="88">
        <f t="shared" si="30"/>
        <v>45000000</v>
      </c>
      <c r="H251" s="89">
        <v>650000</v>
      </c>
      <c r="I251" s="89">
        <f>+F251*1.2%</f>
        <v>600000</v>
      </c>
      <c r="J251" s="56">
        <v>36</v>
      </c>
      <c r="K251" s="56">
        <f>29+1</f>
        <v>30</v>
      </c>
      <c r="L251" s="36">
        <f t="shared" si="25"/>
        <v>1250000</v>
      </c>
      <c r="M251" s="37">
        <f t="shared" si="26"/>
        <v>37500000</v>
      </c>
      <c r="N251" s="38">
        <f>F251-(H251*6)-1250000-7750000</f>
        <v>37100000</v>
      </c>
      <c r="O251" s="42" t="s">
        <v>278</v>
      </c>
      <c r="P251" s="107" t="s">
        <v>49</v>
      </c>
      <c r="Q251" s="40">
        <f t="shared" si="27"/>
        <v>37100000</v>
      </c>
      <c r="R251" s="40">
        <f>+'[1]D N 2'!AF273</f>
        <v>37100000</v>
      </c>
      <c r="S251" s="33">
        <f t="shared" si="28"/>
        <v>0</v>
      </c>
    </row>
    <row r="252" spans="1:19">
      <c r="A252" s="29">
        <f t="shared" si="29"/>
        <v>248</v>
      </c>
      <c r="B252" s="30" t="s">
        <v>683</v>
      </c>
      <c r="C252" s="31" t="s">
        <v>684</v>
      </c>
      <c r="D252" s="43" t="s">
        <v>685</v>
      </c>
      <c r="E252" s="32">
        <v>42872</v>
      </c>
      <c r="F252" s="44">
        <f>638949+450000+200000+73711051</f>
        <v>75000000</v>
      </c>
      <c r="G252" s="34">
        <f t="shared" si="30"/>
        <v>36000000</v>
      </c>
      <c r="H252" s="35">
        <v>100000</v>
      </c>
      <c r="I252" s="33">
        <f>F252*1.2%</f>
        <v>900000</v>
      </c>
      <c r="J252" s="29">
        <v>36</v>
      </c>
      <c r="K252" s="29">
        <v>22</v>
      </c>
      <c r="L252" s="36">
        <f t="shared" si="25"/>
        <v>1000000</v>
      </c>
      <c r="M252" s="37">
        <f t="shared" si="26"/>
        <v>22000000</v>
      </c>
      <c r="N252" s="38">
        <f>F252-(H252*14)-23800000</f>
        <v>49800000</v>
      </c>
      <c r="O252" s="39" t="s">
        <v>336</v>
      </c>
      <c r="P252" s="107" t="s">
        <v>25</v>
      </c>
      <c r="Q252" s="40">
        <f t="shared" si="27"/>
        <v>49800000</v>
      </c>
      <c r="R252" s="40">
        <f>+'[1]D N 2'!AF274</f>
        <v>49800000</v>
      </c>
      <c r="S252" s="33">
        <f t="shared" si="28"/>
        <v>0</v>
      </c>
    </row>
    <row r="253" spans="1:19">
      <c r="A253" s="29">
        <f t="shared" si="29"/>
        <v>249</v>
      </c>
      <c r="B253" s="30" t="s">
        <v>686</v>
      </c>
      <c r="C253" s="31" t="s">
        <v>687</v>
      </c>
      <c r="D253" s="32"/>
      <c r="E253" s="32">
        <v>42544</v>
      </c>
      <c r="F253" s="44">
        <f>15832200+395805+300000+200000+43271995</f>
        <v>60000000</v>
      </c>
      <c r="G253" s="34">
        <f t="shared" si="30"/>
        <v>55944000</v>
      </c>
      <c r="H253" s="35">
        <v>834000</v>
      </c>
      <c r="I253" s="35">
        <f t="shared" ref="I253:I261" si="32">+F253*1.2%</f>
        <v>720000</v>
      </c>
      <c r="J253" s="29">
        <v>36</v>
      </c>
      <c r="K253" s="29">
        <v>12</v>
      </c>
      <c r="L253" s="62">
        <f t="shared" si="25"/>
        <v>1554000</v>
      </c>
      <c r="M253" s="62">
        <f t="shared" si="26"/>
        <v>18648000</v>
      </c>
      <c r="N253" s="38">
        <f>F253-(H253*24)-10000000-10000000</f>
        <v>19984000</v>
      </c>
      <c r="O253" s="39" t="s">
        <v>270</v>
      </c>
      <c r="P253" s="107" t="s">
        <v>49</v>
      </c>
      <c r="Q253" s="40">
        <f t="shared" si="27"/>
        <v>19984000</v>
      </c>
      <c r="R253" s="40">
        <f>+'[1]D N 2'!AF275</f>
        <v>19984000</v>
      </c>
      <c r="S253" s="33">
        <f t="shared" si="28"/>
        <v>0</v>
      </c>
    </row>
    <row r="254" spans="1:19">
      <c r="A254" s="29">
        <f t="shared" si="29"/>
        <v>250</v>
      </c>
      <c r="B254" s="30" t="s">
        <v>688</v>
      </c>
      <c r="C254" s="31" t="s">
        <v>689</v>
      </c>
      <c r="D254" s="43" t="s">
        <v>690</v>
      </c>
      <c r="E254" s="32">
        <v>42720</v>
      </c>
      <c r="F254" s="33">
        <f>26388000+659700+300000+200000+32452300</f>
        <v>60000000</v>
      </c>
      <c r="G254" s="34">
        <f t="shared" si="30"/>
        <v>55980000</v>
      </c>
      <c r="H254" s="33">
        <v>835000</v>
      </c>
      <c r="I254" s="33">
        <f t="shared" si="32"/>
        <v>720000</v>
      </c>
      <c r="J254" s="29">
        <v>36</v>
      </c>
      <c r="K254" s="29">
        <v>18</v>
      </c>
      <c r="L254" s="36">
        <f t="shared" si="25"/>
        <v>1555000</v>
      </c>
      <c r="M254" s="36">
        <f t="shared" si="26"/>
        <v>27990000</v>
      </c>
      <c r="N254" s="38">
        <f>F254-(H254*18)-5000000-2500000-2500000-5000000-2500000</f>
        <v>27470000</v>
      </c>
      <c r="O254" s="39" t="s">
        <v>691</v>
      </c>
      <c r="P254" s="107" t="s">
        <v>64</v>
      </c>
      <c r="Q254" s="40">
        <f t="shared" si="27"/>
        <v>27470000</v>
      </c>
      <c r="R254" s="40">
        <f>+'[1]D N 2'!AF276</f>
        <v>27470000</v>
      </c>
      <c r="S254" s="33">
        <f t="shared" si="28"/>
        <v>0</v>
      </c>
    </row>
    <row r="255" spans="1:19">
      <c r="A255" s="29">
        <f t="shared" si="29"/>
        <v>251</v>
      </c>
      <c r="B255" s="30" t="s">
        <v>692</v>
      </c>
      <c r="C255" s="31" t="s">
        <v>693</v>
      </c>
      <c r="D255" s="31" t="s">
        <v>694</v>
      </c>
      <c r="E255" s="32">
        <v>43203</v>
      </c>
      <c r="F255" s="41">
        <f>300000+200000+49500000</f>
        <v>50000000</v>
      </c>
      <c r="G255" s="34">
        <f t="shared" si="30"/>
        <v>64404000</v>
      </c>
      <c r="H255" s="40">
        <f>2683500-I255</f>
        <v>2083500</v>
      </c>
      <c r="I255" s="40">
        <f t="shared" si="32"/>
        <v>600000</v>
      </c>
      <c r="J255" s="29">
        <v>24</v>
      </c>
      <c r="K255" s="29">
        <v>21</v>
      </c>
      <c r="L255" s="36">
        <f t="shared" si="25"/>
        <v>2683500</v>
      </c>
      <c r="M255" s="37">
        <f t="shared" si="26"/>
        <v>56353500</v>
      </c>
      <c r="N255" s="38">
        <f>F255-(H255*3)</f>
        <v>43749500</v>
      </c>
      <c r="O255" s="39" t="s">
        <v>257</v>
      </c>
      <c r="P255" s="107" t="s">
        <v>695</v>
      </c>
      <c r="Q255" s="40">
        <f t="shared" si="27"/>
        <v>43749500</v>
      </c>
      <c r="R255" s="40">
        <f>+'[1]D N 2'!AF277</f>
        <v>43749500</v>
      </c>
      <c r="S255" s="33">
        <f t="shared" si="28"/>
        <v>0</v>
      </c>
    </row>
    <row r="256" spans="1:19">
      <c r="A256" s="29">
        <f t="shared" si="29"/>
        <v>252</v>
      </c>
      <c r="B256" s="30" t="s">
        <v>696</v>
      </c>
      <c r="C256" s="31" t="s">
        <v>697</v>
      </c>
      <c r="D256" s="43" t="s">
        <v>698</v>
      </c>
      <c r="E256" s="32">
        <v>43066</v>
      </c>
      <c r="F256" s="44">
        <f>60000000+1500000+900000+200000+87400000-75000000</f>
        <v>75000000</v>
      </c>
      <c r="G256" s="34">
        <f t="shared" si="30"/>
        <v>69903000</v>
      </c>
      <c r="H256" s="35">
        <f>2083500-1041750</f>
        <v>1041750</v>
      </c>
      <c r="I256" s="35">
        <f t="shared" si="32"/>
        <v>900000</v>
      </c>
      <c r="J256" s="29">
        <v>36</v>
      </c>
      <c r="K256" s="29">
        <v>29</v>
      </c>
      <c r="L256" s="36">
        <f t="shared" si="25"/>
        <v>1941750</v>
      </c>
      <c r="M256" s="37">
        <f t="shared" si="26"/>
        <v>56310750</v>
      </c>
      <c r="N256" s="38">
        <f>F256-(H256*7)-12500000</f>
        <v>55207750</v>
      </c>
      <c r="O256" s="39" t="s">
        <v>699</v>
      </c>
      <c r="P256" s="107" t="s">
        <v>49</v>
      </c>
      <c r="Q256" s="40">
        <f t="shared" si="27"/>
        <v>55207750</v>
      </c>
      <c r="R256" s="40">
        <f>+'[1]D N 2'!AF278</f>
        <v>55207750</v>
      </c>
      <c r="S256" s="33">
        <f t="shared" si="28"/>
        <v>0</v>
      </c>
    </row>
    <row r="257" spans="1:19">
      <c r="A257" s="29">
        <f t="shared" si="29"/>
        <v>253</v>
      </c>
      <c r="B257" s="30" t="s">
        <v>696</v>
      </c>
      <c r="C257" s="31" t="s">
        <v>697</v>
      </c>
      <c r="D257" s="43" t="s">
        <v>698</v>
      </c>
      <c r="E257" s="32">
        <v>43066</v>
      </c>
      <c r="F257" s="72">
        <v>75000000</v>
      </c>
      <c r="G257" s="34">
        <f t="shared" si="30"/>
        <v>69903000</v>
      </c>
      <c r="H257" s="35">
        <v>1041750</v>
      </c>
      <c r="I257" s="35">
        <f t="shared" si="32"/>
        <v>900000</v>
      </c>
      <c r="J257" s="29">
        <v>36</v>
      </c>
      <c r="K257" s="29">
        <v>29</v>
      </c>
      <c r="L257" s="36">
        <f t="shared" si="25"/>
        <v>1941750</v>
      </c>
      <c r="M257" s="77">
        <f t="shared" si="26"/>
        <v>56310750</v>
      </c>
      <c r="N257" s="38">
        <f>F257-(H257*7)-12500000</f>
        <v>55207750</v>
      </c>
      <c r="O257" s="39" t="s">
        <v>699</v>
      </c>
      <c r="P257" s="107" t="s">
        <v>49</v>
      </c>
      <c r="Q257" s="40">
        <f t="shared" si="27"/>
        <v>55207750</v>
      </c>
      <c r="R257" s="40">
        <f>+'[1]D N 2'!AF279</f>
        <v>55207750</v>
      </c>
      <c r="S257" s="33">
        <f t="shared" si="28"/>
        <v>0</v>
      </c>
    </row>
    <row r="258" spans="1:19">
      <c r="A258" s="29">
        <f t="shared" si="29"/>
        <v>254</v>
      </c>
      <c r="B258" s="30" t="s">
        <v>700</v>
      </c>
      <c r="C258" s="31" t="s">
        <v>701</v>
      </c>
      <c r="D258" s="43" t="s">
        <v>702</v>
      </c>
      <c r="E258" s="32">
        <v>42823</v>
      </c>
      <c r="F258" s="33">
        <f>19996000+499900+300000+200000+39004100</f>
        <v>60000000</v>
      </c>
      <c r="G258" s="34">
        <f t="shared" si="30"/>
        <v>60606000</v>
      </c>
      <c r="H258" s="33">
        <v>834000</v>
      </c>
      <c r="I258" s="33">
        <f t="shared" si="32"/>
        <v>720000</v>
      </c>
      <c r="J258" s="29">
        <v>39</v>
      </c>
      <c r="K258" s="29">
        <v>24</v>
      </c>
      <c r="L258" s="36">
        <f t="shared" si="25"/>
        <v>1554000</v>
      </c>
      <c r="M258" s="36">
        <f t="shared" si="26"/>
        <v>37296000</v>
      </c>
      <c r="N258" s="38">
        <f>F258-(H258*15)-5000000-5000000-5000000</f>
        <v>32490000</v>
      </c>
      <c r="O258" s="39" t="s">
        <v>703</v>
      </c>
      <c r="P258" s="107" t="s">
        <v>35</v>
      </c>
      <c r="Q258" s="40">
        <f t="shared" si="27"/>
        <v>32490000</v>
      </c>
      <c r="R258" s="40">
        <f>+'[1]D N 2'!AF280</f>
        <v>32490000</v>
      </c>
      <c r="S258" s="33">
        <f t="shared" si="28"/>
        <v>0</v>
      </c>
    </row>
    <row r="259" spans="1:19">
      <c r="A259" s="29">
        <f t="shared" si="29"/>
        <v>255</v>
      </c>
      <c r="B259" s="30" t="s">
        <v>704</v>
      </c>
      <c r="C259" s="31" t="s">
        <v>705</v>
      </c>
      <c r="D259" s="32"/>
      <c r="E259" s="32">
        <v>42333</v>
      </c>
      <c r="F259" s="44">
        <f>3667400+91685+200000+200000+45840915</f>
        <v>50000000</v>
      </c>
      <c r="G259" s="70">
        <f t="shared" si="30"/>
        <v>33300000</v>
      </c>
      <c r="H259" s="40">
        <v>300000</v>
      </c>
      <c r="I259" s="44">
        <f t="shared" si="32"/>
        <v>600000</v>
      </c>
      <c r="J259" s="29">
        <v>37</v>
      </c>
      <c r="K259" s="29">
        <v>6</v>
      </c>
      <c r="L259" s="33">
        <f t="shared" si="25"/>
        <v>900000</v>
      </c>
      <c r="M259" s="33">
        <f t="shared" si="26"/>
        <v>5400000</v>
      </c>
      <c r="N259" s="57">
        <f>F259-(H259*31)-1500000-10000000-1500000-1500000-10000000-1500000-1500000-10000000-1500000</f>
        <v>1700000</v>
      </c>
      <c r="O259" s="39" t="s">
        <v>706</v>
      </c>
      <c r="P259" s="110" t="s">
        <v>69</v>
      </c>
      <c r="Q259" s="40">
        <f t="shared" si="27"/>
        <v>1700000</v>
      </c>
      <c r="R259" s="40">
        <f>+'[1]D N 2'!AF281</f>
        <v>1700000</v>
      </c>
      <c r="S259" s="33">
        <f t="shared" si="28"/>
        <v>0</v>
      </c>
    </row>
    <row r="260" spans="1:19">
      <c r="A260" s="29">
        <f t="shared" si="29"/>
        <v>256</v>
      </c>
      <c r="B260" s="30" t="s">
        <v>707</v>
      </c>
      <c r="C260" s="45" t="s">
        <v>708</v>
      </c>
      <c r="D260" s="45" t="s">
        <v>709</v>
      </c>
      <c r="E260" s="32">
        <v>43236</v>
      </c>
      <c r="F260" s="41">
        <f>32920000+823000+515935+670800+200000+64870265</f>
        <v>100000000</v>
      </c>
      <c r="G260" s="34">
        <f t="shared" si="30"/>
        <v>50400000</v>
      </c>
      <c r="H260" s="40">
        <v>200000</v>
      </c>
      <c r="I260" s="40">
        <f t="shared" si="32"/>
        <v>1200000</v>
      </c>
      <c r="J260" s="29">
        <v>36</v>
      </c>
      <c r="K260" s="29">
        <v>34</v>
      </c>
      <c r="L260" s="36">
        <f t="shared" si="25"/>
        <v>1400000</v>
      </c>
      <c r="M260" s="37">
        <f t="shared" si="26"/>
        <v>47600000</v>
      </c>
      <c r="N260" s="38">
        <f>F260-(H260*2)-3000000</f>
        <v>96600000</v>
      </c>
      <c r="O260" s="39" t="s">
        <v>652</v>
      </c>
      <c r="P260" s="107" t="s">
        <v>64</v>
      </c>
      <c r="Q260" s="40">
        <f t="shared" si="27"/>
        <v>96600000</v>
      </c>
      <c r="R260" s="40">
        <f>+'[1]D N 2'!AF282</f>
        <v>96600000</v>
      </c>
      <c r="S260" s="33">
        <f t="shared" si="28"/>
        <v>0</v>
      </c>
    </row>
    <row r="261" spans="1:19">
      <c r="A261" s="29">
        <f t="shared" si="29"/>
        <v>257</v>
      </c>
      <c r="B261" s="30" t="s">
        <v>710</v>
      </c>
      <c r="C261" s="31" t="s">
        <v>711</v>
      </c>
      <c r="D261" s="31" t="s">
        <v>712</v>
      </c>
      <c r="E261" s="32">
        <v>43104</v>
      </c>
      <c r="F261" s="41">
        <f>63920000+1598000+298065+760800+200000+6673000+66030000+514000+6135</f>
        <v>140000000</v>
      </c>
      <c r="G261" s="34">
        <f t="shared" si="30"/>
        <v>130500000</v>
      </c>
      <c r="H261" s="40">
        <v>1945000</v>
      </c>
      <c r="I261" s="40">
        <f t="shared" si="32"/>
        <v>1680000</v>
      </c>
      <c r="J261" s="29">
        <v>36</v>
      </c>
      <c r="K261" s="29">
        <v>30</v>
      </c>
      <c r="L261" s="36">
        <f t="shared" ref="L261:L324" si="33">+H261+I261</f>
        <v>3625000</v>
      </c>
      <c r="M261" s="37">
        <f t="shared" ref="M261:M324" si="34">+K261*L261</f>
        <v>108750000</v>
      </c>
      <c r="N261" s="38">
        <f>F261-(H261*6)-13500000-5000000</f>
        <v>109830000</v>
      </c>
      <c r="O261" s="39" t="s">
        <v>713</v>
      </c>
      <c r="P261" s="107" t="s">
        <v>49</v>
      </c>
      <c r="Q261" s="40">
        <f t="shared" si="27"/>
        <v>109830000</v>
      </c>
      <c r="R261" s="40">
        <f>+'[1]D N 2'!AF283</f>
        <v>109830000</v>
      </c>
      <c r="S261" s="33">
        <f t="shared" si="28"/>
        <v>0</v>
      </c>
    </row>
    <row r="262" spans="1:19">
      <c r="A262" s="29">
        <f t="shared" si="29"/>
        <v>258</v>
      </c>
      <c r="B262" s="50" t="s">
        <v>714</v>
      </c>
      <c r="C262" s="86" t="s">
        <v>715</v>
      </c>
      <c r="D262" s="86" t="s">
        <v>716</v>
      </c>
      <c r="E262" s="52">
        <v>43160</v>
      </c>
      <c r="F262" s="87">
        <f>49893203+1247330+194726+100000+200000+10000000</f>
        <v>61635259</v>
      </c>
      <c r="G262" s="88">
        <f t="shared" si="30"/>
        <v>42688000</v>
      </c>
      <c r="H262" s="89">
        <v>594377</v>
      </c>
      <c r="I262" s="89">
        <v>739623</v>
      </c>
      <c r="J262" s="56">
        <v>32</v>
      </c>
      <c r="K262" s="56">
        <f>28+1</f>
        <v>29</v>
      </c>
      <c r="L262" s="36">
        <f t="shared" si="33"/>
        <v>1334000</v>
      </c>
      <c r="M262" s="37">
        <f t="shared" si="34"/>
        <v>38686000</v>
      </c>
      <c r="N262" s="38">
        <f>F262-(H262*3)-3120000-9880000</f>
        <v>46852128</v>
      </c>
      <c r="O262" s="39" t="s">
        <v>717</v>
      </c>
      <c r="P262" s="107" t="s">
        <v>30</v>
      </c>
      <c r="Q262" s="40">
        <f t="shared" ref="Q262:Q325" si="35">+N262</f>
        <v>46852128</v>
      </c>
      <c r="R262" s="40">
        <f>+'[1]D N 2'!AF284</f>
        <v>46852128</v>
      </c>
      <c r="S262" s="33">
        <f t="shared" ref="S262:S325" si="36">+Q262-R262</f>
        <v>0</v>
      </c>
    </row>
    <row r="263" spans="1:19">
      <c r="A263" s="29">
        <f t="shared" ref="A263:A326" si="37">+A262+1</f>
        <v>259</v>
      </c>
      <c r="B263" s="50" t="s">
        <v>718</v>
      </c>
      <c r="C263" s="51">
        <v>921578</v>
      </c>
      <c r="D263" s="99"/>
      <c r="E263" s="99">
        <v>41213</v>
      </c>
      <c r="F263" s="55">
        <f>1086374+43454944+4353510+200000+0</f>
        <v>49094828</v>
      </c>
      <c r="G263" s="53">
        <f t="shared" si="30"/>
        <v>46800000</v>
      </c>
      <c r="H263" s="53">
        <v>11765</v>
      </c>
      <c r="I263" s="53">
        <v>638235</v>
      </c>
      <c r="J263" s="101">
        <v>72</v>
      </c>
      <c r="K263" s="56">
        <f>56+1</f>
        <v>57</v>
      </c>
      <c r="L263" s="62">
        <f t="shared" si="33"/>
        <v>650000</v>
      </c>
      <c r="M263" s="62">
        <f t="shared" si="34"/>
        <v>37050000</v>
      </c>
      <c r="N263" s="67">
        <f>F263-(H263*15)-(7013210)-(772162)-(5000000)-(45525)-(5000000)-(4176765)-5000000-145065-162602</f>
        <v>21603024</v>
      </c>
      <c r="O263" s="42" t="s">
        <v>719</v>
      </c>
      <c r="P263" s="110" t="s">
        <v>720</v>
      </c>
      <c r="Q263" s="40">
        <f t="shared" si="35"/>
        <v>21603024</v>
      </c>
      <c r="R263" s="40">
        <f>+'[1]D N 2'!AF285</f>
        <v>21603024</v>
      </c>
      <c r="S263" s="33">
        <f t="shared" si="36"/>
        <v>0</v>
      </c>
    </row>
    <row r="264" spans="1:19">
      <c r="A264" s="29">
        <f t="shared" si="37"/>
        <v>260</v>
      </c>
      <c r="B264" s="30" t="s">
        <v>721</v>
      </c>
      <c r="C264" s="31" t="s">
        <v>722</v>
      </c>
      <c r="D264" s="43" t="s">
        <v>723</v>
      </c>
      <c r="E264" s="32">
        <v>42802</v>
      </c>
      <c r="F264" s="33">
        <f>51388700+1284718+562673+636113+200000+60927796</f>
        <v>115000000</v>
      </c>
      <c r="G264" s="34">
        <f t="shared" si="30"/>
        <v>104688000</v>
      </c>
      <c r="H264" s="33">
        <v>1528000</v>
      </c>
      <c r="I264" s="33">
        <f>+F264*1.2%</f>
        <v>1380000</v>
      </c>
      <c r="J264" s="29">
        <v>36</v>
      </c>
      <c r="K264" s="29">
        <v>20</v>
      </c>
      <c r="L264" s="36">
        <f t="shared" si="33"/>
        <v>2908000</v>
      </c>
      <c r="M264" s="36">
        <f t="shared" si="34"/>
        <v>58160000</v>
      </c>
      <c r="N264" s="38">
        <f>F264-(H264*16)-15000000-2500000-2500000-15000000-2500000</f>
        <v>53052000</v>
      </c>
      <c r="O264" s="39" t="s">
        <v>724</v>
      </c>
      <c r="P264" s="107" t="s">
        <v>69</v>
      </c>
      <c r="Q264" s="40">
        <f t="shared" si="35"/>
        <v>53052000</v>
      </c>
      <c r="R264" s="40">
        <f>+'[1]D N 2'!AF286</f>
        <v>53052000</v>
      </c>
      <c r="S264" s="33">
        <f t="shared" si="36"/>
        <v>0</v>
      </c>
    </row>
    <row r="265" spans="1:19">
      <c r="A265" s="29">
        <f t="shared" si="37"/>
        <v>261</v>
      </c>
      <c r="B265" s="50" t="s">
        <v>725</v>
      </c>
      <c r="C265" s="51" t="s">
        <v>726</v>
      </c>
      <c r="D265" s="95" t="s">
        <v>727</v>
      </c>
      <c r="E265" s="52">
        <v>42677</v>
      </c>
      <c r="F265" s="111">
        <f>1664000+41600+7819+20000+2000000</f>
        <v>3733419</v>
      </c>
      <c r="G265" s="88">
        <f t="shared" si="30"/>
        <v>4824000</v>
      </c>
      <c r="H265" s="55">
        <v>156199</v>
      </c>
      <c r="I265" s="55">
        <v>44801</v>
      </c>
      <c r="J265" s="56">
        <v>24</v>
      </c>
      <c r="K265" s="56">
        <f>4+1</f>
        <v>5</v>
      </c>
      <c r="L265" s="36">
        <f t="shared" si="33"/>
        <v>201000</v>
      </c>
      <c r="M265" s="36">
        <f t="shared" si="34"/>
        <v>1005000</v>
      </c>
      <c r="N265" s="38">
        <f>F265-(H265*19)</f>
        <v>765638</v>
      </c>
      <c r="O265" s="39" t="s">
        <v>728</v>
      </c>
      <c r="P265" s="107" t="s">
        <v>729</v>
      </c>
      <c r="Q265" s="40">
        <f t="shared" si="35"/>
        <v>765638</v>
      </c>
      <c r="R265" s="40">
        <f>+'[1]D N 2'!AF287</f>
        <v>765638</v>
      </c>
      <c r="S265" s="33">
        <f t="shared" si="36"/>
        <v>0</v>
      </c>
    </row>
    <row r="266" spans="1:19">
      <c r="A266" s="29">
        <f t="shared" si="37"/>
        <v>262</v>
      </c>
      <c r="B266" s="50" t="s">
        <v>725</v>
      </c>
      <c r="C266" s="51" t="s">
        <v>726</v>
      </c>
      <c r="D266" s="112"/>
      <c r="E266" s="112">
        <v>42416</v>
      </c>
      <c r="F266" s="65">
        <f>50386996+1259675+505033+20000+200000+2000000</f>
        <v>54371704</v>
      </c>
      <c r="G266" s="88">
        <f t="shared" si="30"/>
        <v>49269500</v>
      </c>
      <c r="H266" s="96">
        <v>755240</v>
      </c>
      <c r="I266" s="96">
        <v>652460</v>
      </c>
      <c r="J266" s="56">
        <v>35</v>
      </c>
      <c r="K266" s="56">
        <f>6+1</f>
        <v>7</v>
      </c>
      <c r="L266" s="44">
        <f t="shared" si="33"/>
        <v>1407700</v>
      </c>
      <c r="M266" s="44">
        <f t="shared" si="34"/>
        <v>9853900</v>
      </c>
      <c r="N266" s="113">
        <f>F266-(H266*28)-5000000-2500000-2500000-5000000-2500000-2500000-5000000-2500000</f>
        <v>5724984</v>
      </c>
      <c r="O266" s="39" t="s">
        <v>730</v>
      </c>
      <c r="P266" s="107" t="s">
        <v>144</v>
      </c>
      <c r="Q266" s="40">
        <f t="shared" si="35"/>
        <v>5724984</v>
      </c>
      <c r="R266" s="40">
        <f>+'[1]D N 2'!AF288</f>
        <v>5724984</v>
      </c>
      <c r="S266" s="33">
        <f t="shared" si="36"/>
        <v>0</v>
      </c>
    </row>
    <row r="267" spans="1:19">
      <c r="A267" s="29">
        <f t="shared" si="37"/>
        <v>263</v>
      </c>
      <c r="B267" s="30" t="s">
        <v>731</v>
      </c>
      <c r="C267" s="45" t="s">
        <v>732</v>
      </c>
      <c r="D267" s="45" t="s">
        <v>733</v>
      </c>
      <c r="E267" s="32">
        <v>43166</v>
      </c>
      <c r="F267" s="41">
        <f>1870880+53887000+1393947+635767+442421+200000+41569985</f>
        <v>100000000</v>
      </c>
      <c r="G267" s="34">
        <f t="shared" si="30"/>
        <v>80259000</v>
      </c>
      <c r="H267" s="40">
        <v>1389000</v>
      </c>
      <c r="I267" s="40">
        <f>+F267*1.2%</f>
        <v>1200000</v>
      </c>
      <c r="J267" s="29">
        <v>31</v>
      </c>
      <c r="K267" s="29">
        <v>27</v>
      </c>
      <c r="L267" s="36">
        <f t="shared" si="33"/>
        <v>2589000</v>
      </c>
      <c r="M267" s="37">
        <f t="shared" si="34"/>
        <v>69903000</v>
      </c>
      <c r="N267" s="38">
        <f>F267-(H267*4)-15000000-2500000</f>
        <v>76944000</v>
      </c>
      <c r="O267" s="39" t="s">
        <v>699</v>
      </c>
      <c r="P267" s="107" t="s">
        <v>30</v>
      </c>
      <c r="Q267" s="40">
        <f t="shared" si="35"/>
        <v>76944000</v>
      </c>
      <c r="R267" s="40">
        <f>+'[1]D N 2'!AF289</f>
        <v>76944000</v>
      </c>
      <c r="S267" s="33">
        <f t="shared" si="36"/>
        <v>0</v>
      </c>
    </row>
    <row r="268" spans="1:19">
      <c r="A268" s="29">
        <f t="shared" si="37"/>
        <v>264</v>
      </c>
      <c r="B268" s="30" t="s">
        <v>734</v>
      </c>
      <c r="C268" s="31" t="s">
        <v>735</v>
      </c>
      <c r="D268" s="32"/>
      <c r="E268" s="32">
        <v>42669</v>
      </c>
      <c r="F268" s="33">
        <f>27939400+698485+1229394+200000+125000000</f>
        <v>155067279</v>
      </c>
      <c r="G268" s="34">
        <f t="shared" si="30"/>
        <v>132084000</v>
      </c>
      <c r="H268" s="33">
        <v>1808193</v>
      </c>
      <c r="I268" s="33">
        <v>1860807</v>
      </c>
      <c r="J268" s="29">
        <v>36</v>
      </c>
      <c r="K268" s="29">
        <f>16</f>
        <v>16</v>
      </c>
      <c r="L268" s="36">
        <f t="shared" si="33"/>
        <v>3669000</v>
      </c>
      <c r="M268" s="36">
        <f t="shared" si="34"/>
        <v>58704000</v>
      </c>
      <c r="N268" s="38">
        <f>F268-(H268*20)-7500000-15000000-7500000-7500000-15000000-7500000</f>
        <v>58903419</v>
      </c>
      <c r="O268" s="39" t="s">
        <v>736</v>
      </c>
      <c r="P268" s="107" t="s">
        <v>69</v>
      </c>
      <c r="Q268" s="40">
        <f t="shared" si="35"/>
        <v>58903419</v>
      </c>
      <c r="R268" s="40">
        <f>+'[1]D N 2'!AF290</f>
        <v>58903419</v>
      </c>
      <c r="S268" s="33">
        <f t="shared" si="36"/>
        <v>0</v>
      </c>
    </row>
    <row r="269" spans="1:19">
      <c r="A269" s="29">
        <f t="shared" si="37"/>
        <v>265</v>
      </c>
      <c r="B269" s="50" t="s">
        <v>737</v>
      </c>
      <c r="C269" s="51" t="s">
        <v>738</v>
      </c>
      <c r="D269" s="95" t="s">
        <v>739</v>
      </c>
      <c r="E269" s="52">
        <v>43011</v>
      </c>
      <c r="F269" s="65">
        <f>125330464+5000000+3133262+920621+1000000+200000+100000000</f>
        <v>235584347</v>
      </c>
      <c r="G269" s="88">
        <f t="shared" si="30"/>
        <v>210600000</v>
      </c>
      <c r="H269" s="96">
        <v>3022988</v>
      </c>
      <c r="I269" s="96">
        <v>2827012</v>
      </c>
      <c r="J269" s="56">
        <v>36</v>
      </c>
      <c r="K269" s="56">
        <f>28+1</f>
        <v>29</v>
      </c>
      <c r="L269" s="36">
        <f t="shared" si="33"/>
        <v>5850000</v>
      </c>
      <c r="M269" s="37">
        <f t="shared" si="34"/>
        <v>169650000</v>
      </c>
      <c r="N269" s="38">
        <f>F269-(H269*7)+1850000-1850000-7000000-30000000</f>
        <v>177423431</v>
      </c>
      <c r="O269" s="39" t="s">
        <v>43</v>
      </c>
      <c r="P269" s="107" t="s">
        <v>49</v>
      </c>
      <c r="Q269" s="40">
        <f t="shared" si="35"/>
        <v>177423431</v>
      </c>
      <c r="R269" s="40">
        <f>+'[1]D N 2'!AF291</f>
        <v>177423431</v>
      </c>
      <c r="S269" s="33">
        <f t="shared" si="36"/>
        <v>0</v>
      </c>
    </row>
    <row r="270" spans="1:19">
      <c r="A270" s="29">
        <f t="shared" si="37"/>
        <v>266</v>
      </c>
      <c r="B270" s="50" t="s">
        <v>737</v>
      </c>
      <c r="C270" s="86" t="s">
        <v>738</v>
      </c>
      <c r="D270" s="86" t="s">
        <v>740</v>
      </c>
      <c r="E270" s="52">
        <v>43222</v>
      </c>
      <c r="F270" s="87">
        <f>10000000+5850000+158500+0</f>
        <v>16008500</v>
      </c>
      <c r="G270" s="88">
        <f t="shared" si="30"/>
        <v>22932000</v>
      </c>
      <c r="H270" s="89">
        <v>444898</v>
      </c>
      <c r="I270" s="89">
        <f>+F270*1.2%</f>
        <v>192102</v>
      </c>
      <c r="J270" s="56">
        <v>36</v>
      </c>
      <c r="K270" s="56">
        <f>35+1</f>
        <v>36</v>
      </c>
      <c r="L270" s="36">
        <f t="shared" si="33"/>
        <v>637000</v>
      </c>
      <c r="M270" s="37">
        <f t="shared" si="34"/>
        <v>22932000</v>
      </c>
      <c r="N270" s="38">
        <f>F270-(H270*0)</f>
        <v>16008500</v>
      </c>
      <c r="O270" s="39" t="s">
        <v>741</v>
      </c>
      <c r="P270" s="107" t="s">
        <v>326</v>
      </c>
      <c r="Q270" s="40">
        <f t="shared" si="35"/>
        <v>16008500</v>
      </c>
      <c r="R270" s="40">
        <f>+'[1]D N 2'!AF292</f>
        <v>16008500</v>
      </c>
      <c r="S270" s="33">
        <f t="shared" si="36"/>
        <v>0</v>
      </c>
    </row>
    <row r="271" spans="1:19">
      <c r="A271" s="29">
        <f t="shared" si="37"/>
        <v>267</v>
      </c>
      <c r="B271" s="30" t="s">
        <v>742</v>
      </c>
      <c r="C271" s="31" t="s">
        <v>743</v>
      </c>
      <c r="D271" s="31" t="s">
        <v>744</v>
      </c>
      <c r="E271" s="32">
        <v>43140</v>
      </c>
      <c r="F271" s="41">
        <f>43750000+1093750+706728+462500+200000+43787022-45000000</f>
        <v>45000000</v>
      </c>
      <c r="G271" s="34">
        <f t="shared" si="30"/>
        <v>41940000</v>
      </c>
      <c r="H271" s="40">
        <v>625000</v>
      </c>
      <c r="I271" s="40">
        <f>+F271*1.2%</f>
        <v>540000</v>
      </c>
      <c r="J271" s="29">
        <v>36</v>
      </c>
      <c r="K271" s="29">
        <v>31</v>
      </c>
      <c r="L271" s="36">
        <f t="shared" si="33"/>
        <v>1165000</v>
      </c>
      <c r="M271" s="37">
        <f t="shared" si="34"/>
        <v>36115000</v>
      </c>
      <c r="N271" s="38">
        <f>F271-(H271*5)-7500000</f>
        <v>34375000</v>
      </c>
      <c r="O271" s="39" t="s">
        <v>184</v>
      </c>
      <c r="P271" s="107" t="s">
        <v>602</v>
      </c>
      <c r="Q271" s="40">
        <f t="shared" si="35"/>
        <v>34375000</v>
      </c>
      <c r="R271" s="40">
        <f>+'[1]D N 2'!AF293</f>
        <v>34375000</v>
      </c>
      <c r="S271" s="33">
        <f t="shared" si="36"/>
        <v>0</v>
      </c>
    </row>
    <row r="272" spans="1:19">
      <c r="A272" s="29">
        <f t="shared" si="37"/>
        <v>268</v>
      </c>
      <c r="B272" s="30" t="s">
        <v>742</v>
      </c>
      <c r="C272" s="31" t="s">
        <v>743</v>
      </c>
      <c r="D272" s="31" t="s">
        <v>744</v>
      </c>
      <c r="E272" s="32">
        <v>43140</v>
      </c>
      <c r="F272" s="41">
        <v>45000000</v>
      </c>
      <c r="G272" s="34">
        <f t="shared" si="30"/>
        <v>41940000</v>
      </c>
      <c r="H272" s="40">
        <v>625000</v>
      </c>
      <c r="I272" s="40">
        <f>+F272*1.2%</f>
        <v>540000</v>
      </c>
      <c r="J272" s="29">
        <v>36</v>
      </c>
      <c r="K272" s="29">
        <v>31</v>
      </c>
      <c r="L272" s="36">
        <f t="shared" si="33"/>
        <v>1165000</v>
      </c>
      <c r="M272" s="37">
        <f t="shared" si="34"/>
        <v>36115000</v>
      </c>
      <c r="N272" s="38">
        <f>F272-(H272*5)-7500000</f>
        <v>34375000</v>
      </c>
      <c r="O272" s="39" t="s">
        <v>184</v>
      </c>
      <c r="P272" s="107" t="s">
        <v>602</v>
      </c>
      <c r="Q272" s="40">
        <f t="shared" si="35"/>
        <v>34375000</v>
      </c>
      <c r="R272" s="40">
        <f>+'[1]D N 2'!AF294</f>
        <v>34375000</v>
      </c>
      <c r="S272" s="33">
        <f t="shared" si="36"/>
        <v>0</v>
      </c>
    </row>
    <row r="273" spans="1:19">
      <c r="A273" s="29">
        <f t="shared" si="37"/>
        <v>269</v>
      </c>
      <c r="B273" s="30" t="s">
        <v>745</v>
      </c>
      <c r="C273" s="31" t="s">
        <v>746</v>
      </c>
      <c r="D273" s="31" t="s">
        <v>747</v>
      </c>
      <c r="E273" s="32">
        <v>42982</v>
      </c>
      <c r="F273" s="41">
        <v>33246363</v>
      </c>
      <c r="G273" s="34">
        <f t="shared" si="30"/>
        <v>30000000</v>
      </c>
      <c r="H273" s="41">
        <f>351044</f>
        <v>351044</v>
      </c>
      <c r="I273" s="35">
        <v>398956</v>
      </c>
      <c r="J273" s="29">
        <v>40</v>
      </c>
      <c r="K273" s="29">
        <v>30</v>
      </c>
      <c r="L273" s="36">
        <f t="shared" si="33"/>
        <v>750000</v>
      </c>
      <c r="M273" s="37">
        <f t="shared" si="34"/>
        <v>22500000</v>
      </c>
      <c r="N273" s="38">
        <f>F273-(H273*10)-750000-5000000-750000</f>
        <v>23235923</v>
      </c>
      <c r="O273" s="42" t="s">
        <v>748</v>
      </c>
      <c r="P273" s="107" t="s">
        <v>30</v>
      </c>
      <c r="Q273" s="40">
        <f t="shared" si="35"/>
        <v>23235923</v>
      </c>
      <c r="R273" s="40">
        <f>+'[1]D N 2'!AF295</f>
        <v>23235923</v>
      </c>
      <c r="S273" s="33">
        <f t="shared" si="36"/>
        <v>0</v>
      </c>
    </row>
    <row r="274" spans="1:19">
      <c r="A274" s="29">
        <f t="shared" si="37"/>
        <v>270</v>
      </c>
      <c r="B274" s="30" t="s">
        <v>745</v>
      </c>
      <c r="C274" s="31" t="s">
        <v>746</v>
      </c>
      <c r="D274" s="31" t="s">
        <v>747</v>
      </c>
      <c r="E274" s="32">
        <v>42982</v>
      </c>
      <c r="F274" s="41">
        <f>49580000+1239500+323226+150000+200000+15000000-33246363</f>
        <v>33246363</v>
      </c>
      <c r="G274" s="34">
        <f t="shared" si="30"/>
        <v>30000000</v>
      </c>
      <c r="H274" s="35">
        <v>351043</v>
      </c>
      <c r="I274" s="35">
        <v>398957</v>
      </c>
      <c r="J274" s="29">
        <v>40</v>
      </c>
      <c r="K274" s="29">
        <v>30</v>
      </c>
      <c r="L274" s="36">
        <f t="shared" si="33"/>
        <v>750000</v>
      </c>
      <c r="M274" s="37">
        <f t="shared" si="34"/>
        <v>22500000</v>
      </c>
      <c r="N274" s="38">
        <f>F274-(H274*10)-750000-5000000-750000</f>
        <v>23235933</v>
      </c>
      <c r="O274" s="42" t="s">
        <v>748</v>
      </c>
      <c r="P274" s="107" t="s">
        <v>30</v>
      </c>
      <c r="Q274" s="40">
        <f t="shared" si="35"/>
        <v>23235933</v>
      </c>
      <c r="R274" s="40">
        <f>+'[1]D N 2'!AF296</f>
        <v>23235933</v>
      </c>
      <c r="S274" s="33">
        <f t="shared" si="36"/>
        <v>0</v>
      </c>
    </row>
    <row r="275" spans="1:19">
      <c r="A275" s="29">
        <f t="shared" si="37"/>
        <v>271</v>
      </c>
      <c r="B275" s="30" t="s">
        <v>749</v>
      </c>
      <c r="C275" s="31" t="s">
        <v>750</v>
      </c>
      <c r="D275" s="43" t="s">
        <v>751</v>
      </c>
      <c r="E275" s="32">
        <v>42884</v>
      </c>
      <c r="F275" s="44">
        <f>850535+21263+200000+200000+48728202</f>
        <v>50000000</v>
      </c>
      <c r="G275" s="34">
        <f t="shared" si="30"/>
        <v>71622000</v>
      </c>
      <c r="H275" s="35">
        <v>1389500</v>
      </c>
      <c r="I275" s="33">
        <f>+F275*1.2%</f>
        <v>600000</v>
      </c>
      <c r="J275" s="29">
        <v>36</v>
      </c>
      <c r="K275" s="29">
        <v>23</v>
      </c>
      <c r="L275" s="36">
        <f t="shared" si="33"/>
        <v>1989500</v>
      </c>
      <c r="M275" s="37">
        <f t="shared" si="34"/>
        <v>45758500</v>
      </c>
      <c r="N275" s="38">
        <f>F275-(H275*13)</f>
        <v>31936500</v>
      </c>
      <c r="O275" s="39" t="s">
        <v>752</v>
      </c>
      <c r="P275" s="107" t="s">
        <v>337</v>
      </c>
      <c r="Q275" s="40">
        <f t="shared" si="35"/>
        <v>31936500</v>
      </c>
      <c r="R275" s="40">
        <f>+'[1]D N 2'!AF297</f>
        <v>31936500</v>
      </c>
      <c r="S275" s="33">
        <f t="shared" si="36"/>
        <v>0</v>
      </c>
    </row>
    <row r="276" spans="1:19">
      <c r="A276" s="29">
        <f t="shared" si="37"/>
        <v>272</v>
      </c>
      <c r="B276" s="30" t="s">
        <v>753</v>
      </c>
      <c r="C276" s="31" t="s">
        <v>754</v>
      </c>
      <c r="D276" s="31" t="s">
        <v>755</v>
      </c>
      <c r="E276" s="32">
        <v>42867</v>
      </c>
      <c r="F276" s="33">
        <f>35762023+894051+353781+500000+200000+50000000</f>
        <v>87709855</v>
      </c>
      <c r="G276" s="34">
        <f t="shared" si="30"/>
        <v>81450000</v>
      </c>
      <c r="H276" s="33">
        <v>1209982</v>
      </c>
      <c r="I276" s="33">
        <v>1052518</v>
      </c>
      <c r="J276" s="29">
        <v>36</v>
      </c>
      <c r="K276" s="29">
        <v>22</v>
      </c>
      <c r="L276" s="36">
        <f t="shared" si="33"/>
        <v>2262500</v>
      </c>
      <c r="M276" s="37">
        <f t="shared" si="34"/>
        <v>49775000</v>
      </c>
      <c r="N276" s="38">
        <f>F276-(H276*14)-2000000-3000000-10000000-2000000</f>
        <v>53770107</v>
      </c>
      <c r="O276" s="39" t="s">
        <v>184</v>
      </c>
      <c r="P276" s="107" t="s">
        <v>78</v>
      </c>
      <c r="Q276" s="40">
        <f t="shared" si="35"/>
        <v>53770107</v>
      </c>
      <c r="R276" s="40">
        <f>+'[1]D N 2'!AF298</f>
        <v>53770107</v>
      </c>
      <c r="S276" s="33">
        <f t="shared" si="36"/>
        <v>0</v>
      </c>
    </row>
    <row r="277" spans="1:19">
      <c r="A277" s="29">
        <f t="shared" si="37"/>
        <v>273</v>
      </c>
      <c r="B277" s="30" t="s">
        <v>756</v>
      </c>
      <c r="C277" s="31" t="s">
        <v>757</v>
      </c>
      <c r="D277" s="43" t="s">
        <v>758</v>
      </c>
      <c r="E277" s="32">
        <v>43017</v>
      </c>
      <c r="F277" s="41">
        <f>36660000+916500+400258+233400+200000+21589842</f>
        <v>60000000</v>
      </c>
      <c r="G277" s="34">
        <f t="shared" si="30"/>
        <v>41958000</v>
      </c>
      <c r="H277" s="35">
        <v>834000</v>
      </c>
      <c r="I277" s="35">
        <f>+F277*1.2%</f>
        <v>720000</v>
      </c>
      <c r="J277" s="29">
        <v>27</v>
      </c>
      <c r="K277" s="29">
        <v>18</v>
      </c>
      <c r="L277" s="36">
        <f t="shared" si="33"/>
        <v>1554000</v>
      </c>
      <c r="M277" s="37">
        <f t="shared" si="34"/>
        <v>27972000</v>
      </c>
      <c r="N277" s="38">
        <f>F277-(H277*9)-7500000-7500000</f>
        <v>37494000</v>
      </c>
      <c r="O277" s="42" t="s">
        <v>759</v>
      </c>
      <c r="P277" s="107" t="s">
        <v>49</v>
      </c>
      <c r="Q277" s="40">
        <f t="shared" si="35"/>
        <v>37494000</v>
      </c>
      <c r="R277" s="40">
        <f>+'[1]D N 2'!AF299</f>
        <v>37494000</v>
      </c>
      <c r="S277" s="33">
        <f t="shared" si="36"/>
        <v>0</v>
      </c>
    </row>
    <row r="278" spans="1:19">
      <c r="A278" s="29">
        <f t="shared" si="37"/>
        <v>274</v>
      </c>
      <c r="B278" s="30" t="s">
        <v>760</v>
      </c>
      <c r="C278" s="31" t="s">
        <v>761</v>
      </c>
      <c r="D278" s="31" t="s">
        <v>762</v>
      </c>
      <c r="E278" s="32">
        <v>43063</v>
      </c>
      <c r="F278" s="41">
        <f>38000+3762000</f>
        <v>3800000</v>
      </c>
      <c r="G278" s="34">
        <f t="shared" si="30"/>
        <v>4356000</v>
      </c>
      <c r="H278" s="35">
        <v>317400</v>
      </c>
      <c r="I278" s="35">
        <f>+F278*1.2%</f>
        <v>45600</v>
      </c>
      <c r="J278" s="29">
        <v>12</v>
      </c>
      <c r="K278" s="29">
        <v>5</v>
      </c>
      <c r="L278" s="36">
        <f t="shared" si="33"/>
        <v>363000</v>
      </c>
      <c r="M278" s="37">
        <f t="shared" si="34"/>
        <v>1815000</v>
      </c>
      <c r="N278" s="38">
        <f>F278-(H278*7)</f>
        <v>1578200</v>
      </c>
      <c r="O278" s="39" t="s">
        <v>537</v>
      </c>
      <c r="P278" s="107" t="s">
        <v>123</v>
      </c>
      <c r="Q278" s="40">
        <f t="shared" si="35"/>
        <v>1578200</v>
      </c>
      <c r="R278" s="40">
        <f>+'[1]D N 2'!AF300</f>
        <v>1578200</v>
      </c>
      <c r="S278" s="33">
        <f t="shared" si="36"/>
        <v>0</v>
      </c>
    </row>
    <row r="279" spans="1:19">
      <c r="A279" s="29">
        <f t="shared" si="37"/>
        <v>275</v>
      </c>
      <c r="B279" s="30" t="s">
        <v>763</v>
      </c>
      <c r="C279" s="31" t="s">
        <v>761</v>
      </c>
      <c r="D279" s="31" t="s">
        <v>764</v>
      </c>
      <c r="E279" s="32">
        <v>42941</v>
      </c>
      <c r="F279" s="41">
        <f>40253000+1006325+200000+0</f>
        <v>41459325</v>
      </c>
      <c r="G279" s="34">
        <f t="shared" si="30"/>
        <v>33600000</v>
      </c>
      <c r="H279" s="40">
        <v>902488</v>
      </c>
      <c r="I279" s="40">
        <v>497512</v>
      </c>
      <c r="J279" s="29">
        <v>24</v>
      </c>
      <c r="K279" s="29">
        <v>13</v>
      </c>
      <c r="L279" s="36">
        <f t="shared" si="33"/>
        <v>1400000</v>
      </c>
      <c r="M279" s="37">
        <f t="shared" si="34"/>
        <v>18200000</v>
      </c>
      <c r="N279" s="38">
        <f>F279-(H279*11)-2500000-5000000-2500000</f>
        <v>21531957</v>
      </c>
      <c r="O279" s="42" t="s">
        <v>535</v>
      </c>
      <c r="P279" s="107" t="s">
        <v>294</v>
      </c>
      <c r="Q279" s="40">
        <f t="shared" si="35"/>
        <v>21531957</v>
      </c>
      <c r="R279" s="40">
        <f>+'[1]D N 2'!AF301</f>
        <v>21531957</v>
      </c>
      <c r="S279" s="33">
        <f t="shared" si="36"/>
        <v>0</v>
      </c>
    </row>
    <row r="280" spans="1:19">
      <c r="A280" s="29">
        <f t="shared" si="37"/>
        <v>276</v>
      </c>
      <c r="B280" s="30" t="s">
        <v>765</v>
      </c>
      <c r="C280" s="31" t="s">
        <v>766</v>
      </c>
      <c r="D280" s="31" t="s">
        <v>767</v>
      </c>
      <c r="E280" s="32">
        <v>42942</v>
      </c>
      <c r="F280" s="41">
        <f>46300890+1157522+1500000+200000+5000000+15000000</f>
        <v>69158412</v>
      </c>
      <c r="G280" s="34">
        <f t="shared" si="30"/>
        <v>63034848</v>
      </c>
      <c r="H280" s="40">
        <v>921067</v>
      </c>
      <c r="I280" s="40">
        <v>829901</v>
      </c>
      <c r="J280" s="29">
        <v>36</v>
      </c>
      <c r="K280" s="29">
        <v>25</v>
      </c>
      <c r="L280" s="36">
        <f t="shared" si="33"/>
        <v>1750968</v>
      </c>
      <c r="M280" s="37">
        <f t="shared" si="34"/>
        <v>43774200</v>
      </c>
      <c r="N280" s="38">
        <f>F280-(H280*11)-3500000-6000000-6000000</f>
        <v>43526675</v>
      </c>
      <c r="O280" s="42" t="s">
        <v>768</v>
      </c>
      <c r="P280" s="107" t="s">
        <v>49</v>
      </c>
      <c r="Q280" s="40">
        <f t="shared" si="35"/>
        <v>43526675</v>
      </c>
      <c r="R280" s="40">
        <f>+'[1]D N 2'!AF302</f>
        <v>43526675</v>
      </c>
      <c r="S280" s="33">
        <f t="shared" si="36"/>
        <v>0</v>
      </c>
    </row>
    <row r="281" spans="1:19">
      <c r="A281" s="29">
        <f t="shared" si="37"/>
        <v>277</v>
      </c>
      <c r="B281" s="30" t="s">
        <v>765</v>
      </c>
      <c r="C281" s="31" t="s">
        <v>766</v>
      </c>
      <c r="D281" s="31" t="s">
        <v>767</v>
      </c>
      <c r="E281" s="32">
        <v>42947</v>
      </c>
      <c r="F281" s="41">
        <v>130000000</v>
      </c>
      <c r="G281" s="34">
        <f t="shared" si="30"/>
        <v>83214184</v>
      </c>
      <c r="H281" s="40">
        <v>689032</v>
      </c>
      <c r="I281" s="40">
        <f>+F281*1.2%</f>
        <v>1560000</v>
      </c>
      <c r="J281" s="29">
        <v>37</v>
      </c>
      <c r="K281" s="29">
        <v>26</v>
      </c>
      <c r="L281" s="36">
        <f t="shared" si="33"/>
        <v>2249032</v>
      </c>
      <c r="M281" s="37">
        <f t="shared" si="34"/>
        <v>58474832</v>
      </c>
      <c r="N281" s="38">
        <f>F281-(H281*11)-3500000-18000000</f>
        <v>100920648</v>
      </c>
      <c r="O281" s="42" t="s">
        <v>768</v>
      </c>
      <c r="P281" s="107" t="s">
        <v>49</v>
      </c>
      <c r="Q281" s="40">
        <f t="shared" si="35"/>
        <v>100920648</v>
      </c>
      <c r="R281" s="40">
        <f>+'[1]D N 2'!AF303</f>
        <v>100920648</v>
      </c>
      <c r="S281" s="33">
        <f t="shared" si="36"/>
        <v>0</v>
      </c>
    </row>
    <row r="282" spans="1:19">
      <c r="A282" s="29">
        <f t="shared" si="37"/>
        <v>278</v>
      </c>
      <c r="B282" s="30" t="s">
        <v>769</v>
      </c>
      <c r="C282" s="31" t="s">
        <v>770</v>
      </c>
      <c r="D282" s="32"/>
      <c r="E282" s="32">
        <v>42503</v>
      </c>
      <c r="F282" s="44">
        <f>876000+200000+116524000-F283</f>
        <v>58800000</v>
      </c>
      <c r="G282" s="34">
        <f t="shared" si="30"/>
        <v>31701600</v>
      </c>
      <c r="H282" s="44">
        <v>175000</v>
      </c>
      <c r="I282" s="34">
        <f>+F282*1.2%</f>
        <v>705600</v>
      </c>
      <c r="J282" s="29">
        <v>36</v>
      </c>
      <c r="K282" s="29">
        <v>10</v>
      </c>
      <c r="L282" s="33">
        <f t="shared" si="33"/>
        <v>880600</v>
      </c>
      <c r="M282" s="33">
        <f t="shared" si="34"/>
        <v>8806000</v>
      </c>
      <c r="N282" s="67">
        <f>F282-(H282*26)-17500000-17500000</f>
        <v>19250000</v>
      </c>
      <c r="O282" s="39" t="s">
        <v>771</v>
      </c>
      <c r="P282" s="107" t="s">
        <v>69</v>
      </c>
      <c r="Q282" s="40">
        <f t="shared" si="35"/>
        <v>19250000</v>
      </c>
      <c r="R282" s="40">
        <f>+'[1]D N 2'!AF304</f>
        <v>19250000</v>
      </c>
      <c r="S282" s="33">
        <f t="shared" si="36"/>
        <v>0</v>
      </c>
    </row>
    <row r="283" spans="1:19">
      <c r="A283" s="29">
        <f t="shared" si="37"/>
        <v>279</v>
      </c>
      <c r="B283" s="30" t="s">
        <v>769</v>
      </c>
      <c r="C283" s="31" t="s">
        <v>770</v>
      </c>
      <c r="D283" s="32"/>
      <c r="E283" s="32">
        <v>42503</v>
      </c>
      <c r="F283" s="44">
        <v>58800000</v>
      </c>
      <c r="G283" s="34">
        <f t="shared" si="30"/>
        <v>31701600</v>
      </c>
      <c r="H283" s="44">
        <v>175000</v>
      </c>
      <c r="I283" s="34">
        <f>+F283*1.2%</f>
        <v>705600</v>
      </c>
      <c r="J283" s="29">
        <v>36</v>
      </c>
      <c r="K283" s="29">
        <v>10</v>
      </c>
      <c r="L283" s="33">
        <f t="shared" si="33"/>
        <v>880600</v>
      </c>
      <c r="M283" s="33">
        <f t="shared" si="34"/>
        <v>8806000</v>
      </c>
      <c r="N283" s="67">
        <f>F283-(H283*26)-17500000-17500000</f>
        <v>19250000</v>
      </c>
      <c r="O283" s="39" t="s">
        <v>771</v>
      </c>
      <c r="P283" s="107" t="s">
        <v>69</v>
      </c>
      <c r="Q283" s="40">
        <f t="shared" si="35"/>
        <v>19250000</v>
      </c>
      <c r="R283" s="40">
        <f>+'[1]D N 2'!AF305</f>
        <v>19250000</v>
      </c>
      <c r="S283" s="33">
        <f t="shared" si="36"/>
        <v>0</v>
      </c>
    </row>
    <row r="284" spans="1:19">
      <c r="A284" s="29">
        <f t="shared" si="37"/>
        <v>280</v>
      </c>
      <c r="B284" s="30" t="s">
        <v>772</v>
      </c>
      <c r="C284" s="31" t="s">
        <v>773</v>
      </c>
      <c r="D284" s="32"/>
      <c r="E284" s="32">
        <v>42325</v>
      </c>
      <c r="F284" s="33">
        <f>83677166+2091929+1055247+250000+200000+25000000-F285</f>
        <v>56137171</v>
      </c>
      <c r="G284" s="70">
        <f t="shared" si="30"/>
        <v>49413900</v>
      </c>
      <c r="H284" s="33">
        <v>779704</v>
      </c>
      <c r="I284" s="62">
        <f>1347292-I285</f>
        <v>673646</v>
      </c>
      <c r="J284" s="29">
        <v>34</v>
      </c>
      <c r="K284" s="29">
        <v>2</v>
      </c>
      <c r="L284" s="33">
        <f t="shared" si="33"/>
        <v>1453350</v>
      </c>
      <c r="M284" s="33">
        <f t="shared" si="34"/>
        <v>2906700</v>
      </c>
      <c r="N284" s="57">
        <f>F284-(H284*32)-2000000-6000000-2000000-2000000-6000000-2000000-2000000-6000000-2000000</f>
        <v>1186643</v>
      </c>
      <c r="O284" s="42" t="s">
        <v>774</v>
      </c>
      <c r="P284" s="110" t="s">
        <v>69</v>
      </c>
      <c r="Q284" s="40">
        <f t="shared" si="35"/>
        <v>1186643</v>
      </c>
      <c r="R284" s="40">
        <f>+'[1]D N 2'!AF306</f>
        <v>1186643</v>
      </c>
      <c r="S284" s="33">
        <f t="shared" si="36"/>
        <v>0</v>
      </c>
    </row>
    <row r="285" spans="1:19">
      <c r="A285" s="29">
        <f t="shared" si="37"/>
        <v>281</v>
      </c>
      <c r="B285" s="30" t="s">
        <v>772</v>
      </c>
      <c r="C285" s="31" t="s">
        <v>773</v>
      </c>
      <c r="D285" s="32"/>
      <c r="E285" s="32">
        <v>42325</v>
      </c>
      <c r="F285" s="33">
        <v>56137171</v>
      </c>
      <c r="G285" s="70">
        <f t="shared" si="30"/>
        <v>49413900</v>
      </c>
      <c r="H285" s="33">
        <v>779704</v>
      </c>
      <c r="I285" s="62">
        <v>673646</v>
      </c>
      <c r="J285" s="29">
        <v>34</v>
      </c>
      <c r="K285" s="29">
        <v>2</v>
      </c>
      <c r="L285" s="33">
        <f t="shared" si="33"/>
        <v>1453350</v>
      </c>
      <c r="M285" s="33">
        <f t="shared" si="34"/>
        <v>2906700</v>
      </c>
      <c r="N285" s="57">
        <f>F285-(H285*32)-2000000-6000000-2000000-2000000-6000000-2000000-2000000-6000000-2000000</f>
        <v>1186643</v>
      </c>
      <c r="O285" s="42" t="s">
        <v>774</v>
      </c>
      <c r="P285" s="110" t="s">
        <v>69</v>
      </c>
      <c r="Q285" s="40">
        <f t="shared" si="35"/>
        <v>1186643</v>
      </c>
      <c r="R285" s="40">
        <f>+'[1]D N 2'!AF307</f>
        <v>1186643</v>
      </c>
      <c r="S285" s="33">
        <f t="shared" si="36"/>
        <v>0</v>
      </c>
    </row>
    <row r="286" spans="1:19">
      <c r="A286" s="29">
        <f t="shared" si="37"/>
        <v>282</v>
      </c>
      <c r="B286" s="30" t="s">
        <v>772</v>
      </c>
      <c r="C286" s="31" t="s">
        <v>773</v>
      </c>
      <c r="D286" s="43" t="s">
        <v>775</v>
      </c>
      <c r="E286" s="32">
        <v>42775</v>
      </c>
      <c r="F286" s="33">
        <f>177000+17523000</f>
        <v>17700000</v>
      </c>
      <c r="G286" s="34">
        <f t="shared" si="30"/>
        <v>25380000</v>
      </c>
      <c r="H286" s="33">
        <v>492600</v>
      </c>
      <c r="I286" s="33">
        <f>+F286*1.2%</f>
        <v>212400</v>
      </c>
      <c r="J286" s="29">
        <v>36</v>
      </c>
      <c r="K286" s="29">
        <v>19</v>
      </c>
      <c r="L286" s="36">
        <f t="shared" si="33"/>
        <v>705000</v>
      </c>
      <c r="M286" s="36">
        <f t="shared" si="34"/>
        <v>13395000</v>
      </c>
      <c r="N286" s="38">
        <f>F286-(H286*17)</f>
        <v>9325800</v>
      </c>
      <c r="O286" s="39" t="s">
        <v>385</v>
      </c>
      <c r="P286" s="107" t="s">
        <v>113</v>
      </c>
      <c r="Q286" s="40">
        <f t="shared" si="35"/>
        <v>9325800</v>
      </c>
      <c r="R286" s="40">
        <f>+'[1]D N 2'!AF308</f>
        <v>9325800</v>
      </c>
      <c r="S286" s="33">
        <f t="shared" si="36"/>
        <v>0</v>
      </c>
    </row>
    <row r="287" spans="1:19">
      <c r="A287" s="29">
        <f t="shared" si="37"/>
        <v>283</v>
      </c>
      <c r="B287" s="30" t="s">
        <v>776</v>
      </c>
      <c r="C287" s="31" t="s">
        <v>777</v>
      </c>
      <c r="D287" s="43" t="s">
        <v>778</v>
      </c>
      <c r="E287" s="32">
        <v>42930</v>
      </c>
      <c r="F287" s="44">
        <f>21660000+541500+293032+500000+200000+56805468</f>
        <v>80000000</v>
      </c>
      <c r="G287" s="34">
        <f t="shared" si="30"/>
        <v>54594000</v>
      </c>
      <c r="H287" s="35">
        <v>556500</v>
      </c>
      <c r="I287" s="35">
        <f>+F287*1.2%</f>
        <v>960000</v>
      </c>
      <c r="J287" s="29">
        <v>36</v>
      </c>
      <c r="K287" s="29">
        <v>24</v>
      </c>
      <c r="L287" s="36">
        <f t="shared" si="33"/>
        <v>1516500</v>
      </c>
      <c r="M287" s="37">
        <f t="shared" si="34"/>
        <v>36396000</v>
      </c>
      <c r="N287" s="38">
        <f>F287-(H287*12)-5000000-10000000-5000000</f>
        <v>53322000</v>
      </c>
      <c r="O287" s="39" t="s">
        <v>779</v>
      </c>
      <c r="P287" s="107" t="s">
        <v>35</v>
      </c>
      <c r="Q287" s="40">
        <f t="shared" si="35"/>
        <v>53322000</v>
      </c>
      <c r="R287" s="40">
        <f>+'[1]D N 2'!AF309</f>
        <v>53322000</v>
      </c>
      <c r="S287" s="33">
        <f t="shared" si="36"/>
        <v>0</v>
      </c>
    </row>
    <row r="288" spans="1:19">
      <c r="A288" s="29">
        <f t="shared" si="37"/>
        <v>284</v>
      </c>
      <c r="B288" s="30" t="s">
        <v>780</v>
      </c>
      <c r="C288" s="31" t="s">
        <v>781</v>
      </c>
      <c r="D288" s="43" t="s">
        <v>782</v>
      </c>
      <c r="E288" s="32">
        <v>43063</v>
      </c>
      <c r="F288" s="44">
        <f>27498000+687450+200000+200000+21414550</f>
        <v>50000000</v>
      </c>
      <c r="G288" s="34">
        <f t="shared" si="30"/>
        <v>71604000</v>
      </c>
      <c r="H288" s="35">
        <f>1989000-I288</f>
        <v>1389000</v>
      </c>
      <c r="I288" s="35">
        <f>+F288*1.2%</f>
        <v>600000</v>
      </c>
      <c r="J288" s="29">
        <v>36</v>
      </c>
      <c r="K288" s="29">
        <v>29</v>
      </c>
      <c r="L288" s="36">
        <f t="shared" si="33"/>
        <v>1989000</v>
      </c>
      <c r="M288" s="37">
        <f t="shared" si="34"/>
        <v>57681000</v>
      </c>
      <c r="N288" s="38">
        <f>F288-(H288*7)</f>
        <v>40277000</v>
      </c>
      <c r="O288" s="42" t="s">
        <v>783</v>
      </c>
      <c r="P288" s="107" t="s">
        <v>49</v>
      </c>
      <c r="Q288" s="40">
        <f t="shared" si="35"/>
        <v>40277000</v>
      </c>
      <c r="R288" s="40">
        <f>+'[1]D N 2'!AF310</f>
        <v>40277000</v>
      </c>
      <c r="S288" s="33">
        <f t="shared" si="36"/>
        <v>0</v>
      </c>
    </row>
    <row r="289" spans="1:20">
      <c r="A289" s="29">
        <f t="shared" si="37"/>
        <v>285</v>
      </c>
      <c r="B289" s="30" t="s">
        <v>784</v>
      </c>
      <c r="C289" s="31" t="s">
        <v>785</v>
      </c>
      <c r="D289" s="31" t="s">
        <v>786</v>
      </c>
      <c r="E289" s="32">
        <v>43097</v>
      </c>
      <c r="F289" s="41">
        <f>36664000+916600+100000+200000+10000000-F290</f>
        <v>23940300</v>
      </c>
      <c r="G289" s="34">
        <f t="shared" si="30"/>
        <v>16874973</v>
      </c>
      <c r="H289" s="40">
        <v>337716</v>
      </c>
      <c r="I289" s="40">
        <v>287283</v>
      </c>
      <c r="J289" s="29">
        <v>27</v>
      </c>
      <c r="K289" s="29">
        <v>21</v>
      </c>
      <c r="L289" s="36">
        <f t="shared" si="33"/>
        <v>624999</v>
      </c>
      <c r="M289" s="37">
        <f t="shared" si="34"/>
        <v>13124979</v>
      </c>
      <c r="N289" s="38">
        <f>F289-(H289*6)-5000000</f>
        <v>16914004</v>
      </c>
      <c r="O289" s="39" t="s">
        <v>787</v>
      </c>
      <c r="P289" s="107" t="s">
        <v>49</v>
      </c>
      <c r="Q289" s="40">
        <f t="shared" si="35"/>
        <v>16914004</v>
      </c>
      <c r="R289" s="40">
        <f>+'[1]D N 2'!AF311</f>
        <v>16914004</v>
      </c>
      <c r="S289" s="33">
        <f t="shared" si="36"/>
        <v>0</v>
      </c>
    </row>
    <row r="290" spans="1:20">
      <c r="A290" s="29">
        <f t="shared" si="37"/>
        <v>286</v>
      </c>
      <c r="B290" s="30" t="s">
        <v>784</v>
      </c>
      <c r="C290" s="31" t="s">
        <v>785</v>
      </c>
      <c r="D290" s="31" t="s">
        <v>786</v>
      </c>
      <c r="E290" s="32">
        <v>43097</v>
      </c>
      <c r="F290" s="41">
        <v>23940300</v>
      </c>
      <c r="G290" s="34">
        <f t="shared" si="30"/>
        <v>16875027</v>
      </c>
      <c r="H290" s="40">
        <v>337717</v>
      </c>
      <c r="I290" s="40">
        <v>287284</v>
      </c>
      <c r="J290" s="29">
        <v>27</v>
      </c>
      <c r="K290" s="29">
        <v>22</v>
      </c>
      <c r="L290" s="36">
        <f t="shared" si="33"/>
        <v>625001</v>
      </c>
      <c r="M290" s="37">
        <f t="shared" si="34"/>
        <v>13750022</v>
      </c>
      <c r="N290" s="38">
        <f>F290-(H290*5)-5000000</f>
        <v>17251715</v>
      </c>
      <c r="O290" s="39" t="s">
        <v>787</v>
      </c>
      <c r="P290" s="107" t="s">
        <v>49</v>
      </c>
      <c r="Q290" s="40">
        <f t="shared" si="35"/>
        <v>17251715</v>
      </c>
      <c r="R290" s="40">
        <f>+'[1]D N 2'!AF312</f>
        <v>17251715</v>
      </c>
      <c r="S290" s="33">
        <f t="shared" si="36"/>
        <v>0</v>
      </c>
    </row>
    <row r="291" spans="1:20">
      <c r="A291" s="29">
        <f t="shared" si="37"/>
        <v>287</v>
      </c>
      <c r="B291" s="30" t="s">
        <v>788</v>
      </c>
      <c r="C291" s="31" t="s">
        <v>789</v>
      </c>
      <c r="D291" s="31" t="s">
        <v>790</v>
      </c>
      <c r="E291" s="32">
        <v>43158</v>
      </c>
      <c r="F291" s="41">
        <f>50000+4950000</f>
        <v>5000000</v>
      </c>
      <c r="G291" s="34">
        <f t="shared" si="30"/>
        <v>5724000</v>
      </c>
      <c r="H291" s="40">
        <f>477000-I291</f>
        <v>417000</v>
      </c>
      <c r="I291" s="40">
        <f>+F291*1.2%</f>
        <v>60000</v>
      </c>
      <c r="J291" s="29">
        <v>12</v>
      </c>
      <c r="K291" s="29">
        <f>8</f>
        <v>8</v>
      </c>
      <c r="L291" s="36">
        <f t="shared" si="33"/>
        <v>477000</v>
      </c>
      <c r="M291" s="37">
        <f t="shared" si="34"/>
        <v>3816000</v>
      </c>
      <c r="N291" s="38">
        <f>F291-(H291*4)</f>
        <v>3332000</v>
      </c>
      <c r="O291" s="39" t="s">
        <v>791</v>
      </c>
      <c r="P291" s="107" t="s">
        <v>326</v>
      </c>
      <c r="Q291" s="40">
        <f t="shared" si="35"/>
        <v>3332000</v>
      </c>
      <c r="R291" s="40">
        <f>+'[1]D N 2'!AF313</f>
        <v>3332000</v>
      </c>
      <c r="S291" s="33">
        <f t="shared" si="36"/>
        <v>0</v>
      </c>
      <c r="T291" s="94"/>
    </row>
    <row r="292" spans="1:20">
      <c r="A292" s="29">
        <f t="shared" si="37"/>
        <v>288</v>
      </c>
      <c r="B292" s="30" t="s">
        <v>788</v>
      </c>
      <c r="C292" s="31" t="s">
        <v>789</v>
      </c>
      <c r="D292" s="31" t="s">
        <v>792</v>
      </c>
      <c r="E292" s="32">
        <v>43018</v>
      </c>
      <c r="F292" s="41">
        <f>600000+200000+89200000</f>
        <v>90000000</v>
      </c>
      <c r="G292" s="34">
        <f t="shared" si="30"/>
        <v>71892000</v>
      </c>
      <c r="H292" s="35">
        <v>917000</v>
      </c>
      <c r="I292" s="35">
        <f>+F292*1.2%</f>
        <v>1080000</v>
      </c>
      <c r="J292" s="29">
        <v>36</v>
      </c>
      <c r="K292" s="29">
        <f>27</f>
        <v>27</v>
      </c>
      <c r="L292" s="36">
        <f t="shared" si="33"/>
        <v>1997000</v>
      </c>
      <c r="M292" s="37">
        <f t="shared" si="34"/>
        <v>53919000</v>
      </c>
      <c r="N292" s="38">
        <f>F292-(H292*9)-2000000-15000000-2000000</f>
        <v>62747000</v>
      </c>
      <c r="O292" s="42" t="s">
        <v>793</v>
      </c>
      <c r="P292" s="107" t="s">
        <v>49</v>
      </c>
      <c r="Q292" s="40">
        <f t="shared" si="35"/>
        <v>62747000</v>
      </c>
      <c r="R292" s="40">
        <f>+'[1]D N 2'!AF314</f>
        <v>62747000</v>
      </c>
      <c r="S292" s="33">
        <f t="shared" si="36"/>
        <v>0</v>
      </c>
      <c r="T292" s="94"/>
    </row>
    <row r="293" spans="1:20">
      <c r="A293" s="29">
        <f t="shared" si="37"/>
        <v>289</v>
      </c>
      <c r="B293" s="30" t="s">
        <v>794</v>
      </c>
      <c r="C293" s="31" t="s">
        <v>795</v>
      </c>
      <c r="D293" s="43" t="s">
        <v>796</v>
      </c>
      <c r="E293" s="32">
        <v>42760</v>
      </c>
      <c r="F293" s="33">
        <f>28332000+708300+700000+200000+70059700</f>
        <v>100000000</v>
      </c>
      <c r="G293" s="34">
        <f t="shared" si="30"/>
        <v>75081000</v>
      </c>
      <c r="H293" s="33">
        <v>1389000</v>
      </c>
      <c r="I293" s="33">
        <f>+F293*1.2%</f>
        <v>1200000</v>
      </c>
      <c r="J293" s="29">
        <v>29</v>
      </c>
      <c r="K293" s="29">
        <v>12</v>
      </c>
      <c r="L293" s="36">
        <f t="shared" si="33"/>
        <v>2589000</v>
      </c>
      <c r="M293" s="36">
        <f t="shared" si="34"/>
        <v>31068000</v>
      </c>
      <c r="N293" s="38">
        <f>F293-(H293*17)-20000000-20000000</f>
        <v>36387000</v>
      </c>
      <c r="O293" s="39" t="s">
        <v>797</v>
      </c>
      <c r="P293" s="107" t="s">
        <v>35</v>
      </c>
      <c r="Q293" s="40">
        <f t="shared" si="35"/>
        <v>36387000</v>
      </c>
      <c r="R293" s="40">
        <f>+'[1]D N 2'!AF315</f>
        <v>36387000</v>
      </c>
      <c r="S293" s="33">
        <f t="shared" si="36"/>
        <v>0</v>
      </c>
    </row>
    <row r="294" spans="1:20">
      <c r="A294" s="29">
        <f t="shared" si="37"/>
        <v>290</v>
      </c>
      <c r="B294" s="30" t="s">
        <v>798</v>
      </c>
      <c r="C294" s="31" t="s">
        <v>799</v>
      </c>
      <c r="D294" s="31" t="s">
        <v>800</v>
      </c>
      <c r="E294" s="32">
        <v>42982</v>
      </c>
      <c r="F294" s="41">
        <f>60554000+1513850+590968+394460+200000+36746722</f>
        <v>100000000</v>
      </c>
      <c r="G294" s="34">
        <f t="shared" si="30"/>
        <v>93222000</v>
      </c>
      <c r="H294" s="35">
        <v>1389500</v>
      </c>
      <c r="I294" s="35">
        <f>+F294*1.2%</f>
        <v>1200000</v>
      </c>
      <c r="J294" s="29">
        <v>36</v>
      </c>
      <c r="K294" s="29">
        <f>26</f>
        <v>26</v>
      </c>
      <c r="L294" s="36">
        <f t="shared" si="33"/>
        <v>2589500</v>
      </c>
      <c r="M294" s="37">
        <f t="shared" si="34"/>
        <v>67327000</v>
      </c>
      <c r="N294" s="38">
        <f>F294-(H294*10)-3000000-11000000-3000000</f>
        <v>69105000</v>
      </c>
      <c r="O294" s="42" t="s">
        <v>801</v>
      </c>
      <c r="P294" s="107" t="s">
        <v>30</v>
      </c>
      <c r="Q294" s="40">
        <f t="shared" si="35"/>
        <v>69105000</v>
      </c>
      <c r="R294" s="40">
        <f>+'[1]D N 2'!AF316</f>
        <v>69105000</v>
      </c>
      <c r="S294" s="33">
        <f t="shared" si="36"/>
        <v>0</v>
      </c>
    </row>
    <row r="295" spans="1:20">
      <c r="A295" s="29">
        <f t="shared" si="37"/>
        <v>291</v>
      </c>
      <c r="B295" s="30" t="s">
        <v>802</v>
      </c>
      <c r="C295" s="45" t="s">
        <v>803</v>
      </c>
      <c r="D295" s="45" t="s">
        <v>804</v>
      </c>
      <c r="E295" s="32">
        <v>43235</v>
      </c>
      <c r="F295" s="41">
        <f>3998000+26660000+9166666+995617+568000+201753+200000+18209964</f>
        <v>60000000</v>
      </c>
      <c r="G295" s="34">
        <f t="shared" si="30"/>
        <v>45500000</v>
      </c>
      <c r="H295" s="40">
        <v>580000</v>
      </c>
      <c r="I295" s="40">
        <f>+F295*1.2%</f>
        <v>720000</v>
      </c>
      <c r="J295" s="29">
        <v>35</v>
      </c>
      <c r="K295" s="29">
        <v>33</v>
      </c>
      <c r="L295" s="36">
        <f t="shared" si="33"/>
        <v>1300000</v>
      </c>
      <c r="M295" s="37">
        <f t="shared" si="34"/>
        <v>42900000</v>
      </c>
      <c r="N295" s="38">
        <f>F295-(H295*2)</f>
        <v>58840000</v>
      </c>
      <c r="O295" s="39" t="s">
        <v>805</v>
      </c>
      <c r="P295" s="107" t="s">
        <v>64</v>
      </c>
      <c r="Q295" s="40">
        <f t="shared" si="35"/>
        <v>58840000</v>
      </c>
      <c r="R295" s="40">
        <f>+'[1]D N 2'!AF317</f>
        <v>58840000</v>
      </c>
      <c r="S295" s="33">
        <f t="shared" si="36"/>
        <v>0</v>
      </c>
    </row>
    <row r="296" spans="1:20">
      <c r="A296" s="29">
        <f t="shared" si="37"/>
        <v>292</v>
      </c>
      <c r="B296" s="50" t="s">
        <v>806</v>
      </c>
      <c r="C296" s="51">
        <v>960616</v>
      </c>
      <c r="D296" s="99"/>
      <c r="E296" s="99">
        <v>41213</v>
      </c>
      <c r="F296" s="55">
        <f>26633122+853329+7500000+5070183+1180550+200000+0</f>
        <v>41437184</v>
      </c>
      <c r="G296" s="53">
        <f t="shared" ref="G296:G359" si="38">+J296*L296</f>
        <v>50400000</v>
      </c>
      <c r="H296" s="55">
        <v>161315</v>
      </c>
      <c r="I296" s="53">
        <v>538685</v>
      </c>
      <c r="J296" s="101">
        <v>72</v>
      </c>
      <c r="K296" s="56">
        <f>60+1</f>
        <v>61</v>
      </c>
      <c r="L296" s="62">
        <f t="shared" si="33"/>
        <v>700000</v>
      </c>
      <c r="M296" s="62">
        <f t="shared" si="34"/>
        <v>42700000</v>
      </c>
      <c r="N296" s="67">
        <f>F296-(H296*11)-160000-(712073)-(1942286)-(636852)-(1500000)-(4361315)-1000000-986424</f>
        <v>28363769</v>
      </c>
      <c r="O296" s="42" t="s">
        <v>807</v>
      </c>
      <c r="P296" s="110" t="s">
        <v>720</v>
      </c>
      <c r="Q296" s="40">
        <f t="shared" si="35"/>
        <v>28363769</v>
      </c>
      <c r="R296" s="40">
        <f>+'[1]D N 2'!AF318</f>
        <v>28363769</v>
      </c>
      <c r="S296" s="33">
        <f t="shared" si="36"/>
        <v>0</v>
      </c>
    </row>
    <row r="297" spans="1:20">
      <c r="A297" s="29">
        <f t="shared" si="37"/>
        <v>293</v>
      </c>
      <c r="B297" s="30" t="s">
        <v>808</v>
      </c>
      <c r="C297" s="31" t="s">
        <v>809</v>
      </c>
      <c r="D297" s="31" t="s">
        <v>810</v>
      </c>
      <c r="E297" s="32">
        <v>43047</v>
      </c>
      <c r="F297" s="41">
        <f>201013200+1250000+1107996+200000-75000000-78571196</f>
        <v>50000000</v>
      </c>
      <c r="G297" s="34">
        <f t="shared" si="38"/>
        <v>22500000</v>
      </c>
      <c r="H297" s="40">
        <v>150000</v>
      </c>
      <c r="I297" s="40">
        <f>+F297*1.2%</f>
        <v>600000</v>
      </c>
      <c r="J297" s="29">
        <v>30</v>
      </c>
      <c r="K297" s="29">
        <v>22</v>
      </c>
      <c r="L297" s="36">
        <f t="shared" si="33"/>
        <v>750000</v>
      </c>
      <c r="M297" s="37">
        <f t="shared" si="34"/>
        <v>16500000</v>
      </c>
      <c r="N297" s="38">
        <f>F297-(H297*8)-15000000</f>
        <v>33800000</v>
      </c>
      <c r="O297" s="39" t="s">
        <v>811</v>
      </c>
      <c r="P297" s="107" t="s">
        <v>294</v>
      </c>
      <c r="Q297" s="40">
        <f t="shared" si="35"/>
        <v>33800000</v>
      </c>
      <c r="R297" s="40">
        <f>+'[1]D N 2'!AF319</f>
        <v>33800000</v>
      </c>
      <c r="S297" s="33">
        <f t="shared" si="36"/>
        <v>0</v>
      </c>
    </row>
    <row r="298" spans="1:20">
      <c r="A298" s="29">
        <f t="shared" si="37"/>
        <v>294</v>
      </c>
      <c r="B298" s="30" t="s">
        <v>812</v>
      </c>
      <c r="C298" s="45" t="s">
        <v>813</v>
      </c>
      <c r="D298" s="45" t="s">
        <v>814</v>
      </c>
      <c r="E298" s="32">
        <v>43251</v>
      </c>
      <c r="F298" s="41">
        <f>50000+4950000</f>
        <v>5000000</v>
      </c>
      <c r="G298" s="34">
        <f t="shared" si="38"/>
        <v>5600000</v>
      </c>
      <c r="H298" s="40">
        <f>F298/J298</f>
        <v>500000</v>
      </c>
      <c r="I298" s="40">
        <f>+F298*1.2%</f>
        <v>60000</v>
      </c>
      <c r="J298" s="29">
        <v>10</v>
      </c>
      <c r="K298" s="29">
        <f>9</f>
        <v>9</v>
      </c>
      <c r="L298" s="36">
        <f t="shared" si="33"/>
        <v>560000</v>
      </c>
      <c r="M298" s="37">
        <f t="shared" si="34"/>
        <v>5040000</v>
      </c>
      <c r="N298" s="34">
        <f>+H298*K298</f>
        <v>4500000</v>
      </c>
      <c r="O298" s="39" t="s">
        <v>257</v>
      </c>
      <c r="P298" s="107" t="s">
        <v>123</v>
      </c>
      <c r="Q298" s="40">
        <f t="shared" si="35"/>
        <v>4500000</v>
      </c>
      <c r="R298" s="40">
        <f>+'[1]D N 2'!AF320</f>
        <v>4500000</v>
      </c>
      <c r="S298" s="33">
        <f t="shared" si="36"/>
        <v>0</v>
      </c>
    </row>
    <row r="299" spans="1:20">
      <c r="A299" s="29">
        <f t="shared" si="37"/>
        <v>295</v>
      </c>
      <c r="B299" s="30" t="s">
        <v>812</v>
      </c>
      <c r="C299" s="31" t="s">
        <v>813</v>
      </c>
      <c r="D299" s="31" t="s">
        <v>815</v>
      </c>
      <c r="E299" s="32">
        <v>43157</v>
      </c>
      <c r="F299" s="41">
        <f>23324000+583100+53240+200000+12000000</f>
        <v>36160340</v>
      </c>
      <c r="G299" s="34">
        <f t="shared" si="38"/>
        <v>51804000</v>
      </c>
      <c r="H299" s="40">
        <v>1005076</v>
      </c>
      <c r="I299" s="40">
        <v>433924</v>
      </c>
      <c r="J299" s="29">
        <v>36</v>
      </c>
      <c r="K299" s="29">
        <f>32</f>
        <v>32</v>
      </c>
      <c r="L299" s="36">
        <f t="shared" si="33"/>
        <v>1439000</v>
      </c>
      <c r="M299" s="37">
        <f t="shared" si="34"/>
        <v>46048000</v>
      </c>
      <c r="N299" s="38">
        <f>F299-(H299*4)</f>
        <v>32140036</v>
      </c>
      <c r="O299" s="39" t="s">
        <v>816</v>
      </c>
      <c r="P299" s="107" t="s">
        <v>78</v>
      </c>
      <c r="Q299" s="40">
        <f t="shared" si="35"/>
        <v>32140036</v>
      </c>
      <c r="R299" s="40">
        <f>+'[1]D N 2'!AF321</f>
        <v>32140036</v>
      </c>
      <c r="S299" s="33">
        <f t="shared" si="36"/>
        <v>0</v>
      </c>
    </row>
    <row r="300" spans="1:20">
      <c r="A300" s="29">
        <f t="shared" si="37"/>
        <v>296</v>
      </c>
      <c r="B300" s="30" t="s">
        <v>817</v>
      </c>
      <c r="C300" s="45" t="s">
        <v>818</v>
      </c>
      <c r="D300" s="45" t="s">
        <v>819</v>
      </c>
      <c r="E300" s="32">
        <v>43235</v>
      </c>
      <c r="F300" s="41">
        <f>24880000+622000+488387+200000+200000+23609613</f>
        <v>50000000</v>
      </c>
      <c r="G300" s="34">
        <f t="shared" si="38"/>
        <v>45307500</v>
      </c>
      <c r="H300" s="40">
        <v>694500</v>
      </c>
      <c r="I300" s="40">
        <f>+F300*1.2%</f>
        <v>600000</v>
      </c>
      <c r="J300" s="29">
        <v>35</v>
      </c>
      <c r="K300" s="29">
        <v>33</v>
      </c>
      <c r="L300" s="36">
        <f t="shared" si="33"/>
        <v>1294500</v>
      </c>
      <c r="M300" s="37">
        <f t="shared" si="34"/>
        <v>42718500</v>
      </c>
      <c r="N300" s="38">
        <f>F300-(H300*2)-3000000</f>
        <v>45611000</v>
      </c>
      <c r="O300" s="39" t="s">
        <v>77</v>
      </c>
      <c r="P300" s="107" t="s">
        <v>64</v>
      </c>
      <c r="Q300" s="40">
        <f t="shared" si="35"/>
        <v>45611000</v>
      </c>
      <c r="R300" s="40">
        <f>+'[1]D N 2'!AF322</f>
        <v>45611000</v>
      </c>
      <c r="S300" s="33">
        <f t="shared" si="36"/>
        <v>0</v>
      </c>
    </row>
    <row r="301" spans="1:20">
      <c r="A301" s="29">
        <f t="shared" si="37"/>
        <v>297</v>
      </c>
      <c r="B301" s="30" t="s">
        <v>820</v>
      </c>
      <c r="C301" s="31" t="s">
        <v>821</v>
      </c>
      <c r="D301" s="31" t="s">
        <v>822</v>
      </c>
      <c r="E301" s="32">
        <v>42978</v>
      </c>
      <c r="F301" s="41">
        <f>81576166+4500000+2039404+621035+684238+200000+60379157-75000000</f>
        <v>75000000</v>
      </c>
      <c r="G301" s="34">
        <f t="shared" si="38"/>
        <v>66700000</v>
      </c>
      <c r="H301" s="35">
        <f>1100000-H302</f>
        <v>550000</v>
      </c>
      <c r="I301" s="35">
        <f>+F301*1.2%</f>
        <v>900000</v>
      </c>
      <c r="J301" s="29">
        <v>46</v>
      </c>
      <c r="K301" s="29">
        <v>36</v>
      </c>
      <c r="L301" s="36">
        <f t="shared" si="33"/>
        <v>1450000</v>
      </c>
      <c r="M301" s="37">
        <f t="shared" si="34"/>
        <v>52200000</v>
      </c>
      <c r="N301" s="38">
        <f>F301-(H301*10)-2500000-10000000</f>
        <v>57000000</v>
      </c>
      <c r="O301" s="42" t="s">
        <v>823</v>
      </c>
      <c r="P301" s="107" t="s">
        <v>95</v>
      </c>
      <c r="Q301" s="40">
        <f t="shared" si="35"/>
        <v>57000000</v>
      </c>
      <c r="R301" s="40">
        <f>+'[1]D N 2'!AF323</f>
        <v>57000000</v>
      </c>
      <c r="S301" s="33">
        <f t="shared" si="36"/>
        <v>0</v>
      </c>
    </row>
    <row r="302" spans="1:20">
      <c r="A302" s="29">
        <f t="shared" si="37"/>
        <v>298</v>
      </c>
      <c r="B302" s="30" t="s">
        <v>820</v>
      </c>
      <c r="C302" s="31" t="s">
        <v>821</v>
      </c>
      <c r="D302" s="31" t="s">
        <v>822</v>
      </c>
      <c r="E302" s="32">
        <v>42978</v>
      </c>
      <c r="F302" s="41">
        <v>75000000</v>
      </c>
      <c r="G302" s="34">
        <f t="shared" si="38"/>
        <v>66700000</v>
      </c>
      <c r="H302" s="41">
        <v>550000</v>
      </c>
      <c r="I302" s="35">
        <f>+F302*1.2%</f>
        <v>900000</v>
      </c>
      <c r="J302" s="29">
        <v>46</v>
      </c>
      <c r="K302" s="29">
        <v>36</v>
      </c>
      <c r="L302" s="36">
        <f t="shared" si="33"/>
        <v>1450000</v>
      </c>
      <c r="M302" s="37">
        <f t="shared" si="34"/>
        <v>52200000</v>
      </c>
      <c r="N302" s="38">
        <f>F302-(H302*10)-2500000-5000000-3085663</f>
        <v>58914337</v>
      </c>
      <c r="O302" s="42" t="s">
        <v>823</v>
      </c>
      <c r="P302" s="39" t="s">
        <v>49</v>
      </c>
      <c r="Q302" s="40">
        <f t="shared" si="35"/>
        <v>58914337</v>
      </c>
      <c r="R302" s="40">
        <f>+'[1]D N 2'!AF324</f>
        <v>58914337</v>
      </c>
      <c r="S302" s="33">
        <f t="shared" si="36"/>
        <v>0</v>
      </c>
    </row>
    <row r="303" spans="1:20">
      <c r="A303" s="29">
        <f t="shared" si="37"/>
        <v>299</v>
      </c>
      <c r="B303" s="30" t="s">
        <v>824</v>
      </c>
      <c r="C303" s="31" t="s">
        <v>825</v>
      </c>
      <c r="D303" s="90"/>
      <c r="E303" s="90">
        <v>41878</v>
      </c>
      <c r="F303" s="62">
        <f>14583650+364591+1700000+200000+183151759</f>
        <v>200000000</v>
      </c>
      <c r="G303" s="70">
        <f t="shared" si="38"/>
        <v>252000000</v>
      </c>
      <c r="H303" s="33">
        <v>1100000</v>
      </c>
      <c r="I303" s="62">
        <f>+F303*1.2%</f>
        <v>2400000</v>
      </c>
      <c r="J303" s="29">
        <v>72</v>
      </c>
      <c r="K303" s="29">
        <v>26</v>
      </c>
      <c r="L303" s="62">
        <f t="shared" si="33"/>
        <v>3500000</v>
      </c>
      <c r="M303" s="62">
        <f t="shared" si="34"/>
        <v>91000000</v>
      </c>
      <c r="N303" s="57">
        <f>F303-(H303*46)-(5000000)-(20000000)-(5000000)-5000000-20000000-5000000-5000000-20000000-5000000-5000000-20000000-5000000</f>
        <v>29400000</v>
      </c>
      <c r="O303" s="58" t="s">
        <v>826</v>
      </c>
      <c r="P303" s="114" t="s">
        <v>827</v>
      </c>
      <c r="Q303" s="40">
        <f t="shared" si="35"/>
        <v>29400000</v>
      </c>
      <c r="R303" s="40">
        <f>+'[1]D N 2'!AF325</f>
        <v>29400000</v>
      </c>
      <c r="S303" s="33">
        <f t="shared" si="36"/>
        <v>0</v>
      </c>
    </row>
    <row r="304" spans="1:20">
      <c r="A304" s="29">
        <f t="shared" si="37"/>
        <v>300</v>
      </c>
      <c r="B304" s="30" t="s">
        <v>828</v>
      </c>
      <c r="C304" s="31" t="s">
        <v>829</v>
      </c>
      <c r="D304" s="31" t="s">
        <v>830</v>
      </c>
      <c r="E304" s="32">
        <v>42787</v>
      </c>
      <c r="F304" s="44">
        <f>6199000</f>
        <v>6199000</v>
      </c>
      <c r="G304" s="34">
        <f t="shared" si="38"/>
        <v>6228000</v>
      </c>
      <c r="H304" s="44">
        <v>173000</v>
      </c>
      <c r="I304" s="115">
        <v>0</v>
      </c>
      <c r="J304" s="29">
        <v>36</v>
      </c>
      <c r="K304" s="29">
        <v>20</v>
      </c>
      <c r="L304" s="36">
        <f t="shared" si="33"/>
        <v>173000</v>
      </c>
      <c r="M304" s="36">
        <f t="shared" si="34"/>
        <v>3460000</v>
      </c>
      <c r="N304" s="38">
        <f>F304-(H304*16)</f>
        <v>3431000</v>
      </c>
      <c r="O304" s="39" t="s">
        <v>440</v>
      </c>
      <c r="P304" s="107" t="s">
        <v>113</v>
      </c>
      <c r="Q304" s="40">
        <f t="shared" si="35"/>
        <v>3431000</v>
      </c>
      <c r="R304" s="40">
        <f>+'[1]D N 2'!AF326</f>
        <v>3431000</v>
      </c>
      <c r="S304" s="33">
        <f t="shared" si="36"/>
        <v>0</v>
      </c>
    </row>
    <row r="305" spans="1:19">
      <c r="A305" s="29">
        <f t="shared" si="37"/>
        <v>301</v>
      </c>
      <c r="B305" s="30" t="s">
        <v>831</v>
      </c>
      <c r="C305" s="45" t="s">
        <v>832</v>
      </c>
      <c r="D305" s="45" t="s">
        <v>833</v>
      </c>
      <c r="E305" s="43">
        <v>43234</v>
      </c>
      <c r="F305" s="41">
        <f>30198512+754963+372461+648015+200000+62826049</f>
        <v>95000000</v>
      </c>
      <c r="G305" s="34">
        <f t="shared" si="38"/>
        <v>77040000</v>
      </c>
      <c r="H305" s="40">
        <f>2140000-I305</f>
        <v>1000000</v>
      </c>
      <c r="I305" s="40">
        <f>+F305*1.2%</f>
        <v>1140000</v>
      </c>
      <c r="J305" s="29">
        <v>36</v>
      </c>
      <c r="K305" s="29">
        <v>34</v>
      </c>
      <c r="L305" s="36">
        <f t="shared" si="33"/>
        <v>2140000</v>
      </c>
      <c r="M305" s="37">
        <f t="shared" si="34"/>
        <v>72760000</v>
      </c>
      <c r="N305" s="38">
        <f>F305-(H305*2)</f>
        <v>93000000</v>
      </c>
      <c r="O305" s="46" t="s">
        <v>834</v>
      </c>
      <c r="P305" s="107" t="s">
        <v>64</v>
      </c>
      <c r="Q305" s="40">
        <f t="shared" si="35"/>
        <v>93000000</v>
      </c>
      <c r="R305" s="40">
        <f>+'[1]D N 2'!AF327</f>
        <v>93000000</v>
      </c>
      <c r="S305" s="33">
        <f t="shared" si="36"/>
        <v>0</v>
      </c>
    </row>
    <row r="306" spans="1:19">
      <c r="A306" s="29">
        <f t="shared" si="37"/>
        <v>302</v>
      </c>
      <c r="B306" s="50" t="s">
        <v>835</v>
      </c>
      <c r="C306" s="51" t="s">
        <v>836</v>
      </c>
      <c r="D306" s="51" t="s">
        <v>837</v>
      </c>
      <c r="E306" s="52">
        <v>42879</v>
      </c>
      <c r="F306" s="65">
        <v>33717907</v>
      </c>
      <c r="G306" s="88">
        <f t="shared" si="38"/>
        <v>23625000</v>
      </c>
      <c r="H306" s="65">
        <v>270385</v>
      </c>
      <c r="I306" s="65">
        <v>404615</v>
      </c>
      <c r="J306" s="56">
        <v>35</v>
      </c>
      <c r="K306" s="56">
        <f>34+1</f>
        <v>35</v>
      </c>
      <c r="L306" s="34">
        <f t="shared" si="33"/>
        <v>675000</v>
      </c>
      <c r="M306" s="44">
        <f t="shared" si="34"/>
        <v>23625000</v>
      </c>
      <c r="N306" s="38">
        <f>F306-(H306*0)-1500000-521029</f>
        <v>31696878</v>
      </c>
      <c r="O306" s="42" t="s">
        <v>717</v>
      </c>
      <c r="P306" s="110" t="s">
        <v>337</v>
      </c>
      <c r="Q306" s="40">
        <f t="shared" si="35"/>
        <v>31696878</v>
      </c>
      <c r="R306" s="40">
        <f>+'[1]D N 2'!AF328</f>
        <v>31696878</v>
      </c>
      <c r="S306" s="33">
        <f t="shared" si="36"/>
        <v>0</v>
      </c>
    </row>
    <row r="307" spans="1:19">
      <c r="A307" s="29">
        <f t="shared" si="37"/>
        <v>303</v>
      </c>
      <c r="B307" s="50" t="s">
        <v>835</v>
      </c>
      <c r="C307" s="51" t="s">
        <v>836</v>
      </c>
      <c r="D307" s="51" t="s">
        <v>837</v>
      </c>
      <c r="E307" s="52">
        <v>42879</v>
      </c>
      <c r="F307" s="65">
        <f>33242881+2000000+831072+5361861+550000+250000+200000+25000000-33717907</f>
        <v>33717907</v>
      </c>
      <c r="G307" s="88">
        <f t="shared" si="38"/>
        <v>23625000</v>
      </c>
      <c r="H307" s="89">
        <v>270385</v>
      </c>
      <c r="I307" s="55">
        <v>404615</v>
      </c>
      <c r="J307" s="56">
        <v>35</v>
      </c>
      <c r="K307" s="56">
        <f>34+1</f>
        <v>35</v>
      </c>
      <c r="L307" s="34">
        <f t="shared" si="33"/>
        <v>675000</v>
      </c>
      <c r="M307" s="44">
        <f t="shared" si="34"/>
        <v>23625000</v>
      </c>
      <c r="N307" s="38">
        <f>F307-(H307*0)-1500000-227000</f>
        <v>31990907</v>
      </c>
      <c r="O307" s="42" t="s">
        <v>717</v>
      </c>
      <c r="P307" s="110" t="s">
        <v>337</v>
      </c>
      <c r="Q307" s="40">
        <f t="shared" si="35"/>
        <v>31990907</v>
      </c>
      <c r="R307" s="40">
        <f>+'[1]D N 2'!AF329</f>
        <v>31990907</v>
      </c>
      <c r="S307" s="33">
        <f t="shared" si="36"/>
        <v>0</v>
      </c>
    </row>
    <row r="308" spans="1:19">
      <c r="A308" s="29">
        <f t="shared" si="37"/>
        <v>304</v>
      </c>
      <c r="B308" s="30" t="s">
        <v>838</v>
      </c>
      <c r="C308" s="31" t="s">
        <v>839</v>
      </c>
      <c r="D308" s="31" t="s">
        <v>840</v>
      </c>
      <c r="E308" s="32">
        <v>43063</v>
      </c>
      <c r="F308" s="41">
        <f>23766156+594154+137662+200000+20000000-22348986</f>
        <v>22348986</v>
      </c>
      <c r="G308" s="34">
        <f t="shared" si="38"/>
        <v>19200000</v>
      </c>
      <c r="H308" s="40">
        <v>331812</v>
      </c>
      <c r="I308" s="35">
        <v>268188</v>
      </c>
      <c r="J308" s="29">
        <v>32</v>
      </c>
      <c r="K308" s="29">
        <v>25</v>
      </c>
      <c r="L308" s="36">
        <f t="shared" si="33"/>
        <v>600000</v>
      </c>
      <c r="M308" s="37">
        <f t="shared" si="34"/>
        <v>15000000</v>
      </c>
      <c r="N308" s="38">
        <f>F308-(H308*7)-4000000</f>
        <v>16026302</v>
      </c>
      <c r="O308" s="39" t="s">
        <v>841</v>
      </c>
      <c r="P308" s="107" t="s">
        <v>49</v>
      </c>
      <c r="Q308" s="40">
        <f t="shared" si="35"/>
        <v>16026302</v>
      </c>
      <c r="R308" s="40">
        <f>+'[1]D N 2'!AF330</f>
        <v>16026302</v>
      </c>
      <c r="S308" s="33">
        <f t="shared" si="36"/>
        <v>0</v>
      </c>
    </row>
    <row r="309" spans="1:19">
      <c r="A309" s="29">
        <f t="shared" si="37"/>
        <v>305</v>
      </c>
      <c r="B309" s="30" t="s">
        <v>838</v>
      </c>
      <c r="C309" s="31" t="s">
        <v>839</v>
      </c>
      <c r="D309" s="31" t="s">
        <v>840</v>
      </c>
      <c r="E309" s="32">
        <v>43063</v>
      </c>
      <c r="F309" s="41">
        <v>22348986</v>
      </c>
      <c r="G309" s="34">
        <f t="shared" si="38"/>
        <v>19200000</v>
      </c>
      <c r="H309" s="40">
        <v>331812</v>
      </c>
      <c r="I309" s="40">
        <v>268188</v>
      </c>
      <c r="J309" s="29">
        <v>32</v>
      </c>
      <c r="K309" s="29">
        <v>25</v>
      </c>
      <c r="L309" s="36">
        <f t="shared" si="33"/>
        <v>600000</v>
      </c>
      <c r="M309" s="37">
        <f t="shared" si="34"/>
        <v>15000000</v>
      </c>
      <c r="N309" s="38">
        <f>F309-(H309*7)-4000000</f>
        <v>16026302</v>
      </c>
      <c r="O309" s="39" t="s">
        <v>841</v>
      </c>
      <c r="P309" s="107" t="s">
        <v>49</v>
      </c>
      <c r="Q309" s="40">
        <f t="shared" si="35"/>
        <v>16026302</v>
      </c>
      <c r="R309" s="40">
        <f>+'[1]D N 2'!AF331</f>
        <v>16026302</v>
      </c>
      <c r="S309" s="33">
        <f t="shared" si="36"/>
        <v>0</v>
      </c>
    </row>
    <row r="310" spans="1:19">
      <c r="A310" s="29">
        <f t="shared" si="37"/>
        <v>306</v>
      </c>
      <c r="B310" s="30" t="s">
        <v>842</v>
      </c>
      <c r="C310" s="31" t="s">
        <v>843</v>
      </c>
      <c r="D310" s="43" t="s">
        <v>843</v>
      </c>
      <c r="E310" s="32">
        <v>42977</v>
      </c>
      <c r="F310" s="44">
        <f>500000+200000+79300000</f>
        <v>80000000</v>
      </c>
      <c r="G310" s="34">
        <f t="shared" si="38"/>
        <v>53280000</v>
      </c>
      <c r="H310" s="35">
        <v>1260000</v>
      </c>
      <c r="I310" s="35">
        <f>+F310*1.2%</f>
        <v>960000</v>
      </c>
      <c r="J310" s="29">
        <v>24</v>
      </c>
      <c r="K310" s="29">
        <v>14</v>
      </c>
      <c r="L310" s="36">
        <f t="shared" si="33"/>
        <v>2220000</v>
      </c>
      <c r="M310" s="37">
        <f t="shared" si="34"/>
        <v>31080000</v>
      </c>
      <c r="N310" s="38">
        <f>F310-(H310*10)-25000000</f>
        <v>42400000</v>
      </c>
      <c r="O310" s="39" t="s">
        <v>844</v>
      </c>
      <c r="P310" s="107" t="s">
        <v>49</v>
      </c>
      <c r="Q310" s="40">
        <f t="shared" si="35"/>
        <v>42400000</v>
      </c>
      <c r="R310" s="40">
        <f>+'[1]D N 2'!AF332</f>
        <v>42400000</v>
      </c>
      <c r="S310" s="33">
        <f t="shared" si="36"/>
        <v>0</v>
      </c>
    </row>
    <row r="311" spans="1:19">
      <c r="A311" s="29">
        <f t="shared" si="37"/>
        <v>307</v>
      </c>
      <c r="B311" s="30" t="s">
        <v>845</v>
      </c>
      <c r="C311" s="31" t="s">
        <v>846</v>
      </c>
      <c r="D311" s="31" t="s">
        <v>847</v>
      </c>
      <c r="E311" s="32">
        <v>43250</v>
      </c>
      <c r="F311" s="41">
        <f>61299056+1532476+387009+200000+36581459</f>
        <v>100000000</v>
      </c>
      <c r="G311" s="34">
        <f t="shared" si="38"/>
        <v>87500000</v>
      </c>
      <c r="H311" s="40">
        <v>1300000</v>
      </c>
      <c r="I311" s="40">
        <f>+F311*1.2%</f>
        <v>1200000</v>
      </c>
      <c r="J311" s="29">
        <v>35</v>
      </c>
      <c r="K311" s="29">
        <v>34</v>
      </c>
      <c r="L311" s="36">
        <f t="shared" si="33"/>
        <v>2500000</v>
      </c>
      <c r="M311" s="37">
        <f t="shared" si="34"/>
        <v>85000000</v>
      </c>
      <c r="N311" s="38">
        <f>F311-(H311*1)</f>
        <v>98700000</v>
      </c>
      <c r="O311" s="39" t="s">
        <v>848</v>
      </c>
      <c r="P311" s="107" t="s">
        <v>49</v>
      </c>
      <c r="Q311" s="40">
        <f t="shared" si="35"/>
        <v>98700000</v>
      </c>
      <c r="R311" s="40">
        <f>+'[1]D N 2'!AF333</f>
        <v>98700000</v>
      </c>
      <c r="S311" s="33">
        <f t="shared" si="36"/>
        <v>0</v>
      </c>
    </row>
    <row r="312" spans="1:19">
      <c r="A312" s="29">
        <f t="shared" si="37"/>
        <v>308</v>
      </c>
      <c r="B312" s="30" t="s">
        <v>849</v>
      </c>
      <c r="C312" s="31" t="s">
        <v>850</v>
      </c>
      <c r="D312" s="43" t="s">
        <v>851</v>
      </c>
      <c r="E312" s="32">
        <v>43003</v>
      </c>
      <c r="F312" s="44">
        <f>32355000+808875+176450+200000+16459675-25000000</f>
        <v>25000000</v>
      </c>
      <c r="G312" s="34">
        <f t="shared" si="38"/>
        <v>20072500</v>
      </c>
      <c r="H312" s="35">
        <v>347500</v>
      </c>
      <c r="I312" s="35">
        <f>+F312*1.2%</f>
        <v>300000</v>
      </c>
      <c r="J312" s="29">
        <v>31</v>
      </c>
      <c r="K312" s="29">
        <v>22</v>
      </c>
      <c r="L312" s="36">
        <f t="shared" si="33"/>
        <v>647500</v>
      </c>
      <c r="M312" s="37">
        <f t="shared" si="34"/>
        <v>14245000</v>
      </c>
      <c r="N312" s="38">
        <f>F312-(H312*9)-1250000-3750000</f>
        <v>16872500</v>
      </c>
      <c r="O312" s="39" t="s">
        <v>457</v>
      </c>
      <c r="P312" s="107" t="s">
        <v>49</v>
      </c>
      <c r="Q312" s="40">
        <f t="shared" si="35"/>
        <v>16872500</v>
      </c>
      <c r="R312" s="40">
        <f>+'[1]D N 2'!AF334</f>
        <v>16872500</v>
      </c>
      <c r="S312" s="33">
        <f t="shared" si="36"/>
        <v>0</v>
      </c>
    </row>
    <row r="313" spans="1:19">
      <c r="A313" s="29">
        <f t="shared" si="37"/>
        <v>309</v>
      </c>
      <c r="B313" s="30" t="s">
        <v>849</v>
      </c>
      <c r="C313" s="31" t="s">
        <v>850</v>
      </c>
      <c r="D313" s="43" t="s">
        <v>851</v>
      </c>
      <c r="E313" s="32">
        <v>43003</v>
      </c>
      <c r="F313" s="44">
        <v>25000000</v>
      </c>
      <c r="G313" s="34">
        <f t="shared" si="38"/>
        <v>20072500</v>
      </c>
      <c r="H313" s="44">
        <v>347500</v>
      </c>
      <c r="I313" s="35">
        <f>+F313*1.2%</f>
        <v>300000</v>
      </c>
      <c r="J313" s="29">
        <v>31</v>
      </c>
      <c r="K313" s="29">
        <v>22</v>
      </c>
      <c r="L313" s="36">
        <f t="shared" si="33"/>
        <v>647500</v>
      </c>
      <c r="M313" s="37">
        <f t="shared" si="34"/>
        <v>14245000</v>
      </c>
      <c r="N313" s="38">
        <f>F313-(H313*9)-1250000-3750000</f>
        <v>16872500</v>
      </c>
      <c r="O313" s="39" t="s">
        <v>457</v>
      </c>
      <c r="P313" s="107" t="s">
        <v>49</v>
      </c>
      <c r="Q313" s="40">
        <f t="shared" si="35"/>
        <v>16872500</v>
      </c>
      <c r="R313" s="40">
        <f>+'[1]D N 2'!AF335</f>
        <v>16872500</v>
      </c>
      <c r="S313" s="33">
        <f t="shared" si="36"/>
        <v>0</v>
      </c>
    </row>
    <row r="314" spans="1:19">
      <c r="A314" s="29">
        <f t="shared" si="37"/>
        <v>310</v>
      </c>
      <c r="B314" s="30" t="s">
        <v>852</v>
      </c>
      <c r="C314" s="31" t="s">
        <v>853</v>
      </c>
      <c r="D314" s="43" t="s">
        <v>854</v>
      </c>
      <c r="E314" s="32">
        <v>43003</v>
      </c>
      <c r="F314" s="44">
        <f>120000+11880000</f>
        <v>12000000</v>
      </c>
      <c r="G314" s="34">
        <f t="shared" si="38"/>
        <v>15456000</v>
      </c>
      <c r="H314" s="35">
        <f>+F314/J314</f>
        <v>500000</v>
      </c>
      <c r="I314" s="35">
        <f>+F314*1.2%</f>
        <v>144000</v>
      </c>
      <c r="J314" s="29">
        <v>24</v>
      </c>
      <c r="K314" s="29">
        <v>15</v>
      </c>
      <c r="L314" s="36">
        <f t="shared" si="33"/>
        <v>644000</v>
      </c>
      <c r="M314" s="37">
        <f t="shared" si="34"/>
        <v>9660000</v>
      </c>
      <c r="N314" s="34">
        <f>+H314*K314</f>
        <v>7500000</v>
      </c>
      <c r="O314" s="39" t="s">
        <v>535</v>
      </c>
      <c r="P314" s="107" t="s">
        <v>95</v>
      </c>
      <c r="Q314" s="40">
        <f t="shared" si="35"/>
        <v>7500000</v>
      </c>
      <c r="R314" s="40">
        <f>+'[1]D N 2'!AF336</f>
        <v>7500000</v>
      </c>
      <c r="S314" s="33">
        <f t="shared" si="36"/>
        <v>0</v>
      </c>
    </row>
    <row r="315" spans="1:19">
      <c r="A315" s="29">
        <f t="shared" si="37"/>
        <v>311</v>
      </c>
      <c r="B315" s="30" t="s">
        <v>852</v>
      </c>
      <c r="C315" s="31" t="s">
        <v>853</v>
      </c>
      <c r="D315" s="43" t="s">
        <v>855</v>
      </c>
      <c r="E315" s="32">
        <v>42906</v>
      </c>
      <c r="F315" s="44">
        <f>40509956+1012749+594900+200000+57682395-50000000</f>
        <v>50000000</v>
      </c>
      <c r="G315" s="34">
        <f t="shared" si="38"/>
        <v>36000000</v>
      </c>
      <c r="H315" s="35">
        <v>400000</v>
      </c>
      <c r="I315" s="35">
        <f>F315*1.2%</f>
        <v>600000</v>
      </c>
      <c r="J315" s="29">
        <v>36</v>
      </c>
      <c r="K315" s="29">
        <v>24</v>
      </c>
      <c r="L315" s="36">
        <f t="shared" si="33"/>
        <v>1000000</v>
      </c>
      <c r="M315" s="37">
        <f t="shared" si="34"/>
        <v>24000000</v>
      </c>
      <c r="N315" s="38">
        <f>F315-(H315*12)-1500000-6550000-3850000</f>
        <v>33300000</v>
      </c>
      <c r="O315" s="39" t="s">
        <v>856</v>
      </c>
      <c r="P315" s="107" t="s">
        <v>78</v>
      </c>
      <c r="Q315" s="40">
        <f t="shared" si="35"/>
        <v>33300000</v>
      </c>
      <c r="R315" s="40">
        <f>+'[1]D N 2'!AF337</f>
        <v>33300000</v>
      </c>
      <c r="S315" s="33">
        <f t="shared" si="36"/>
        <v>0</v>
      </c>
    </row>
    <row r="316" spans="1:19">
      <c r="A316" s="29">
        <f t="shared" si="37"/>
        <v>312</v>
      </c>
      <c r="B316" s="30" t="s">
        <v>852</v>
      </c>
      <c r="C316" s="31" t="s">
        <v>853</v>
      </c>
      <c r="D316" s="43" t="s">
        <v>855</v>
      </c>
      <c r="E316" s="32">
        <v>42906</v>
      </c>
      <c r="F316" s="44">
        <v>50000000</v>
      </c>
      <c r="G316" s="34">
        <f t="shared" si="38"/>
        <v>36000000</v>
      </c>
      <c r="H316" s="44">
        <v>400000</v>
      </c>
      <c r="I316" s="35">
        <f>F316*1.2%</f>
        <v>600000</v>
      </c>
      <c r="J316" s="29">
        <v>36</v>
      </c>
      <c r="K316" s="29">
        <v>24</v>
      </c>
      <c r="L316" s="36">
        <f t="shared" si="33"/>
        <v>1000000</v>
      </c>
      <c r="M316" s="37">
        <f t="shared" si="34"/>
        <v>24000000</v>
      </c>
      <c r="N316" s="38">
        <f>F316-(H316*12)-1500000-6550000-3850000</f>
        <v>33300000</v>
      </c>
      <c r="O316" s="39" t="s">
        <v>856</v>
      </c>
      <c r="P316" s="107" t="s">
        <v>78</v>
      </c>
      <c r="Q316" s="40">
        <f t="shared" si="35"/>
        <v>33300000</v>
      </c>
      <c r="R316" s="40">
        <f>+'[1]D N 2'!AF338</f>
        <v>33300000</v>
      </c>
      <c r="S316" s="33">
        <f t="shared" si="36"/>
        <v>0</v>
      </c>
    </row>
    <row r="317" spans="1:19">
      <c r="A317" s="29">
        <f t="shared" si="37"/>
        <v>313</v>
      </c>
      <c r="B317" s="30" t="s">
        <v>857</v>
      </c>
      <c r="C317" s="31" t="s">
        <v>858</v>
      </c>
      <c r="D317" s="31" t="s">
        <v>859</v>
      </c>
      <c r="E317" s="32">
        <v>43130</v>
      </c>
      <c r="F317" s="41">
        <v>210978145</v>
      </c>
      <c r="G317" s="34">
        <f t="shared" si="38"/>
        <v>138450039</v>
      </c>
      <c r="H317" s="40">
        <v>1018263</v>
      </c>
      <c r="I317" s="40">
        <v>2531738</v>
      </c>
      <c r="J317" s="29">
        <v>39</v>
      </c>
      <c r="K317" s="29">
        <v>34</v>
      </c>
      <c r="L317" s="36">
        <f t="shared" si="33"/>
        <v>3550001</v>
      </c>
      <c r="M317" s="37">
        <f t="shared" si="34"/>
        <v>120700034</v>
      </c>
      <c r="N317" s="38">
        <f>F317-(H317*5)-32500000-7500000</f>
        <v>165886830</v>
      </c>
      <c r="O317" s="39" t="s">
        <v>860</v>
      </c>
      <c r="P317" s="107" t="s">
        <v>35</v>
      </c>
      <c r="Q317" s="40">
        <f t="shared" si="35"/>
        <v>165886830</v>
      </c>
      <c r="R317" s="40">
        <f>+'[1]D N 2'!AF339</f>
        <v>165886830</v>
      </c>
      <c r="S317" s="33">
        <f t="shared" si="36"/>
        <v>0</v>
      </c>
    </row>
    <row r="318" spans="1:19">
      <c r="A318" s="29">
        <f t="shared" si="37"/>
        <v>314</v>
      </c>
      <c r="B318" s="30" t="s">
        <v>857</v>
      </c>
      <c r="C318" s="31" t="s">
        <v>858</v>
      </c>
      <c r="D318" s="31" t="s">
        <v>859</v>
      </c>
      <c r="E318" s="32">
        <v>43130</v>
      </c>
      <c r="F318" s="41">
        <f>214396380+5359910+2000000+200000+200000000-210978145</f>
        <v>210978145</v>
      </c>
      <c r="G318" s="34">
        <f t="shared" si="38"/>
        <v>138449961</v>
      </c>
      <c r="H318" s="40">
        <v>1018262</v>
      </c>
      <c r="I318" s="40">
        <v>2531737</v>
      </c>
      <c r="J318" s="29">
        <v>39</v>
      </c>
      <c r="K318" s="29">
        <v>34</v>
      </c>
      <c r="L318" s="36">
        <f t="shared" si="33"/>
        <v>3549999</v>
      </c>
      <c r="M318" s="37">
        <f t="shared" si="34"/>
        <v>120699966</v>
      </c>
      <c r="N318" s="38">
        <f>F318-(H318*5)-32500000-7500000</f>
        <v>165886835</v>
      </c>
      <c r="O318" s="39" t="s">
        <v>860</v>
      </c>
      <c r="P318" s="107" t="s">
        <v>35</v>
      </c>
      <c r="Q318" s="40">
        <f t="shared" si="35"/>
        <v>165886835</v>
      </c>
      <c r="R318" s="40">
        <f>+'[1]D N 2'!AF340</f>
        <v>165886835</v>
      </c>
      <c r="S318" s="33">
        <f t="shared" si="36"/>
        <v>0</v>
      </c>
    </row>
    <row r="319" spans="1:19">
      <c r="A319" s="29">
        <f t="shared" si="37"/>
        <v>315</v>
      </c>
      <c r="B319" s="30" t="s">
        <v>861</v>
      </c>
      <c r="C319" s="31" t="s">
        <v>862</v>
      </c>
      <c r="D319" s="31" t="s">
        <v>863</v>
      </c>
      <c r="E319" s="32">
        <v>42985</v>
      </c>
      <c r="F319" s="33">
        <f>14997000+374925+177290+700000+200000+83550785</f>
        <v>100000000</v>
      </c>
      <c r="G319" s="34">
        <f t="shared" si="38"/>
        <v>82864000</v>
      </c>
      <c r="H319" s="35">
        <v>1389500</v>
      </c>
      <c r="I319" s="35">
        <f>+F319*1.2%</f>
        <v>1200000</v>
      </c>
      <c r="J319" s="29">
        <v>32</v>
      </c>
      <c r="K319" s="29">
        <v>22</v>
      </c>
      <c r="L319" s="36">
        <f t="shared" si="33"/>
        <v>2589500</v>
      </c>
      <c r="M319" s="36">
        <f t="shared" si="34"/>
        <v>56969000</v>
      </c>
      <c r="N319" s="38">
        <f>F319-(H319*10)-20000000</f>
        <v>66105000</v>
      </c>
      <c r="O319" s="39" t="s">
        <v>864</v>
      </c>
      <c r="P319" s="107" t="s">
        <v>30</v>
      </c>
      <c r="Q319" s="40">
        <f t="shared" si="35"/>
        <v>66105000</v>
      </c>
      <c r="R319" s="40">
        <f>+'[1]D N 2'!AF341</f>
        <v>66105000</v>
      </c>
      <c r="S319" s="33">
        <f t="shared" si="36"/>
        <v>0</v>
      </c>
    </row>
    <row r="320" spans="1:19">
      <c r="A320" s="29">
        <f t="shared" si="37"/>
        <v>316</v>
      </c>
      <c r="B320" s="30" t="s">
        <v>865</v>
      </c>
      <c r="C320" s="31" t="s">
        <v>866</v>
      </c>
      <c r="D320" s="31" t="s">
        <v>867</v>
      </c>
      <c r="E320" s="32">
        <v>43020</v>
      </c>
      <c r="F320" s="41">
        <f>36110000+902750+391613+288900+200000+27106737-32500000</f>
        <v>32500000</v>
      </c>
      <c r="G320" s="34">
        <f t="shared" si="38"/>
        <v>30042000</v>
      </c>
      <c r="H320" s="35">
        <v>444500</v>
      </c>
      <c r="I320" s="35">
        <f>+F320*1.2%</f>
        <v>390000</v>
      </c>
      <c r="J320" s="29">
        <v>36</v>
      </c>
      <c r="K320" s="29">
        <v>27</v>
      </c>
      <c r="L320" s="36">
        <f t="shared" si="33"/>
        <v>834500</v>
      </c>
      <c r="M320" s="37">
        <f t="shared" si="34"/>
        <v>22531500</v>
      </c>
      <c r="N320" s="38">
        <f>F320-(H320*9)-5500000</f>
        <v>22999500</v>
      </c>
      <c r="O320" s="42" t="s">
        <v>868</v>
      </c>
      <c r="P320" s="107" t="s">
        <v>49</v>
      </c>
      <c r="Q320" s="40">
        <f t="shared" si="35"/>
        <v>22999500</v>
      </c>
      <c r="R320" s="40">
        <f>+'[1]D N 2'!AF342</f>
        <v>22999500</v>
      </c>
      <c r="S320" s="33">
        <f t="shared" si="36"/>
        <v>0</v>
      </c>
    </row>
    <row r="321" spans="1:19">
      <c r="A321" s="29">
        <f t="shared" si="37"/>
        <v>317</v>
      </c>
      <c r="B321" s="30" t="s">
        <v>865</v>
      </c>
      <c r="C321" s="31" t="s">
        <v>866</v>
      </c>
      <c r="D321" s="31" t="s">
        <v>867</v>
      </c>
      <c r="E321" s="32">
        <v>43020</v>
      </c>
      <c r="F321" s="41">
        <v>32500000</v>
      </c>
      <c r="G321" s="34">
        <f t="shared" si="38"/>
        <v>30042000</v>
      </c>
      <c r="H321" s="41">
        <v>444500</v>
      </c>
      <c r="I321" s="35">
        <f>+F321*1.2%</f>
        <v>390000</v>
      </c>
      <c r="J321" s="29">
        <v>36</v>
      </c>
      <c r="K321" s="29">
        <v>27</v>
      </c>
      <c r="L321" s="36">
        <f t="shared" si="33"/>
        <v>834500</v>
      </c>
      <c r="M321" s="37">
        <f t="shared" si="34"/>
        <v>22531500</v>
      </c>
      <c r="N321" s="38">
        <f>F321-(H321*9)-5500000</f>
        <v>22999500</v>
      </c>
      <c r="O321" s="42" t="s">
        <v>868</v>
      </c>
      <c r="P321" s="107" t="s">
        <v>49</v>
      </c>
      <c r="Q321" s="40">
        <f t="shared" si="35"/>
        <v>22999500</v>
      </c>
      <c r="R321" s="40">
        <f>+'[1]D N 2'!AF343</f>
        <v>22999500</v>
      </c>
      <c r="S321" s="33">
        <f t="shared" si="36"/>
        <v>0</v>
      </c>
    </row>
    <row r="322" spans="1:19">
      <c r="A322" s="29">
        <f t="shared" si="37"/>
        <v>318</v>
      </c>
      <c r="B322" s="30" t="s">
        <v>869</v>
      </c>
      <c r="C322" s="31" t="s">
        <v>870</v>
      </c>
      <c r="D322" s="31" t="s">
        <v>871</v>
      </c>
      <c r="E322" s="32">
        <v>42942</v>
      </c>
      <c r="F322" s="41">
        <f>19594762+489869+345948+200000+45000000</f>
        <v>65630579</v>
      </c>
      <c r="G322" s="34">
        <f t="shared" si="38"/>
        <v>70000000</v>
      </c>
      <c r="H322" s="40">
        <v>1212433</v>
      </c>
      <c r="I322" s="40">
        <v>787567</v>
      </c>
      <c r="J322" s="29">
        <v>35</v>
      </c>
      <c r="K322" s="29">
        <v>24</v>
      </c>
      <c r="L322" s="36">
        <f t="shared" si="33"/>
        <v>2000000</v>
      </c>
      <c r="M322" s="37">
        <f t="shared" si="34"/>
        <v>48000000</v>
      </c>
      <c r="N322" s="38">
        <f>F322-(H322*11)-8000000</f>
        <v>44293816</v>
      </c>
      <c r="O322" s="42" t="s">
        <v>872</v>
      </c>
      <c r="P322" s="107" t="s">
        <v>49</v>
      </c>
      <c r="Q322" s="40">
        <f t="shared" si="35"/>
        <v>44293816</v>
      </c>
      <c r="R322" s="40">
        <f>+'[1]D N 2'!AF344</f>
        <v>44293816</v>
      </c>
      <c r="S322" s="33">
        <f t="shared" si="36"/>
        <v>0</v>
      </c>
    </row>
    <row r="323" spans="1:19">
      <c r="A323" s="29">
        <f t="shared" si="37"/>
        <v>319</v>
      </c>
      <c r="B323" s="30" t="s">
        <v>873</v>
      </c>
      <c r="C323" s="31" t="s">
        <v>874</v>
      </c>
      <c r="D323" s="31" t="s">
        <v>875</v>
      </c>
      <c r="E323" s="32">
        <v>43088</v>
      </c>
      <c r="F323" s="41">
        <f>31100000+777500+689000+200000+67233500-50000000</f>
        <v>50000000</v>
      </c>
      <c r="G323" s="34">
        <f t="shared" si="38"/>
        <v>25000000</v>
      </c>
      <c r="H323" s="40">
        <v>400000</v>
      </c>
      <c r="I323" s="40">
        <f>+F323*1.2%</f>
        <v>600000</v>
      </c>
      <c r="J323" s="29">
        <v>25</v>
      </c>
      <c r="K323" s="29">
        <v>19</v>
      </c>
      <c r="L323" s="36">
        <f t="shared" si="33"/>
        <v>1000000</v>
      </c>
      <c r="M323" s="37">
        <f t="shared" si="34"/>
        <v>19000000</v>
      </c>
      <c r="N323" s="38">
        <f>F323-(H323*6)-20000000</f>
        <v>27600000</v>
      </c>
      <c r="O323" s="39" t="s">
        <v>61</v>
      </c>
      <c r="P323" s="107" t="s">
        <v>49</v>
      </c>
      <c r="Q323" s="40">
        <f t="shared" si="35"/>
        <v>27600000</v>
      </c>
      <c r="R323" s="40">
        <f>+'[1]D N 2'!AF345</f>
        <v>27600000</v>
      </c>
      <c r="S323" s="33">
        <f t="shared" si="36"/>
        <v>0</v>
      </c>
    </row>
    <row r="324" spans="1:19">
      <c r="A324" s="29">
        <f t="shared" si="37"/>
        <v>320</v>
      </c>
      <c r="B324" s="30" t="s">
        <v>873</v>
      </c>
      <c r="C324" s="31" t="s">
        <v>874</v>
      </c>
      <c r="D324" s="31" t="s">
        <v>875</v>
      </c>
      <c r="E324" s="32">
        <v>43088</v>
      </c>
      <c r="F324" s="41">
        <v>50000000</v>
      </c>
      <c r="G324" s="34">
        <f t="shared" si="38"/>
        <v>25000000</v>
      </c>
      <c r="H324" s="40">
        <v>400000</v>
      </c>
      <c r="I324" s="40">
        <f>+F324*1.2%</f>
        <v>600000</v>
      </c>
      <c r="J324" s="29">
        <v>25</v>
      </c>
      <c r="K324" s="29">
        <f>19</f>
        <v>19</v>
      </c>
      <c r="L324" s="36">
        <f t="shared" si="33"/>
        <v>1000000</v>
      </c>
      <c r="M324" s="37">
        <f t="shared" si="34"/>
        <v>19000000</v>
      </c>
      <c r="N324" s="38">
        <f>F324-(H324*6)-20000000</f>
        <v>27600000</v>
      </c>
      <c r="O324" s="39" t="s">
        <v>61</v>
      </c>
      <c r="P324" s="107" t="s">
        <v>49</v>
      </c>
      <c r="Q324" s="40">
        <f t="shared" si="35"/>
        <v>27600000</v>
      </c>
      <c r="R324" s="40">
        <f>+'[1]D N 2'!AF346</f>
        <v>27600000</v>
      </c>
      <c r="S324" s="33">
        <f t="shared" si="36"/>
        <v>0</v>
      </c>
    </row>
    <row r="325" spans="1:19">
      <c r="A325" s="29">
        <f t="shared" si="37"/>
        <v>321</v>
      </c>
      <c r="B325" s="30" t="s">
        <v>876</v>
      </c>
      <c r="C325" s="31" t="s">
        <v>877</v>
      </c>
      <c r="D325" s="31" t="s">
        <v>878</v>
      </c>
      <c r="E325" s="32">
        <v>43018</v>
      </c>
      <c r="F325" s="41">
        <f>29433046+735826+287698+300000+200000+30000000</f>
        <v>60956570</v>
      </c>
      <c r="G325" s="34">
        <f t="shared" si="38"/>
        <v>55407500</v>
      </c>
      <c r="H325" s="35">
        <v>766021</v>
      </c>
      <c r="I325" s="35">
        <v>731479</v>
      </c>
      <c r="J325" s="29">
        <v>37</v>
      </c>
      <c r="K325" s="29">
        <v>28</v>
      </c>
      <c r="L325" s="36">
        <f t="shared" ref="L325:L388" si="39">+H325+I325</f>
        <v>1497500</v>
      </c>
      <c r="M325" s="37">
        <f t="shared" ref="M325:M388" si="40">+K325*L325</f>
        <v>41930000</v>
      </c>
      <c r="N325" s="38">
        <f>F325-(H325*9)-11000000</f>
        <v>43062381</v>
      </c>
      <c r="O325" s="42" t="s">
        <v>793</v>
      </c>
      <c r="P325" s="107" t="s">
        <v>49</v>
      </c>
      <c r="Q325" s="40">
        <f t="shared" si="35"/>
        <v>43062381</v>
      </c>
      <c r="R325" s="40">
        <f>+'[1]D N 2'!AF347</f>
        <v>43062381</v>
      </c>
      <c r="S325" s="33">
        <f t="shared" si="36"/>
        <v>0</v>
      </c>
    </row>
    <row r="326" spans="1:19">
      <c r="A326" s="29">
        <f t="shared" si="37"/>
        <v>322</v>
      </c>
      <c r="B326" s="30" t="s">
        <v>879</v>
      </c>
      <c r="C326" s="31" t="s">
        <v>880</v>
      </c>
      <c r="D326" s="31" t="s">
        <v>881</v>
      </c>
      <c r="E326" s="32">
        <v>42941</v>
      </c>
      <c r="F326" s="41">
        <f>60924187+1523105+625000+200000+62500000</f>
        <v>125772292</v>
      </c>
      <c r="G326" s="34">
        <f t="shared" si="38"/>
        <v>77000000</v>
      </c>
      <c r="H326" s="40">
        <v>690732</v>
      </c>
      <c r="I326" s="40">
        <v>1509268</v>
      </c>
      <c r="J326" s="29">
        <v>35</v>
      </c>
      <c r="K326" s="29">
        <v>24</v>
      </c>
      <c r="L326" s="36">
        <f t="shared" si="39"/>
        <v>2200000</v>
      </c>
      <c r="M326" s="37">
        <f t="shared" si="40"/>
        <v>52800000</v>
      </c>
      <c r="N326" s="38">
        <f>F326-(H326*11)-5000000-25000000-5000000</f>
        <v>83174240</v>
      </c>
      <c r="O326" s="42" t="s">
        <v>882</v>
      </c>
      <c r="P326" s="107" t="s">
        <v>49</v>
      </c>
      <c r="Q326" s="40">
        <f t="shared" ref="Q326:Q389" si="41">+N326</f>
        <v>83174240</v>
      </c>
      <c r="R326" s="40">
        <f>+'[1]D N 2'!AF348</f>
        <v>83174240</v>
      </c>
      <c r="S326" s="33">
        <f t="shared" ref="S326:S389" si="42">+Q326-R326</f>
        <v>0</v>
      </c>
    </row>
    <row r="327" spans="1:19">
      <c r="A327" s="29">
        <f t="shared" ref="A327:A390" si="43">+A326+1</f>
        <v>323</v>
      </c>
      <c r="B327" s="30" t="s">
        <v>883</v>
      </c>
      <c r="C327" s="31" t="s">
        <v>884</v>
      </c>
      <c r="D327" s="31" t="s">
        <v>885</v>
      </c>
      <c r="E327" s="32">
        <v>43068</v>
      </c>
      <c r="F327" s="41">
        <f>100000+9900000</f>
        <v>10000000</v>
      </c>
      <c r="G327" s="34">
        <f t="shared" si="38"/>
        <v>11448000</v>
      </c>
      <c r="H327" s="40">
        <f>954000-I327</f>
        <v>834000</v>
      </c>
      <c r="I327" s="40">
        <f>+F327*1.2%</f>
        <v>120000</v>
      </c>
      <c r="J327" s="29">
        <v>12</v>
      </c>
      <c r="K327" s="29">
        <v>5</v>
      </c>
      <c r="L327" s="36">
        <f t="shared" si="39"/>
        <v>954000</v>
      </c>
      <c r="M327" s="37">
        <f t="shared" si="40"/>
        <v>4770000</v>
      </c>
      <c r="N327" s="38">
        <f>F327-(H327*7)</f>
        <v>4162000</v>
      </c>
      <c r="O327" s="39" t="s">
        <v>856</v>
      </c>
      <c r="P327" s="107" t="s">
        <v>123</v>
      </c>
      <c r="Q327" s="40">
        <f t="shared" si="41"/>
        <v>4162000</v>
      </c>
      <c r="R327" s="40">
        <f>+'[1]D N 2'!AF349</f>
        <v>4162000</v>
      </c>
      <c r="S327" s="33">
        <f t="shared" si="42"/>
        <v>0</v>
      </c>
    </row>
    <row r="328" spans="1:19">
      <c r="A328" s="29">
        <f t="shared" si="43"/>
        <v>324</v>
      </c>
      <c r="B328" s="30" t="s">
        <v>886</v>
      </c>
      <c r="C328" s="31" t="s">
        <v>887</v>
      </c>
      <c r="D328" s="32"/>
      <c r="E328" s="32">
        <v>42585</v>
      </c>
      <c r="F328" s="33">
        <f>28332000+708300+139355+300000+200000+30000000</f>
        <v>59679655</v>
      </c>
      <c r="G328" s="34">
        <f t="shared" si="38"/>
        <v>85464000</v>
      </c>
      <c r="H328" s="33">
        <v>1657844</v>
      </c>
      <c r="I328" s="33">
        <v>716156</v>
      </c>
      <c r="J328" s="29">
        <v>36</v>
      </c>
      <c r="K328" s="29">
        <v>13</v>
      </c>
      <c r="L328" s="36">
        <f t="shared" si="39"/>
        <v>2374000</v>
      </c>
      <c r="M328" s="36">
        <f t="shared" si="40"/>
        <v>30862000</v>
      </c>
      <c r="N328" s="38">
        <f>F328-(H328*23)</f>
        <v>21549243</v>
      </c>
      <c r="O328" s="39" t="s">
        <v>187</v>
      </c>
      <c r="P328" s="107" t="s">
        <v>347</v>
      </c>
      <c r="Q328" s="40">
        <f t="shared" si="41"/>
        <v>21549243</v>
      </c>
      <c r="R328" s="40">
        <f>+'[1]D N 2'!AF350</f>
        <v>21549243</v>
      </c>
      <c r="S328" s="33">
        <f t="shared" si="42"/>
        <v>0</v>
      </c>
    </row>
    <row r="329" spans="1:19">
      <c r="A329" s="29">
        <f t="shared" si="43"/>
        <v>325</v>
      </c>
      <c r="B329" s="30" t="s">
        <v>888</v>
      </c>
      <c r="C329" s="31" t="s">
        <v>889</v>
      </c>
      <c r="D329" s="43" t="s">
        <v>890</v>
      </c>
      <c r="E329" s="32">
        <v>42860</v>
      </c>
      <c r="F329" s="44">
        <f>70747500+1768688+1120645+792525+200000+75370642-75000000</f>
        <v>75000000</v>
      </c>
      <c r="G329" s="34">
        <f t="shared" si="38"/>
        <v>69903000</v>
      </c>
      <c r="H329" s="35">
        <v>1041750</v>
      </c>
      <c r="I329" s="33">
        <f>+F329*1.2%</f>
        <v>900000</v>
      </c>
      <c r="J329" s="29">
        <v>36</v>
      </c>
      <c r="K329" s="29">
        <f>24</f>
        <v>24</v>
      </c>
      <c r="L329" s="36">
        <f t="shared" si="39"/>
        <v>1941750</v>
      </c>
      <c r="M329" s="37">
        <f t="shared" si="40"/>
        <v>46602000</v>
      </c>
      <c r="N329" s="38">
        <f>F329-(H329*12)-3500000-2500000-7500000</f>
        <v>48999000</v>
      </c>
      <c r="O329" s="39" t="s">
        <v>823</v>
      </c>
      <c r="P329" s="107" t="s">
        <v>78</v>
      </c>
      <c r="Q329" s="40">
        <f t="shared" si="41"/>
        <v>48999000</v>
      </c>
      <c r="R329" s="40">
        <f>+'[1]D N 2'!AF351</f>
        <v>48999000</v>
      </c>
      <c r="S329" s="33">
        <f t="shared" si="42"/>
        <v>0</v>
      </c>
    </row>
    <row r="330" spans="1:19">
      <c r="A330" s="29">
        <f t="shared" si="43"/>
        <v>326</v>
      </c>
      <c r="B330" s="30" t="s">
        <v>888</v>
      </c>
      <c r="C330" s="31" t="s">
        <v>889</v>
      </c>
      <c r="D330" s="43" t="s">
        <v>890</v>
      </c>
      <c r="E330" s="32">
        <v>42860</v>
      </c>
      <c r="F330" s="44">
        <v>75000000</v>
      </c>
      <c r="G330" s="34">
        <f t="shared" si="38"/>
        <v>69903000</v>
      </c>
      <c r="H330" s="44">
        <v>1041750</v>
      </c>
      <c r="I330" s="33">
        <f>+F330*1.2%</f>
        <v>900000</v>
      </c>
      <c r="J330" s="29">
        <v>36</v>
      </c>
      <c r="K330" s="29">
        <f>25</f>
        <v>25</v>
      </c>
      <c r="L330" s="36">
        <f t="shared" si="39"/>
        <v>1941750</v>
      </c>
      <c r="M330" s="37">
        <f t="shared" si="40"/>
        <v>48543750</v>
      </c>
      <c r="N330" s="38">
        <f>F330-(H330*11)-3500000-2500000-4200000-3300000</f>
        <v>50040750</v>
      </c>
      <c r="O330" s="39" t="s">
        <v>823</v>
      </c>
      <c r="P330" s="107" t="s">
        <v>78</v>
      </c>
      <c r="Q330" s="40">
        <f t="shared" si="41"/>
        <v>50040750</v>
      </c>
      <c r="R330" s="40">
        <f>+'[1]D N 2'!AF352</f>
        <v>50040750</v>
      </c>
      <c r="S330" s="33">
        <f t="shared" si="42"/>
        <v>0</v>
      </c>
    </row>
    <row r="331" spans="1:19">
      <c r="A331" s="29">
        <f t="shared" si="43"/>
        <v>327</v>
      </c>
      <c r="B331" s="30" t="s">
        <v>891</v>
      </c>
      <c r="C331" s="45" t="s">
        <v>892</v>
      </c>
      <c r="D331" s="45" t="s">
        <v>893</v>
      </c>
      <c r="E331" s="43">
        <v>43238</v>
      </c>
      <c r="F331" s="41">
        <f>73983622+1849591+1069932+200000+0</f>
        <v>77103145</v>
      </c>
      <c r="G331" s="34">
        <f t="shared" si="38"/>
        <v>72000000</v>
      </c>
      <c r="H331" s="40">
        <v>2074762</v>
      </c>
      <c r="I331" s="40">
        <v>925238</v>
      </c>
      <c r="J331" s="29">
        <v>24</v>
      </c>
      <c r="K331" s="29">
        <v>22</v>
      </c>
      <c r="L331" s="36">
        <f t="shared" si="39"/>
        <v>3000000</v>
      </c>
      <c r="M331" s="37">
        <f t="shared" si="40"/>
        <v>66000000</v>
      </c>
      <c r="N331" s="38">
        <f>F331-(H331*2)</f>
        <v>72953621</v>
      </c>
      <c r="O331" s="46" t="s">
        <v>894</v>
      </c>
      <c r="P331" s="107" t="s">
        <v>249</v>
      </c>
      <c r="Q331" s="40">
        <f t="shared" si="41"/>
        <v>72953621</v>
      </c>
      <c r="R331" s="40">
        <f>+'[1]D N 2'!AF353</f>
        <v>72953621</v>
      </c>
      <c r="S331" s="33">
        <f t="shared" si="42"/>
        <v>0</v>
      </c>
    </row>
    <row r="332" spans="1:19">
      <c r="A332" s="29">
        <f t="shared" si="43"/>
        <v>328</v>
      </c>
      <c r="B332" s="30" t="s">
        <v>895</v>
      </c>
      <c r="C332" s="31" t="s">
        <v>896</v>
      </c>
      <c r="D332" s="31" t="s">
        <v>897</v>
      </c>
      <c r="E332" s="32">
        <v>43034</v>
      </c>
      <c r="F332" s="41">
        <f>200000+200000+49600000</f>
        <v>50000000</v>
      </c>
      <c r="G332" s="34">
        <f t="shared" si="38"/>
        <v>57204000</v>
      </c>
      <c r="H332" s="35">
        <v>4167000</v>
      </c>
      <c r="I332" s="35">
        <f>+F332*1.2%</f>
        <v>600000</v>
      </c>
      <c r="J332" s="29">
        <v>12</v>
      </c>
      <c r="K332" s="29">
        <v>4</v>
      </c>
      <c r="L332" s="36">
        <f t="shared" si="39"/>
        <v>4767000</v>
      </c>
      <c r="M332" s="37">
        <f t="shared" si="40"/>
        <v>19068000</v>
      </c>
      <c r="N332" s="38">
        <f>F332-(H332*8)</f>
        <v>16664000</v>
      </c>
      <c r="O332" s="42" t="s">
        <v>898</v>
      </c>
      <c r="P332" s="107" t="s">
        <v>25</v>
      </c>
      <c r="Q332" s="40">
        <f t="shared" si="41"/>
        <v>16664000</v>
      </c>
      <c r="R332" s="40">
        <f>+'[1]D N 2'!AF354</f>
        <v>16664000</v>
      </c>
      <c r="S332" s="33">
        <f t="shared" si="42"/>
        <v>0</v>
      </c>
    </row>
    <row r="333" spans="1:19">
      <c r="A333" s="29">
        <f t="shared" si="43"/>
        <v>329</v>
      </c>
      <c r="B333" s="50" t="s">
        <v>899</v>
      </c>
      <c r="C333" s="86" t="s">
        <v>900</v>
      </c>
      <c r="D333" s="86" t="s">
        <v>901</v>
      </c>
      <c r="E333" s="52">
        <v>43187</v>
      </c>
      <c r="F333" s="87">
        <f>60000+5940000</f>
        <v>6000000</v>
      </c>
      <c r="G333" s="88">
        <f t="shared" si="38"/>
        <v>7728000</v>
      </c>
      <c r="H333" s="89">
        <f>+F333/J333</f>
        <v>250000</v>
      </c>
      <c r="I333" s="89">
        <f>+F333*1.2%</f>
        <v>72000</v>
      </c>
      <c r="J333" s="56">
        <v>24</v>
      </c>
      <c r="K333" s="56">
        <f>21+1</f>
        <v>22</v>
      </c>
      <c r="L333" s="36">
        <f t="shared" si="39"/>
        <v>322000</v>
      </c>
      <c r="M333" s="37">
        <f t="shared" si="40"/>
        <v>7084000</v>
      </c>
      <c r="N333" s="34">
        <f>+H333*K333</f>
        <v>5500000</v>
      </c>
      <c r="O333" s="39" t="s">
        <v>736</v>
      </c>
      <c r="P333" s="107" t="s">
        <v>326</v>
      </c>
      <c r="Q333" s="40">
        <f t="shared" si="41"/>
        <v>5500000</v>
      </c>
      <c r="R333" s="40">
        <f>+'[1]D N 2'!AF355</f>
        <v>5500000</v>
      </c>
      <c r="S333" s="33">
        <f t="shared" si="42"/>
        <v>0</v>
      </c>
    </row>
    <row r="334" spans="1:19">
      <c r="A334" s="29">
        <f t="shared" si="43"/>
        <v>330</v>
      </c>
      <c r="B334" s="50" t="s">
        <v>899</v>
      </c>
      <c r="C334" s="51" t="s">
        <v>900</v>
      </c>
      <c r="D334" s="51" t="s">
        <v>902</v>
      </c>
      <c r="E334" s="52">
        <v>43073</v>
      </c>
      <c r="F334" s="87">
        <f>1662904+115233716+5925000+2922416+930670+7379564+297700+463113+200000+15352906+20958346+10000000-90663168</f>
        <v>90663167</v>
      </c>
      <c r="G334" s="88">
        <f t="shared" si="38"/>
        <v>68510000</v>
      </c>
      <c r="H334" s="89">
        <v>927042</v>
      </c>
      <c r="I334" s="89">
        <v>1087958</v>
      </c>
      <c r="J334" s="56">
        <v>34</v>
      </c>
      <c r="K334" s="56">
        <f>28+1</f>
        <v>29</v>
      </c>
      <c r="L334" s="36">
        <f t="shared" si="39"/>
        <v>2015000</v>
      </c>
      <c r="M334" s="37">
        <f t="shared" si="40"/>
        <v>58435000</v>
      </c>
      <c r="N334" s="38">
        <f>F334-(H334*5)-17500000-2500000</f>
        <v>66027957</v>
      </c>
      <c r="O334" s="39" t="s">
        <v>903</v>
      </c>
      <c r="P334" s="107" t="s">
        <v>49</v>
      </c>
      <c r="Q334" s="40">
        <f t="shared" si="41"/>
        <v>66027957</v>
      </c>
      <c r="R334" s="40">
        <f>+'[1]D N 2'!AF356</f>
        <v>66027957</v>
      </c>
      <c r="S334" s="33">
        <f t="shared" si="42"/>
        <v>0</v>
      </c>
    </row>
    <row r="335" spans="1:19">
      <c r="A335" s="29">
        <f t="shared" si="43"/>
        <v>331</v>
      </c>
      <c r="B335" s="50" t="s">
        <v>899</v>
      </c>
      <c r="C335" s="51" t="s">
        <v>900</v>
      </c>
      <c r="D335" s="51" t="s">
        <v>902</v>
      </c>
      <c r="E335" s="52">
        <v>43073</v>
      </c>
      <c r="F335" s="87">
        <v>90663168</v>
      </c>
      <c r="G335" s="88">
        <f t="shared" si="38"/>
        <v>68510000</v>
      </c>
      <c r="H335" s="89">
        <v>927042</v>
      </c>
      <c r="I335" s="89">
        <v>1087958</v>
      </c>
      <c r="J335" s="56">
        <v>34</v>
      </c>
      <c r="K335" s="56">
        <f>28+1</f>
        <v>29</v>
      </c>
      <c r="L335" s="36">
        <f t="shared" si="39"/>
        <v>2015000</v>
      </c>
      <c r="M335" s="37">
        <f t="shared" si="40"/>
        <v>58435000</v>
      </c>
      <c r="N335" s="38">
        <f>F335-(H335*5)-14000000-3500000-2500000</f>
        <v>66027958</v>
      </c>
      <c r="O335" s="39" t="s">
        <v>903</v>
      </c>
      <c r="P335" s="107" t="s">
        <v>49</v>
      </c>
      <c r="Q335" s="40">
        <f t="shared" si="41"/>
        <v>66027958</v>
      </c>
      <c r="R335" s="40">
        <f>+'[1]D N 2'!AF357</f>
        <v>66027958</v>
      </c>
      <c r="S335" s="33">
        <f t="shared" si="42"/>
        <v>0</v>
      </c>
    </row>
    <row r="336" spans="1:19">
      <c r="A336" s="29">
        <f t="shared" si="43"/>
        <v>332</v>
      </c>
      <c r="B336" s="50" t="s">
        <v>899</v>
      </c>
      <c r="C336" s="86" t="s">
        <v>900</v>
      </c>
      <c r="D336" s="86" t="s">
        <v>904</v>
      </c>
      <c r="E336" s="52">
        <v>43250</v>
      </c>
      <c r="F336" s="87">
        <f>78529+1500000+1352878+5000000</f>
        <v>7931407</v>
      </c>
      <c r="G336" s="88">
        <f t="shared" si="38"/>
        <v>11358000</v>
      </c>
      <c r="H336" s="89">
        <f>315500-I336</f>
        <v>220323</v>
      </c>
      <c r="I336" s="89">
        <v>95177</v>
      </c>
      <c r="J336" s="56">
        <v>36</v>
      </c>
      <c r="K336" s="56">
        <f>35+1</f>
        <v>36</v>
      </c>
      <c r="L336" s="36">
        <f t="shared" si="39"/>
        <v>315500</v>
      </c>
      <c r="M336" s="37">
        <f t="shared" si="40"/>
        <v>11358000</v>
      </c>
      <c r="N336" s="38">
        <f>F336-(H336*0)</f>
        <v>7931407</v>
      </c>
      <c r="O336" s="39" t="s">
        <v>73</v>
      </c>
      <c r="P336" s="107" t="s">
        <v>123</v>
      </c>
      <c r="Q336" s="40">
        <f t="shared" si="41"/>
        <v>7931407</v>
      </c>
      <c r="R336" s="40">
        <f>+'[1]D N 2'!AF358</f>
        <v>7931407</v>
      </c>
      <c r="S336" s="33">
        <f t="shared" si="42"/>
        <v>0</v>
      </c>
    </row>
    <row r="337" spans="1:20">
      <c r="A337" s="29">
        <f t="shared" si="43"/>
        <v>333</v>
      </c>
      <c r="B337" s="30" t="s">
        <v>905</v>
      </c>
      <c r="C337" s="31" t="s">
        <v>906</v>
      </c>
      <c r="D337" s="31" t="s">
        <v>907</v>
      </c>
      <c r="E337" s="32">
        <v>43021</v>
      </c>
      <c r="F337" s="41">
        <f>23884000+597100+313290+200000+200000+24805610</f>
        <v>50000000</v>
      </c>
      <c r="G337" s="34">
        <f t="shared" si="38"/>
        <v>40145000</v>
      </c>
      <c r="H337" s="40">
        <v>695000</v>
      </c>
      <c r="I337" s="35">
        <f>+F337*1.2%</f>
        <v>600000</v>
      </c>
      <c r="J337" s="29">
        <v>31</v>
      </c>
      <c r="K337" s="29">
        <v>22</v>
      </c>
      <c r="L337" s="36">
        <f t="shared" si="39"/>
        <v>1295000</v>
      </c>
      <c r="M337" s="37">
        <f t="shared" si="40"/>
        <v>28490000</v>
      </c>
      <c r="N337" s="38">
        <f>F337-(H337*9)-2500000-5000000-2500000</f>
        <v>33745000</v>
      </c>
      <c r="O337" s="39" t="s">
        <v>908</v>
      </c>
      <c r="P337" s="107" t="s">
        <v>49</v>
      </c>
      <c r="Q337" s="40">
        <f t="shared" si="41"/>
        <v>33745000</v>
      </c>
      <c r="R337" s="40">
        <f>+'[1]D N 2'!AF359</f>
        <v>33745000</v>
      </c>
      <c r="S337" s="33">
        <f t="shared" si="42"/>
        <v>0</v>
      </c>
    </row>
    <row r="338" spans="1:20">
      <c r="A338" s="29">
        <f t="shared" si="43"/>
        <v>334</v>
      </c>
      <c r="B338" s="30" t="s">
        <v>909</v>
      </c>
      <c r="C338" s="45" t="s">
        <v>910</v>
      </c>
      <c r="D338" s="45" t="s">
        <v>911</v>
      </c>
      <c r="E338" s="32">
        <v>43248</v>
      </c>
      <c r="F338" s="41">
        <f>37900000+947500+1121000+200000+109831500-75000000</f>
        <v>75000000</v>
      </c>
      <c r="G338" s="34">
        <f t="shared" si="38"/>
        <v>69930000</v>
      </c>
      <c r="H338" s="40">
        <f>2085000-H339</f>
        <v>1042500</v>
      </c>
      <c r="I338" s="40">
        <f>+F338*1.2%</f>
        <v>900000</v>
      </c>
      <c r="J338" s="29">
        <v>36</v>
      </c>
      <c r="K338" s="29">
        <v>35</v>
      </c>
      <c r="L338" s="36">
        <f t="shared" si="39"/>
        <v>1942500</v>
      </c>
      <c r="M338" s="37">
        <f t="shared" si="40"/>
        <v>67987500</v>
      </c>
      <c r="N338" s="38">
        <f>F338-(H338*1)</f>
        <v>73957500</v>
      </c>
      <c r="O338" s="39" t="s">
        <v>912</v>
      </c>
      <c r="P338" s="107" t="s">
        <v>49</v>
      </c>
      <c r="Q338" s="40">
        <f t="shared" si="41"/>
        <v>73957500</v>
      </c>
      <c r="R338" s="40">
        <f>+'[1]D N 2'!AF360</f>
        <v>73957500</v>
      </c>
      <c r="S338" s="33">
        <f t="shared" si="42"/>
        <v>0</v>
      </c>
    </row>
    <row r="339" spans="1:20">
      <c r="A339" s="29">
        <f t="shared" si="43"/>
        <v>335</v>
      </c>
      <c r="B339" s="30" t="s">
        <v>909</v>
      </c>
      <c r="C339" s="45" t="s">
        <v>910</v>
      </c>
      <c r="D339" s="45" t="s">
        <v>911</v>
      </c>
      <c r="E339" s="32">
        <v>43248</v>
      </c>
      <c r="F339" s="41">
        <v>75000000</v>
      </c>
      <c r="G339" s="34">
        <f t="shared" si="38"/>
        <v>69930000</v>
      </c>
      <c r="H339" s="41">
        <v>1042500</v>
      </c>
      <c r="I339" s="40">
        <f>+F339*1.2%</f>
        <v>900000</v>
      </c>
      <c r="J339" s="29">
        <v>36</v>
      </c>
      <c r="K339" s="29">
        <v>35</v>
      </c>
      <c r="L339" s="36">
        <f t="shared" si="39"/>
        <v>1942500</v>
      </c>
      <c r="M339" s="37">
        <f t="shared" si="40"/>
        <v>67987500</v>
      </c>
      <c r="N339" s="38">
        <f>F339-(H339*1)</f>
        <v>73957500</v>
      </c>
      <c r="O339" s="39" t="s">
        <v>912</v>
      </c>
      <c r="P339" s="107" t="s">
        <v>49</v>
      </c>
      <c r="Q339" s="40">
        <f t="shared" si="41"/>
        <v>73957500</v>
      </c>
      <c r="R339" s="40">
        <f>+'[1]D N 2'!AF361</f>
        <v>73957500</v>
      </c>
      <c r="S339" s="33">
        <f t="shared" si="42"/>
        <v>0</v>
      </c>
    </row>
    <row r="340" spans="1:20">
      <c r="A340" s="29">
        <f t="shared" si="43"/>
        <v>336</v>
      </c>
      <c r="B340" s="30" t="s">
        <v>913</v>
      </c>
      <c r="C340" s="45" t="s">
        <v>914</v>
      </c>
      <c r="D340" s="45" t="s">
        <v>915</v>
      </c>
      <c r="E340" s="32">
        <v>43251</v>
      </c>
      <c r="F340" s="41">
        <f>198000+121690717+3047218+2933499+200000+0-64034717</f>
        <v>64034717</v>
      </c>
      <c r="G340" s="34">
        <f t="shared" si="38"/>
        <v>43749965</v>
      </c>
      <c r="H340" s="40">
        <v>481583</v>
      </c>
      <c r="I340" s="40">
        <v>768416</v>
      </c>
      <c r="J340" s="29">
        <v>35</v>
      </c>
      <c r="K340" s="29">
        <v>34</v>
      </c>
      <c r="L340" s="36">
        <f t="shared" si="39"/>
        <v>1249999</v>
      </c>
      <c r="M340" s="37">
        <f t="shared" si="40"/>
        <v>42499966</v>
      </c>
      <c r="N340" s="38">
        <f>F340-(H340*1)</f>
        <v>63553134</v>
      </c>
      <c r="O340" s="39" t="s">
        <v>916</v>
      </c>
      <c r="P340" s="107" t="s">
        <v>294</v>
      </c>
      <c r="Q340" s="40">
        <f t="shared" si="41"/>
        <v>63553134</v>
      </c>
      <c r="R340" s="40">
        <f>+'[1]D N 2'!AF362</f>
        <v>63553134</v>
      </c>
      <c r="S340" s="33">
        <f t="shared" si="42"/>
        <v>0</v>
      </c>
    </row>
    <row r="341" spans="1:20">
      <c r="A341" s="29">
        <f t="shared" si="43"/>
        <v>337</v>
      </c>
      <c r="B341" s="30" t="s">
        <v>913</v>
      </c>
      <c r="C341" s="45" t="s">
        <v>914</v>
      </c>
      <c r="D341" s="45" t="s">
        <v>915</v>
      </c>
      <c r="E341" s="32">
        <v>43251</v>
      </c>
      <c r="F341" s="41">
        <v>64034717</v>
      </c>
      <c r="G341" s="34">
        <f t="shared" si="38"/>
        <v>43750035</v>
      </c>
      <c r="H341" s="41">
        <f>481584</f>
        <v>481584</v>
      </c>
      <c r="I341" s="41">
        <v>768417</v>
      </c>
      <c r="J341" s="29">
        <v>35</v>
      </c>
      <c r="K341" s="29">
        <f>34</f>
        <v>34</v>
      </c>
      <c r="L341" s="36">
        <f t="shared" si="39"/>
        <v>1250001</v>
      </c>
      <c r="M341" s="37">
        <f t="shared" si="40"/>
        <v>42500034</v>
      </c>
      <c r="N341" s="38">
        <f>F341-(H341*1)</f>
        <v>63553133</v>
      </c>
      <c r="O341" s="39" t="s">
        <v>916</v>
      </c>
      <c r="P341" s="107" t="s">
        <v>294</v>
      </c>
      <c r="Q341" s="40">
        <f t="shared" si="41"/>
        <v>63553133</v>
      </c>
      <c r="R341" s="40">
        <f>+'[1]D N 2'!AF363</f>
        <v>63553133</v>
      </c>
      <c r="S341" s="33">
        <f t="shared" si="42"/>
        <v>0</v>
      </c>
    </row>
    <row r="342" spans="1:20">
      <c r="A342" s="29">
        <f t="shared" si="43"/>
        <v>338</v>
      </c>
      <c r="B342" s="30" t="s">
        <v>917</v>
      </c>
      <c r="C342" s="31" t="s">
        <v>918</v>
      </c>
      <c r="D342" s="32"/>
      <c r="E342" s="32">
        <v>42639</v>
      </c>
      <c r="F342" s="33">
        <f>200000+200000+49600000</f>
        <v>50000000</v>
      </c>
      <c r="G342" s="34">
        <f t="shared" si="38"/>
        <v>34800000</v>
      </c>
      <c r="H342" s="33">
        <v>850000</v>
      </c>
      <c r="I342" s="33">
        <f>+F342*1.2%</f>
        <v>600000</v>
      </c>
      <c r="J342" s="29">
        <v>24</v>
      </c>
      <c r="K342" s="29">
        <v>3</v>
      </c>
      <c r="L342" s="36">
        <f t="shared" si="39"/>
        <v>1450000</v>
      </c>
      <c r="M342" s="36">
        <f t="shared" si="40"/>
        <v>4350000</v>
      </c>
      <c r="N342" s="38">
        <f>F342-(H342*21)-5000000-5000000-5000000-5000000-5000000-5000000</f>
        <v>2150000</v>
      </c>
      <c r="O342" s="39" t="s">
        <v>868</v>
      </c>
      <c r="P342" s="107" t="s">
        <v>44</v>
      </c>
      <c r="Q342" s="40">
        <f t="shared" si="41"/>
        <v>2150000</v>
      </c>
      <c r="R342" s="40">
        <f>+'[1]D N 2'!AF364</f>
        <v>2150000</v>
      </c>
      <c r="S342" s="33">
        <f t="shared" si="42"/>
        <v>0</v>
      </c>
    </row>
    <row r="343" spans="1:20">
      <c r="A343" s="29">
        <f t="shared" si="43"/>
        <v>339</v>
      </c>
      <c r="B343" s="30" t="s">
        <v>919</v>
      </c>
      <c r="C343" s="31" t="s">
        <v>920</v>
      </c>
      <c r="D343" s="43" t="s">
        <v>921</v>
      </c>
      <c r="E343" s="32">
        <v>43013</v>
      </c>
      <c r="F343" s="44">
        <f>36776329+919408+452143+132237+200000+11519883</f>
        <v>50000000</v>
      </c>
      <c r="G343" s="34">
        <f t="shared" si="38"/>
        <v>71622000</v>
      </c>
      <c r="H343" s="35">
        <v>1389500</v>
      </c>
      <c r="I343" s="35">
        <f>+F343*1.2%</f>
        <v>600000</v>
      </c>
      <c r="J343" s="29">
        <v>36</v>
      </c>
      <c r="K343" s="29">
        <v>27</v>
      </c>
      <c r="L343" s="36">
        <f t="shared" si="39"/>
        <v>1989500</v>
      </c>
      <c r="M343" s="37">
        <f t="shared" si="40"/>
        <v>53716500</v>
      </c>
      <c r="N343" s="38">
        <f>F343-(H343*9)</f>
        <v>37494500</v>
      </c>
      <c r="O343" s="39" t="s">
        <v>922</v>
      </c>
      <c r="P343" s="107" t="s">
        <v>49</v>
      </c>
      <c r="Q343" s="40">
        <f t="shared" si="41"/>
        <v>37494500</v>
      </c>
      <c r="R343" s="40">
        <f>+'[1]D N 2'!AF365</f>
        <v>37494500</v>
      </c>
      <c r="S343" s="33">
        <f t="shared" si="42"/>
        <v>0</v>
      </c>
    </row>
    <row r="344" spans="1:20">
      <c r="A344" s="29">
        <f t="shared" si="43"/>
        <v>340</v>
      </c>
      <c r="B344" s="30" t="s">
        <v>923</v>
      </c>
      <c r="C344" s="31" t="s">
        <v>924</v>
      </c>
      <c r="D344" s="31" t="s">
        <v>925</v>
      </c>
      <c r="E344" s="32">
        <v>42950</v>
      </c>
      <c r="F344" s="41">
        <v>22450108</v>
      </c>
      <c r="G344" s="34">
        <f t="shared" si="38"/>
        <v>17500035</v>
      </c>
      <c r="H344" s="35">
        <v>230599</v>
      </c>
      <c r="I344" s="35">
        <v>269402</v>
      </c>
      <c r="J344" s="116">
        <v>35</v>
      </c>
      <c r="K344" s="29">
        <v>26</v>
      </c>
      <c r="L344" s="36">
        <f t="shared" si="39"/>
        <v>500001</v>
      </c>
      <c r="M344" s="37">
        <f t="shared" si="40"/>
        <v>13000026</v>
      </c>
      <c r="N344" s="38">
        <f>F344-(H344*9)-1250000-2500000-1250000</f>
        <v>15374717</v>
      </c>
      <c r="O344" s="42" t="s">
        <v>926</v>
      </c>
      <c r="P344" s="107" t="s">
        <v>49</v>
      </c>
      <c r="Q344" s="40">
        <f t="shared" si="41"/>
        <v>15374717</v>
      </c>
      <c r="R344" s="40">
        <f>+'[1]D N 2'!AF366</f>
        <v>15374717</v>
      </c>
      <c r="S344" s="33">
        <f t="shared" si="42"/>
        <v>0</v>
      </c>
    </row>
    <row r="345" spans="1:20">
      <c r="A345" s="29">
        <f t="shared" si="43"/>
        <v>341</v>
      </c>
      <c r="B345" s="30" t="s">
        <v>923</v>
      </c>
      <c r="C345" s="31" t="s">
        <v>924</v>
      </c>
      <c r="D345" s="31" t="s">
        <v>925</v>
      </c>
      <c r="E345" s="32">
        <v>42950</v>
      </c>
      <c r="F345" s="41">
        <f>33517922+837948+244345+100000+200000+10000000-22450108</f>
        <v>22450107</v>
      </c>
      <c r="G345" s="34">
        <f t="shared" si="38"/>
        <v>17499965</v>
      </c>
      <c r="H345" s="35">
        <v>230598</v>
      </c>
      <c r="I345" s="35">
        <v>269401</v>
      </c>
      <c r="J345" s="116">
        <v>35</v>
      </c>
      <c r="K345" s="29">
        <v>26</v>
      </c>
      <c r="L345" s="36">
        <f t="shared" si="39"/>
        <v>499999</v>
      </c>
      <c r="M345" s="37">
        <f t="shared" si="40"/>
        <v>12999974</v>
      </c>
      <c r="N345" s="38">
        <f>F345-(H345*9)-1250000-2500000-1250000</f>
        <v>15374725</v>
      </c>
      <c r="O345" s="42" t="s">
        <v>926</v>
      </c>
      <c r="P345" s="107" t="s">
        <v>49</v>
      </c>
      <c r="Q345" s="40">
        <f t="shared" si="41"/>
        <v>15374725</v>
      </c>
      <c r="R345" s="40">
        <f>+'[1]D N 2'!AF367</f>
        <v>15374725</v>
      </c>
      <c r="S345" s="33">
        <f t="shared" si="42"/>
        <v>0</v>
      </c>
    </row>
    <row r="346" spans="1:20">
      <c r="A346" s="29">
        <f t="shared" si="43"/>
        <v>342</v>
      </c>
      <c r="B346" s="30" t="s">
        <v>927</v>
      </c>
      <c r="C346" s="45" t="s">
        <v>928</v>
      </c>
      <c r="D346" s="45" t="s">
        <v>929</v>
      </c>
      <c r="E346" s="32">
        <v>43167</v>
      </c>
      <c r="F346" s="41">
        <v>66702780</v>
      </c>
      <c r="G346" s="34">
        <f t="shared" si="38"/>
        <v>47500038</v>
      </c>
      <c r="H346" s="40">
        <v>449567</v>
      </c>
      <c r="I346" s="40">
        <v>800434</v>
      </c>
      <c r="J346" s="29">
        <v>38</v>
      </c>
      <c r="K346" s="29">
        <v>34</v>
      </c>
      <c r="L346" s="36">
        <f t="shared" si="39"/>
        <v>1250001</v>
      </c>
      <c r="M346" s="37">
        <f t="shared" si="40"/>
        <v>42500034</v>
      </c>
      <c r="N346" s="38">
        <f>F346-(H346*4)-10000000-2500000</f>
        <v>52404512</v>
      </c>
      <c r="O346" s="39" t="s">
        <v>930</v>
      </c>
      <c r="P346" s="107" t="s">
        <v>30</v>
      </c>
      <c r="Q346" s="40">
        <f t="shared" si="41"/>
        <v>52404512</v>
      </c>
      <c r="R346" s="40">
        <f>+'[1]D N 2'!AF368</f>
        <v>52404512</v>
      </c>
      <c r="S346" s="33">
        <f t="shared" si="42"/>
        <v>0</v>
      </c>
    </row>
    <row r="347" spans="1:20">
      <c r="A347" s="29">
        <f t="shared" si="43"/>
        <v>343</v>
      </c>
      <c r="B347" s="30" t="s">
        <v>927</v>
      </c>
      <c r="C347" s="45" t="s">
        <v>928</v>
      </c>
      <c r="D347" s="45" t="s">
        <v>929</v>
      </c>
      <c r="E347" s="32">
        <v>43167</v>
      </c>
      <c r="F347" s="41">
        <f>97881212+2447030+2577317+300000+200000+30000000-66702780</f>
        <v>66702779</v>
      </c>
      <c r="G347" s="34">
        <f t="shared" si="38"/>
        <v>47499962</v>
      </c>
      <c r="H347" s="40">
        <v>449566</v>
      </c>
      <c r="I347" s="40">
        <v>800433</v>
      </c>
      <c r="J347" s="29">
        <v>38</v>
      </c>
      <c r="K347" s="29">
        <v>34</v>
      </c>
      <c r="L347" s="36">
        <f t="shared" si="39"/>
        <v>1249999</v>
      </c>
      <c r="M347" s="37">
        <f t="shared" si="40"/>
        <v>42499966</v>
      </c>
      <c r="N347" s="38">
        <f>F347-(H347*4)-10000000-2500000</f>
        <v>52404515</v>
      </c>
      <c r="O347" s="39" t="s">
        <v>930</v>
      </c>
      <c r="P347" s="107" t="s">
        <v>30</v>
      </c>
      <c r="Q347" s="40">
        <f t="shared" si="41"/>
        <v>52404515</v>
      </c>
      <c r="R347" s="40">
        <f>+'[1]D N 2'!AF369</f>
        <v>52404515</v>
      </c>
      <c r="S347" s="33">
        <f t="shared" si="42"/>
        <v>0</v>
      </c>
    </row>
    <row r="348" spans="1:20">
      <c r="A348" s="29">
        <f t="shared" si="43"/>
        <v>344</v>
      </c>
      <c r="B348" s="30" t="s">
        <v>931</v>
      </c>
      <c r="C348" s="31" t="s">
        <v>932</v>
      </c>
      <c r="D348" s="43" t="s">
        <v>933</v>
      </c>
      <c r="E348" s="32">
        <v>42780</v>
      </c>
      <c r="F348" s="33">
        <f>41939000+1048475+696774+380610+200000+35735141-40000000</f>
        <v>40000000</v>
      </c>
      <c r="G348" s="34">
        <f t="shared" si="38"/>
        <v>19800000</v>
      </c>
      <c r="H348" s="33">
        <v>70000</v>
      </c>
      <c r="I348" s="33">
        <f>+F348*1.2%</f>
        <v>480000</v>
      </c>
      <c r="J348" s="29">
        <v>36</v>
      </c>
      <c r="K348" s="29">
        <v>19</v>
      </c>
      <c r="L348" s="36">
        <f t="shared" si="39"/>
        <v>550000</v>
      </c>
      <c r="M348" s="36">
        <f t="shared" si="40"/>
        <v>10450000</v>
      </c>
      <c r="N348" s="38">
        <f>F348-(H348*17)-10000000-1250000-1250000-10000000-1250000</f>
        <v>15060000</v>
      </c>
      <c r="O348" s="39" t="s">
        <v>934</v>
      </c>
      <c r="P348" s="107" t="s">
        <v>64</v>
      </c>
      <c r="Q348" s="40">
        <f t="shared" si="41"/>
        <v>15060000</v>
      </c>
      <c r="R348" s="40">
        <f>+'[1]D N 2'!AF370</f>
        <v>15060000</v>
      </c>
      <c r="S348" s="33">
        <f t="shared" si="42"/>
        <v>0</v>
      </c>
    </row>
    <row r="349" spans="1:20">
      <c r="A349" s="29">
        <f t="shared" si="43"/>
        <v>345</v>
      </c>
      <c r="B349" s="30" t="s">
        <v>931</v>
      </c>
      <c r="C349" s="31" t="s">
        <v>932</v>
      </c>
      <c r="D349" s="43" t="s">
        <v>933</v>
      </c>
      <c r="E349" s="32">
        <v>42780</v>
      </c>
      <c r="F349" s="33">
        <v>40000000</v>
      </c>
      <c r="G349" s="34">
        <f t="shared" si="38"/>
        <v>19800000</v>
      </c>
      <c r="H349" s="33">
        <v>70000</v>
      </c>
      <c r="I349" s="33">
        <f>+F349*1.2%</f>
        <v>480000</v>
      </c>
      <c r="J349" s="29">
        <v>36</v>
      </c>
      <c r="K349" s="29">
        <v>19</v>
      </c>
      <c r="L349" s="36">
        <f t="shared" si="39"/>
        <v>550000</v>
      </c>
      <c r="M349" s="36">
        <f t="shared" si="40"/>
        <v>10450000</v>
      </c>
      <c r="N349" s="38">
        <f>F349-(H349*17)-10000000-1250000-1250000-10000000-1250000</f>
        <v>15060000</v>
      </c>
      <c r="O349" s="39" t="s">
        <v>934</v>
      </c>
      <c r="P349" s="107" t="s">
        <v>64</v>
      </c>
      <c r="Q349" s="40">
        <f t="shared" si="41"/>
        <v>15060000</v>
      </c>
      <c r="R349" s="40">
        <f>+'[1]D N 2'!AF371</f>
        <v>15060000</v>
      </c>
      <c r="S349" s="33">
        <f t="shared" si="42"/>
        <v>0</v>
      </c>
    </row>
    <row r="350" spans="1:20">
      <c r="A350" s="29">
        <f t="shared" si="43"/>
        <v>346</v>
      </c>
      <c r="B350" s="30" t="s">
        <v>935</v>
      </c>
      <c r="C350" s="45" t="s">
        <v>936</v>
      </c>
      <c r="D350" s="45" t="s">
        <v>937</v>
      </c>
      <c r="E350" s="32">
        <v>43215</v>
      </c>
      <c r="F350" s="41">
        <f>15520340+31663407+1179594+300000+200000+30000000</f>
        <v>78863341</v>
      </c>
      <c r="G350" s="34">
        <f t="shared" si="38"/>
        <v>54000000</v>
      </c>
      <c r="H350" s="40">
        <v>553640</v>
      </c>
      <c r="I350" s="40">
        <v>946360</v>
      </c>
      <c r="J350" s="29">
        <v>36</v>
      </c>
      <c r="K350" s="29">
        <v>34</v>
      </c>
      <c r="L350" s="36">
        <f t="shared" si="39"/>
        <v>1500000</v>
      </c>
      <c r="M350" s="37">
        <f t="shared" si="40"/>
        <v>51000000</v>
      </c>
      <c r="N350" s="38">
        <f>F350-(H350*2)</f>
        <v>77756061</v>
      </c>
      <c r="O350" s="39" t="s">
        <v>259</v>
      </c>
      <c r="P350" s="107" t="s">
        <v>35</v>
      </c>
      <c r="Q350" s="40">
        <f t="shared" si="41"/>
        <v>77756061</v>
      </c>
      <c r="R350" s="40">
        <f>+'[1]D N 2'!AF372</f>
        <v>77756061</v>
      </c>
      <c r="S350" s="33">
        <f t="shared" si="42"/>
        <v>0</v>
      </c>
      <c r="T350" s="94"/>
    </row>
    <row r="351" spans="1:20">
      <c r="A351" s="29">
        <f t="shared" si="43"/>
        <v>347</v>
      </c>
      <c r="B351" s="30" t="s">
        <v>938</v>
      </c>
      <c r="C351" s="31" t="s">
        <v>939</v>
      </c>
      <c r="D351" s="43" t="s">
        <v>940</v>
      </c>
      <c r="E351" s="32">
        <v>42983</v>
      </c>
      <c r="F351" s="44">
        <f>200000+200000+49600000</f>
        <v>50000000</v>
      </c>
      <c r="G351" s="34">
        <f t="shared" si="38"/>
        <v>46638000</v>
      </c>
      <c r="H351" s="35">
        <v>695500</v>
      </c>
      <c r="I351" s="35">
        <f>+F351*1.2%</f>
        <v>600000</v>
      </c>
      <c r="J351" s="29">
        <v>36</v>
      </c>
      <c r="K351" s="29">
        <v>26</v>
      </c>
      <c r="L351" s="36">
        <f t="shared" si="39"/>
        <v>1295500</v>
      </c>
      <c r="M351" s="37">
        <f t="shared" si="40"/>
        <v>33683000</v>
      </c>
      <c r="N351" s="38">
        <f>F351-(H351*10)-5000000-3500000</f>
        <v>34545000</v>
      </c>
      <c r="O351" s="39" t="s">
        <v>389</v>
      </c>
      <c r="P351" s="107" t="s">
        <v>157</v>
      </c>
      <c r="Q351" s="40">
        <f t="shared" si="41"/>
        <v>34545000</v>
      </c>
      <c r="R351" s="40">
        <f>+'[1]D N 2'!AF373</f>
        <v>34545000</v>
      </c>
      <c r="S351" s="33">
        <f t="shared" si="42"/>
        <v>0</v>
      </c>
    </row>
    <row r="352" spans="1:20">
      <c r="A352" s="29">
        <f t="shared" si="43"/>
        <v>348</v>
      </c>
      <c r="B352" s="30" t="s">
        <v>941</v>
      </c>
      <c r="C352" s="31" t="s">
        <v>942</v>
      </c>
      <c r="D352" s="43" t="s">
        <v>943</v>
      </c>
      <c r="E352" s="32">
        <v>42926</v>
      </c>
      <c r="F352" s="44">
        <f>59409845+1485246+583442+180000+200000+18000000-39929267</f>
        <v>39929266</v>
      </c>
      <c r="G352" s="34">
        <f t="shared" si="38"/>
        <v>40800000</v>
      </c>
      <c r="H352" s="35">
        <v>720849</v>
      </c>
      <c r="I352" s="35">
        <v>479151</v>
      </c>
      <c r="J352" s="29">
        <v>34</v>
      </c>
      <c r="K352" s="29">
        <v>22</v>
      </c>
      <c r="L352" s="36">
        <f t="shared" si="39"/>
        <v>1200000</v>
      </c>
      <c r="M352" s="37">
        <f t="shared" si="40"/>
        <v>26400000</v>
      </c>
      <c r="N352" s="38">
        <f>F352-(H352*12)-7500000</f>
        <v>23779078</v>
      </c>
      <c r="O352" s="39" t="s">
        <v>944</v>
      </c>
      <c r="P352" s="107" t="s">
        <v>35</v>
      </c>
      <c r="Q352" s="40">
        <f t="shared" si="41"/>
        <v>23779078</v>
      </c>
      <c r="R352" s="40">
        <f>+'[1]D N 2'!AF374</f>
        <v>23779078</v>
      </c>
      <c r="S352" s="33">
        <f t="shared" si="42"/>
        <v>0</v>
      </c>
    </row>
    <row r="353" spans="1:19">
      <c r="A353" s="29">
        <f t="shared" si="43"/>
        <v>349</v>
      </c>
      <c r="B353" s="30" t="s">
        <v>941</v>
      </c>
      <c r="C353" s="31" t="s">
        <v>942</v>
      </c>
      <c r="D353" s="43" t="s">
        <v>943</v>
      </c>
      <c r="E353" s="32">
        <v>42926</v>
      </c>
      <c r="F353" s="44">
        <v>39929267</v>
      </c>
      <c r="G353" s="34">
        <f t="shared" si="38"/>
        <v>40800000</v>
      </c>
      <c r="H353" s="44">
        <v>720849</v>
      </c>
      <c r="I353" s="35">
        <v>479151</v>
      </c>
      <c r="J353" s="29">
        <v>34</v>
      </c>
      <c r="K353" s="29">
        <v>22</v>
      </c>
      <c r="L353" s="36">
        <f t="shared" si="39"/>
        <v>1200000</v>
      </c>
      <c r="M353" s="37">
        <f t="shared" si="40"/>
        <v>26400000</v>
      </c>
      <c r="N353" s="38">
        <f>F353-(H353*12)-7500000</f>
        <v>23779079</v>
      </c>
      <c r="O353" s="39" t="s">
        <v>944</v>
      </c>
      <c r="P353" s="107" t="s">
        <v>35</v>
      </c>
      <c r="Q353" s="40">
        <f t="shared" si="41"/>
        <v>23779079</v>
      </c>
      <c r="R353" s="40">
        <f>+'[1]D N 2'!AF375</f>
        <v>23779079</v>
      </c>
      <c r="S353" s="33">
        <f t="shared" si="42"/>
        <v>0</v>
      </c>
    </row>
    <row r="354" spans="1:19">
      <c r="A354" s="29">
        <f t="shared" si="43"/>
        <v>350</v>
      </c>
      <c r="B354" s="30" t="s">
        <v>945</v>
      </c>
      <c r="C354" s="45" t="s">
        <v>946</v>
      </c>
      <c r="D354" s="45" t="s">
        <v>947</v>
      </c>
      <c r="E354" s="32">
        <v>43173</v>
      </c>
      <c r="F354" s="41">
        <f>21333000+533325+752074+200000+200000+26981601</f>
        <v>50000000</v>
      </c>
      <c r="G354" s="34">
        <f t="shared" si="38"/>
        <v>37555000</v>
      </c>
      <c r="H354" s="40">
        <v>695000</v>
      </c>
      <c r="I354" s="40">
        <f>+F354*1.2%</f>
        <v>600000</v>
      </c>
      <c r="J354" s="29">
        <v>29</v>
      </c>
      <c r="K354" s="29">
        <v>25</v>
      </c>
      <c r="L354" s="36">
        <f t="shared" si="39"/>
        <v>1295000</v>
      </c>
      <c r="M354" s="37">
        <f t="shared" si="40"/>
        <v>32375000</v>
      </c>
      <c r="N354" s="38">
        <f>F354-(H354*4)-10000000</f>
        <v>37220000</v>
      </c>
      <c r="O354" s="46" t="s">
        <v>699</v>
      </c>
      <c r="P354" s="107" t="s">
        <v>30</v>
      </c>
      <c r="Q354" s="40">
        <f t="shared" si="41"/>
        <v>37220000</v>
      </c>
      <c r="R354" s="40">
        <f>+'[1]D N 2'!AF376</f>
        <v>37220000</v>
      </c>
      <c r="S354" s="33">
        <f t="shared" si="42"/>
        <v>0</v>
      </c>
    </row>
    <row r="355" spans="1:19">
      <c r="A355" s="29">
        <f t="shared" si="43"/>
        <v>351</v>
      </c>
      <c r="B355" s="30" t="s">
        <v>948</v>
      </c>
      <c r="C355" s="31" t="s">
        <v>949</v>
      </c>
      <c r="D355" s="31" t="s">
        <v>950</v>
      </c>
      <c r="E355" s="32">
        <v>43136</v>
      </c>
      <c r="F355" s="41">
        <f>100000+200000+39700000</f>
        <v>40000000</v>
      </c>
      <c r="G355" s="34">
        <f t="shared" si="38"/>
        <v>57312000</v>
      </c>
      <c r="H355" s="40">
        <f>1592000-I355</f>
        <v>1112000</v>
      </c>
      <c r="I355" s="40">
        <f>+F355*1.2%</f>
        <v>480000</v>
      </c>
      <c r="J355" s="29">
        <v>36</v>
      </c>
      <c r="K355" s="29">
        <v>31</v>
      </c>
      <c r="L355" s="36">
        <f t="shared" si="39"/>
        <v>1592000</v>
      </c>
      <c r="M355" s="37">
        <f t="shared" si="40"/>
        <v>49352000</v>
      </c>
      <c r="N355" s="38">
        <f>F355-(H355*5)</f>
        <v>34440000</v>
      </c>
      <c r="O355" s="39" t="s">
        <v>951</v>
      </c>
      <c r="P355" s="107" t="s">
        <v>157</v>
      </c>
      <c r="Q355" s="40">
        <f t="shared" si="41"/>
        <v>34440000</v>
      </c>
      <c r="R355" s="40">
        <f>+'[1]D N 2'!AF377</f>
        <v>34440000</v>
      </c>
      <c r="S355" s="33">
        <f t="shared" si="42"/>
        <v>0</v>
      </c>
    </row>
    <row r="356" spans="1:19">
      <c r="A356" s="29">
        <f t="shared" si="43"/>
        <v>352</v>
      </c>
      <c r="B356" s="30" t="s">
        <v>952</v>
      </c>
      <c r="C356" s="45" t="s">
        <v>953</v>
      </c>
      <c r="D356" s="45" t="s">
        <v>954</v>
      </c>
      <c r="E356" s="32">
        <v>43215</v>
      </c>
      <c r="F356" s="41">
        <f>24996000+624900+449960+200000+50000000</f>
        <v>76270860</v>
      </c>
      <c r="G356" s="34">
        <f t="shared" si="38"/>
        <v>50400000</v>
      </c>
      <c r="H356" s="40">
        <v>484750</v>
      </c>
      <c r="I356" s="40">
        <v>915250</v>
      </c>
      <c r="J356" s="29">
        <v>36</v>
      </c>
      <c r="K356" s="29">
        <v>34</v>
      </c>
      <c r="L356" s="36">
        <f t="shared" si="39"/>
        <v>1400000</v>
      </c>
      <c r="M356" s="37">
        <f t="shared" si="40"/>
        <v>47600000</v>
      </c>
      <c r="N356" s="38">
        <f>F356-(H356*2)</f>
        <v>75301360</v>
      </c>
      <c r="O356" s="39" t="s">
        <v>955</v>
      </c>
      <c r="P356" s="107" t="s">
        <v>35</v>
      </c>
      <c r="Q356" s="40">
        <f t="shared" si="41"/>
        <v>75301360</v>
      </c>
      <c r="R356" s="40">
        <f>+'[1]D N 2'!AF378</f>
        <v>75301360</v>
      </c>
      <c r="S356" s="33">
        <f t="shared" si="42"/>
        <v>0</v>
      </c>
    </row>
    <row r="357" spans="1:19">
      <c r="A357" s="29">
        <f t="shared" si="43"/>
        <v>353</v>
      </c>
      <c r="B357" s="30" t="s">
        <v>956</v>
      </c>
      <c r="C357" s="31" t="s">
        <v>957</v>
      </c>
      <c r="D357" s="31" t="s">
        <v>958</v>
      </c>
      <c r="E357" s="32">
        <v>42851</v>
      </c>
      <c r="F357" s="44">
        <f>10000000</f>
        <v>10000000</v>
      </c>
      <c r="G357" s="34">
        <f t="shared" si="38"/>
        <v>12900000</v>
      </c>
      <c r="H357" s="44">
        <v>417500</v>
      </c>
      <c r="I357" s="33">
        <f t="shared" ref="I357:I362" si="44">+F357*1.2%</f>
        <v>120000</v>
      </c>
      <c r="J357" s="29">
        <v>24</v>
      </c>
      <c r="K357" s="29">
        <v>10</v>
      </c>
      <c r="L357" s="36">
        <f t="shared" si="39"/>
        <v>537500</v>
      </c>
      <c r="M357" s="37">
        <f t="shared" si="40"/>
        <v>5375000</v>
      </c>
      <c r="N357" s="38">
        <f>F357-(H357*14)</f>
        <v>4155000</v>
      </c>
      <c r="O357" s="39" t="s">
        <v>791</v>
      </c>
      <c r="P357" s="107" t="s">
        <v>95</v>
      </c>
      <c r="Q357" s="40">
        <f t="shared" si="41"/>
        <v>4155000</v>
      </c>
      <c r="R357" s="40">
        <f>+'[1]D N 2'!AF379</f>
        <v>4155000</v>
      </c>
      <c r="S357" s="33">
        <f t="shared" si="42"/>
        <v>0</v>
      </c>
    </row>
    <row r="358" spans="1:19">
      <c r="A358" s="29">
        <f t="shared" si="43"/>
        <v>354</v>
      </c>
      <c r="B358" s="30" t="s">
        <v>956</v>
      </c>
      <c r="C358" s="31" t="s">
        <v>957</v>
      </c>
      <c r="D358" s="31" t="s">
        <v>959</v>
      </c>
      <c r="E358" s="32">
        <v>43091</v>
      </c>
      <c r="F358" s="41">
        <f>20000000</f>
        <v>20000000</v>
      </c>
      <c r="G358" s="34">
        <f t="shared" si="38"/>
        <v>25776000</v>
      </c>
      <c r="H358" s="40">
        <f>1074000-I358</f>
        <v>834000</v>
      </c>
      <c r="I358" s="40">
        <f t="shared" si="44"/>
        <v>240000</v>
      </c>
      <c r="J358" s="29">
        <v>24</v>
      </c>
      <c r="K358" s="29">
        <v>18</v>
      </c>
      <c r="L358" s="36">
        <f t="shared" si="39"/>
        <v>1074000</v>
      </c>
      <c r="M358" s="37">
        <f t="shared" si="40"/>
        <v>19332000</v>
      </c>
      <c r="N358" s="38">
        <f>F358-(H358*6)</f>
        <v>14996000</v>
      </c>
      <c r="O358" s="39" t="s">
        <v>960</v>
      </c>
      <c r="P358" s="107" t="s">
        <v>123</v>
      </c>
      <c r="Q358" s="40">
        <f t="shared" si="41"/>
        <v>14996000</v>
      </c>
      <c r="R358" s="40">
        <f>+'[1]D N 2'!AF380</f>
        <v>14996000</v>
      </c>
      <c r="S358" s="33">
        <f t="shared" si="42"/>
        <v>0</v>
      </c>
    </row>
    <row r="359" spans="1:19">
      <c r="A359" s="29">
        <f t="shared" si="43"/>
        <v>355</v>
      </c>
      <c r="B359" s="30" t="s">
        <v>956</v>
      </c>
      <c r="C359" s="31" t="s">
        <v>957</v>
      </c>
      <c r="D359" s="43" t="s">
        <v>961</v>
      </c>
      <c r="E359" s="32">
        <v>42934</v>
      </c>
      <c r="F359" s="44">
        <f>500000+200000+49300000</f>
        <v>50000000</v>
      </c>
      <c r="G359" s="34">
        <f t="shared" si="38"/>
        <v>71622000</v>
      </c>
      <c r="H359" s="44">
        <f>1989500-I359</f>
        <v>1389500</v>
      </c>
      <c r="I359" s="35">
        <f t="shared" si="44"/>
        <v>600000</v>
      </c>
      <c r="J359" s="29">
        <v>36</v>
      </c>
      <c r="K359" s="29">
        <v>24</v>
      </c>
      <c r="L359" s="36">
        <f t="shared" si="39"/>
        <v>1989500</v>
      </c>
      <c r="M359" s="37">
        <f t="shared" si="40"/>
        <v>47748000</v>
      </c>
      <c r="N359" s="38">
        <f>F359-(H359*12)</f>
        <v>33326000</v>
      </c>
      <c r="O359" s="39" t="s">
        <v>962</v>
      </c>
      <c r="P359" s="107" t="s">
        <v>95</v>
      </c>
      <c r="Q359" s="40">
        <f t="shared" si="41"/>
        <v>33326000</v>
      </c>
      <c r="R359" s="40">
        <f>+'[1]D N 2'!AF381</f>
        <v>33326000</v>
      </c>
      <c r="S359" s="33">
        <f t="shared" si="42"/>
        <v>0</v>
      </c>
    </row>
    <row r="360" spans="1:19">
      <c r="A360" s="29">
        <f t="shared" si="43"/>
        <v>356</v>
      </c>
      <c r="B360" s="30" t="s">
        <v>963</v>
      </c>
      <c r="C360" s="45" t="s">
        <v>964</v>
      </c>
      <c r="D360" s="45" t="s">
        <v>965</v>
      </c>
      <c r="E360" s="32">
        <v>43161</v>
      </c>
      <c r="F360" s="41">
        <f>28332000+270000+715050+150730+100000+200000+10232220</f>
        <v>40000000</v>
      </c>
      <c r="G360" s="34">
        <f t="shared" ref="G360:G423" si="45">+J360*L360</f>
        <v>57280032</v>
      </c>
      <c r="H360" s="40">
        <f>1591112-I360</f>
        <v>1111112</v>
      </c>
      <c r="I360" s="40">
        <f t="shared" si="44"/>
        <v>480000</v>
      </c>
      <c r="J360" s="29">
        <v>36</v>
      </c>
      <c r="K360" s="29">
        <v>32</v>
      </c>
      <c r="L360" s="36">
        <f t="shared" si="39"/>
        <v>1591112</v>
      </c>
      <c r="M360" s="37">
        <f t="shared" si="40"/>
        <v>50915584</v>
      </c>
      <c r="N360" s="38">
        <f>F360-(H360*4)-3000000</f>
        <v>32555552</v>
      </c>
      <c r="O360" s="39" t="s">
        <v>966</v>
      </c>
      <c r="P360" s="107" t="s">
        <v>30</v>
      </c>
      <c r="Q360" s="40">
        <f t="shared" si="41"/>
        <v>32555552</v>
      </c>
      <c r="R360" s="40">
        <f>+'[1]D N 2'!AF382</f>
        <v>32555552</v>
      </c>
      <c r="S360" s="33">
        <f t="shared" si="42"/>
        <v>0</v>
      </c>
    </row>
    <row r="361" spans="1:19">
      <c r="A361" s="29">
        <f t="shared" si="43"/>
        <v>357</v>
      </c>
      <c r="B361" s="30" t="s">
        <v>967</v>
      </c>
      <c r="C361" s="31" t="s">
        <v>968</v>
      </c>
      <c r="D361" s="31" t="s">
        <v>969</v>
      </c>
      <c r="E361" s="32">
        <v>42860</v>
      </c>
      <c r="F361" s="33">
        <f>300000+200000+59500000</f>
        <v>60000000</v>
      </c>
      <c r="G361" s="34">
        <f t="shared" si="45"/>
        <v>47328000</v>
      </c>
      <c r="H361" s="35">
        <v>1252000</v>
      </c>
      <c r="I361" s="33">
        <f t="shared" si="44"/>
        <v>720000</v>
      </c>
      <c r="J361" s="29">
        <v>24</v>
      </c>
      <c r="K361" s="29">
        <v>10</v>
      </c>
      <c r="L361" s="36">
        <f t="shared" si="39"/>
        <v>1972000</v>
      </c>
      <c r="M361" s="37">
        <f t="shared" si="40"/>
        <v>19720000</v>
      </c>
      <c r="N361" s="38">
        <f>F361-(H361*14)-15000000</f>
        <v>27472000</v>
      </c>
      <c r="O361" s="39" t="s">
        <v>970</v>
      </c>
      <c r="P361" s="107" t="s">
        <v>157</v>
      </c>
      <c r="Q361" s="40">
        <f t="shared" si="41"/>
        <v>27472000</v>
      </c>
      <c r="R361" s="40">
        <f>+'[1]D N 2'!AF383</f>
        <v>27472000</v>
      </c>
      <c r="S361" s="33">
        <f t="shared" si="42"/>
        <v>0</v>
      </c>
    </row>
    <row r="362" spans="1:19">
      <c r="A362" s="29">
        <f t="shared" si="43"/>
        <v>358</v>
      </c>
      <c r="B362" s="30" t="s">
        <v>971</v>
      </c>
      <c r="C362" s="31" t="s">
        <v>972</v>
      </c>
      <c r="D362" s="32"/>
      <c r="E362" s="32">
        <v>42551</v>
      </c>
      <c r="F362" s="44">
        <f>200000+200000+49600000</f>
        <v>50000000</v>
      </c>
      <c r="G362" s="34">
        <f t="shared" si="45"/>
        <v>44030000</v>
      </c>
      <c r="H362" s="35">
        <v>695000</v>
      </c>
      <c r="I362" s="35">
        <f t="shared" si="44"/>
        <v>600000</v>
      </c>
      <c r="J362" s="29">
        <v>34</v>
      </c>
      <c r="K362" s="29">
        <v>10</v>
      </c>
      <c r="L362" s="62">
        <f t="shared" si="39"/>
        <v>1295000</v>
      </c>
      <c r="M362" s="62">
        <f t="shared" si="40"/>
        <v>12950000</v>
      </c>
      <c r="N362" s="38">
        <f>F362-(H362*24)-1000000-8000000-1000000-1000000-8000000-1000000</f>
        <v>13320000</v>
      </c>
      <c r="O362" s="39" t="s">
        <v>973</v>
      </c>
      <c r="P362" s="107" t="s">
        <v>49</v>
      </c>
      <c r="Q362" s="40">
        <f t="shared" si="41"/>
        <v>13320000</v>
      </c>
      <c r="R362" s="40">
        <f>+'[1]D N 2'!AF384</f>
        <v>13320000</v>
      </c>
      <c r="S362" s="33">
        <f t="shared" si="42"/>
        <v>0</v>
      </c>
    </row>
    <row r="363" spans="1:19">
      <c r="A363" s="29">
        <f t="shared" si="43"/>
        <v>359</v>
      </c>
      <c r="B363" s="30" t="s">
        <v>974</v>
      </c>
      <c r="C363" s="31" t="s">
        <v>975</v>
      </c>
      <c r="D363" s="31" t="s">
        <v>976</v>
      </c>
      <c r="E363" s="32">
        <v>43068</v>
      </c>
      <c r="F363" s="41">
        <f>79094446+90000000+1977361+1000000+200000+100000000</f>
        <v>272271807</v>
      </c>
      <c r="G363" s="34">
        <f t="shared" si="45"/>
        <v>155000000</v>
      </c>
      <c r="H363" s="40">
        <v>1732738</v>
      </c>
      <c r="I363" s="40">
        <v>3267262</v>
      </c>
      <c r="J363" s="29">
        <v>31</v>
      </c>
      <c r="K363" s="29">
        <v>24</v>
      </c>
      <c r="L363" s="36">
        <f t="shared" si="39"/>
        <v>5000000</v>
      </c>
      <c r="M363" s="37">
        <f t="shared" si="40"/>
        <v>120000000</v>
      </c>
      <c r="N363" s="38">
        <f>F363-(H363*7)-7000000-60000000-7000000</f>
        <v>186142641</v>
      </c>
      <c r="O363" s="39" t="s">
        <v>977</v>
      </c>
      <c r="P363" s="107" t="s">
        <v>49</v>
      </c>
      <c r="Q363" s="40">
        <f t="shared" si="41"/>
        <v>186142641</v>
      </c>
      <c r="R363" s="40">
        <f>+'[1]D N 2'!AF385</f>
        <v>186142641</v>
      </c>
      <c r="S363" s="33">
        <f t="shared" si="42"/>
        <v>0</v>
      </c>
    </row>
    <row r="364" spans="1:19">
      <c r="A364" s="29">
        <f t="shared" si="43"/>
        <v>360</v>
      </c>
      <c r="B364" s="50" t="s">
        <v>978</v>
      </c>
      <c r="C364" s="51" t="s">
        <v>979</v>
      </c>
      <c r="D364" s="51" t="s">
        <v>980</v>
      </c>
      <c r="E364" s="52">
        <v>43133</v>
      </c>
      <c r="F364" s="87">
        <f>200000+200000+49600000</f>
        <v>50000000</v>
      </c>
      <c r="G364" s="88">
        <f t="shared" si="45"/>
        <v>71604000</v>
      </c>
      <c r="H364" s="89">
        <f>1989000-I364</f>
        <v>1389000</v>
      </c>
      <c r="I364" s="89">
        <f>+F364*1.2%</f>
        <v>600000</v>
      </c>
      <c r="J364" s="56">
        <v>36</v>
      </c>
      <c r="K364" s="56">
        <f>31+1</f>
        <v>32</v>
      </c>
      <c r="L364" s="36">
        <f t="shared" si="39"/>
        <v>1989000</v>
      </c>
      <c r="M364" s="37">
        <f t="shared" si="40"/>
        <v>63648000</v>
      </c>
      <c r="N364" s="38">
        <f>F364-(H364*4)</f>
        <v>44444000</v>
      </c>
      <c r="O364" s="39" t="s">
        <v>109</v>
      </c>
      <c r="P364" s="107" t="s">
        <v>25</v>
      </c>
      <c r="Q364" s="40">
        <f t="shared" si="41"/>
        <v>44444000</v>
      </c>
      <c r="R364" s="40">
        <f>+'[1]D N 2'!AF386</f>
        <v>44444000</v>
      </c>
      <c r="S364" s="33">
        <f t="shared" si="42"/>
        <v>0</v>
      </c>
    </row>
    <row r="365" spans="1:19">
      <c r="A365" s="29">
        <f t="shared" si="43"/>
        <v>361</v>
      </c>
      <c r="B365" s="30" t="s">
        <v>981</v>
      </c>
      <c r="C365" s="31" t="s">
        <v>982</v>
      </c>
      <c r="D365" s="32"/>
      <c r="E365" s="32">
        <v>42453</v>
      </c>
      <c r="F365" s="44">
        <f>61020016+1525500+500000+200000+50000000-56622758</f>
        <v>56622758</v>
      </c>
      <c r="G365" s="34">
        <f t="shared" si="45"/>
        <v>49844000</v>
      </c>
      <c r="H365" s="33">
        <v>786527</v>
      </c>
      <c r="I365" s="62">
        <v>679473</v>
      </c>
      <c r="J365" s="85" t="s">
        <v>983</v>
      </c>
      <c r="K365" s="29">
        <v>7</v>
      </c>
      <c r="L365" s="44">
        <f t="shared" si="39"/>
        <v>1466000</v>
      </c>
      <c r="M365" s="44">
        <f t="shared" si="40"/>
        <v>10262000</v>
      </c>
      <c r="N365" s="67">
        <f>F365-(H365*27)-4000000-3500000-3500000-4000000-3500000-3500000-4000000-3500000</f>
        <v>5886529</v>
      </c>
      <c r="O365" s="39" t="s">
        <v>984</v>
      </c>
      <c r="P365" s="117" t="s">
        <v>144</v>
      </c>
      <c r="Q365" s="40">
        <f t="shared" si="41"/>
        <v>5886529</v>
      </c>
      <c r="R365" s="40">
        <f>+'[1]D N 2'!AF387</f>
        <v>5886529</v>
      </c>
      <c r="S365" s="33">
        <f t="shared" si="42"/>
        <v>0</v>
      </c>
    </row>
    <row r="366" spans="1:19">
      <c r="A366" s="29">
        <f t="shared" si="43"/>
        <v>362</v>
      </c>
      <c r="B366" s="30" t="s">
        <v>981</v>
      </c>
      <c r="C366" s="31" t="s">
        <v>982</v>
      </c>
      <c r="D366" s="32"/>
      <c r="E366" s="32">
        <v>42453</v>
      </c>
      <c r="F366" s="44">
        <v>56622758</v>
      </c>
      <c r="G366" s="34">
        <f t="shared" si="45"/>
        <v>49844000</v>
      </c>
      <c r="H366" s="33">
        <v>786527</v>
      </c>
      <c r="I366" s="33">
        <v>679473</v>
      </c>
      <c r="J366" s="85" t="s">
        <v>983</v>
      </c>
      <c r="K366" s="29">
        <v>7</v>
      </c>
      <c r="L366" s="44">
        <f t="shared" si="39"/>
        <v>1466000</v>
      </c>
      <c r="M366" s="44">
        <f t="shared" si="40"/>
        <v>10262000</v>
      </c>
      <c r="N366" s="67">
        <f>F366-(H366*27)-4000000-3500000-3500000-4000000-3500000-3500000-4000000-3500000</f>
        <v>5886529</v>
      </c>
      <c r="O366" s="39" t="s">
        <v>984</v>
      </c>
      <c r="P366" s="117" t="s">
        <v>144</v>
      </c>
      <c r="Q366" s="40">
        <f t="shared" si="41"/>
        <v>5886529</v>
      </c>
      <c r="R366" s="40">
        <f>+'[1]D N 2'!AF388</f>
        <v>5886529</v>
      </c>
      <c r="S366" s="33">
        <f t="shared" si="42"/>
        <v>0</v>
      </c>
    </row>
    <row r="367" spans="1:19">
      <c r="A367" s="29">
        <f t="shared" si="43"/>
        <v>363</v>
      </c>
      <c r="B367" s="30" t="s">
        <v>985</v>
      </c>
      <c r="C367" s="31" t="s">
        <v>986</v>
      </c>
      <c r="D367" s="31" t="s">
        <v>987</v>
      </c>
      <c r="E367" s="32">
        <v>42992</v>
      </c>
      <c r="F367" s="41">
        <f>650000+200000+94150000</f>
        <v>95000000</v>
      </c>
      <c r="G367" s="34">
        <f t="shared" si="45"/>
        <v>88578000</v>
      </c>
      <c r="H367" s="40">
        <v>1320500</v>
      </c>
      <c r="I367" s="35">
        <f t="shared" ref="I367:I377" si="46">+F367*1.2%</f>
        <v>1140000</v>
      </c>
      <c r="J367" s="29">
        <v>36</v>
      </c>
      <c r="K367" s="29">
        <v>26</v>
      </c>
      <c r="L367" s="36">
        <f t="shared" si="39"/>
        <v>2460500</v>
      </c>
      <c r="M367" s="36">
        <f t="shared" si="40"/>
        <v>63973000</v>
      </c>
      <c r="N367" s="38">
        <f>F367-(H367*10)-3000000-10000000-3000000</f>
        <v>65795000</v>
      </c>
      <c r="O367" s="39" t="s">
        <v>988</v>
      </c>
      <c r="P367" s="107" t="s">
        <v>30</v>
      </c>
      <c r="Q367" s="40">
        <f t="shared" si="41"/>
        <v>65795000</v>
      </c>
      <c r="R367" s="40">
        <f>+'[1]D N 2'!AF389</f>
        <v>65795000</v>
      </c>
      <c r="S367" s="33">
        <f t="shared" si="42"/>
        <v>0</v>
      </c>
    </row>
    <row r="368" spans="1:19">
      <c r="A368" s="29">
        <f t="shared" si="43"/>
        <v>364</v>
      </c>
      <c r="B368" s="30" t="s">
        <v>989</v>
      </c>
      <c r="C368" s="31" t="s">
        <v>990</v>
      </c>
      <c r="D368" s="43" t="s">
        <v>991</v>
      </c>
      <c r="E368" s="32">
        <v>43042</v>
      </c>
      <c r="F368" s="44">
        <f>29575000+739375+315484+200000+200000+18970141</f>
        <v>50000000</v>
      </c>
      <c r="G368" s="34">
        <f t="shared" si="45"/>
        <v>41440000</v>
      </c>
      <c r="H368" s="35">
        <v>695000</v>
      </c>
      <c r="I368" s="35">
        <f t="shared" si="46"/>
        <v>600000</v>
      </c>
      <c r="J368" s="29">
        <v>32</v>
      </c>
      <c r="K368" s="29">
        <f>24</f>
        <v>24</v>
      </c>
      <c r="L368" s="36">
        <f t="shared" si="39"/>
        <v>1295000</v>
      </c>
      <c r="M368" s="37">
        <f t="shared" si="40"/>
        <v>31080000</v>
      </c>
      <c r="N368" s="38">
        <f>F368-(H368*8)-3000000-5000000-2000000</f>
        <v>34440000</v>
      </c>
      <c r="O368" s="39" t="s">
        <v>992</v>
      </c>
      <c r="P368" s="107" t="s">
        <v>49</v>
      </c>
      <c r="Q368" s="40">
        <f t="shared" si="41"/>
        <v>34440000</v>
      </c>
      <c r="R368" s="40">
        <f>+'[1]D N 2'!AF390</f>
        <v>34440000</v>
      </c>
      <c r="S368" s="33">
        <f t="shared" si="42"/>
        <v>0</v>
      </c>
    </row>
    <row r="369" spans="1:19">
      <c r="A369" s="29">
        <f t="shared" si="43"/>
        <v>365</v>
      </c>
      <c r="B369" s="30" t="s">
        <v>993</v>
      </c>
      <c r="C369" s="31" t="s">
        <v>994</v>
      </c>
      <c r="D369" s="31" t="s">
        <v>995</v>
      </c>
      <c r="E369" s="32">
        <v>43017</v>
      </c>
      <c r="F369" s="41">
        <f>5083150+127079+352903+550000+200000+78686868</f>
        <v>85000000</v>
      </c>
      <c r="G369" s="34">
        <f t="shared" si="45"/>
        <v>79200000</v>
      </c>
      <c r="H369" s="35">
        <v>1180000</v>
      </c>
      <c r="I369" s="35">
        <f t="shared" si="46"/>
        <v>1020000</v>
      </c>
      <c r="J369" s="29">
        <v>36</v>
      </c>
      <c r="K369" s="29">
        <v>27</v>
      </c>
      <c r="L369" s="36">
        <f t="shared" si="39"/>
        <v>2200000</v>
      </c>
      <c r="M369" s="37">
        <f t="shared" si="40"/>
        <v>59400000</v>
      </c>
      <c r="N369" s="38">
        <f>F369-(H369*9)-2800000-7500000-4000000</f>
        <v>60080000</v>
      </c>
      <c r="O369" s="42" t="s">
        <v>996</v>
      </c>
      <c r="P369" s="107" t="s">
        <v>49</v>
      </c>
      <c r="Q369" s="40">
        <f t="shared" si="41"/>
        <v>60080000</v>
      </c>
      <c r="R369" s="40">
        <f>+'[1]D N 2'!AF391</f>
        <v>60080000</v>
      </c>
      <c r="S369" s="33">
        <f t="shared" si="42"/>
        <v>0</v>
      </c>
    </row>
    <row r="370" spans="1:19">
      <c r="A370" s="29">
        <f t="shared" si="43"/>
        <v>366</v>
      </c>
      <c r="B370" s="30" t="s">
        <v>997</v>
      </c>
      <c r="C370" s="31" t="s">
        <v>998</v>
      </c>
      <c r="D370" s="31" t="s">
        <v>999</v>
      </c>
      <c r="E370" s="32">
        <v>42943</v>
      </c>
      <c r="F370" s="41">
        <f>23888600+597215+2200000+200000+223114185-125000000</f>
        <v>125000000</v>
      </c>
      <c r="G370" s="34">
        <f t="shared" si="45"/>
        <v>104004000</v>
      </c>
      <c r="H370" s="40">
        <v>1389000</v>
      </c>
      <c r="I370" s="40">
        <f t="shared" si="46"/>
        <v>1500000</v>
      </c>
      <c r="J370" s="29">
        <v>36</v>
      </c>
      <c r="K370" s="29">
        <v>25</v>
      </c>
      <c r="L370" s="36">
        <f t="shared" si="39"/>
        <v>2889000</v>
      </c>
      <c r="M370" s="37">
        <f t="shared" si="40"/>
        <v>72225000</v>
      </c>
      <c r="N370" s="38">
        <f>F370-(H370*11)-2500000-20000000-2500000</f>
        <v>84721000</v>
      </c>
      <c r="O370" s="39" t="s">
        <v>741</v>
      </c>
      <c r="P370" s="107" t="s">
        <v>49</v>
      </c>
      <c r="Q370" s="40">
        <f t="shared" si="41"/>
        <v>84721000</v>
      </c>
      <c r="R370" s="40">
        <f>+'[1]D N 2'!AF392</f>
        <v>84721000</v>
      </c>
      <c r="S370" s="33">
        <f t="shared" si="42"/>
        <v>0</v>
      </c>
    </row>
    <row r="371" spans="1:19">
      <c r="A371" s="29">
        <f t="shared" si="43"/>
        <v>367</v>
      </c>
      <c r="B371" s="30" t="s">
        <v>997</v>
      </c>
      <c r="C371" s="31" t="s">
        <v>998</v>
      </c>
      <c r="D371" s="31" t="s">
        <v>999</v>
      </c>
      <c r="E371" s="32">
        <v>42943</v>
      </c>
      <c r="F371" s="41">
        <v>125000000</v>
      </c>
      <c r="G371" s="34">
        <f t="shared" si="45"/>
        <v>104004000</v>
      </c>
      <c r="H371" s="41">
        <v>1389000</v>
      </c>
      <c r="I371" s="40">
        <f t="shared" si="46"/>
        <v>1500000</v>
      </c>
      <c r="J371" s="29">
        <v>36</v>
      </c>
      <c r="K371" s="29">
        <f>25</f>
        <v>25</v>
      </c>
      <c r="L371" s="36">
        <f t="shared" si="39"/>
        <v>2889000</v>
      </c>
      <c r="M371" s="37">
        <f t="shared" si="40"/>
        <v>72225000</v>
      </c>
      <c r="N371" s="38">
        <f>F371-(H371*11)-2500000-20000000-2500000</f>
        <v>84721000</v>
      </c>
      <c r="O371" s="39" t="s">
        <v>741</v>
      </c>
      <c r="P371" s="107" t="s">
        <v>49</v>
      </c>
      <c r="Q371" s="40">
        <f t="shared" si="41"/>
        <v>84721000</v>
      </c>
      <c r="R371" s="40">
        <f>+'[1]D N 2'!AF393</f>
        <v>84721000</v>
      </c>
      <c r="S371" s="33">
        <f t="shared" si="42"/>
        <v>0</v>
      </c>
    </row>
    <row r="372" spans="1:19">
      <c r="A372" s="29">
        <f t="shared" si="43"/>
        <v>368</v>
      </c>
      <c r="B372" s="30" t="s">
        <v>1000</v>
      </c>
      <c r="C372" s="31" t="s">
        <v>1001</v>
      </c>
      <c r="D372" s="82"/>
      <c r="E372" s="82">
        <v>42403</v>
      </c>
      <c r="F372" s="47">
        <f>41444500+1036113+395106+585555+200000+56338726</f>
        <v>100000000</v>
      </c>
      <c r="G372" s="62">
        <f t="shared" si="45"/>
        <v>85433700</v>
      </c>
      <c r="H372" s="33">
        <v>1388900</v>
      </c>
      <c r="I372" s="62">
        <f t="shared" si="46"/>
        <v>1200000</v>
      </c>
      <c r="J372" s="85" t="s">
        <v>1002</v>
      </c>
      <c r="K372" s="29">
        <f>4</f>
        <v>4</v>
      </c>
      <c r="L372" s="33">
        <f t="shared" si="39"/>
        <v>2588900</v>
      </c>
      <c r="M372" s="33">
        <f t="shared" si="40"/>
        <v>10355600</v>
      </c>
      <c r="N372" s="67">
        <f>F372-(H372*29)-10000000-5000000-5000000-10000000-5000000-5000000-10000000-5000000</f>
        <v>4721900</v>
      </c>
      <c r="O372" s="104" t="s">
        <v>1003</v>
      </c>
      <c r="P372" s="117" t="s">
        <v>1004</v>
      </c>
      <c r="Q372" s="40">
        <f t="shared" si="41"/>
        <v>4721900</v>
      </c>
      <c r="R372" s="40">
        <f>+'[1]D N 2'!AF394</f>
        <v>4721900</v>
      </c>
      <c r="S372" s="33">
        <f t="shared" si="42"/>
        <v>0</v>
      </c>
    </row>
    <row r="373" spans="1:19">
      <c r="A373" s="29">
        <f t="shared" si="43"/>
        <v>369</v>
      </c>
      <c r="B373" s="30" t="s">
        <v>1005</v>
      </c>
      <c r="C373" s="45" t="s">
        <v>1006</v>
      </c>
      <c r="D373" s="45" t="s">
        <v>1007</v>
      </c>
      <c r="E373" s="32">
        <v>43185</v>
      </c>
      <c r="F373" s="41">
        <f>58000000+1450000+420000+200000+39930000</f>
        <v>100000000</v>
      </c>
      <c r="G373" s="34">
        <f t="shared" si="45"/>
        <v>89280000</v>
      </c>
      <c r="H373" s="40">
        <v>1280000</v>
      </c>
      <c r="I373" s="40">
        <f t="shared" si="46"/>
        <v>1200000</v>
      </c>
      <c r="J373" s="29">
        <v>36</v>
      </c>
      <c r="K373" s="29">
        <v>33</v>
      </c>
      <c r="L373" s="36">
        <f t="shared" si="39"/>
        <v>2480000</v>
      </c>
      <c r="M373" s="37">
        <f t="shared" si="40"/>
        <v>81840000</v>
      </c>
      <c r="N373" s="38">
        <f>F373-(H373*3)-10000000-2000000-3000000</f>
        <v>81160000</v>
      </c>
      <c r="O373" s="39" t="s">
        <v>77</v>
      </c>
      <c r="P373" s="107" t="s">
        <v>30</v>
      </c>
      <c r="Q373" s="40">
        <f t="shared" si="41"/>
        <v>81160000</v>
      </c>
      <c r="R373" s="40">
        <f>+'[1]D N 2'!AF395</f>
        <v>81160000</v>
      </c>
      <c r="S373" s="33">
        <f t="shared" si="42"/>
        <v>0</v>
      </c>
    </row>
    <row r="374" spans="1:19">
      <c r="A374" s="29">
        <f t="shared" si="43"/>
        <v>370</v>
      </c>
      <c r="B374" s="30" t="s">
        <v>1008</v>
      </c>
      <c r="C374" s="31" t="s">
        <v>1009</v>
      </c>
      <c r="D374" s="31" t="s">
        <v>1010</v>
      </c>
      <c r="E374" s="32">
        <v>43104</v>
      </c>
      <c r="F374" s="41">
        <f>13938770+1887500+395657+413224+550000+200000+67614849-42500000</f>
        <v>42500000</v>
      </c>
      <c r="G374" s="34">
        <f t="shared" si="45"/>
        <v>39618000</v>
      </c>
      <c r="H374" s="40">
        <v>590500</v>
      </c>
      <c r="I374" s="40">
        <f t="shared" si="46"/>
        <v>510000</v>
      </c>
      <c r="J374" s="29">
        <v>36</v>
      </c>
      <c r="K374" s="29">
        <v>30</v>
      </c>
      <c r="L374" s="36">
        <f t="shared" si="39"/>
        <v>1100500</v>
      </c>
      <c r="M374" s="37">
        <f t="shared" si="40"/>
        <v>33015000</v>
      </c>
      <c r="N374" s="38">
        <f>F374-(H374*6)-5000000-2500000</f>
        <v>31457000</v>
      </c>
      <c r="O374" s="39" t="s">
        <v>628</v>
      </c>
      <c r="P374" s="107" t="s">
        <v>49</v>
      </c>
      <c r="Q374" s="40">
        <f t="shared" si="41"/>
        <v>31457000</v>
      </c>
      <c r="R374" s="40">
        <f>+'[1]D N 2'!AF396</f>
        <v>31457000</v>
      </c>
      <c r="S374" s="33">
        <f t="shared" si="42"/>
        <v>0</v>
      </c>
    </row>
    <row r="375" spans="1:19">
      <c r="A375" s="29">
        <f t="shared" si="43"/>
        <v>371</v>
      </c>
      <c r="B375" s="30" t="s">
        <v>1008</v>
      </c>
      <c r="C375" s="31" t="s">
        <v>1009</v>
      </c>
      <c r="D375" s="31" t="s">
        <v>1010</v>
      </c>
      <c r="E375" s="32">
        <v>43104</v>
      </c>
      <c r="F375" s="41">
        <v>42500000</v>
      </c>
      <c r="G375" s="34">
        <f t="shared" si="45"/>
        <v>39618000</v>
      </c>
      <c r="H375" s="40">
        <v>590500</v>
      </c>
      <c r="I375" s="40">
        <f t="shared" si="46"/>
        <v>510000</v>
      </c>
      <c r="J375" s="29">
        <v>36</v>
      </c>
      <c r="K375" s="29">
        <v>30</v>
      </c>
      <c r="L375" s="36">
        <f t="shared" si="39"/>
        <v>1100500</v>
      </c>
      <c r="M375" s="37">
        <f t="shared" si="40"/>
        <v>33015000</v>
      </c>
      <c r="N375" s="38">
        <f>F375-(H375*6)-5000000-2500000</f>
        <v>31457000</v>
      </c>
      <c r="O375" s="39" t="s">
        <v>628</v>
      </c>
      <c r="P375" s="107" t="s">
        <v>49</v>
      </c>
      <c r="Q375" s="40">
        <f t="shared" si="41"/>
        <v>31457000</v>
      </c>
      <c r="R375" s="40">
        <f>+'[1]D N 2'!AF397</f>
        <v>31457000</v>
      </c>
      <c r="S375" s="33">
        <f t="shared" si="42"/>
        <v>0</v>
      </c>
    </row>
    <row r="376" spans="1:19">
      <c r="A376" s="29">
        <f t="shared" si="43"/>
        <v>372</v>
      </c>
      <c r="B376" s="30" t="s">
        <v>1011</v>
      </c>
      <c r="C376" s="45" t="s">
        <v>1012</v>
      </c>
      <c r="D376" s="45" t="s">
        <v>1013</v>
      </c>
      <c r="E376" s="32">
        <v>43250</v>
      </c>
      <c r="F376" s="41">
        <f>120454000+3011350+3795460+200000+372539190</f>
        <v>500000000</v>
      </c>
      <c r="G376" s="34">
        <f t="shared" si="45"/>
        <v>508800000</v>
      </c>
      <c r="H376" s="40">
        <v>4600000</v>
      </c>
      <c r="I376" s="40">
        <f t="shared" si="46"/>
        <v>6000000</v>
      </c>
      <c r="J376" s="29">
        <v>48</v>
      </c>
      <c r="K376" s="29">
        <v>47</v>
      </c>
      <c r="L376" s="36">
        <f t="shared" si="39"/>
        <v>10600000</v>
      </c>
      <c r="M376" s="37">
        <f t="shared" si="40"/>
        <v>498200000</v>
      </c>
      <c r="N376" s="38">
        <f>F376-(H376*1)</f>
        <v>495400000</v>
      </c>
      <c r="O376" s="39" t="s">
        <v>771</v>
      </c>
      <c r="P376" s="107" t="s">
        <v>49</v>
      </c>
      <c r="Q376" s="40">
        <f t="shared" si="41"/>
        <v>495400000</v>
      </c>
      <c r="R376" s="40">
        <f>+'[1]D N 2'!AF398</f>
        <v>495400000</v>
      </c>
      <c r="S376" s="33">
        <f t="shared" si="42"/>
        <v>0</v>
      </c>
    </row>
    <row r="377" spans="1:19">
      <c r="A377" s="29">
        <f t="shared" si="43"/>
        <v>373</v>
      </c>
      <c r="B377" s="30" t="s">
        <v>1014</v>
      </c>
      <c r="C377" s="45" t="s">
        <v>1015</v>
      </c>
      <c r="D377" s="45" t="s">
        <v>1016</v>
      </c>
      <c r="E377" s="32">
        <v>43235</v>
      </c>
      <c r="F377" s="41">
        <f>32221550+805539+913563+427785+200000+40431563</f>
        <v>75000000</v>
      </c>
      <c r="G377" s="34">
        <f t="shared" si="45"/>
        <v>59400000</v>
      </c>
      <c r="H377" s="40">
        <v>750000</v>
      </c>
      <c r="I377" s="40">
        <f t="shared" si="46"/>
        <v>900000</v>
      </c>
      <c r="J377" s="29">
        <v>36</v>
      </c>
      <c r="K377" s="29">
        <v>34</v>
      </c>
      <c r="L377" s="36">
        <f t="shared" si="39"/>
        <v>1650000</v>
      </c>
      <c r="M377" s="37">
        <f t="shared" si="40"/>
        <v>56100000</v>
      </c>
      <c r="N377" s="38">
        <f>F377-(H377*2)-3500000</f>
        <v>70000000</v>
      </c>
      <c r="O377" s="39" t="s">
        <v>86</v>
      </c>
      <c r="P377" s="107" t="s">
        <v>64</v>
      </c>
      <c r="Q377" s="40">
        <f t="shared" si="41"/>
        <v>70000000</v>
      </c>
      <c r="R377" s="40">
        <f>+'[1]D N 2'!AF399</f>
        <v>70000000</v>
      </c>
      <c r="S377" s="33">
        <f t="shared" si="42"/>
        <v>0</v>
      </c>
    </row>
    <row r="378" spans="1:19">
      <c r="A378" s="29">
        <f t="shared" si="43"/>
        <v>374</v>
      </c>
      <c r="B378" s="30" t="s">
        <v>1017</v>
      </c>
      <c r="C378" s="45" t="s">
        <v>1018</v>
      </c>
      <c r="D378" s="45" t="s">
        <v>1019</v>
      </c>
      <c r="E378" s="43">
        <v>43237</v>
      </c>
      <c r="F378" s="41">
        <f>125147468+3128687+1811174+1038000+200000+103800000</f>
        <v>235125329</v>
      </c>
      <c r="G378" s="34">
        <f t="shared" si="45"/>
        <v>250560000</v>
      </c>
      <c r="H378" s="40">
        <v>2398496</v>
      </c>
      <c r="I378" s="40">
        <v>2821504</v>
      </c>
      <c r="J378" s="29">
        <v>48</v>
      </c>
      <c r="K378" s="29">
        <v>46</v>
      </c>
      <c r="L378" s="36">
        <f t="shared" si="39"/>
        <v>5220000</v>
      </c>
      <c r="M378" s="37">
        <f t="shared" si="40"/>
        <v>240120000</v>
      </c>
      <c r="N378" s="38">
        <f>F378-(H378*2)-2500000</f>
        <v>227828337</v>
      </c>
      <c r="O378" s="39" t="s">
        <v>1020</v>
      </c>
      <c r="P378" s="107" t="s">
        <v>64</v>
      </c>
      <c r="Q378" s="40">
        <f t="shared" si="41"/>
        <v>227828337</v>
      </c>
      <c r="R378" s="40">
        <f>+'[1]D N 2'!AF400</f>
        <v>227828337</v>
      </c>
      <c r="S378" s="33">
        <f t="shared" si="42"/>
        <v>0</v>
      </c>
    </row>
    <row r="379" spans="1:19">
      <c r="A379" s="29">
        <f t="shared" si="43"/>
        <v>375</v>
      </c>
      <c r="B379" s="50" t="s">
        <v>1021</v>
      </c>
      <c r="C379" s="51" t="s">
        <v>1022</v>
      </c>
      <c r="D379" s="52"/>
      <c r="E379" s="52">
        <v>42593</v>
      </c>
      <c r="F379" s="87">
        <v>35841379</v>
      </c>
      <c r="G379" s="88">
        <f t="shared" si="45"/>
        <v>26950049</v>
      </c>
      <c r="H379" s="87">
        <v>119904</v>
      </c>
      <c r="I379" s="87">
        <v>430097</v>
      </c>
      <c r="J379" s="56">
        <v>49</v>
      </c>
      <c r="K379" s="56">
        <f>37+1</f>
        <v>38</v>
      </c>
      <c r="L379" s="36">
        <f t="shared" si="39"/>
        <v>550001</v>
      </c>
      <c r="M379" s="98">
        <f t="shared" si="40"/>
        <v>20900038</v>
      </c>
      <c r="N379" s="38">
        <f>F379-(H379*11)-1250000-5000000-1000000-1250000-5000000</f>
        <v>21022435</v>
      </c>
      <c r="O379" s="39" t="s">
        <v>1023</v>
      </c>
      <c r="P379" s="107" t="s">
        <v>347</v>
      </c>
      <c r="Q379" s="40">
        <f t="shared" si="41"/>
        <v>21022435</v>
      </c>
      <c r="R379" s="40">
        <f>+'[1]D N 2'!AF401</f>
        <v>21022435</v>
      </c>
      <c r="S379" s="33">
        <f t="shared" si="42"/>
        <v>0</v>
      </c>
    </row>
    <row r="380" spans="1:19">
      <c r="A380" s="29">
        <f t="shared" si="43"/>
        <v>376</v>
      </c>
      <c r="B380" s="50" t="s">
        <v>1021</v>
      </c>
      <c r="C380" s="51" t="s">
        <v>1022</v>
      </c>
      <c r="D380" s="52"/>
      <c r="E380" s="52">
        <v>42593</v>
      </c>
      <c r="F380" s="87">
        <f>57102301+5000000+1427558+491152+1811746+600000+50000+200000+5000000-35841379</f>
        <v>35841378</v>
      </c>
      <c r="G380" s="88">
        <f t="shared" si="45"/>
        <v>26949951</v>
      </c>
      <c r="H380" s="55">
        <v>119903</v>
      </c>
      <c r="I380" s="96">
        <v>430096</v>
      </c>
      <c r="J380" s="56">
        <v>49</v>
      </c>
      <c r="K380" s="56">
        <f>38+1</f>
        <v>39</v>
      </c>
      <c r="L380" s="36">
        <f t="shared" si="39"/>
        <v>549999</v>
      </c>
      <c r="M380" s="98">
        <f t="shared" si="40"/>
        <v>21449961</v>
      </c>
      <c r="N380" s="38">
        <f>F380-(H380*10)-1250000-44500-5000000-100000-1000000-1250000-5000000</f>
        <v>20997848</v>
      </c>
      <c r="O380" s="39" t="s">
        <v>1023</v>
      </c>
      <c r="P380" s="107" t="s">
        <v>347</v>
      </c>
      <c r="Q380" s="40">
        <f t="shared" si="41"/>
        <v>20997848</v>
      </c>
      <c r="R380" s="40">
        <f>+'[1]D N 2'!AF402</f>
        <v>20997848</v>
      </c>
      <c r="S380" s="33">
        <f t="shared" si="42"/>
        <v>0</v>
      </c>
    </row>
    <row r="381" spans="1:19">
      <c r="A381" s="29">
        <f t="shared" si="43"/>
        <v>377</v>
      </c>
      <c r="B381" s="30" t="s">
        <v>1024</v>
      </c>
      <c r="C381" s="31" t="s">
        <v>1025</v>
      </c>
      <c r="D381" s="31" t="s">
        <v>1026</v>
      </c>
      <c r="E381" s="32">
        <v>43154</v>
      </c>
      <c r="F381" s="41">
        <f>37400000+935000+576000+200000+55889000</f>
        <v>95000000</v>
      </c>
      <c r="G381" s="34">
        <f t="shared" si="45"/>
        <v>43500000</v>
      </c>
      <c r="H381" s="40">
        <v>360000</v>
      </c>
      <c r="I381" s="40">
        <f>+F381*1.2%</f>
        <v>1140000</v>
      </c>
      <c r="J381" s="29">
        <v>29</v>
      </c>
      <c r="K381" s="29">
        <v>25</v>
      </c>
      <c r="L381" s="36">
        <f t="shared" si="39"/>
        <v>1500000</v>
      </c>
      <c r="M381" s="37">
        <f t="shared" si="40"/>
        <v>37500000</v>
      </c>
      <c r="N381" s="38">
        <f>F381-(H381*4)-23000000-5000000</f>
        <v>65560000</v>
      </c>
      <c r="O381" s="39" t="s">
        <v>48</v>
      </c>
      <c r="P381" s="107" t="s">
        <v>78</v>
      </c>
      <c r="Q381" s="40">
        <f t="shared" si="41"/>
        <v>65560000</v>
      </c>
      <c r="R381" s="40">
        <f>+'[1]D N 2'!AF403</f>
        <v>65560000</v>
      </c>
      <c r="S381" s="33">
        <f t="shared" si="42"/>
        <v>0</v>
      </c>
    </row>
    <row r="382" spans="1:19">
      <c r="A382" s="29">
        <f t="shared" si="43"/>
        <v>378</v>
      </c>
      <c r="B382" s="30" t="s">
        <v>1027</v>
      </c>
      <c r="C382" s="31" t="s">
        <v>1028</v>
      </c>
      <c r="D382" s="31" t="s">
        <v>1029</v>
      </c>
      <c r="E382" s="32">
        <v>43018</v>
      </c>
      <c r="F382" s="41">
        <f>200000+200000+49600000</f>
        <v>50000000</v>
      </c>
      <c r="G382" s="34">
        <f t="shared" si="45"/>
        <v>27550000</v>
      </c>
      <c r="H382" s="33">
        <v>850000</v>
      </c>
      <c r="I382" s="35">
        <f>+F382*1.2%</f>
        <v>600000</v>
      </c>
      <c r="J382" s="29">
        <v>19</v>
      </c>
      <c r="K382" s="29">
        <v>10</v>
      </c>
      <c r="L382" s="36">
        <f t="shared" si="39"/>
        <v>1450000</v>
      </c>
      <c r="M382" s="37">
        <f t="shared" si="40"/>
        <v>14500000</v>
      </c>
      <c r="N382" s="38">
        <f>F382-(H382*9)-20000000</f>
        <v>22350000</v>
      </c>
      <c r="O382" s="42" t="s">
        <v>1030</v>
      </c>
      <c r="P382" s="107" t="s">
        <v>157</v>
      </c>
      <c r="Q382" s="40">
        <f t="shared" si="41"/>
        <v>22350000</v>
      </c>
      <c r="R382" s="40">
        <f>+'[1]D N 2'!AF404</f>
        <v>22350000</v>
      </c>
      <c r="S382" s="33">
        <f t="shared" si="42"/>
        <v>0</v>
      </c>
    </row>
    <row r="383" spans="1:19">
      <c r="A383" s="29">
        <f t="shared" si="43"/>
        <v>379</v>
      </c>
      <c r="B383" s="30" t="s">
        <v>1027</v>
      </c>
      <c r="C383" s="45" t="s">
        <v>1028</v>
      </c>
      <c r="D383" s="45" t="s">
        <v>1031</v>
      </c>
      <c r="E383" s="32">
        <v>43251</v>
      </c>
      <c r="F383" s="41">
        <f>200000+49800000</f>
        <v>50000000</v>
      </c>
      <c r="G383" s="34">
        <f t="shared" si="45"/>
        <v>30400800</v>
      </c>
      <c r="H383" s="40">
        <f>1266700-I383</f>
        <v>666700</v>
      </c>
      <c r="I383" s="40">
        <f>+F383*1.2%</f>
        <v>600000</v>
      </c>
      <c r="J383" s="29">
        <v>24</v>
      </c>
      <c r="K383" s="29">
        <v>23</v>
      </c>
      <c r="L383" s="36">
        <f t="shared" si="39"/>
        <v>1266700</v>
      </c>
      <c r="M383" s="37">
        <f t="shared" si="40"/>
        <v>29134100</v>
      </c>
      <c r="N383" s="38">
        <f>F383-(H383*1)</f>
        <v>49333300</v>
      </c>
      <c r="O383" s="39" t="s">
        <v>1032</v>
      </c>
      <c r="P383" s="107" t="s">
        <v>157</v>
      </c>
      <c r="Q383" s="40">
        <f t="shared" si="41"/>
        <v>49333300</v>
      </c>
      <c r="R383" s="40">
        <f>+'[1]D N 2'!AF405</f>
        <v>49333300</v>
      </c>
      <c r="S383" s="33">
        <f t="shared" si="42"/>
        <v>0</v>
      </c>
    </row>
    <row r="384" spans="1:19">
      <c r="A384" s="29">
        <f t="shared" si="43"/>
        <v>380</v>
      </c>
      <c r="B384" s="30" t="s">
        <v>1033</v>
      </c>
      <c r="C384" s="31" t="s">
        <v>1034</v>
      </c>
      <c r="D384" s="32"/>
      <c r="E384" s="32">
        <v>42305</v>
      </c>
      <c r="F384" s="33">
        <f>17777600+444440+15000000</f>
        <v>33222040</v>
      </c>
      <c r="G384" s="70">
        <f t="shared" si="45"/>
        <v>47576304</v>
      </c>
      <c r="H384" s="33">
        <v>922900</v>
      </c>
      <c r="I384" s="62">
        <v>398664</v>
      </c>
      <c r="J384" s="29">
        <v>36</v>
      </c>
      <c r="K384" s="29">
        <v>4</v>
      </c>
      <c r="L384" s="33">
        <f t="shared" si="39"/>
        <v>1321564</v>
      </c>
      <c r="M384" s="33">
        <f t="shared" si="40"/>
        <v>5286256</v>
      </c>
      <c r="N384" s="57">
        <f>F384-(H384*32)</f>
        <v>3689240</v>
      </c>
      <c r="O384" s="42" t="s">
        <v>1035</v>
      </c>
      <c r="P384" s="110" t="s">
        <v>69</v>
      </c>
      <c r="Q384" s="40">
        <f t="shared" si="41"/>
        <v>3689240</v>
      </c>
      <c r="R384" s="40">
        <f>+'[1]D N 2'!AF406</f>
        <v>3689240</v>
      </c>
      <c r="S384" s="33">
        <f t="shared" si="42"/>
        <v>0</v>
      </c>
    </row>
    <row r="385" spans="1:19">
      <c r="A385" s="29">
        <f t="shared" si="43"/>
        <v>381</v>
      </c>
      <c r="B385" s="50" t="s">
        <v>1036</v>
      </c>
      <c r="C385" s="51" t="s">
        <v>1037</v>
      </c>
      <c r="D385" s="52"/>
      <c r="E385" s="52">
        <v>42523</v>
      </c>
      <c r="F385" s="65">
        <f>44964302+1124108+239703+500000+200000+50000000</f>
        <v>97028113</v>
      </c>
      <c r="G385" s="65">
        <f t="shared" si="45"/>
        <v>87920000</v>
      </c>
      <c r="H385" s="96">
        <v>1347663</v>
      </c>
      <c r="I385" s="96">
        <v>1164337</v>
      </c>
      <c r="J385" s="56">
        <v>35</v>
      </c>
      <c r="K385" s="56">
        <f>10+1</f>
        <v>11</v>
      </c>
      <c r="L385" s="37">
        <f t="shared" si="39"/>
        <v>2512000</v>
      </c>
      <c r="M385" s="37">
        <f t="shared" si="40"/>
        <v>27632000</v>
      </c>
      <c r="N385" s="118">
        <f>F385-(H385*24)-20000000-20000000</f>
        <v>24684201</v>
      </c>
      <c r="O385" s="39" t="s">
        <v>1038</v>
      </c>
      <c r="P385" s="107" t="s">
        <v>64</v>
      </c>
      <c r="Q385" s="40">
        <f t="shared" si="41"/>
        <v>24684201</v>
      </c>
      <c r="R385" s="40">
        <f>+'[1]D N 2'!AF407</f>
        <v>24684201</v>
      </c>
      <c r="S385" s="33">
        <f t="shared" si="42"/>
        <v>0</v>
      </c>
    </row>
    <row r="386" spans="1:19">
      <c r="A386" s="29">
        <f t="shared" si="43"/>
        <v>382</v>
      </c>
      <c r="B386" s="30" t="s">
        <v>1039</v>
      </c>
      <c r="C386" s="31" t="s">
        <v>1040</v>
      </c>
      <c r="D386" s="31" t="s">
        <v>1041</v>
      </c>
      <c r="E386" s="32">
        <v>43245</v>
      </c>
      <c r="F386" s="41">
        <f>322800000+4842000+200000+0</f>
        <v>327842000</v>
      </c>
      <c r="G386" s="34">
        <f t="shared" si="45"/>
        <v>210000000</v>
      </c>
      <c r="H386" s="40">
        <f>6000000-I386</f>
        <v>2065896</v>
      </c>
      <c r="I386" s="40">
        <f>+F386*1.2%</f>
        <v>3934104</v>
      </c>
      <c r="J386" s="29">
        <v>35</v>
      </c>
      <c r="K386" s="29">
        <v>34</v>
      </c>
      <c r="L386" s="36">
        <f t="shared" si="39"/>
        <v>6000000</v>
      </c>
      <c r="M386" s="37">
        <f t="shared" si="40"/>
        <v>204000000</v>
      </c>
      <c r="N386" s="38">
        <f>F386-(H386*1)</f>
        <v>325776104</v>
      </c>
      <c r="O386" s="39" t="s">
        <v>1042</v>
      </c>
      <c r="P386" s="107" t="s">
        <v>294</v>
      </c>
      <c r="Q386" s="40">
        <f t="shared" si="41"/>
        <v>325776104</v>
      </c>
      <c r="R386" s="40">
        <f>+'[1]D N 2'!AF408</f>
        <v>325776104</v>
      </c>
      <c r="S386" s="33">
        <f t="shared" si="42"/>
        <v>0</v>
      </c>
    </row>
    <row r="387" spans="1:19">
      <c r="A387" s="29">
        <f t="shared" si="43"/>
        <v>383</v>
      </c>
      <c r="B387" s="30" t="s">
        <v>1043</v>
      </c>
      <c r="C387" s="31" t="s">
        <v>1044</v>
      </c>
      <c r="D387" s="82"/>
      <c r="E387" s="82">
        <v>42425</v>
      </c>
      <c r="F387" s="44">
        <f>700000+200000+99100000-F388</f>
        <v>50000000</v>
      </c>
      <c r="G387" s="34">
        <f t="shared" si="45"/>
        <v>42716850</v>
      </c>
      <c r="H387" s="33">
        <v>694450</v>
      </c>
      <c r="I387" s="62">
        <f>1200000-I388</f>
        <v>600000</v>
      </c>
      <c r="J387" s="85" t="s">
        <v>1002</v>
      </c>
      <c r="K387" s="29">
        <v>5</v>
      </c>
      <c r="L387" s="44">
        <f t="shared" si="39"/>
        <v>1294450</v>
      </c>
      <c r="M387" s="44">
        <f t="shared" si="40"/>
        <v>6472250</v>
      </c>
      <c r="N387" s="38">
        <f>F387-(H387*28)-7500000-2500000-7500000-2500000-7500000</f>
        <v>3055400</v>
      </c>
      <c r="O387" s="39" t="s">
        <v>1045</v>
      </c>
      <c r="P387" s="107" t="s">
        <v>1046</v>
      </c>
      <c r="Q387" s="40">
        <f t="shared" si="41"/>
        <v>3055400</v>
      </c>
      <c r="R387" s="40">
        <f>+'[1]D N 2'!AF409</f>
        <v>3055400</v>
      </c>
      <c r="S387" s="33">
        <f t="shared" si="42"/>
        <v>0</v>
      </c>
    </row>
    <row r="388" spans="1:19">
      <c r="A388" s="29">
        <f t="shared" si="43"/>
        <v>384</v>
      </c>
      <c r="B388" s="30" t="s">
        <v>1043</v>
      </c>
      <c r="C388" s="31" t="s">
        <v>1044</v>
      </c>
      <c r="D388" s="82"/>
      <c r="E388" s="82">
        <v>42425</v>
      </c>
      <c r="F388" s="44">
        <v>50000000</v>
      </c>
      <c r="G388" s="34">
        <f t="shared" si="45"/>
        <v>42716850</v>
      </c>
      <c r="H388" s="33">
        <v>694450</v>
      </c>
      <c r="I388" s="33">
        <v>600000</v>
      </c>
      <c r="J388" s="85" t="s">
        <v>1002</v>
      </c>
      <c r="K388" s="29">
        <v>5</v>
      </c>
      <c r="L388" s="44">
        <f t="shared" si="39"/>
        <v>1294450</v>
      </c>
      <c r="M388" s="44">
        <f t="shared" si="40"/>
        <v>6472250</v>
      </c>
      <c r="N388" s="38">
        <f>F388-(H388*28)-7500000-2500000-7500000-2500000-7500000</f>
        <v>3055400</v>
      </c>
      <c r="O388" s="39" t="s">
        <v>1045</v>
      </c>
      <c r="P388" s="107" t="s">
        <v>1046</v>
      </c>
      <c r="Q388" s="40">
        <f t="shared" si="41"/>
        <v>3055400</v>
      </c>
      <c r="R388" s="40">
        <f>+'[1]D N 2'!AF410</f>
        <v>3055400</v>
      </c>
      <c r="S388" s="33">
        <f t="shared" si="42"/>
        <v>0</v>
      </c>
    </row>
    <row r="389" spans="1:19">
      <c r="A389" s="29">
        <f t="shared" si="43"/>
        <v>385</v>
      </c>
      <c r="B389" s="30" t="s">
        <v>1047</v>
      </c>
      <c r="C389" s="45" t="s">
        <v>1048</v>
      </c>
      <c r="D389" s="45" t="s">
        <v>1049</v>
      </c>
      <c r="E389" s="32">
        <v>43248</v>
      </c>
      <c r="F389" s="41">
        <f>30971500+774288+1000000+200000+100000000</f>
        <v>132945788</v>
      </c>
      <c r="G389" s="34">
        <f t="shared" si="45"/>
        <v>99750000</v>
      </c>
      <c r="H389" s="40">
        <v>1254651</v>
      </c>
      <c r="I389" s="40">
        <v>1595349</v>
      </c>
      <c r="J389" s="29">
        <v>35</v>
      </c>
      <c r="K389" s="29">
        <v>34</v>
      </c>
      <c r="L389" s="36">
        <f t="shared" ref="L389:L452" si="47">+H389+I389</f>
        <v>2850000</v>
      </c>
      <c r="M389" s="37">
        <f t="shared" ref="M389:M452" si="48">+K389*L389</f>
        <v>96900000</v>
      </c>
      <c r="N389" s="38">
        <f>F389-(H389*1)</f>
        <v>131691137</v>
      </c>
      <c r="O389" s="39" t="s">
        <v>1050</v>
      </c>
      <c r="P389" s="107" t="s">
        <v>49</v>
      </c>
      <c r="Q389" s="40">
        <f t="shared" si="41"/>
        <v>131691137</v>
      </c>
      <c r="R389" s="40">
        <f>+'[1]D N 2'!AF411</f>
        <v>131691137</v>
      </c>
      <c r="S389" s="33">
        <f t="shared" si="42"/>
        <v>0</v>
      </c>
    </row>
    <row r="390" spans="1:19">
      <c r="A390" s="29">
        <f t="shared" si="43"/>
        <v>386</v>
      </c>
      <c r="B390" s="30" t="s">
        <v>1051</v>
      </c>
      <c r="C390" s="31" t="s">
        <v>1052</v>
      </c>
      <c r="D390" s="31" t="s">
        <v>1053</v>
      </c>
      <c r="E390" s="32">
        <v>42926</v>
      </c>
      <c r="F390" s="33">
        <f>17220000+430500+211742+50000+200000+16887758</f>
        <v>35000000</v>
      </c>
      <c r="G390" s="34">
        <f t="shared" si="45"/>
        <v>21692000</v>
      </c>
      <c r="H390" s="35">
        <v>218000</v>
      </c>
      <c r="I390" s="33">
        <f>+F390*1.2%</f>
        <v>420000</v>
      </c>
      <c r="J390" s="29">
        <v>34</v>
      </c>
      <c r="K390" s="29">
        <v>22</v>
      </c>
      <c r="L390" s="36">
        <f t="shared" si="47"/>
        <v>638000</v>
      </c>
      <c r="M390" s="37">
        <f t="shared" si="48"/>
        <v>14036000</v>
      </c>
      <c r="N390" s="38">
        <f>F390-(H390*12)-10000000</f>
        <v>22384000</v>
      </c>
      <c r="O390" s="39" t="s">
        <v>257</v>
      </c>
      <c r="P390" s="107" t="s">
        <v>35</v>
      </c>
      <c r="Q390" s="40">
        <f t="shared" ref="Q390:Q453" si="49">+N390</f>
        <v>22384000</v>
      </c>
      <c r="R390" s="40">
        <f>+'[1]D N 2'!AF412</f>
        <v>22384000</v>
      </c>
      <c r="S390" s="33">
        <f t="shared" ref="S390:S453" si="50">+Q390-R390</f>
        <v>0</v>
      </c>
    </row>
    <row r="391" spans="1:19">
      <c r="A391" s="29">
        <f t="shared" ref="A391:A454" si="51">+A390+1</f>
        <v>387</v>
      </c>
      <c r="B391" s="30" t="s">
        <v>1054</v>
      </c>
      <c r="C391" s="31" t="s">
        <v>1055</v>
      </c>
      <c r="D391" s="32"/>
      <c r="E391" s="32">
        <v>42355</v>
      </c>
      <c r="F391" s="33">
        <f>41793500+1044838+332065+200000+31629597</f>
        <v>75000000</v>
      </c>
      <c r="G391" s="62">
        <f t="shared" si="45"/>
        <v>69901200</v>
      </c>
      <c r="H391" s="33">
        <v>1041700</v>
      </c>
      <c r="I391" s="62">
        <f>+F391*1.2%</f>
        <v>900000</v>
      </c>
      <c r="J391" s="29">
        <v>36</v>
      </c>
      <c r="K391" s="29">
        <v>6</v>
      </c>
      <c r="L391" s="33">
        <f t="shared" si="47"/>
        <v>1941700</v>
      </c>
      <c r="M391" s="33">
        <f t="shared" si="48"/>
        <v>11650200</v>
      </c>
      <c r="N391" s="57">
        <f>F391-(H391*30)-7500000-2500000-2500000-7500000-2500000-2500000-7500000-2500000</f>
        <v>8749000</v>
      </c>
      <c r="O391" s="39" t="s">
        <v>1056</v>
      </c>
      <c r="P391" s="110" t="s">
        <v>144</v>
      </c>
      <c r="Q391" s="40">
        <f t="shared" si="49"/>
        <v>8749000</v>
      </c>
      <c r="R391" s="40">
        <f>+'[1]D N 2'!AF413</f>
        <v>8749000</v>
      </c>
      <c r="S391" s="33">
        <f t="shared" si="50"/>
        <v>0</v>
      </c>
    </row>
    <row r="392" spans="1:19">
      <c r="A392" s="29">
        <f t="shared" si="51"/>
        <v>388</v>
      </c>
      <c r="B392" s="30" t="s">
        <v>1057</v>
      </c>
      <c r="C392" s="31" t="s">
        <v>1058</v>
      </c>
      <c r="D392" s="43" t="s">
        <v>1059</v>
      </c>
      <c r="E392" s="32">
        <v>42984</v>
      </c>
      <c r="F392" s="44">
        <f>64669568+1616739+605588+353304+200000+30500000+2050000+4801-50000000</f>
        <v>50000000</v>
      </c>
      <c r="G392" s="34">
        <f t="shared" si="45"/>
        <v>46611000</v>
      </c>
      <c r="H392" s="35">
        <v>694750</v>
      </c>
      <c r="I392" s="35">
        <f>+F392*1.2%</f>
        <v>600000</v>
      </c>
      <c r="J392" s="29">
        <v>36</v>
      </c>
      <c r="K392" s="29">
        <v>26</v>
      </c>
      <c r="L392" s="36">
        <f t="shared" si="47"/>
        <v>1294750</v>
      </c>
      <c r="M392" s="37">
        <f t="shared" si="48"/>
        <v>33663500</v>
      </c>
      <c r="N392" s="38">
        <f>F392-(H392*10)-1000000-8000000-1000000</f>
        <v>33052500</v>
      </c>
      <c r="O392" s="39" t="s">
        <v>1060</v>
      </c>
      <c r="P392" s="107" t="s">
        <v>30</v>
      </c>
      <c r="Q392" s="40">
        <f t="shared" si="49"/>
        <v>33052500</v>
      </c>
      <c r="R392" s="40">
        <f>+'[1]D N 2'!AF414</f>
        <v>33052500</v>
      </c>
      <c r="S392" s="33">
        <f t="shared" si="50"/>
        <v>0</v>
      </c>
    </row>
    <row r="393" spans="1:19">
      <c r="A393" s="29">
        <f t="shared" si="51"/>
        <v>389</v>
      </c>
      <c r="B393" s="30" t="s">
        <v>1057</v>
      </c>
      <c r="C393" s="31" t="s">
        <v>1058</v>
      </c>
      <c r="D393" s="43" t="s">
        <v>1059</v>
      </c>
      <c r="E393" s="32">
        <v>42984</v>
      </c>
      <c r="F393" s="44">
        <v>50000000</v>
      </c>
      <c r="G393" s="34">
        <f t="shared" si="45"/>
        <v>46611000</v>
      </c>
      <c r="H393" s="44">
        <v>694750</v>
      </c>
      <c r="I393" s="35">
        <f>+F393*1.2%</f>
        <v>600000</v>
      </c>
      <c r="J393" s="29">
        <v>36</v>
      </c>
      <c r="K393" s="29">
        <f>26</f>
        <v>26</v>
      </c>
      <c r="L393" s="36">
        <f t="shared" si="47"/>
        <v>1294750</v>
      </c>
      <c r="M393" s="37">
        <f t="shared" si="48"/>
        <v>33663500</v>
      </c>
      <c r="N393" s="38">
        <f>F393-(H393*10)-1000000-8000000-1000000</f>
        <v>33052500</v>
      </c>
      <c r="O393" s="39" t="s">
        <v>1060</v>
      </c>
      <c r="P393" s="107" t="s">
        <v>30</v>
      </c>
      <c r="Q393" s="40">
        <f t="shared" si="49"/>
        <v>33052500</v>
      </c>
      <c r="R393" s="40">
        <f>+'[1]D N 2'!AF415</f>
        <v>33052500</v>
      </c>
      <c r="S393" s="33">
        <f t="shared" si="50"/>
        <v>0</v>
      </c>
    </row>
    <row r="394" spans="1:19">
      <c r="A394" s="29">
        <f t="shared" si="51"/>
        <v>390</v>
      </c>
      <c r="B394" s="30" t="s">
        <v>1061</v>
      </c>
      <c r="C394" s="45" t="s">
        <v>1062</v>
      </c>
      <c r="D394" s="45" t="s">
        <v>1063</v>
      </c>
      <c r="E394" s="43">
        <v>43237</v>
      </c>
      <c r="F394" s="41">
        <f>60719629+1517991+1007490+1288811+200000+200000+0</f>
        <v>64933921</v>
      </c>
      <c r="G394" s="34">
        <f t="shared" si="45"/>
        <v>61444800</v>
      </c>
      <c r="H394" s="40">
        <v>927593</v>
      </c>
      <c r="I394" s="40">
        <v>779207</v>
      </c>
      <c r="J394" s="29">
        <v>36</v>
      </c>
      <c r="K394" s="29">
        <v>34</v>
      </c>
      <c r="L394" s="36">
        <f t="shared" si="47"/>
        <v>1706800</v>
      </c>
      <c r="M394" s="37">
        <f t="shared" si="48"/>
        <v>58031200</v>
      </c>
      <c r="N394" s="38">
        <f>F394-(H394*2)</f>
        <v>63078735</v>
      </c>
      <c r="O394" s="39" t="s">
        <v>1064</v>
      </c>
      <c r="P394" s="107" t="s">
        <v>249</v>
      </c>
      <c r="Q394" s="40">
        <f t="shared" si="49"/>
        <v>63078735</v>
      </c>
      <c r="R394" s="40">
        <f>+'[1]D N 2'!AF416</f>
        <v>63078735</v>
      </c>
      <c r="S394" s="33">
        <f t="shared" si="50"/>
        <v>0</v>
      </c>
    </row>
    <row r="395" spans="1:19">
      <c r="A395" s="29">
        <f t="shared" si="51"/>
        <v>391</v>
      </c>
      <c r="B395" s="50" t="s">
        <v>1065</v>
      </c>
      <c r="C395" s="86" t="s">
        <v>1066</v>
      </c>
      <c r="D395" s="86" t="s">
        <v>1067</v>
      </c>
      <c r="E395" s="52">
        <v>43171</v>
      </c>
      <c r="F395" s="87">
        <f>21249500+531238+953917+500000+200000+56565345</f>
        <v>80000000</v>
      </c>
      <c r="G395" s="88">
        <f t="shared" si="45"/>
        <v>68000000</v>
      </c>
      <c r="H395" s="89">
        <v>1040000</v>
      </c>
      <c r="I395" s="89">
        <f>+F395*1.2%</f>
        <v>960000</v>
      </c>
      <c r="J395" s="56">
        <v>34</v>
      </c>
      <c r="K395" s="56">
        <f>30+1</f>
        <v>31</v>
      </c>
      <c r="L395" s="36">
        <f t="shared" si="47"/>
        <v>2000000</v>
      </c>
      <c r="M395" s="37">
        <f t="shared" si="48"/>
        <v>62000000</v>
      </c>
      <c r="N395" s="38">
        <f>F395-(H395*3)-15000000</f>
        <v>61880000</v>
      </c>
      <c r="O395" s="46" t="s">
        <v>328</v>
      </c>
      <c r="P395" s="107" t="s">
        <v>30</v>
      </c>
      <c r="Q395" s="40">
        <f t="shared" si="49"/>
        <v>61880000</v>
      </c>
      <c r="R395" s="40">
        <f>+'[1]D N 2'!AF417</f>
        <v>61880000</v>
      </c>
      <c r="S395" s="33">
        <f t="shared" si="50"/>
        <v>0</v>
      </c>
    </row>
    <row r="396" spans="1:19">
      <c r="A396" s="29">
        <f t="shared" si="51"/>
        <v>392</v>
      </c>
      <c r="B396" s="30" t="s">
        <v>1068</v>
      </c>
      <c r="C396" s="31" t="s">
        <v>1069</v>
      </c>
      <c r="D396" s="31" t="s">
        <v>1070</v>
      </c>
      <c r="E396" s="32">
        <v>43125</v>
      </c>
      <c r="F396" s="41">
        <v>47056027</v>
      </c>
      <c r="G396" s="34">
        <f t="shared" si="45"/>
        <v>35923779</v>
      </c>
      <c r="H396" s="40">
        <f>674078</f>
        <v>674078</v>
      </c>
      <c r="I396" s="40">
        <v>564673</v>
      </c>
      <c r="J396" s="29">
        <v>29</v>
      </c>
      <c r="K396" s="29">
        <v>24</v>
      </c>
      <c r="L396" s="36">
        <f t="shared" si="47"/>
        <v>1238751</v>
      </c>
      <c r="M396" s="37">
        <f t="shared" si="48"/>
        <v>29730024</v>
      </c>
      <c r="N396" s="38">
        <f>F396-(H396*5)-7500000-1250000</f>
        <v>34935637</v>
      </c>
      <c r="O396" s="39" t="s">
        <v>898</v>
      </c>
      <c r="P396" s="107" t="s">
        <v>35</v>
      </c>
      <c r="Q396" s="40">
        <f t="shared" si="49"/>
        <v>34935637</v>
      </c>
      <c r="R396" s="40">
        <f>+'[1]D N 2'!AF418</f>
        <v>34935637</v>
      </c>
      <c r="S396" s="33">
        <f t="shared" si="50"/>
        <v>0</v>
      </c>
    </row>
    <row r="397" spans="1:19">
      <c r="A397" s="29">
        <f t="shared" si="51"/>
        <v>393</v>
      </c>
      <c r="B397" s="30" t="s">
        <v>1068</v>
      </c>
      <c r="C397" s="31" t="s">
        <v>1069</v>
      </c>
      <c r="D397" s="31" t="s">
        <v>1070</v>
      </c>
      <c r="E397" s="32">
        <v>43125</v>
      </c>
      <c r="F397" s="41">
        <f>81767858+2044196+100000+200000+10000000</f>
        <v>94112054</v>
      </c>
      <c r="G397" s="34">
        <f t="shared" si="45"/>
        <v>35923721</v>
      </c>
      <c r="H397" s="40">
        <v>674077</v>
      </c>
      <c r="I397" s="40">
        <v>564672</v>
      </c>
      <c r="J397" s="29">
        <v>29</v>
      </c>
      <c r="K397" s="29">
        <v>24</v>
      </c>
      <c r="L397" s="36">
        <f t="shared" si="47"/>
        <v>1238749</v>
      </c>
      <c r="M397" s="37">
        <f t="shared" si="48"/>
        <v>29729976</v>
      </c>
      <c r="N397" s="38">
        <f>F397-(H397*5)-7500000-1250000</f>
        <v>81991669</v>
      </c>
      <c r="O397" s="39" t="s">
        <v>898</v>
      </c>
      <c r="P397" s="107" t="s">
        <v>35</v>
      </c>
      <c r="Q397" s="40">
        <f t="shared" si="49"/>
        <v>81991669</v>
      </c>
      <c r="R397" s="40">
        <f>+'[1]D N 2'!AF419</f>
        <v>81991669</v>
      </c>
      <c r="S397" s="33">
        <f t="shared" si="50"/>
        <v>0</v>
      </c>
    </row>
    <row r="398" spans="1:19">
      <c r="A398" s="29">
        <f t="shared" si="51"/>
        <v>394</v>
      </c>
      <c r="B398" s="30" t="s">
        <v>1071</v>
      </c>
      <c r="C398" s="31" t="s">
        <v>1072</v>
      </c>
      <c r="D398" s="43" t="s">
        <v>1073</v>
      </c>
      <c r="E398" s="32">
        <v>42810</v>
      </c>
      <c r="F398" s="33">
        <f>7000000</f>
        <v>7000000</v>
      </c>
      <c r="G398" s="47">
        <f t="shared" si="45"/>
        <v>7000000</v>
      </c>
      <c r="H398" s="33">
        <f>+F398/J398</f>
        <v>250000</v>
      </c>
      <c r="I398" s="33">
        <v>0</v>
      </c>
      <c r="J398" s="29">
        <v>28</v>
      </c>
      <c r="K398" s="29">
        <v>12</v>
      </c>
      <c r="L398" s="48">
        <f t="shared" si="47"/>
        <v>250000</v>
      </c>
      <c r="M398" s="33">
        <f t="shared" si="48"/>
        <v>3000000</v>
      </c>
      <c r="N398" s="34">
        <f>+H398*K398</f>
        <v>3000000</v>
      </c>
      <c r="O398" s="39" t="s">
        <v>1074</v>
      </c>
      <c r="P398" s="107" t="s">
        <v>1075</v>
      </c>
      <c r="Q398" s="40">
        <f t="shared" si="49"/>
        <v>3000000</v>
      </c>
      <c r="R398" s="40">
        <f>+'[1]D N 2'!AF420</f>
        <v>3000000</v>
      </c>
      <c r="S398" s="33">
        <f t="shared" si="50"/>
        <v>0</v>
      </c>
    </row>
    <row r="399" spans="1:19">
      <c r="A399" s="29">
        <f t="shared" si="51"/>
        <v>395</v>
      </c>
      <c r="B399" s="30" t="s">
        <v>1076</v>
      </c>
      <c r="C399" s="31" t="s">
        <v>1072</v>
      </c>
      <c r="D399" s="31" t="s">
        <v>1077</v>
      </c>
      <c r="E399" s="32">
        <v>43224</v>
      </c>
      <c r="F399" s="41">
        <f>129300000+3232500+760968+200000+0</f>
        <v>133493468</v>
      </c>
      <c r="G399" s="34">
        <f t="shared" si="45"/>
        <v>70200000</v>
      </c>
      <c r="H399" s="40">
        <v>348078</v>
      </c>
      <c r="I399" s="40">
        <v>1601922</v>
      </c>
      <c r="J399" s="29">
        <v>36</v>
      </c>
      <c r="K399" s="29">
        <v>34</v>
      </c>
      <c r="L399" s="36">
        <f t="shared" si="47"/>
        <v>1950000</v>
      </c>
      <c r="M399" s="37">
        <f t="shared" si="48"/>
        <v>66300000</v>
      </c>
      <c r="N399" s="38">
        <f>F399-(H399*2)-5000000</f>
        <v>127797312</v>
      </c>
      <c r="O399" s="39" t="s">
        <v>379</v>
      </c>
      <c r="P399" s="107" t="s">
        <v>249</v>
      </c>
      <c r="Q399" s="40">
        <f t="shared" si="49"/>
        <v>127797312</v>
      </c>
      <c r="R399" s="40">
        <f>+'[1]D N 2'!AF421</f>
        <v>127797312</v>
      </c>
      <c r="S399" s="33">
        <f t="shared" si="50"/>
        <v>0</v>
      </c>
    </row>
    <row r="400" spans="1:19">
      <c r="A400" s="29">
        <f t="shared" si="51"/>
        <v>396</v>
      </c>
      <c r="B400" s="50" t="s">
        <v>1078</v>
      </c>
      <c r="C400" s="51" t="s">
        <v>1079</v>
      </c>
      <c r="D400" s="51" t="s">
        <v>1080</v>
      </c>
      <c r="E400" s="52">
        <v>42829</v>
      </c>
      <c r="F400" s="55">
        <f>2500000</f>
        <v>2500000</v>
      </c>
      <c r="G400" s="88">
        <f t="shared" si="45"/>
        <v>3252000</v>
      </c>
      <c r="H400" s="55">
        <v>105500</v>
      </c>
      <c r="I400" s="55">
        <f>+F400*1.2%</f>
        <v>30000</v>
      </c>
      <c r="J400" s="56">
        <v>24</v>
      </c>
      <c r="K400" s="56">
        <f>16+1</f>
        <v>17</v>
      </c>
      <c r="L400" s="36">
        <f t="shared" si="47"/>
        <v>135500</v>
      </c>
      <c r="M400" s="36">
        <f t="shared" si="48"/>
        <v>2303500</v>
      </c>
      <c r="N400" s="38">
        <f>F400-(H400*7)</f>
        <v>1761500</v>
      </c>
      <c r="O400" s="39" t="s">
        <v>1081</v>
      </c>
      <c r="P400" s="107" t="s">
        <v>1082</v>
      </c>
      <c r="Q400" s="40">
        <f t="shared" si="49"/>
        <v>1761500</v>
      </c>
      <c r="R400" s="40">
        <f>+'[1]D N 2'!AF422</f>
        <v>1761500</v>
      </c>
      <c r="S400" s="33">
        <f t="shared" si="50"/>
        <v>0</v>
      </c>
    </row>
    <row r="401" spans="1:19">
      <c r="A401" s="29">
        <f t="shared" si="51"/>
        <v>397</v>
      </c>
      <c r="B401" s="50" t="s">
        <v>1078</v>
      </c>
      <c r="C401" s="51" t="s">
        <v>1079</v>
      </c>
      <c r="D401" s="52"/>
      <c r="E401" s="52">
        <v>42515</v>
      </c>
      <c r="F401" s="65">
        <f>79098738+1968750+2026687+350000+200000+35000000-59322088</f>
        <v>59322087</v>
      </c>
      <c r="G401" s="53">
        <f t="shared" si="45"/>
        <v>53750000</v>
      </c>
      <c r="H401" s="55">
        <v>538135</v>
      </c>
      <c r="I401" s="53">
        <v>711865</v>
      </c>
      <c r="J401" s="56">
        <v>43</v>
      </c>
      <c r="K401" s="56">
        <f>30+1</f>
        <v>31</v>
      </c>
      <c r="L401" s="33">
        <f t="shared" si="47"/>
        <v>1250000</v>
      </c>
      <c r="M401" s="33">
        <f t="shared" si="48"/>
        <v>38750000</v>
      </c>
      <c r="N401" s="80">
        <f>F401-(H401*12)-2000000-1500000-7500000-2000000-1500000-7500000-571557</f>
        <v>30292910</v>
      </c>
      <c r="O401" s="39" t="s">
        <v>1081</v>
      </c>
      <c r="P401" s="117" t="s">
        <v>144</v>
      </c>
      <c r="Q401" s="40">
        <f t="shared" si="49"/>
        <v>30292910</v>
      </c>
      <c r="R401" s="40">
        <f>+'[1]D N 2'!AF423</f>
        <v>30292910</v>
      </c>
      <c r="S401" s="33">
        <f t="shared" si="50"/>
        <v>0</v>
      </c>
    </row>
    <row r="402" spans="1:19">
      <c r="A402" s="29">
        <f t="shared" si="51"/>
        <v>398</v>
      </c>
      <c r="B402" s="50" t="s">
        <v>1078</v>
      </c>
      <c r="C402" s="51" t="s">
        <v>1079</v>
      </c>
      <c r="D402" s="52"/>
      <c r="E402" s="52">
        <v>42515</v>
      </c>
      <c r="F402" s="53">
        <v>59322088</v>
      </c>
      <c r="G402" s="53">
        <f t="shared" si="45"/>
        <v>53750000</v>
      </c>
      <c r="H402" s="55">
        <v>538135</v>
      </c>
      <c r="I402" s="55">
        <v>711865</v>
      </c>
      <c r="J402" s="56">
        <v>43</v>
      </c>
      <c r="K402" s="56">
        <f>30+1</f>
        <v>31</v>
      </c>
      <c r="L402" s="33">
        <f t="shared" si="47"/>
        <v>1250000</v>
      </c>
      <c r="M402" s="33">
        <f t="shared" si="48"/>
        <v>38750000</v>
      </c>
      <c r="N402" s="80">
        <f>F402-(H402*11)-2000000-1500000-7500000-503570-34565-2000000-1500000-7500000</f>
        <v>30864468</v>
      </c>
      <c r="O402" s="39" t="s">
        <v>1081</v>
      </c>
      <c r="P402" s="117" t="s">
        <v>144</v>
      </c>
      <c r="Q402" s="40">
        <f t="shared" si="49"/>
        <v>30864468</v>
      </c>
      <c r="R402" s="40">
        <f>+'[1]D N 2'!AF424</f>
        <v>30864468</v>
      </c>
      <c r="S402" s="33">
        <f t="shared" si="50"/>
        <v>0</v>
      </c>
    </row>
    <row r="403" spans="1:19">
      <c r="A403" s="29">
        <f t="shared" si="51"/>
        <v>399</v>
      </c>
      <c r="B403" s="30" t="s">
        <v>1083</v>
      </c>
      <c r="C403" s="31" t="s">
        <v>1084</v>
      </c>
      <c r="D403" s="31" t="s">
        <v>1085</v>
      </c>
      <c r="E403" s="32">
        <v>43250</v>
      </c>
      <c r="F403" s="41">
        <f>18009439+107639253+3141217+800000+200000+80000000</f>
        <v>209789909</v>
      </c>
      <c r="G403" s="34">
        <f t="shared" si="45"/>
        <v>194705000</v>
      </c>
      <c r="H403" s="40">
        <v>3045521</v>
      </c>
      <c r="I403" s="40">
        <v>2517479</v>
      </c>
      <c r="J403" s="29">
        <v>35</v>
      </c>
      <c r="K403" s="29">
        <v>34</v>
      </c>
      <c r="L403" s="36">
        <f t="shared" si="47"/>
        <v>5563000</v>
      </c>
      <c r="M403" s="37">
        <f t="shared" si="48"/>
        <v>189142000</v>
      </c>
      <c r="N403" s="38">
        <f>F403-(H403*1)</f>
        <v>206744388</v>
      </c>
      <c r="O403" s="39" t="s">
        <v>791</v>
      </c>
      <c r="P403" s="107" t="s">
        <v>49</v>
      </c>
      <c r="Q403" s="40">
        <f t="shared" si="49"/>
        <v>206744388</v>
      </c>
      <c r="R403" s="40">
        <f>+'[1]D N 2'!AF425</f>
        <v>206744388</v>
      </c>
      <c r="S403" s="33">
        <f t="shared" si="50"/>
        <v>0</v>
      </c>
    </row>
    <row r="404" spans="1:19">
      <c r="A404" s="29">
        <f t="shared" si="51"/>
        <v>400</v>
      </c>
      <c r="B404" s="30" t="s">
        <v>1086</v>
      </c>
      <c r="C404" s="31" t="s">
        <v>1087</v>
      </c>
      <c r="D404" s="31" t="s">
        <v>1088</v>
      </c>
      <c r="E404" s="32">
        <v>42961</v>
      </c>
      <c r="F404" s="41">
        <f>41764400+1044110+540522+267644+200000+15000000</f>
        <v>58816676</v>
      </c>
      <c r="G404" s="34">
        <f t="shared" si="45"/>
        <v>49927500</v>
      </c>
      <c r="H404" s="35">
        <v>720700</v>
      </c>
      <c r="I404" s="35">
        <v>705800</v>
      </c>
      <c r="J404" s="116">
        <v>35</v>
      </c>
      <c r="K404" s="29">
        <v>24</v>
      </c>
      <c r="L404" s="36">
        <f t="shared" si="47"/>
        <v>1426500</v>
      </c>
      <c r="M404" s="37">
        <f t="shared" si="48"/>
        <v>34236000</v>
      </c>
      <c r="N404" s="38">
        <f>F404-(H404*11)-2000000-8000000-2000000</f>
        <v>38888976</v>
      </c>
      <c r="O404" s="42" t="s">
        <v>1089</v>
      </c>
      <c r="P404" s="107" t="s">
        <v>49</v>
      </c>
      <c r="Q404" s="40">
        <f t="shared" si="49"/>
        <v>38888976</v>
      </c>
      <c r="R404" s="40">
        <f>+'[1]D N 2'!AF426</f>
        <v>38888976</v>
      </c>
      <c r="S404" s="33">
        <f t="shared" si="50"/>
        <v>0</v>
      </c>
    </row>
    <row r="405" spans="1:19">
      <c r="A405" s="29">
        <f t="shared" si="51"/>
        <v>401</v>
      </c>
      <c r="B405" s="30" t="s">
        <v>1090</v>
      </c>
      <c r="C405" s="45" t="s">
        <v>1091</v>
      </c>
      <c r="D405" s="45" t="s">
        <v>1092</v>
      </c>
      <c r="E405" s="32">
        <v>43161</v>
      </c>
      <c r="F405" s="41">
        <f>250000+24750000</f>
        <v>25000000</v>
      </c>
      <c r="G405" s="34">
        <f t="shared" si="45"/>
        <v>32200008</v>
      </c>
      <c r="H405" s="40">
        <f>1341667-I405</f>
        <v>1041667</v>
      </c>
      <c r="I405" s="40">
        <f>+F405*1.2%</f>
        <v>300000</v>
      </c>
      <c r="J405" s="29">
        <v>24</v>
      </c>
      <c r="K405" s="29">
        <v>20</v>
      </c>
      <c r="L405" s="36">
        <f t="shared" si="47"/>
        <v>1341667</v>
      </c>
      <c r="M405" s="37">
        <f t="shared" si="48"/>
        <v>26833340</v>
      </c>
      <c r="N405" s="38">
        <f>F405-(H405*4)</f>
        <v>20833332</v>
      </c>
      <c r="O405" s="39" t="s">
        <v>1093</v>
      </c>
      <c r="P405" s="107" t="s">
        <v>123</v>
      </c>
      <c r="Q405" s="40">
        <f t="shared" si="49"/>
        <v>20833332</v>
      </c>
      <c r="R405" s="40">
        <f>+'[1]D N 2'!AF427</f>
        <v>20833332</v>
      </c>
      <c r="S405" s="33">
        <f t="shared" si="50"/>
        <v>0</v>
      </c>
    </row>
    <row r="406" spans="1:19">
      <c r="A406" s="29">
        <f t="shared" si="51"/>
        <v>402</v>
      </c>
      <c r="B406" s="30" t="s">
        <v>1090</v>
      </c>
      <c r="C406" s="31" t="s">
        <v>1091</v>
      </c>
      <c r="D406" s="43" t="s">
        <v>1094</v>
      </c>
      <c r="E406" s="32">
        <v>42874</v>
      </c>
      <c r="F406" s="44">
        <f>88856000+2221400+1562098+361440+200000+31799062-62500000</f>
        <v>62500000</v>
      </c>
      <c r="G406" s="34">
        <f t="shared" si="45"/>
        <v>58275000</v>
      </c>
      <c r="H406" s="35">
        <v>868750</v>
      </c>
      <c r="I406" s="33">
        <f>F406*1.2%</f>
        <v>750000</v>
      </c>
      <c r="J406" s="29">
        <v>36</v>
      </c>
      <c r="K406" s="29">
        <v>22</v>
      </c>
      <c r="L406" s="36">
        <f t="shared" si="47"/>
        <v>1618750</v>
      </c>
      <c r="M406" s="37">
        <f t="shared" si="48"/>
        <v>35612500</v>
      </c>
      <c r="N406" s="38">
        <f>F406-(H406*14)-2500000-2500000-7500000-2500000</f>
        <v>35337500</v>
      </c>
      <c r="O406" s="39" t="s">
        <v>1095</v>
      </c>
      <c r="P406" s="107" t="s">
        <v>78</v>
      </c>
      <c r="Q406" s="40">
        <f t="shared" si="49"/>
        <v>35337500</v>
      </c>
      <c r="R406" s="40">
        <f>+'[1]D N 2'!AF428</f>
        <v>35337500</v>
      </c>
      <c r="S406" s="33">
        <f t="shared" si="50"/>
        <v>0</v>
      </c>
    </row>
    <row r="407" spans="1:19">
      <c r="A407" s="29">
        <f t="shared" si="51"/>
        <v>403</v>
      </c>
      <c r="B407" s="30" t="s">
        <v>1090</v>
      </c>
      <c r="C407" s="31" t="s">
        <v>1091</v>
      </c>
      <c r="D407" s="43" t="s">
        <v>1094</v>
      </c>
      <c r="E407" s="32">
        <v>42874</v>
      </c>
      <c r="F407" s="44">
        <v>62500000</v>
      </c>
      <c r="G407" s="34">
        <f t="shared" si="45"/>
        <v>58275000</v>
      </c>
      <c r="H407" s="44">
        <v>868750</v>
      </c>
      <c r="I407" s="33">
        <f>F407*1.2%</f>
        <v>750000</v>
      </c>
      <c r="J407" s="29">
        <v>36</v>
      </c>
      <c r="K407" s="29">
        <v>22</v>
      </c>
      <c r="L407" s="36">
        <f t="shared" si="47"/>
        <v>1618750</v>
      </c>
      <c r="M407" s="37">
        <f t="shared" si="48"/>
        <v>35612500</v>
      </c>
      <c r="N407" s="38">
        <f>F407-(H407*14)-2500000-2500000-7500000-2500000</f>
        <v>35337500</v>
      </c>
      <c r="O407" s="39" t="s">
        <v>1095</v>
      </c>
      <c r="P407" s="107" t="s">
        <v>78</v>
      </c>
      <c r="Q407" s="40">
        <f t="shared" si="49"/>
        <v>35337500</v>
      </c>
      <c r="R407" s="40">
        <f>+'[1]D N 2'!AF429</f>
        <v>35337500</v>
      </c>
      <c r="S407" s="33">
        <f t="shared" si="50"/>
        <v>0</v>
      </c>
    </row>
    <row r="408" spans="1:19">
      <c r="A408" s="29">
        <f t="shared" si="51"/>
        <v>404</v>
      </c>
      <c r="B408" s="30" t="s">
        <v>1090</v>
      </c>
      <c r="C408" s="31" t="s">
        <v>1091</v>
      </c>
      <c r="D408" s="31" t="s">
        <v>1096</v>
      </c>
      <c r="E408" s="32">
        <v>42961</v>
      </c>
      <c r="F408" s="41">
        <f>300000+200000+29500000</f>
        <v>30000000</v>
      </c>
      <c r="G408" s="34">
        <f t="shared" si="45"/>
        <v>43002000</v>
      </c>
      <c r="H408" s="35">
        <v>834500</v>
      </c>
      <c r="I408" s="35">
        <f>+F408*1.2%</f>
        <v>360000</v>
      </c>
      <c r="J408" s="116">
        <v>36</v>
      </c>
      <c r="K408" s="29">
        <v>25</v>
      </c>
      <c r="L408" s="36">
        <f t="shared" si="47"/>
        <v>1194500</v>
      </c>
      <c r="M408" s="37">
        <f t="shared" si="48"/>
        <v>29862500</v>
      </c>
      <c r="N408" s="38">
        <f>F408-(H408*11)</f>
        <v>20820500</v>
      </c>
      <c r="O408" s="42" t="s">
        <v>823</v>
      </c>
      <c r="P408" s="107" t="s">
        <v>95</v>
      </c>
      <c r="Q408" s="40">
        <f t="shared" si="49"/>
        <v>20820500</v>
      </c>
      <c r="R408" s="40">
        <f>+'[1]D N 2'!AF430</f>
        <v>20820500</v>
      </c>
      <c r="S408" s="33">
        <f t="shared" si="50"/>
        <v>0</v>
      </c>
    </row>
    <row r="409" spans="1:19">
      <c r="A409" s="29">
        <f t="shared" si="51"/>
        <v>405</v>
      </c>
      <c r="B409" s="30" t="s">
        <v>1097</v>
      </c>
      <c r="C409" s="45" t="s">
        <v>1098</v>
      </c>
      <c r="D409" s="45" t="s">
        <v>1099</v>
      </c>
      <c r="E409" s="32">
        <v>43234</v>
      </c>
      <c r="F409" s="41">
        <f>187374928+10000000+4684373+1749628+1939512+1000000+200000+0</f>
        <v>206948441</v>
      </c>
      <c r="G409" s="34">
        <f t="shared" si="45"/>
        <v>174600000</v>
      </c>
      <c r="H409" s="40">
        <v>2366619</v>
      </c>
      <c r="I409" s="40">
        <v>2483381</v>
      </c>
      <c r="J409" s="29">
        <v>36</v>
      </c>
      <c r="K409" s="29">
        <f>34</f>
        <v>34</v>
      </c>
      <c r="L409" s="36">
        <f t="shared" si="47"/>
        <v>4850000</v>
      </c>
      <c r="M409" s="37">
        <f t="shared" si="48"/>
        <v>164900000</v>
      </c>
      <c r="N409" s="38">
        <f>F409-(H409*2)-3000000</f>
        <v>199215203</v>
      </c>
      <c r="O409" s="39" t="s">
        <v>741</v>
      </c>
      <c r="P409" s="107" t="s">
        <v>249</v>
      </c>
      <c r="Q409" s="40">
        <f t="shared" si="49"/>
        <v>199215203</v>
      </c>
      <c r="R409" s="40">
        <f>+'[1]D N 2'!AF431</f>
        <v>199215203</v>
      </c>
      <c r="S409" s="33">
        <f t="shared" si="50"/>
        <v>0</v>
      </c>
    </row>
    <row r="410" spans="1:19">
      <c r="A410" s="29">
        <f t="shared" si="51"/>
        <v>406</v>
      </c>
      <c r="B410" s="30" t="s">
        <v>1100</v>
      </c>
      <c r="C410" s="31" t="s">
        <v>1101</v>
      </c>
      <c r="D410" s="31" t="s">
        <v>1102</v>
      </c>
      <c r="E410" s="32">
        <v>42907</v>
      </c>
      <c r="F410" s="33">
        <f>37872173+946804+1221278+200000+119759745-80000000</f>
        <v>80000000</v>
      </c>
      <c r="G410" s="34">
        <f t="shared" si="45"/>
        <v>69579000</v>
      </c>
      <c r="H410" s="44">
        <v>972750</v>
      </c>
      <c r="I410" s="35">
        <f>F410*1.2%</f>
        <v>960000</v>
      </c>
      <c r="J410" s="29">
        <v>36</v>
      </c>
      <c r="K410" s="29">
        <v>24</v>
      </c>
      <c r="L410" s="36">
        <f t="shared" si="47"/>
        <v>1932750</v>
      </c>
      <c r="M410" s="37">
        <f t="shared" si="48"/>
        <v>46386000</v>
      </c>
      <c r="N410" s="38">
        <f>F410-(H410*12)-5000000-10000000</f>
        <v>53327000</v>
      </c>
      <c r="O410" s="39" t="s">
        <v>1103</v>
      </c>
      <c r="P410" s="107" t="s">
        <v>78</v>
      </c>
      <c r="Q410" s="40">
        <f t="shared" si="49"/>
        <v>53327000</v>
      </c>
      <c r="R410" s="40">
        <f>+'[1]D N 2'!AF432</f>
        <v>53327000</v>
      </c>
      <c r="S410" s="33">
        <f t="shared" si="50"/>
        <v>0</v>
      </c>
    </row>
    <row r="411" spans="1:19">
      <c r="A411" s="29">
        <f t="shared" si="51"/>
        <v>407</v>
      </c>
      <c r="B411" s="30" t="s">
        <v>1100</v>
      </c>
      <c r="C411" s="31" t="s">
        <v>1101</v>
      </c>
      <c r="D411" s="31" t="s">
        <v>1102</v>
      </c>
      <c r="E411" s="32">
        <v>42907</v>
      </c>
      <c r="F411" s="44">
        <v>80000000</v>
      </c>
      <c r="G411" s="34">
        <f t="shared" si="45"/>
        <v>69579000</v>
      </c>
      <c r="H411" s="44">
        <v>972750</v>
      </c>
      <c r="I411" s="35">
        <f>F411*1.2%</f>
        <v>960000</v>
      </c>
      <c r="J411" s="29">
        <v>36</v>
      </c>
      <c r="K411" s="29">
        <v>24</v>
      </c>
      <c r="L411" s="36">
        <f t="shared" si="47"/>
        <v>1932750</v>
      </c>
      <c r="M411" s="37">
        <f t="shared" si="48"/>
        <v>46386000</v>
      </c>
      <c r="N411" s="38">
        <f>F411-(H411*12)-5000000-10000000</f>
        <v>53327000</v>
      </c>
      <c r="O411" s="39" t="s">
        <v>1103</v>
      </c>
      <c r="P411" s="107" t="s">
        <v>78</v>
      </c>
      <c r="Q411" s="40">
        <f t="shared" si="49"/>
        <v>53327000</v>
      </c>
      <c r="R411" s="40">
        <f>+'[1]D N 2'!AF433</f>
        <v>53327000</v>
      </c>
      <c r="S411" s="33">
        <f t="shared" si="50"/>
        <v>0</v>
      </c>
    </row>
    <row r="412" spans="1:19">
      <c r="A412" s="29">
        <f t="shared" si="51"/>
        <v>408</v>
      </c>
      <c r="B412" s="30" t="s">
        <v>1104</v>
      </c>
      <c r="C412" s="31" t="s">
        <v>1105</v>
      </c>
      <c r="D412" s="43" t="s">
        <v>1106</v>
      </c>
      <c r="E412" s="32">
        <v>42908</v>
      </c>
      <c r="F412" s="44">
        <f>45352582+1133815+500000+200000+50000000-48593199</f>
        <v>48593198</v>
      </c>
      <c r="G412" s="34">
        <f t="shared" si="45"/>
        <v>46412964</v>
      </c>
      <c r="H412" s="35">
        <v>706131</v>
      </c>
      <c r="I412" s="35">
        <v>583118</v>
      </c>
      <c r="J412" s="29">
        <v>36</v>
      </c>
      <c r="K412" s="29">
        <v>24</v>
      </c>
      <c r="L412" s="36">
        <f t="shared" si="47"/>
        <v>1289249</v>
      </c>
      <c r="M412" s="37">
        <f t="shared" si="48"/>
        <v>30941976</v>
      </c>
      <c r="N412" s="38">
        <f>F412-(H412*12)-5000000-3000000-2500000</f>
        <v>29619626</v>
      </c>
      <c r="O412" s="39" t="s">
        <v>218</v>
      </c>
      <c r="P412" s="107" t="s">
        <v>78</v>
      </c>
      <c r="Q412" s="40">
        <f t="shared" si="49"/>
        <v>29619626</v>
      </c>
      <c r="R412" s="40">
        <f>+'[1]D N 2'!AF434</f>
        <v>29619626</v>
      </c>
      <c r="S412" s="33">
        <f t="shared" si="50"/>
        <v>0</v>
      </c>
    </row>
    <row r="413" spans="1:19">
      <c r="A413" s="29">
        <f t="shared" si="51"/>
        <v>409</v>
      </c>
      <c r="B413" s="30" t="s">
        <v>1104</v>
      </c>
      <c r="C413" s="31" t="s">
        <v>1105</v>
      </c>
      <c r="D413" s="43" t="s">
        <v>1106</v>
      </c>
      <c r="E413" s="32">
        <v>42908</v>
      </c>
      <c r="F413" s="44">
        <v>48593199</v>
      </c>
      <c r="G413" s="34">
        <f t="shared" si="45"/>
        <v>46413036</v>
      </c>
      <c r="H413" s="44">
        <v>706132</v>
      </c>
      <c r="I413" s="44">
        <v>583119</v>
      </c>
      <c r="J413" s="29">
        <v>36</v>
      </c>
      <c r="K413" s="29">
        <v>24</v>
      </c>
      <c r="L413" s="36">
        <f t="shared" si="47"/>
        <v>1289251</v>
      </c>
      <c r="M413" s="37">
        <f t="shared" si="48"/>
        <v>30942024</v>
      </c>
      <c r="N413" s="38">
        <f>F413-(H413*12)-3000000-2500000</f>
        <v>34619615</v>
      </c>
      <c r="O413" s="39" t="s">
        <v>218</v>
      </c>
      <c r="P413" s="107" t="s">
        <v>78</v>
      </c>
      <c r="Q413" s="40">
        <f t="shared" si="49"/>
        <v>34619615</v>
      </c>
      <c r="R413" s="40">
        <f>+'[1]D N 2'!AF435</f>
        <v>34619615</v>
      </c>
      <c r="S413" s="33">
        <f t="shared" si="50"/>
        <v>0</v>
      </c>
    </row>
    <row r="414" spans="1:19">
      <c r="A414" s="29">
        <f t="shared" si="51"/>
        <v>410</v>
      </c>
      <c r="B414" s="30" t="s">
        <v>1107</v>
      </c>
      <c r="C414" s="45" t="s">
        <v>1108</v>
      </c>
      <c r="D414" s="45" t="s">
        <v>1109</v>
      </c>
      <c r="E414" s="32">
        <v>43166</v>
      </c>
      <c r="F414" s="41">
        <f>24158500+603963+171290+200000+200000+24666247</f>
        <v>50000000</v>
      </c>
      <c r="G414" s="34">
        <f t="shared" si="45"/>
        <v>71600004</v>
      </c>
      <c r="H414" s="40">
        <f>1988889-I414</f>
        <v>1388889</v>
      </c>
      <c r="I414" s="40">
        <f>+F414*1.2%</f>
        <v>600000</v>
      </c>
      <c r="J414" s="29">
        <v>36</v>
      </c>
      <c r="K414" s="29">
        <v>32</v>
      </c>
      <c r="L414" s="36">
        <f t="shared" si="47"/>
        <v>1988889</v>
      </c>
      <c r="M414" s="37">
        <f t="shared" si="48"/>
        <v>63644448</v>
      </c>
      <c r="N414" s="38">
        <f>F414-(H414*4)</f>
        <v>44444444</v>
      </c>
      <c r="O414" s="39" t="s">
        <v>1110</v>
      </c>
      <c r="P414" s="107" t="s">
        <v>30</v>
      </c>
      <c r="Q414" s="40">
        <f t="shared" si="49"/>
        <v>44444444</v>
      </c>
      <c r="R414" s="40">
        <f>+'[1]D N 2'!AF436</f>
        <v>44444444</v>
      </c>
      <c r="S414" s="33">
        <f t="shared" si="50"/>
        <v>0</v>
      </c>
    </row>
    <row r="415" spans="1:19">
      <c r="A415" s="29">
        <f t="shared" si="51"/>
        <v>411</v>
      </c>
      <c r="B415" s="30" t="s">
        <v>1111</v>
      </c>
      <c r="C415" s="31" t="s">
        <v>1112</v>
      </c>
      <c r="D415" s="31" t="s">
        <v>1113</v>
      </c>
      <c r="E415" s="32">
        <v>43003</v>
      </c>
      <c r="F415" s="41">
        <f>19992000+499800+700000+200000+78608200-50000000</f>
        <v>50000000</v>
      </c>
      <c r="G415" s="34">
        <f t="shared" si="45"/>
        <v>40129500</v>
      </c>
      <c r="H415" s="35">
        <v>694500</v>
      </c>
      <c r="I415" s="35">
        <f>+F415*1.2%</f>
        <v>600000</v>
      </c>
      <c r="J415" s="29">
        <v>31</v>
      </c>
      <c r="K415" s="29">
        <v>22</v>
      </c>
      <c r="L415" s="36">
        <f t="shared" si="47"/>
        <v>1294500</v>
      </c>
      <c r="M415" s="37">
        <f t="shared" si="48"/>
        <v>28479000</v>
      </c>
      <c r="N415" s="38">
        <f>F415-(H415*9)-2500000-7500000</f>
        <v>33749500</v>
      </c>
      <c r="O415" s="42" t="s">
        <v>1114</v>
      </c>
      <c r="P415" s="107" t="s">
        <v>49</v>
      </c>
      <c r="Q415" s="40">
        <f t="shared" si="49"/>
        <v>33749500</v>
      </c>
      <c r="R415" s="40">
        <f>+'[1]D N 2'!AF437</f>
        <v>33749500</v>
      </c>
      <c r="S415" s="33">
        <f t="shared" si="50"/>
        <v>0</v>
      </c>
    </row>
    <row r="416" spans="1:19">
      <c r="A416" s="29">
        <f t="shared" si="51"/>
        <v>412</v>
      </c>
      <c r="B416" s="30" t="s">
        <v>1111</v>
      </c>
      <c r="C416" s="31" t="s">
        <v>1112</v>
      </c>
      <c r="D416" s="31" t="s">
        <v>1113</v>
      </c>
      <c r="E416" s="32">
        <v>43003</v>
      </c>
      <c r="F416" s="41">
        <v>50000000</v>
      </c>
      <c r="G416" s="34">
        <f t="shared" si="45"/>
        <v>40129500</v>
      </c>
      <c r="H416" s="41">
        <v>694500</v>
      </c>
      <c r="I416" s="35">
        <f>+F416*1.2%</f>
        <v>600000</v>
      </c>
      <c r="J416" s="29">
        <v>31</v>
      </c>
      <c r="K416" s="29">
        <v>22</v>
      </c>
      <c r="L416" s="36">
        <f t="shared" si="47"/>
        <v>1294500</v>
      </c>
      <c r="M416" s="37">
        <f t="shared" si="48"/>
        <v>28479000</v>
      </c>
      <c r="N416" s="38">
        <f>F416-(H416*9)-2500000-7500000</f>
        <v>33749500</v>
      </c>
      <c r="O416" s="42" t="s">
        <v>1114</v>
      </c>
      <c r="P416" s="107" t="s">
        <v>49</v>
      </c>
      <c r="Q416" s="40">
        <f t="shared" si="49"/>
        <v>33749500</v>
      </c>
      <c r="R416" s="40">
        <f>+'[1]D N 2'!AF438</f>
        <v>33749500</v>
      </c>
      <c r="S416" s="33">
        <f t="shared" si="50"/>
        <v>0</v>
      </c>
    </row>
    <row r="417" spans="1:19">
      <c r="A417" s="29">
        <f t="shared" si="51"/>
        <v>413</v>
      </c>
      <c r="B417" s="50" t="s">
        <v>1115</v>
      </c>
      <c r="C417" s="51" t="s">
        <v>1116</v>
      </c>
      <c r="D417" s="95" t="s">
        <v>1117</v>
      </c>
      <c r="E417" s="52">
        <v>42908</v>
      </c>
      <c r="F417" s="65">
        <f>68888000+1722200+311120+200000+28878680-50000000</f>
        <v>50000000</v>
      </c>
      <c r="G417" s="88">
        <f t="shared" si="45"/>
        <v>44021500</v>
      </c>
      <c r="H417" s="96">
        <f>1389500-694750</f>
        <v>694750</v>
      </c>
      <c r="I417" s="96">
        <f>F417*1.2%</f>
        <v>600000</v>
      </c>
      <c r="J417" s="56">
        <v>34</v>
      </c>
      <c r="K417" s="56">
        <f>22+1</f>
        <v>23</v>
      </c>
      <c r="L417" s="36">
        <f t="shared" si="47"/>
        <v>1294750</v>
      </c>
      <c r="M417" s="37">
        <f t="shared" si="48"/>
        <v>29779250</v>
      </c>
      <c r="N417" s="38">
        <f>F417-(H417*11)-1250000-7500000-1250000</f>
        <v>32357750</v>
      </c>
      <c r="O417" s="39" t="s">
        <v>90</v>
      </c>
      <c r="P417" s="107" t="s">
        <v>78</v>
      </c>
      <c r="Q417" s="40">
        <f t="shared" si="49"/>
        <v>32357750</v>
      </c>
      <c r="R417" s="40">
        <f>+'[1]D N 2'!AF439</f>
        <v>32357750</v>
      </c>
      <c r="S417" s="33">
        <f t="shared" si="50"/>
        <v>0</v>
      </c>
    </row>
    <row r="418" spans="1:19">
      <c r="A418" s="29">
        <f t="shared" si="51"/>
        <v>414</v>
      </c>
      <c r="B418" s="50" t="s">
        <v>1115</v>
      </c>
      <c r="C418" s="51" t="s">
        <v>1116</v>
      </c>
      <c r="D418" s="95" t="s">
        <v>1117</v>
      </c>
      <c r="E418" s="52">
        <v>42908</v>
      </c>
      <c r="F418" s="65">
        <v>50000000</v>
      </c>
      <c r="G418" s="88">
        <f t="shared" si="45"/>
        <v>44021500</v>
      </c>
      <c r="H418" s="65">
        <v>694750</v>
      </c>
      <c r="I418" s="96">
        <f>F418*1.2%</f>
        <v>600000</v>
      </c>
      <c r="J418" s="56">
        <v>34</v>
      </c>
      <c r="K418" s="56">
        <f>22+1</f>
        <v>23</v>
      </c>
      <c r="L418" s="36">
        <f t="shared" si="47"/>
        <v>1294750</v>
      </c>
      <c r="M418" s="37">
        <f t="shared" si="48"/>
        <v>29779250</v>
      </c>
      <c r="N418" s="38">
        <f>F418-(H418*11)-1250000-7500000-1250000</f>
        <v>32357750</v>
      </c>
      <c r="O418" s="39" t="s">
        <v>90</v>
      </c>
      <c r="P418" s="107" t="s">
        <v>78</v>
      </c>
      <c r="Q418" s="40">
        <f t="shared" si="49"/>
        <v>32357750</v>
      </c>
      <c r="R418" s="40">
        <f>+'[1]D N 2'!AF440</f>
        <v>32357750</v>
      </c>
      <c r="S418" s="33">
        <f t="shared" si="50"/>
        <v>0</v>
      </c>
    </row>
    <row r="419" spans="1:19">
      <c r="A419" s="29">
        <f t="shared" si="51"/>
        <v>415</v>
      </c>
      <c r="B419" s="30" t="s">
        <v>1118</v>
      </c>
      <c r="C419" s="31" t="s">
        <v>1119</v>
      </c>
      <c r="D419" s="31" t="s">
        <v>1120</v>
      </c>
      <c r="E419" s="32">
        <v>43018</v>
      </c>
      <c r="F419" s="41">
        <f>24162000+1056000+630450+245306+450000+200000+48256244</f>
        <v>75000000</v>
      </c>
      <c r="G419" s="34">
        <f t="shared" si="45"/>
        <v>63000000</v>
      </c>
      <c r="H419" s="35">
        <v>850000</v>
      </c>
      <c r="I419" s="35">
        <f t="shared" ref="I419:I426" si="52">+F419*1.2%</f>
        <v>900000</v>
      </c>
      <c r="J419" s="29">
        <v>36</v>
      </c>
      <c r="K419" s="29">
        <v>27</v>
      </c>
      <c r="L419" s="36">
        <f t="shared" si="47"/>
        <v>1750000</v>
      </c>
      <c r="M419" s="37">
        <f t="shared" si="48"/>
        <v>47250000</v>
      </c>
      <c r="N419" s="38">
        <f>F419-(H419*9)-15000000</f>
        <v>52350000</v>
      </c>
      <c r="O419" s="42" t="s">
        <v>1121</v>
      </c>
      <c r="P419" s="107" t="s">
        <v>49</v>
      </c>
      <c r="Q419" s="40">
        <f t="shared" si="49"/>
        <v>52350000</v>
      </c>
      <c r="R419" s="40">
        <f>+'[1]D N 2'!AF441</f>
        <v>52350000</v>
      </c>
      <c r="S419" s="33">
        <f t="shared" si="50"/>
        <v>0</v>
      </c>
    </row>
    <row r="420" spans="1:19">
      <c r="A420" s="29">
        <f t="shared" si="51"/>
        <v>416</v>
      </c>
      <c r="B420" s="30" t="s">
        <v>1122</v>
      </c>
      <c r="C420" s="45" t="s">
        <v>1123</v>
      </c>
      <c r="D420" s="45" t="s">
        <v>1124</v>
      </c>
      <c r="E420" s="32">
        <v>43248</v>
      </c>
      <c r="F420" s="41">
        <f>200000+19800000-10000000</f>
        <v>10000000</v>
      </c>
      <c r="G420" s="34">
        <f t="shared" si="45"/>
        <v>8880000</v>
      </c>
      <c r="H420" s="40">
        <v>250000</v>
      </c>
      <c r="I420" s="40">
        <f t="shared" si="52"/>
        <v>120000</v>
      </c>
      <c r="J420" s="29">
        <v>24</v>
      </c>
      <c r="K420" s="29">
        <v>23</v>
      </c>
      <c r="L420" s="36">
        <f t="shared" si="47"/>
        <v>370000</v>
      </c>
      <c r="M420" s="37">
        <f t="shared" si="48"/>
        <v>8510000</v>
      </c>
      <c r="N420" s="38">
        <f>F420-(H420*1)</f>
        <v>9750000</v>
      </c>
      <c r="O420" s="39" t="s">
        <v>771</v>
      </c>
      <c r="P420" s="107" t="s">
        <v>123</v>
      </c>
      <c r="Q420" s="40">
        <f t="shared" si="49"/>
        <v>9750000</v>
      </c>
      <c r="R420" s="40">
        <f>+'[1]D N 2'!AF442</f>
        <v>9750000</v>
      </c>
      <c r="S420" s="33">
        <f t="shared" si="50"/>
        <v>0</v>
      </c>
    </row>
    <row r="421" spans="1:19">
      <c r="A421" s="29">
        <f t="shared" si="51"/>
        <v>417</v>
      </c>
      <c r="B421" s="30" t="s">
        <v>1122</v>
      </c>
      <c r="C421" s="45" t="s">
        <v>1123</v>
      </c>
      <c r="D421" s="45" t="s">
        <v>1124</v>
      </c>
      <c r="E421" s="32">
        <v>43248</v>
      </c>
      <c r="F421" s="41">
        <v>10000000</v>
      </c>
      <c r="G421" s="34">
        <f t="shared" si="45"/>
        <v>8880000</v>
      </c>
      <c r="H421" s="41">
        <v>250000</v>
      </c>
      <c r="I421" s="40">
        <f t="shared" si="52"/>
        <v>120000</v>
      </c>
      <c r="J421" s="29">
        <v>24</v>
      </c>
      <c r="K421" s="29">
        <v>23</v>
      </c>
      <c r="L421" s="36">
        <f t="shared" si="47"/>
        <v>370000</v>
      </c>
      <c r="M421" s="37">
        <f t="shared" si="48"/>
        <v>8510000</v>
      </c>
      <c r="N421" s="38">
        <f>F421-(H421*1)</f>
        <v>9750000</v>
      </c>
      <c r="O421" s="39" t="s">
        <v>771</v>
      </c>
      <c r="P421" s="107" t="s">
        <v>123</v>
      </c>
      <c r="Q421" s="40">
        <f t="shared" si="49"/>
        <v>9750000</v>
      </c>
      <c r="R421" s="40">
        <f>+'[1]D N 2'!AF443</f>
        <v>9750000</v>
      </c>
      <c r="S421" s="33">
        <f t="shared" si="50"/>
        <v>0</v>
      </c>
    </row>
    <row r="422" spans="1:19">
      <c r="A422" s="29">
        <f t="shared" si="51"/>
        <v>418</v>
      </c>
      <c r="B422" s="30" t="s">
        <v>1122</v>
      </c>
      <c r="C422" s="45">
        <v>975392</v>
      </c>
      <c r="D422" s="45" t="s">
        <v>1125</v>
      </c>
      <c r="E422" s="32">
        <v>43165</v>
      </c>
      <c r="F422" s="41">
        <f>34530826+863271+222057+154692+200000+14029154</f>
        <v>50000000</v>
      </c>
      <c r="G422" s="34">
        <f t="shared" si="45"/>
        <v>44200000</v>
      </c>
      <c r="H422" s="40">
        <v>700000</v>
      </c>
      <c r="I422" s="40">
        <f t="shared" si="52"/>
        <v>600000</v>
      </c>
      <c r="J422" s="29">
        <v>34</v>
      </c>
      <c r="K422" s="29">
        <v>30</v>
      </c>
      <c r="L422" s="36">
        <f t="shared" si="47"/>
        <v>1300000</v>
      </c>
      <c r="M422" s="37">
        <f t="shared" si="48"/>
        <v>39000000</v>
      </c>
      <c r="N422" s="38">
        <f>F422-(H422*4)-6000000</f>
        <v>41200000</v>
      </c>
      <c r="O422" s="39" t="s">
        <v>336</v>
      </c>
      <c r="P422" s="107" t="s">
        <v>30</v>
      </c>
      <c r="Q422" s="40">
        <f t="shared" si="49"/>
        <v>41200000</v>
      </c>
      <c r="R422" s="40">
        <f>+'[1]D N 2'!AF444</f>
        <v>41200000</v>
      </c>
      <c r="S422" s="33">
        <f t="shared" si="50"/>
        <v>0</v>
      </c>
    </row>
    <row r="423" spans="1:19">
      <c r="A423" s="29">
        <f t="shared" si="51"/>
        <v>419</v>
      </c>
      <c r="B423" s="30" t="s">
        <v>1126</v>
      </c>
      <c r="C423" s="31" t="s">
        <v>1127</v>
      </c>
      <c r="D423" s="31" t="s">
        <v>1128</v>
      </c>
      <c r="E423" s="32">
        <v>42961</v>
      </c>
      <c r="F423" s="41">
        <f>15000000+375000+255484+200000+200000+33969516</f>
        <v>50000000</v>
      </c>
      <c r="G423" s="34">
        <f t="shared" si="45"/>
        <v>26400000</v>
      </c>
      <c r="H423" s="35">
        <v>200000</v>
      </c>
      <c r="I423" s="35">
        <f t="shared" si="52"/>
        <v>600000</v>
      </c>
      <c r="J423" s="116">
        <v>33</v>
      </c>
      <c r="K423" s="29">
        <v>22</v>
      </c>
      <c r="L423" s="36">
        <f t="shared" si="47"/>
        <v>800000</v>
      </c>
      <c r="M423" s="37">
        <f t="shared" si="48"/>
        <v>17600000</v>
      </c>
      <c r="N423" s="38">
        <f>F423-(H423*11)-15000000</f>
        <v>32800000</v>
      </c>
      <c r="O423" s="42" t="s">
        <v>61</v>
      </c>
      <c r="P423" s="107" t="s">
        <v>49</v>
      </c>
      <c r="Q423" s="40">
        <f t="shared" si="49"/>
        <v>32800000</v>
      </c>
      <c r="R423" s="40">
        <f>+'[1]D N 2'!AF445</f>
        <v>32800000</v>
      </c>
      <c r="S423" s="33">
        <f t="shared" si="50"/>
        <v>0</v>
      </c>
    </row>
    <row r="424" spans="1:19">
      <c r="A424" s="29">
        <f t="shared" si="51"/>
        <v>420</v>
      </c>
      <c r="B424" s="30" t="s">
        <v>1129</v>
      </c>
      <c r="C424" s="31" t="s">
        <v>1130</v>
      </c>
      <c r="D424" s="43" t="s">
        <v>1131</v>
      </c>
      <c r="E424" s="32">
        <v>43033</v>
      </c>
      <c r="F424" s="41">
        <f>700000+200000+99100000</f>
        <v>100000000</v>
      </c>
      <c r="G424" s="34">
        <f t="shared" ref="G424:G487" si="53">+J424*L424</f>
        <v>62808000</v>
      </c>
      <c r="H424" s="35">
        <v>1417000</v>
      </c>
      <c r="I424" s="35">
        <f t="shared" si="52"/>
        <v>1200000</v>
      </c>
      <c r="J424" s="29">
        <v>24</v>
      </c>
      <c r="K424" s="29">
        <v>16</v>
      </c>
      <c r="L424" s="36">
        <f t="shared" si="47"/>
        <v>2617000</v>
      </c>
      <c r="M424" s="37">
        <f t="shared" si="48"/>
        <v>41872000</v>
      </c>
      <c r="N424" s="38">
        <f>F424-(H424*8)-33000000</f>
        <v>55664000</v>
      </c>
      <c r="O424" s="42" t="s">
        <v>1132</v>
      </c>
      <c r="P424" s="107" t="s">
        <v>25</v>
      </c>
      <c r="Q424" s="40">
        <f t="shared" si="49"/>
        <v>55664000</v>
      </c>
      <c r="R424" s="40">
        <f>+'[1]D N 2'!AF446</f>
        <v>55664000</v>
      </c>
      <c r="S424" s="33">
        <f t="shared" si="50"/>
        <v>0</v>
      </c>
    </row>
    <row r="425" spans="1:19">
      <c r="A425" s="29">
        <f t="shared" si="51"/>
        <v>421</v>
      </c>
      <c r="B425" s="50" t="s">
        <v>1133</v>
      </c>
      <c r="C425" s="51" t="s">
        <v>1134</v>
      </c>
      <c r="D425" s="52"/>
      <c r="E425" s="52">
        <v>42544</v>
      </c>
      <c r="F425" s="65">
        <f>3915800+30200000+852895+658842+200000+64172463-50000000</f>
        <v>50000000</v>
      </c>
      <c r="G425" s="88">
        <f t="shared" si="53"/>
        <v>44013000</v>
      </c>
      <c r="H425" s="96">
        <v>694500</v>
      </c>
      <c r="I425" s="96">
        <f t="shared" si="52"/>
        <v>600000</v>
      </c>
      <c r="J425" s="56">
        <v>34</v>
      </c>
      <c r="K425" s="56">
        <f>20+1</f>
        <v>21</v>
      </c>
      <c r="L425" s="62">
        <f t="shared" si="47"/>
        <v>1294500</v>
      </c>
      <c r="M425" s="62">
        <f t="shared" si="48"/>
        <v>27184500</v>
      </c>
      <c r="N425" s="38">
        <f>F425-(H425*13)-1250000-7500000-1250000-1250000-704225</f>
        <v>29017275</v>
      </c>
      <c r="O425" s="39" t="s">
        <v>1135</v>
      </c>
      <c r="P425" s="107" t="s">
        <v>49</v>
      </c>
      <c r="Q425" s="40">
        <f t="shared" si="49"/>
        <v>29017275</v>
      </c>
      <c r="R425" s="40">
        <f>+'[1]D N 2'!AF447</f>
        <v>29017275</v>
      </c>
      <c r="S425" s="33">
        <f t="shared" si="50"/>
        <v>0</v>
      </c>
    </row>
    <row r="426" spans="1:19">
      <c r="A426" s="29">
        <f t="shared" si="51"/>
        <v>422</v>
      </c>
      <c r="B426" s="50" t="s">
        <v>1133</v>
      </c>
      <c r="C426" s="51" t="s">
        <v>1134</v>
      </c>
      <c r="D426" s="52"/>
      <c r="E426" s="52">
        <v>42544</v>
      </c>
      <c r="F426" s="65">
        <v>50000000</v>
      </c>
      <c r="G426" s="88">
        <f t="shared" si="53"/>
        <v>44013000</v>
      </c>
      <c r="H426" s="96">
        <v>694500</v>
      </c>
      <c r="I426" s="96">
        <f t="shared" si="52"/>
        <v>600000</v>
      </c>
      <c r="J426" s="56">
        <v>34</v>
      </c>
      <c r="K426" s="56">
        <f>20+1</f>
        <v>21</v>
      </c>
      <c r="L426" s="62">
        <f t="shared" si="47"/>
        <v>1294500</v>
      </c>
      <c r="M426" s="62">
        <f t="shared" si="48"/>
        <v>27184500</v>
      </c>
      <c r="N426" s="38">
        <f>F426-(H426*13)-1250000-7500000-1250000-1250000</f>
        <v>29721500</v>
      </c>
      <c r="O426" s="39" t="s">
        <v>1135</v>
      </c>
      <c r="P426" s="107" t="s">
        <v>49</v>
      </c>
      <c r="Q426" s="40">
        <f t="shared" si="49"/>
        <v>29721500</v>
      </c>
      <c r="R426" s="40">
        <f>+'[1]D N 2'!AF448</f>
        <v>29721500</v>
      </c>
      <c r="S426" s="33">
        <f t="shared" si="50"/>
        <v>0</v>
      </c>
    </row>
    <row r="427" spans="1:19">
      <c r="A427" s="29">
        <f t="shared" si="51"/>
        <v>423</v>
      </c>
      <c r="B427" s="30" t="s">
        <v>1136</v>
      </c>
      <c r="C427" s="31" t="s">
        <v>1137</v>
      </c>
      <c r="D427" s="43" t="s">
        <v>1138</v>
      </c>
      <c r="E427" s="32">
        <v>42871</v>
      </c>
      <c r="F427" s="44">
        <f>8552000+213800+104465+79400+200000+10000000</f>
        <v>19149665</v>
      </c>
      <c r="G427" s="34">
        <f t="shared" si="53"/>
        <v>23301000</v>
      </c>
      <c r="H427" s="44">
        <v>1064704</v>
      </c>
      <c r="I427" s="33">
        <v>229796</v>
      </c>
      <c r="J427" s="29">
        <v>18</v>
      </c>
      <c r="K427" s="29">
        <v>5</v>
      </c>
      <c r="L427" s="36">
        <f t="shared" si="47"/>
        <v>1294500</v>
      </c>
      <c r="M427" s="37">
        <f t="shared" si="48"/>
        <v>6472500</v>
      </c>
      <c r="N427" s="38">
        <f>F427-(H427*13)</f>
        <v>5308513</v>
      </c>
      <c r="O427" s="39" t="s">
        <v>856</v>
      </c>
      <c r="P427" s="107" t="s">
        <v>78</v>
      </c>
      <c r="Q427" s="40">
        <f t="shared" si="49"/>
        <v>5308513</v>
      </c>
      <c r="R427" s="40">
        <f>+'[1]D N 2'!AF449</f>
        <v>5308513</v>
      </c>
      <c r="S427" s="33">
        <f t="shared" si="50"/>
        <v>0</v>
      </c>
    </row>
    <row r="428" spans="1:19">
      <c r="A428" s="29">
        <f t="shared" si="51"/>
        <v>424</v>
      </c>
      <c r="B428" s="55" t="s">
        <v>1139</v>
      </c>
      <c r="C428" s="64" t="s">
        <v>1140</v>
      </c>
      <c r="D428" s="52"/>
      <c r="E428" s="52">
        <v>42152</v>
      </c>
      <c r="F428" s="53">
        <f>116153787+2903845+100000+50000+200000+4900000</f>
        <v>124307632</v>
      </c>
      <c r="G428" s="54">
        <f t="shared" si="53"/>
        <v>120700000</v>
      </c>
      <c r="H428" s="55">
        <v>208308</v>
      </c>
      <c r="I428" s="53">
        <v>1491692</v>
      </c>
      <c r="J428" s="56">
        <v>71</v>
      </c>
      <c r="K428" s="56">
        <f>68+1</f>
        <v>69</v>
      </c>
      <c r="L428" s="33">
        <f t="shared" si="47"/>
        <v>1700000</v>
      </c>
      <c r="M428" s="33">
        <f t="shared" si="48"/>
        <v>117300000</v>
      </c>
      <c r="N428" s="57">
        <f>F428-(H428*2)-25802-15000000-2500000-7500000-7500000-208410-125000</f>
        <v>91031804</v>
      </c>
      <c r="O428" s="68" t="s">
        <v>1045</v>
      </c>
      <c r="P428" s="117" t="s">
        <v>144</v>
      </c>
      <c r="Q428" s="40">
        <f t="shared" si="49"/>
        <v>91031804</v>
      </c>
      <c r="R428" s="40">
        <f>+'[1]D N 2'!AF450</f>
        <v>91031804</v>
      </c>
      <c r="S428" s="33">
        <f t="shared" si="50"/>
        <v>0</v>
      </c>
    </row>
    <row r="429" spans="1:19">
      <c r="A429" s="29">
        <f t="shared" si="51"/>
        <v>425</v>
      </c>
      <c r="B429" s="30" t="s">
        <v>1141</v>
      </c>
      <c r="C429" s="31" t="s">
        <v>1142</v>
      </c>
      <c r="D429" s="31" t="s">
        <v>1143</v>
      </c>
      <c r="E429" s="32">
        <v>43203</v>
      </c>
      <c r="F429" s="41">
        <f>27500+65983573+1650277+709975+250000+200000+25000000</f>
        <v>93821325</v>
      </c>
      <c r="G429" s="34">
        <f t="shared" si="53"/>
        <v>134355600</v>
      </c>
      <c r="H429" s="40">
        <v>2606244</v>
      </c>
      <c r="I429" s="40">
        <v>1125856</v>
      </c>
      <c r="J429" s="29">
        <v>36</v>
      </c>
      <c r="K429" s="29">
        <v>33</v>
      </c>
      <c r="L429" s="36">
        <f t="shared" si="47"/>
        <v>3732100</v>
      </c>
      <c r="M429" s="37">
        <f t="shared" si="48"/>
        <v>123159300</v>
      </c>
      <c r="N429" s="38">
        <f>F429-(H429*3)</f>
        <v>86002593</v>
      </c>
      <c r="O429" s="39" t="s">
        <v>585</v>
      </c>
      <c r="P429" s="107" t="s">
        <v>30</v>
      </c>
      <c r="Q429" s="40">
        <f t="shared" si="49"/>
        <v>86002593</v>
      </c>
      <c r="R429" s="40">
        <f>+'[1]D N 2'!AF451</f>
        <v>86002593</v>
      </c>
      <c r="S429" s="33">
        <f t="shared" si="50"/>
        <v>0</v>
      </c>
    </row>
    <row r="430" spans="1:19">
      <c r="A430" s="29">
        <f t="shared" si="51"/>
        <v>426</v>
      </c>
      <c r="B430" s="30" t="s">
        <v>1144</v>
      </c>
      <c r="C430" s="31" t="s">
        <v>1145</v>
      </c>
      <c r="D430" s="31" t="s">
        <v>1146</v>
      </c>
      <c r="E430" s="32">
        <v>43098</v>
      </c>
      <c r="F430" s="41">
        <f>22561181+564030+225612+200000+30000000</f>
        <v>53550823</v>
      </c>
      <c r="G430" s="34">
        <f t="shared" si="53"/>
        <v>49716000</v>
      </c>
      <c r="H430" s="40">
        <v>738390</v>
      </c>
      <c r="I430" s="40">
        <v>642610</v>
      </c>
      <c r="J430" s="29">
        <v>36</v>
      </c>
      <c r="K430" s="29">
        <v>30</v>
      </c>
      <c r="L430" s="36">
        <f t="shared" si="47"/>
        <v>1381000</v>
      </c>
      <c r="M430" s="37">
        <f t="shared" si="48"/>
        <v>41430000</v>
      </c>
      <c r="N430" s="38">
        <f>F430-(H430*6)-9000000</f>
        <v>40120483</v>
      </c>
      <c r="O430" s="39" t="s">
        <v>1147</v>
      </c>
      <c r="P430" s="107" t="s">
        <v>49</v>
      </c>
      <c r="Q430" s="40">
        <f t="shared" si="49"/>
        <v>40120483</v>
      </c>
      <c r="R430" s="40">
        <f>+'[1]D N 2'!AF452</f>
        <v>40120483</v>
      </c>
      <c r="S430" s="33">
        <f t="shared" si="50"/>
        <v>0</v>
      </c>
    </row>
    <row r="431" spans="1:19">
      <c r="A431" s="29">
        <f t="shared" si="51"/>
        <v>427</v>
      </c>
      <c r="B431" s="30" t="s">
        <v>1148</v>
      </c>
      <c r="C431" s="31" t="s">
        <v>1149</v>
      </c>
      <c r="D431" s="31" t="s">
        <v>1150</v>
      </c>
      <c r="E431" s="32">
        <v>43104</v>
      </c>
      <c r="F431" s="41">
        <f>35856738+896418+257642+250000+200000+25000000</f>
        <v>62460798</v>
      </c>
      <c r="G431" s="34">
        <f t="shared" si="53"/>
        <v>54000000</v>
      </c>
      <c r="H431" s="40">
        <v>750470</v>
      </c>
      <c r="I431" s="40">
        <v>749530</v>
      </c>
      <c r="J431" s="29">
        <v>36</v>
      </c>
      <c r="K431" s="29">
        <v>30</v>
      </c>
      <c r="L431" s="36">
        <f t="shared" si="47"/>
        <v>1500000</v>
      </c>
      <c r="M431" s="37">
        <f t="shared" si="48"/>
        <v>45000000</v>
      </c>
      <c r="N431" s="38">
        <f>F431-(H431*6)-12000000</f>
        <v>45957978</v>
      </c>
      <c r="O431" s="39" t="s">
        <v>228</v>
      </c>
      <c r="P431" s="107" t="s">
        <v>49</v>
      </c>
      <c r="Q431" s="40">
        <f t="shared" si="49"/>
        <v>45957978</v>
      </c>
      <c r="R431" s="40">
        <f>+'[1]D N 2'!AF453</f>
        <v>45957978</v>
      </c>
      <c r="S431" s="33">
        <f t="shared" si="50"/>
        <v>0</v>
      </c>
    </row>
    <row r="432" spans="1:19">
      <c r="A432" s="29">
        <f t="shared" si="51"/>
        <v>428</v>
      </c>
      <c r="B432" s="30" t="s">
        <v>1151</v>
      </c>
      <c r="C432" s="31" t="s">
        <v>1152</v>
      </c>
      <c r="D432" s="32"/>
      <c r="E432" s="32">
        <v>42670</v>
      </c>
      <c r="F432" s="40">
        <f>200000+200000+49600000</f>
        <v>50000000</v>
      </c>
      <c r="G432" s="34">
        <f t="shared" si="53"/>
        <v>42735000</v>
      </c>
      <c r="H432" s="33">
        <v>695000</v>
      </c>
      <c r="I432" s="33">
        <f>+F432*1.2%</f>
        <v>600000</v>
      </c>
      <c r="J432" s="29">
        <v>33</v>
      </c>
      <c r="K432" s="29">
        <v>13</v>
      </c>
      <c r="L432" s="36">
        <f t="shared" si="47"/>
        <v>1295000</v>
      </c>
      <c r="M432" s="36">
        <f t="shared" si="48"/>
        <v>16835000</v>
      </c>
      <c r="N432" s="38">
        <f>F432-(H432*20)-2500000-5000000-2500000-2500000-5000000-2500000</f>
        <v>16100000</v>
      </c>
      <c r="O432" s="71" t="s">
        <v>1153</v>
      </c>
      <c r="P432" s="107" t="s">
        <v>1154</v>
      </c>
      <c r="Q432" s="40">
        <f t="shared" si="49"/>
        <v>16100000</v>
      </c>
      <c r="R432" s="40">
        <f>+'[1]D N 2'!AF454</f>
        <v>16100000</v>
      </c>
      <c r="S432" s="33">
        <f t="shared" si="50"/>
        <v>0</v>
      </c>
    </row>
    <row r="433" spans="1:19">
      <c r="A433" s="29">
        <f t="shared" si="51"/>
        <v>429</v>
      </c>
      <c r="B433" s="30" t="s">
        <v>1155</v>
      </c>
      <c r="C433" s="45" t="s">
        <v>1156</v>
      </c>
      <c r="D433" s="45" t="s">
        <v>1157</v>
      </c>
      <c r="E433" s="32">
        <v>43231</v>
      </c>
      <c r="F433" s="41">
        <f>200000+200000+49600000</f>
        <v>50000000</v>
      </c>
      <c r="G433" s="34">
        <f t="shared" si="53"/>
        <v>71600400</v>
      </c>
      <c r="H433" s="40">
        <f>1988900-I433</f>
        <v>1388900</v>
      </c>
      <c r="I433" s="40">
        <f>+F433*1.2%</f>
        <v>600000</v>
      </c>
      <c r="J433" s="29">
        <v>36</v>
      </c>
      <c r="K433" s="29">
        <v>34</v>
      </c>
      <c r="L433" s="36">
        <f t="shared" si="47"/>
        <v>1988900</v>
      </c>
      <c r="M433" s="37">
        <f t="shared" si="48"/>
        <v>67622600</v>
      </c>
      <c r="N433" s="38">
        <f>F433-(H433*2)</f>
        <v>47222200</v>
      </c>
      <c r="O433" s="39" t="s">
        <v>1158</v>
      </c>
      <c r="P433" s="107" t="s">
        <v>157</v>
      </c>
      <c r="Q433" s="40">
        <f t="shared" si="49"/>
        <v>47222200</v>
      </c>
      <c r="R433" s="40">
        <f>+'[1]D N 2'!AF455</f>
        <v>47222200</v>
      </c>
      <c r="S433" s="33">
        <f t="shared" si="50"/>
        <v>0</v>
      </c>
    </row>
    <row r="434" spans="1:19">
      <c r="A434" s="29">
        <f t="shared" si="51"/>
        <v>430</v>
      </c>
      <c r="B434" s="30" t="s">
        <v>1159</v>
      </c>
      <c r="C434" s="31" t="s">
        <v>1160</v>
      </c>
      <c r="D434" s="31" t="s">
        <v>1161</v>
      </c>
      <c r="E434" s="32">
        <v>42975</v>
      </c>
      <c r="F434" s="41">
        <f>32355000+808875+676450+200000+65959675</f>
        <v>100000000</v>
      </c>
      <c r="G434" s="34">
        <f t="shared" si="53"/>
        <v>68238000</v>
      </c>
      <c r="H434" s="35">
        <v>695500</v>
      </c>
      <c r="I434" s="35">
        <f>+F434*1.2%</f>
        <v>1200000</v>
      </c>
      <c r="J434" s="29">
        <v>36</v>
      </c>
      <c r="K434" s="29">
        <v>26</v>
      </c>
      <c r="L434" s="36">
        <f t="shared" si="47"/>
        <v>1895500</v>
      </c>
      <c r="M434" s="37">
        <f t="shared" si="48"/>
        <v>49283000</v>
      </c>
      <c r="N434" s="38">
        <f>F434-(H434*10)-5000000-15000000-5000000</f>
        <v>68045000</v>
      </c>
      <c r="O434" s="42" t="s">
        <v>77</v>
      </c>
      <c r="P434" s="107" t="s">
        <v>49</v>
      </c>
      <c r="Q434" s="40">
        <f t="shared" si="49"/>
        <v>68045000</v>
      </c>
      <c r="R434" s="40">
        <f>+'[1]D N 2'!AF456</f>
        <v>68045000</v>
      </c>
      <c r="S434" s="33">
        <f t="shared" si="50"/>
        <v>0</v>
      </c>
    </row>
    <row r="435" spans="1:19">
      <c r="A435" s="29">
        <f t="shared" si="51"/>
        <v>431</v>
      </c>
      <c r="B435" s="30" t="s">
        <v>1162</v>
      </c>
      <c r="C435" s="31" t="s">
        <v>1163</v>
      </c>
      <c r="D435" s="43" t="s">
        <v>1164</v>
      </c>
      <c r="E435" s="32">
        <v>42765</v>
      </c>
      <c r="F435" s="33">
        <f>85277000+2131925+647230+200000+61743845-75000000</f>
        <v>75000000</v>
      </c>
      <c r="G435" s="34">
        <f t="shared" si="53"/>
        <v>79622000</v>
      </c>
      <c r="H435" s="33">
        <v>1042000</v>
      </c>
      <c r="I435" s="33">
        <f>+F435*1.2%</f>
        <v>900000</v>
      </c>
      <c r="J435" s="29">
        <v>41</v>
      </c>
      <c r="K435" s="29">
        <v>24</v>
      </c>
      <c r="L435" s="36">
        <f t="shared" si="47"/>
        <v>1942000</v>
      </c>
      <c r="M435" s="36">
        <f t="shared" si="48"/>
        <v>46608000</v>
      </c>
      <c r="N435" s="38">
        <f>F435-(H435*17)-7500000-2500000-2500000-7500000-2500000</f>
        <v>34786000</v>
      </c>
      <c r="O435" s="39" t="s">
        <v>1089</v>
      </c>
      <c r="P435" s="107" t="s">
        <v>35</v>
      </c>
      <c r="Q435" s="40">
        <f t="shared" si="49"/>
        <v>34786000</v>
      </c>
      <c r="R435" s="40">
        <f>+'[1]D N 2'!AF457</f>
        <v>34786000</v>
      </c>
      <c r="S435" s="33">
        <f t="shared" si="50"/>
        <v>0</v>
      </c>
    </row>
    <row r="436" spans="1:19">
      <c r="A436" s="29">
        <f t="shared" si="51"/>
        <v>432</v>
      </c>
      <c r="B436" s="30" t="s">
        <v>1162</v>
      </c>
      <c r="C436" s="31" t="s">
        <v>1163</v>
      </c>
      <c r="D436" s="43" t="s">
        <v>1164</v>
      </c>
      <c r="E436" s="32">
        <v>42765</v>
      </c>
      <c r="F436" s="33">
        <v>75000000</v>
      </c>
      <c r="G436" s="34">
        <f t="shared" si="53"/>
        <v>79622000</v>
      </c>
      <c r="H436" s="33">
        <v>1042000</v>
      </c>
      <c r="I436" s="33">
        <f>+F436*1.2%</f>
        <v>900000</v>
      </c>
      <c r="J436" s="29">
        <v>41</v>
      </c>
      <c r="K436" s="29">
        <v>24</v>
      </c>
      <c r="L436" s="36">
        <f t="shared" si="47"/>
        <v>1942000</v>
      </c>
      <c r="M436" s="36">
        <f t="shared" si="48"/>
        <v>46608000</v>
      </c>
      <c r="N436" s="38">
        <f>F436-(H436*17)-7500000-2500000-2500000-7500000-2500000</f>
        <v>34786000</v>
      </c>
      <c r="O436" s="39" t="s">
        <v>1089</v>
      </c>
      <c r="P436" s="107" t="s">
        <v>35</v>
      </c>
      <c r="Q436" s="40">
        <f t="shared" si="49"/>
        <v>34786000</v>
      </c>
      <c r="R436" s="40">
        <f>+'[1]D N 2'!AF458</f>
        <v>34786000</v>
      </c>
      <c r="S436" s="33">
        <f t="shared" si="50"/>
        <v>0</v>
      </c>
    </row>
    <row r="437" spans="1:19">
      <c r="A437" s="29">
        <f t="shared" si="51"/>
        <v>433</v>
      </c>
      <c r="B437" s="30" t="s">
        <v>1165</v>
      </c>
      <c r="C437" s="31" t="s">
        <v>1166</v>
      </c>
      <c r="D437" s="31" t="s">
        <v>1167</v>
      </c>
      <c r="E437" s="32">
        <v>43255</v>
      </c>
      <c r="F437" s="41">
        <f>14329000+358225+129290+500000+200000+64483485</f>
        <v>80000000</v>
      </c>
      <c r="G437" s="34">
        <f t="shared" si="53"/>
        <v>72520000</v>
      </c>
      <c r="H437" s="40">
        <v>1112000</v>
      </c>
      <c r="I437" s="40">
        <f t="shared" ref="I437" si="54">+F437*1.2%</f>
        <v>960000</v>
      </c>
      <c r="J437" s="29">
        <v>35</v>
      </c>
      <c r="K437" s="29">
        <v>34</v>
      </c>
      <c r="L437" s="36">
        <f t="shared" si="47"/>
        <v>2072000</v>
      </c>
      <c r="M437" s="37">
        <f t="shared" si="48"/>
        <v>70448000</v>
      </c>
      <c r="N437" s="38">
        <f>F437-(H437*1)</f>
        <v>78888000</v>
      </c>
      <c r="O437" s="39" t="s">
        <v>1168</v>
      </c>
      <c r="P437" s="107" t="s">
        <v>49</v>
      </c>
      <c r="Q437" s="40">
        <f t="shared" si="49"/>
        <v>78888000</v>
      </c>
      <c r="R437" s="40">
        <f>+'[1]D N 2'!AF459</f>
        <v>78888000</v>
      </c>
      <c r="S437" s="33">
        <f t="shared" si="50"/>
        <v>0</v>
      </c>
    </row>
    <row r="438" spans="1:19">
      <c r="A438" s="29">
        <f t="shared" si="51"/>
        <v>434</v>
      </c>
      <c r="B438" s="30" t="s">
        <v>1169</v>
      </c>
      <c r="C438" s="31" t="s">
        <v>1170</v>
      </c>
      <c r="D438" s="31" t="s">
        <v>1171</v>
      </c>
      <c r="E438" s="32">
        <v>43256</v>
      </c>
      <c r="F438" s="41">
        <f>65837908+1645948+463361+210000+200000+21000000</f>
        <v>89357217</v>
      </c>
      <c r="G438" s="34">
        <f t="shared" si="53"/>
        <v>70000000</v>
      </c>
      <c r="H438" s="40">
        <v>927713</v>
      </c>
      <c r="I438" s="40">
        <v>1072287</v>
      </c>
      <c r="J438" s="29">
        <v>35</v>
      </c>
      <c r="K438" s="29">
        <v>34</v>
      </c>
      <c r="L438" s="36">
        <f t="shared" si="47"/>
        <v>2000000</v>
      </c>
      <c r="M438" s="37">
        <f t="shared" si="48"/>
        <v>68000000</v>
      </c>
      <c r="N438" s="38">
        <f>F438-(H438*1)</f>
        <v>88429504</v>
      </c>
      <c r="O438" s="39" t="s">
        <v>336</v>
      </c>
      <c r="P438" s="107" t="s">
        <v>49</v>
      </c>
      <c r="Q438" s="40">
        <f t="shared" si="49"/>
        <v>88429504</v>
      </c>
      <c r="R438" s="40">
        <f>+'[1]D N 2'!AF460</f>
        <v>88429504</v>
      </c>
      <c r="S438" s="33">
        <f t="shared" si="50"/>
        <v>0</v>
      </c>
    </row>
    <row r="439" spans="1:19">
      <c r="A439" s="29">
        <f t="shared" si="51"/>
        <v>435</v>
      </c>
      <c r="B439" s="30" t="s">
        <v>1172</v>
      </c>
      <c r="C439" s="31" t="s">
        <v>1173</v>
      </c>
      <c r="D439" s="31" t="s">
        <v>1174</v>
      </c>
      <c r="E439" s="32">
        <v>43256</v>
      </c>
      <c r="F439" s="41">
        <f>22494000+562350+141290+300000+200000+36302360</f>
        <v>60000000</v>
      </c>
      <c r="G439" s="34">
        <f t="shared" si="53"/>
        <v>57475800</v>
      </c>
      <c r="H439" s="40">
        <v>833400</v>
      </c>
      <c r="I439" s="40">
        <f t="shared" ref="I439" si="55">+F439*1.2%</f>
        <v>720000</v>
      </c>
      <c r="J439" s="29">
        <v>37</v>
      </c>
      <c r="K439" s="29">
        <v>36</v>
      </c>
      <c r="L439" s="36">
        <f t="shared" si="47"/>
        <v>1553400</v>
      </c>
      <c r="M439" s="37">
        <f t="shared" si="48"/>
        <v>55922400</v>
      </c>
      <c r="N439" s="38">
        <f>F439-(H439*1)</f>
        <v>59166600</v>
      </c>
      <c r="O439" s="39" t="s">
        <v>218</v>
      </c>
      <c r="P439" s="107" t="s">
        <v>49</v>
      </c>
      <c r="Q439" s="40">
        <f t="shared" si="49"/>
        <v>59166600</v>
      </c>
      <c r="R439" s="40">
        <f>+'[1]D N 2'!AF461</f>
        <v>59166600</v>
      </c>
      <c r="S439" s="33">
        <f t="shared" si="50"/>
        <v>0</v>
      </c>
    </row>
    <row r="440" spans="1:19">
      <c r="A440" s="29">
        <f t="shared" si="51"/>
        <v>436</v>
      </c>
      <c r="B440" s="30" t="s">
        <v>1175</v>
      </c>
      <c r="C440" s="45" t="s">
        <v>1176</v>
      </c>
      <c r="D440" s="31" t="s">
        <v>1177</v>
      </c>
      <c r="E440" s="32">
        <v>43257</v>
      </c>
      <c r="F440" s="41">
        <f>68800000+1720000+590968+312000+200000+28377032-50000000</f>
        <v>50000000</v>
      </c>
      <c r="G440" s="34">
        <f t="shared" si="53"/>
        <v>37000000</v>
      </c>
      <c r="H440" s="40">
        <v>400000</v>
      </c>
      <c r="I440" s="40">
        <f>+F440*1.2%</f>
        <v>600000</v>
      </c>
      <c r="J440" s="29">
        <v>37</v>
      </c>
      <c r="K440" s="29">
        <v>36</v>
      </c>
      <c r="L440" s="36">
        <f t="shared" si="47"/>
        <v>1000000</v>
      </c>
      <c r="M440" s="37">
        <f t="shared" si="48"/>
        <v>36000000</v>
      </c>
      <c r="N440" s="38">
        <f>F440-(H440*1)</f>
        <v>49600000</v>
      </c>
      <c r="O440" s="39" t="s">
        <v>1178</v>
      </c>
      <c r="P440" s="107" t="s">
        <v>49</v>
      </c>
      <c r="Q440" s="40">
        <f t="shared" si="49"/>
        <v>49600000</v>
      </c>
      <c r="R440" s="40">
        <f>+'[1]D N 2'!AF462</f>
        <v>49600000</v>
      </c>
      <c r="S440" s="33">
        <f t="shared" si="50"/>
        <v>0</v>
      </c>
    </row>
    <row r="441" spans="1:19">
      <c r="A441" s="29">
        <f t="shared" si="51"/>
        <v>437</v>
      </c>
      <c r="B441" s="30" t="s">
        <v>1175</v>
      </c>
      <c r="C441" s="45" t="s">
        <v>1176</v>
      </c>
      <c r="D441" s="31" t="s">
        <v>1177</v>
      </c>
      <c r="E441" s="32">
        <v>43257</v>
      </c>
      <c r="F441" s="41">
        <v>50000000</v>
      </c>
      <c r="G441" s="34">
        <f t="shared" si="53"/>
        <v>37000000</v>
      </c>
      <c r="H441" s="40">
        <v>400000</v>
      </c>
      <c r="I441" s="40">
        <f t="shared" ref="I441:I449" si="56">+F441*1.2%</f>
        <v>600000</v>
      </c>
      <c r="J441" s="29">
        <v>37</v>
      </c>
      <c r="K441" s="29">
        <v>36</v>
      </c>
      <c r="L441" s="36">
        <f t="shared" si="47"/>
        <v>1000000</v>
      </c>
      <c r="M441" s="37">
        <f t="shared" si="48"/>
        <v>36000000</v>
      </c>
      <c r="N441" s="38">
        <f>F441-(H441*1)</f>
        <v>49600000</v>
      </c>
      <c r="O441" s="39" t="s">
        <v>1178</v>
      </c>
      <c r="P441" s="107" t="s">
        <v>49</v>
      </c>
      <c r="Q441" s="40">
        <f t="shared" si="49"/>
        <v>49600000</v>
      </c>
      <c r="R441" s="40">
        <f>+'[1]D N 2'!AF463</f>
        <v>49600000</v>
      </c>
      <c r="S441" s="33">
        <f t="shared" si="50"/>
        <v>0</v>
      </c>
    </row>
    <row r="442" spans="1:19">
      <c r="A442" s="29">
        <f t="shared" si="51"/>
        <v>438</v>
      </c>
      <c r="B442" s="50" t="s">
        <v>1179</v>
      </c>
      <c r="C442" s="86" t="s">
        <v>1180</v>
      </c>
      <c r="D442" s="51" t="s">
        <v>1181</v>
      </c>
      <c r="E442" s="52">
        <v>43257</v>
      </c>
      <c r="F442" s="87">
        <f>126400000+3160000+1181935+86000+200000+3972065</f>
        <v>135000000</v>
      </c>
      <c r="G442" s="88">
        <f t="shared" si="53"/>
        <v>106190000</v>
      </c>
      <c r="H442" s="89">
        <v>1250000</v>
      </c>
      <c r="I442" s="89">
        <f t="shared" si="56"/>
        <v>1620000</v>
      </c>
      <c r="J442" s="56">
        <v>37</v>
      </c>
      <c r="K442" s="56">
        <f>36+1</f>
        <v>37</v>
      </c>
      <c r="L442" s="36">
        <f t="shared" si="47"/>
        <v>2870000</v>
      </c>
      <c r="M442" s="37">
        <f t="shared" si="48"/>
        <v>106190000</v>
      </c>
      <c r="N442" s="38">
        <f>F442-(H442*0)</f>
        <v>135000000</v>
      </c>
      <c r="O442" s="39" t="s">
        <v>1182</v>
      </c>
      <c r="P442" s="107" t="s">
        <v>49</v>
      </c>
      <c r="Q442" s="40">
        <f t="shared" si="49"/>
        <v>135000000</v>
      </c>
      <c r="R442" s="40">
        <f>+'[1]D N 2'!AF464</f>
        <v>135000000</v>
      </c>
      <c r="S442" s="33">
        <f t="shared" si="50"/>
        <v>0</v>
      </c>
    </row>
    <row r="443" spans="1:19">
      <c r="A443" s="29">
        <f t="shared" si="51"/>
        <v>439</v>
      </c>
      <c r="B443" s="50" t="s">
        <v>1183</v>
      </c>
      <c r="C443" s="86" t="s">
        <v>1184</v>
      </c>
      <c r="D443" s="51" t="s">
        <v>1185</v>
      </c>
      <c r="E443" s="52">
        <v>43258</v>
      </c>
      <c r="F443" s="119">
        <f>141822452+3545561+1065565+1081851+185000+381775+200000+31717796-90000000</f>
        <v>90000000</v>
      </c>
      <c r="G443" s="88">
        <f t="shared" si="53"/>
        <v>86950000</v>
      </c>
      <c r="H443" s="89">
        <v>770000</v>
      </c>
      <c r="I443" s="89">
        <f t="shared" si="56"/>
        <v>1080000</v>
      </c>
      <c r="J443" s="56">
        <v>47</v>
      </c>
      <c r="K443" s="56">
        <f>46+1</f>
        <v>47</v>
      </c>
      <c r="L443" s="36">
        <f t="shared" si="47"/>
        <v>1850000</v>
      </c>
      <c r="M443" s="37">
        <f t="shared" si="48"/>
        <v>86950000</v>
      </c>
      <c r="N443" s="38">
        <f>F443-(H443*0)</f>
        <v>90000000</v>
      </c>
      <c r="O443" s="39" t="s">
        <v>156</v>
      </c>
      <c r="P443" s="107" t="s">
        <v>49</v>
      </c>
      <c r="Q443" s="40">
        <f t="shared" si="49"/>
        <v>90000000</v>
      </c>
      <c r="R443" s="40">
        <f>+'[1]D N 2'!AF465</f>
        <v>90000000</v>
      </c>
      <c r="S443" s="33">
        <f t="shared" si="50"/>
        <v>0</v>
      </c>
    </row>
    <row r="444" spans="1:19">
      <c r="A444" s="29">
        <f t="shared" si="51"/>
        <v>440</v>
      </c>
      <c r="B444" s="50" t="s">
        <v>1183</v>
      </c>
      <c r="C444" s="86" t="s">
        <v>1184</v>
      </c>
      <c r="D444" s="51" t="s">
        <v>1185</v>
      </c>
      <c r="E444" s="52">
        <v>43258</v>
      </c>
      <c r="F444" s="87">
        <v>90000000</v>
      </c>
      <c r="G444" s="88">
        <f t="shared" si="53"/>
        <v>86950000</v>
      </c>
      <c r="H444" s="89">
        <v>770000</v>
      </c>
      <c r="I444" s="89">
        <f t="shared" si="56"/>
        <v>1080000</v>
      </c>
      <c r="J444" s="56">
        <v>47</v>
      </c>
      <c r="K444" s="56">
        <f>46+1</f>
        <v>47</v>
      </c>
      <c r="L444" s="36">
        <f t="shared" si="47"/>
        <v>1850000</v>
      </c>
      <c r="M444" s="37">
        <f t="shared" si="48"/>
        <v>86950000</v>
      </c>
      <c r="N444" s="38">
        <f>F444-(H444*0)</f>
        <v>90000000</v>
      </c>
      <c r="O444" s="39" t="s">
        <v>156</v>
      </c>
      <c r="P444" s="107" t="s">
        <v>49</v>
      </c>
      <c r="Q444" s="40">
        <f t="shared" si="49"/>
        <v>90000000</v>
      </c>
      <c r="R444" s="40">
        <f>+'[1]D N 2'!AF466</f>
        <v>90000000</v>
      </c>
      <c r="S444" s="33">
        <f t="shared" si="50"/>
        <v>0</v>
      </c>
    </row>
    <row r="445" spans="1:19">
      <c r="A445" s="29">
        <f t="shared" si="51"/>
        <v>441</v>
      </c>
      <c r="B445" s="30" t="s">
        <v>1186</v>
      </c>
      <c r="C445" s="45" t="s">
        <v>1187</v>
      </c>
      <c r="D445" s="31" t="s">
        <v>1188</v>
      </c>
      <c r="E445" s="32">
        <v>43258</v>
      </c>
      <c r="F445" s="41">
        <f>45550000+1138750+460955+444500+200000+42205795</f>
        <v>90000000</v>
      </c>
      <c r="G445" s="34">
        <f t="shared" si="53"/>
        <v>70866000</v>
      </c>
      <c r="H445" s="40">
        <v>1206000</v>
      </c>
      <c r="I445" s="40">
        <f t="shared" si="56"/>
        <v>1080000</v>
      </c>
      <c r="J445" s="29">
        <v>31</v>
      </c>
      <c r="K445" s="29">
        <v>30</v>
      </c>
      <c r="L445" s="36">
        <f t="shared" si="47"/>
        <v>2286000</v>
      </c>
      <c r="M445" s="37">
        <f t="shared" si="48"/>
        <v>68580000</v>
      </c>
      <c r="N445" s="38">
        <f t="shared" ref="N445:N454" si="57">F445-(H445*1)</f>
        <v>88794000</v>
      </c>
      <c r="O445" s="39" t="s">
        <v>57</v>
      </c>
      <c r="P445" s="107" t="s">
        <v>49</v>
      </c>
      <c r="Q445" s="40">
        <f t="shared" si="49"/>
        <v>88794000</v>
      </c>
      <c r="R445" s="40">
        <f>+'[1]D N 2'!AF467</f>
        <v>88794000</v>
      </c>
      <c r="S445" s="33">
        <f t="shared" si="50"/>
        <v>0</v>
      </c>
    </row>
    <row r="446" spans="1:19">
      <c r="A446" s="29">
        <f t="shared" si="51"/>
        <v>442</v>
      </c>
      <c r="B446" s="30" t="s">
        <v>1189</v>
      </c>
      <c r="C446" s="45" t="s">
        <v>415</v>
      </c>
      <c r="D446" s="45" t="s">
        <v>1190</v>
      </c>
      <c r="E446" s="32">
        <v>43258</v>
      </c>
      <c r="F446" s="41">
        <f>35000+3465000</f>
        <v>3500000</v>
      </c>
      <c r="G446" s="34">
        <f t="shared" si="53"/>
        <v>4004400</v>
      </c>
      <c r="H446" s="44">
        <f>333700-I446</f>
        <v>291700</v>
      </c>
      <c r="I446" s="40">
        <f t="shared" si="56"/>
        <v>42000</v>
      </c>
      <c r="J446" s="29">
        <v>12</v>
      </c>
      <c r="K446" s="29">
        <v>11</v>
      </c>
      <c r="L446" s="36">
        <f t="shared" si="47"/>
        <v>333700</v>
      </c>
      <c r="M446" s="37">
        <f t="shared" si="48"/>
        <v>3670700</v>
      </c>
      <c r="N446" s="38">
        <f t="shared" si="57"/>
        <v>3208300</v>
      </c>
      <c r="O446" s="39" t="s">
        <v>1191</v>
      </c>
      <c r="P446" s="107" t="s">
        <v>123</v>
      </c>
      <c r="Q446" s="40">
        <f t="shared" si="49"/>
        <v>3208300</v>
      </c>
      <c r="R446" s="40">
        <f>+'[1]D N 2'!AF468</f>
        <v>3208300</v>
      </c>
      <c r="S446" s="33">
        <f t="shared" si="50"/>
        <v>0</v>
      </c>
    </row>
    <row r="447" spans="1:19">
      <c r="A447" s="29">
        <f t="shared" si="51"/>
        <v>443</v>
      </c>
      <c r="B447" s="30" t="s">
        <v>642</v>
      </c>
      <c r="C447" s="45" t="s">
        <v>643</v>
      </c>
      <c r="D447" s="45" t="s">
        <v>1192</v>
      </c>
      <c r="E447" s="32">
        <v>43258</v>
      </c>
      <c r="F447" s="41">
        <f>50000+4950000</f>
        <v>5000000</v>
      </c>
      <c r="G447" s="34">
        <f t="shared" si="53"/>
        <v>5720400</v>
      </c>
      <c r="H447" s="44">
        <f>476700-I447</f>
        <v>416700</v>
      </c>
      <c r="I447" s="44">
        <f t="shared" si="56"/>
        <v>60000</v>
      </c>
      <c r="J447" s="29">
        <v>12</v>
      </c>
      <c r="K447" s="29">
        <v>11</v>
      </c>
      <c r="L447" s="36">
        <f t="shared" si="47"/>
        <v>476700</v>
      </c>
      <c r="M447" s="37">
        <f t="shared" si="48"/>
        <v>5243700</v>
      </c>
      <c r="N447" s="38">
        <f t="shared" si="57"/>
        <v>4583300</v>
      </c>
      <c r="O447" s="39" t="s">
        <v>148</v>
      </c>
      <c r="P447" s="107" t="s">
        <v>123</v>
      </c>
      <c r="Q447" s="40">
        <f t="shared" si="49"/>
        <v>4583300</v>
      </c>
      <c r="R447" s="40">
        <f>+'[1]D N 2'!AF469</f>
        <v>4583300</v>
      </c>
      <c r="S447" s="33">
        <f t="shared" si="50"/>
        <v>0</v>
      </c>
    </row>
    <row r="448" spans="1:19">
      <c r="A448" s="29">
        <f t="shared" si="51"/>
        <v>444</v>
      </c>
      <c r="B448" s="30" t="s">
        <v>1193</v>
      </c>
      <c r="C448" s="45" t="s">
        <v>203</v>
      </c>
      <c r="D448" s="45" t="s">
        <v>1194</v>
      </c>
      <c r="E448" s="32">
        <v>43258</v>
      </c>
      <c r="F448" s="41">
        <f>265000+26235000</f>
        <v>26500000</v>
      </c>
      <c r="G448" s="34">
        <f t="shared" si="53"/>
        <v>34132800</v>
      </c>
      <c r="H448" s="44">
        <f>1422200-I448</f>
        <v>1104200</v>
      </c>
      <c r="I448" s="44">
        <f t="shared" si="56"/>
        <v>318000</v>
      </c>
      <c r="J448" s="29">
        <v>24</v>
      </c>
      <c r="K448" s="29">
        <v>23</v>
      </c>
      <c r="L448" s="36">
        <f t="shared" si="47"/>
        <v>1422200</v>
      </c>
      <c r="M448" s="37">
        <f t="shared" si="48"/>
        <v>32710600</v>
      </c>
      <c r="N448" s="38">
        <f t="shared" si="57"/>
        <v>25395800</v>
      </c>
      <c r="O448" s="39" t="s">
        <v>1195</v>
      </c>
      <c r="P448" s="107" t="s">
        <v>123</v>
      </c>
      <c r="Q448" s="40">
        <f t="shared" si="49"/>
        <v>25395800</v>
      </c>
      <c r="R448" s="40">
        <f>+'[1]D N 2'!AF470</f>
        <v>25395800</v>
      </c>
      <c r="S448" s="33">
        <f t="shared" si="50"/>
        <v>0</v>
      </c>
    </row>
    <row r="449" spans="1:19">
      <c r="A449" s="29">
        <f t="shared" si="51"/>
        <v>445</v>
      </c>
      <c r="B449" s="30" t="s">
        <v>1196</v>
      </c>
      <c r="C449" s="45" t="s">
        <v>1197</v>
      </c>
      <c r="D449" s="45" t="s">
        <v>1198</v>
      </c>
      <c r="E449" s="32">
        <v>43258</v>
      </c>
      <c r="F449" s="41">
        <f>63326000+1583150+550968+166740+200000+14173142</f>
        <v>80000000</v>
      </c>
      <c r="G449" s="34">
        <f t="shared" si="53"/>
        <v>67637500</v>
      </c>
      <c r="H449" s="35">
        <v>972500</v>
      </c>
      <c r="I449" s="44">
        <f t="shared" si="56"/>
        <v>960000</v>
      </c>
      <c r="J449" s="29">
        <v>35</v>
      </c>
      <c r="K449" s="29">
        <v>34</v>
      </c>
      <c r="L449" s="36">
        <f t="shared" si="47"/>
        <v>1932500</v>
      </c>
      <c r="M449" s="37">
        <f t="shared" si="48"/>
        <v>65705000</v>
      </c>
      <c r="N449" s="38">
        <f t="shared" si="57"/>
        <v>79027500</v>
      </c>
      <c r="O449" s="39" t="s">
        <v>1199</v>
      </c>
      <c r="P449" s="107" t="s">
        <v>49</v>
      </c>
      <c r="Q449" s="40">
        <f t="shared" si="49"/>
        <v>79027500</v>
      </c>
      <c r="R449" s="40">
        <f>+'[1]D N 2'!AF471</f>
        <v>79027500</v>
      </c>
      <c r="S449" s="33">
        <f t="shared" si="50"/>
        <v>0</v>
      </c>
    </row>
    <row r="450" spans="1:19">
      <c r="A450" s="29">
        <f t="shared" si="51"/>
        <v>446</v>
      </c>
      <c r="B450" s="30" t="s">
        <v>1200</v>
      </c>
      <c r="C450" s="45" t="s">
        <v>1201</v>
      </c>
      <c r="D450" s="45" t="s">
        <v>1202</v>
      </c>
      <c r="E450" s="32">
        <v>43258</v>
      </c>
      <c r="F450" s="41">
        <f>47246644+2000000+100000+1181166+334642+8091295+1444800+200000+0</f>
        <v>60598547</v>
      </c>
      <c r="G450" s="34">
        <f t="shared" si="53"/>
        <v>47000000</v>
      </c>
      <c r="H450" s="40">
        <v>272817</v>
      </c>
      <c r="I450" s="35">
        <v>727183</v>
      </c>
      <c r="J450" s="29">
        <v>47</v>
      </c>
      <c r="K450" s="29">
        <f>46</f>
        <v>46</v>
      </c>
      <c r="L450" s="36">
        <f t="shared" si="47"/>
        <v>1000000</v>
      </c>
      <c r="M450" s="37">
        <f t="shared" si="48"/>
        <v>46000000</v>
      </c>
      <c r="N450" s="38">
        <f t="shared" si="57"/>
        <v>60325730</v>
      </c>
      <c r="O450" s="39" t="s">
        <v>717</v>
      </c>
      <c r="P450" s="107" t="s">
        <v>294</v>
      </c>
      <c r="Q450" s="40">
        <f t="shared" si="49"/>
        <v>60325730</v>
      </c>
      <c r="R450" s="40">
        <f>+'[1]D N 2'!AF472</f>
        <v>60325730</v>
      </c>
      <c r="S450" s="33">
        <f t="shared" si="50"/>
        <v>0</v>
      </c>
    </row>
    <row r="451" spans="1:19">
      <c r="A451" s="29">
        <f t="shared" si="51"/>
        <v>447</v>
      </c>
      <c r="B451" s="30" t="s">
        <v>1203</v>
      </c>
      <c r="C451" s="45" t="s">
        <v>1204</v>
      </c>
      <c r="D451" s="45" t="s">
        <v>1205</v>
      </c>
      <c r="E451" s="32">
        <v>43259</v>
      </c>
      <c r="F451" s="41">
        <f>25000000+625000+177290+450000+200000+75000000</f>
        <v>101452290</v>
      </c>
      <c r="G451" s="34">
        <f t="shared" si="53"/>
        <v>32519700</v>
      </c>
      <c r="H451" s="40">
        <f>1413900-I451</f>
        <v>196473</v>
      </c>
      <c r="I451" s="44">
        <v>1217427</v>
      </c>
      <c r="J451" s="29">
        <v>23</v>
      </c>
      <c r="K451" s="29">
        <v>22</v>
      </c>
      <c r="L451" s="36">
        <f t="shared" si="47"/>
        <v>1413900</v>
      </c>
      <c r="M451" s="37">
        <f t="shared" si="48"/>
        <v>31105800</v>
      </c>
      <c r="N451" s="38">
        <f t="shared" si="57"/>
        <v>101255817</v>
      </c>
      <c r="O451" s="39" t="s">
        <v>1206</v>
      </c>
      <c r="P451" s="107" t="s">
        <v>49</v>
      </c>
      <c r="Q451" s="40">
        <f t="shared" si="49"/>
        <v>101255817</v>
      </c>
      <c r="R451" s="40">
        <f>+'[1]D N 2'!AF473</f>
        <v>101255817</v>
      </c>
      <c r="S451" s="33">
        <f t="shared" si="50"/>
        <v>0</v>
      </c>
    </row>
    <row r="452" spans="1:19">
      <c r="A452" s="29">
        <f t="shared" si="51"/>
        <v>448</v>
      </c>
      <c r="B452" s="30" t="s">
        <v>1207</v>
      </c>
      <c r="C452" s="45" t="s">
        <v>1208</v>
      </c>
      <c r="D452" s="45" t="s">
        <v>1209</v>
      </c>
      <c r="E452" s="32">
        <v>43259</v>
      </c>
      <c r="F452" s="41">
        <f>70000000-35000000</f>
        <v>35000000</v>
      </c>
      <c r="G452" s="34">
        <f t="shared" si="53"/>
        <v>26853750</v>
      </c>
      <c r="H452" s="40">
        <v>347250</v>
      </c>
      <c r="I452" s="44">
        <f t="shared" ref="I452:I471" si="58">+F452*1.2%</f>
        <v>420000</v>
      </c>
      <c r="J452" s="29">
        <v>35</v>
      </c>
      <c r="K452" s="29">
        <f>34</f>
        <v>34</v>
      </c>
      <c r="L452" s="36">
        <f t="shared" si="47"/>
        <v>767250</v>
      </c>
      <c r="M452" s="37">
        <f t="shared" si="48"/>
        <v>26086500</v>
      </c>
      <c r="N452" s="38">
        <f t="shared" si="57"/>
        <v>34652750</v>
      </c>
      <c r="O452" s="39" t="s">
        <v>1210</v>
      </c>
      <c r="P452" s="107" t="s">
        <v>49</v>
      </c>
      <c r="Q452" s="40">
        <f t="shared" si="49"/>
        <v>34652750</v>
      </c>
      <c r="R452" s="40">
        <f>+'[1]D N 2'!AF474</f>
        <v>34652750</v>
      </c>
      <c r="S452" s="33">
        <f t="shared" si="50"/>
        <v>0</v>
      </c>
    </row>
    <row r="453" spans="1:19">
      <c r="A453" s="29">
        <f t="shared" si="51"/>
        <v>449</v>
      </c>
      <c r="B453" s="30" t="s">
        <v>1207</v>
      </c>
      <c r="C453" s="45" t="s">
        <v>1208</v>
      </c>
      <c r="D453" s="45" t="s">
        <v>1209</v>
      </c>
      <c r="E453" s="32">
        <v>43259</v>
      </c>
      <c r="F453" s="41">
        <v>35000000</v>
      </c>
      <c r="G453" s="34">
        <f t="shared" si="53"/>
        <v>26853750</v>
      </c>
      <c r="H453" s="40">
        <v>347250</v>
      </c>
      <c r="I453" s="44">
        <f t="shared" si="58"/>
        <v>420000</v>
      </c>
      <c r="J453" s="29">
        <v>35</v>
      </c>
      <c r="K453" s="29">
        <f>34</f>
        <v>34</v>
      </c>
      <c r="L453" s="36">
        <f t="shared" ref="L453:L506" si="59">+H453+I453</f>
        <v>767250</v>
      </c>
      <c r="M453" s="37">
        <f t="shared" ref="M453:M506" si="60">+K453*L453</f>
        <v>26086500</v>
      </c>
      <c r="N453" s="38">
        <f t="shared" si="57"/>
        <v>34652750</v>
      </c>
      <c r="O453" s="39" t="s">
        <v>1210</v>
      </c>
      <c r="P453" s="107" t="s">
        <v>49</v>
      </c>
      <c r="Q453" s="40">
        <f t="shared" si="49"/>
        <v>34652750</v>
      </c>
      <c r="R453" s="40">
        <f>+'[1]D N 2'!AF475</f>
        <v>34652750</v>
      </c>
      <c r="S453" s="33">
        <f t="shared" si="50"/>
        <v>0</v>
      </c>
    </row>
    <row r="454" spans="1:19">
      <c r="A454" s="29">
        <f t="shared" si="51"/>
        <v>450</v>
      </c>
      <c r="B454" s="30" t="s">
        <v>1211</v>
      </c>
      <c r="C454" s="45" t="s">
        <v>1212</v>
      </c>
      <c r="D454" s="45" t="s">
        <v>1213</v>
      </c>
      <c r="E454" s="32">
        <v>43259</v>
      </c>
      <c r="F454" s="41">
        <f>147089480+3677237+1135420+449105+200000+39448758</f>
        <v>192000000</v>
      </c>
      <c r="G454" s="34">
        <f t="shared" si="53"/>
        <v>178232600</v>
      </c>
      <c r="H454" s="40">
        <f>3637400-I454</f>
        <v>1333400</v>
      </c>
      <c r="I454" s="44">
        <f t="shared" si="58"/>
        <v>2304000</v>
      </c>
      <c r="J454" s="29">
        <v>49</v>
      </c>
      <c r="K454" s="29">
        <v>48</v>
      </c>
      <c r="L454" s="36">
        <f t="shared" si="59"/>
        <v>3637400</v>
      </c>
      <c r="M454" s="37">
        <f t="shared" si="60"/>
        <v>174595200</v>
      </c>
      <c r="N454" s="38">
        <f t="shared" si="57"/>
        <v>190666600</v>
      </c>
      <c r="O454" s="39" t="s">
        <v>1214</v>
      </c>
      <c r="P454" s="107" t="s">
        <v>49</v>
      </c>
      <c r="Q454" s="40">
        <f t="shared" ref="Q454:Q490" si="61">+N454</f>
        <v>190666600</v>
      </c>
      <c r="R454" s="40">
        <f>+'[1]D N 2'!AF476</f>
        <v>190666600</v>
      </c>
      <c r="S454" s="33">
        <f t="shared" ref="S454:S490" si="62">+Q454-R454</f>
        <v>0</v>
      </c>
    </row>
    <row r="455" spans="1:19">
      <c r="A455" s="29">
        <f t="shared" ref="A455:A490" si="63">+A454+1</f>
        <v>451</v>
      </c>
      <c r="B455" s="46" t="s">
        <v>1215</v>
      </c>
      <c r="C455" s="120" t="s">
        <v>1216</v>
      </c>
      <c r="D455" s="120" t="s">
        <v>1217</v>
      </c>
      <c r="E455" s="32">
        <v>43277</v>
      </c>
      <c r="F455" s="121">
        <f>35135000+878375+148650+200000+13637975-25000000</f>
        <v>25000000</v>
      </c>
      <c r="G455" s="36">
        <f t="shared" si="53"/>
        <v>22015000</v>
      </c>
      <c r="H455" s="69">
        <v>347500</v>
      </c>
      <c r="I455" s="69">
        <f t="shared" si="58"/>
        <v>300000</v>
      </c>
      <c r="J455" s="122">
        <v>34</v>
      </c>
      <c r="K455" s="122">
        <v>34</v>
      </c>
      <c r="L455" s="36">
        <f t="shared" si="59"/>
        <v>647500</v>
      </c>
      <c r="M455" s="37">
        <f t="shared" si="60"/>
        <v>22015000</v>
      </c>
      <c r="N455" s="38">
        <f t="shared" ref="N455:N471" si="64">F455-(H455*0)</f>
        <v>25000000</v>
      </c>
      <c r="O455" s="39" t="s">
        <v>328</v>
      </c>
      <c r="P455" s="107" t="s">
        <v>49</v>
      </c>
      <c r="Q455" s="40">
        <f t="shared" si="61"/>
        <v>25000000</v>
      </c>
      <c r="R455" s="40">
        <f>+'[1]D N 2'!AF477</f>
        <v>25000000</v>
      </c>
      <c r="S455" s="33">
        <f t="shared" si="62"/>
        <v>0</v>
      </c>
    </row>
    <row r="456" spans="1:19">
      <c r="A456" s="29">
        <f t="shared" si="63"/>
        <v>452</v>
      </c>
      <c r="B456" s="46" t="s">
        <v>1215</v>
      </c>
      <c r="C456" s="120" t="s">
        <v>1216</v>
      </c>
      <c r="D456" s="120" t="s">
        <v>1217</v>
      </c>
      <c r="E456" s="32">
        <v>43277</v>
      </c>
      <c r="F456" s="121">
        <v>25000000</v>
      </c>
      <c r="G456" s="36">
        <f t="shared" si="53"/>
        <v>22015000</v>
      </c>
      <c r="H456" s="69">
        <v>347500</v>
      </c>
      <c r="I456" s="69">
        <f t="shared" si="58"/>
        <v>300000</v>
      </c>
      <c r="J456" s="122">
        <v>34</v>
      </c>
      <c r="K456" s="122">
        <v>34</v>
      </c>
      <c r="L456" s="36">
        <f t="shared" si="59"/>
        <v>647500</v>
      </c>
      <c r="M456" s="37">
        <f t="shared" si="60"/>
        <v>22015000</v>
      </c>
      <c r="N456" s="38">
        <f t="shared" si="64"/>
        <v>25000000</v>
      </c>
      <c r="O456" s="39" t="s">
        <v>328</v>
      </c>
      <c r="P456" s="107" t="s">
        <v>49</v>
      </c>
      <c r="Q456" s="40">
        <f t="shared" si="61"/>
        <v>25000000</v>
      </c>
      <c r="R456" s="40">
        <f>+'[1]D N 2'!AF478</f>
        <v>25000000</v>
      </c>
      <c r="S456" s="33">
        <f t="shared" si="62"/>
        <v>0</v>
      </c>
    </row>
    <row r="457" spans="1:19">
      <c r="A457" s="29">
        <f t="shared" si="63"/>
        <v>453</v>
      </c>
      <c r="B457" s="46" t="s">
        <v>1218</v>
      </c>
      <c r="C457" s="120" t="s">
        <v>1219</v>
      </c>
      <c r="D457" s="120" t="s">
        <v>1220</v>
      </c>
      <c r="E457" s="32">
        <v>43279</v>
      </c>
      <c r="F457" s="121">
        <f>30958500+773963+190415+200000+17877122-25000000</f>
        <v>25000000</v>
      </c>
      <c r="G457" s="36">
        <f t="shared" si="53"/>
        <v>22023500</v>
      </c>
      <c r="H457" s="69">
        <v>347750</v>
      </c>
      <c r="I457" s="69">
        <f t="shared" si="58"/>
        <v>300000</v>
      </c>
      <c r="J457" s="122">
        <v>34</v>
      </c>
      <c r="K457" s="122">
        <v>34</v>
      </c>
      <c r="L457" s="36">
        <f t="shared" si="59"/>
        <v>647750</v>
      </c>
      <c r="M457" s="37">
        <f t="shared" si="60"/>
        <v>22023500</v>
      </c>
      <c r="N457" s="38">
        <f t="shared" si="64"/>
        <v>25000000</v>
      </c>
      <c r="O457" s="39" t="s">
        <v>1221</v>
      </c>
      <c r="P457" s="107" t="s">
        <v>49</v>
      </c>
      <c r="Q457" s="40">
        <f t="shared" si="61"/>
        <v>25000000</v>
      </c>
      <c r="R457" s="40">
        <f>+'[1]D N 2'!AF479</f>
        <v>25000000</v>
      </c>
      <c r="S457" s="33">
        <f t="shared" si="62"/>
        <v>0</v>
      </c>
    </row>
    <row r="458" spans="1:19">
      <c r="A458" s="29">
        <f t="shared" si="63"/>
        <v>454</v>
      </c>
      <c r="B458" s="46" t="s">
        <v>1218</v>
      </c>
      <c r="C458" s="120" t="s">
        <v>1219</v>
      </c>
      <c r="D458" s="120" t="s">
        <v>1220</v>
      </c>
      <c r="E458" s="32">
        <v>43279</v>
      </c>
      <c r="F458" s="121">
        <v>25000000</v>
      </c>
      <c r="G458" s="36">
        <f t="shared" si="53"/>
        <v>22023500</v>
      </c>
      <c r="H458" s="69">
        <v>347750</v>
      </c>
      <c r="I458" s="69">
        <f t="shared" si="58"/>
        <v>300000</v>
      </c>
      <c r="J458" s="122">
        <v>34</v>
      </c>
      <c r="K458" s="122">
        <v>34</v>
      </c>
      <c r="L458" s="36">
        <f t="shared" si="59"/>
        <v>647750</v>
      </c>
      <c r="M458" s="37">
        <f t="shared" si="60"/>
        <v>22023500</v>
      </c>
      <c r="N458" s="38">
        <f t="shared" si="64"/>
        <v>25000000</v>
      </c>
      <c r="O458" s="39" t="s">
        <v>1221</v>
      </c>
      <c r="P458" s="107" t="s">
        <v>49</v>
      </c>
      <c r="Q458" s="40">
        <f t="shared" si="61"/>
        <v>25000000</v>
      </c>
      <c r="R458" s="40">
        <f>+'[1]D N 2'!AF480</f>
        <v>25000000</v>
      </c>
      <c r="S458" s="33">
        <f t="shared" si="62"/>
        <v>0</v>
      </c>
    </row>
    <row r="459" spans="1:19">
      <c r="A459" s="29">
        <f t="shared" si="63"/>
        <v>455</v>
      </c>
      <c r="B459" s="46" t="s">
        <v>1222</v>
      </c>
      <c r="C459" s="123" t="s">
        <v>1223</v>
      </c>
      <c r="D459" s="120" t="s">
        <v>1224</v>
      </c>
      <c r="E459" s="32">
        <v>43279</v>
      </c>
      <c r="F459" s="121">
        <f>100000+200000+39700000</f>
        <v>40000000</v>
      </c>
      <c r="G459" s="36">
        <f t="shared" si="53"/>
        <v>57294000</v>
      </c>
      <c r="H459" s="69">
        <v>1111500</v>
      </c>
      <c r="I459" s="69">
        <f t="shared" si="58"/>
        <v>480000</v>
      </c>
      <c r="J459" s="122">
        <v>36</v>
      </c>
      <c r="K459" s="122">
        <v>36</v>
      </c>
      <c r="L459" s="36">
        <f t="shared" si="59"/>
        <v>1591500</v>
      </c>
      <c r="M459" s="37">
        <f t="shared" si="60"/>
        <v>57294000</v>
      </c>
      <c r="N459" s="38">
        <f t="shared" si="64"/>
        <v>40000000</v>
      </c>
      <c r="O459" s="39" t="s">
        <v>48</v>
      </c>
      <c r="P459" s="107" t="s">
        <v>157</v>
      </c>
      <c r="Q459" s="40">
        <f t="shared" si="61"/>
        <v>40000000</v>
      </c>
      <c r="R459" s="40">
        <f>+'[1]D N 2'!AF481</f>
        <v>40000000</v>
      </c>
      <c r="S459" s="33">
        <f t="shared" si="62"/>
        <v>0</v>
      </c>
    </row>
    <row r="460" spans="1:19">
      <c r="A460" s="29">
        <f t="shared" si="63"/>
        <v>456</v>
      </c>
      <c r="B460" s="46" t="s">
        <v>1225</v>
      </c>
      <c r="C460" s="123" t="s">
        <v>1226</v>
      </c>
      <c r="D460" s="120" t="s">
        <v>1227</v>
      </c>
      <c r="E460" s="32">
        <v>43279</v>
      </c>
      <c r="F460" s="121">
        <f>277996991+6949925+2000000+200000+200000000</f>
        <v>487146916</v>
      </c>
      <c r="G460" s="36">
        <f t="shared" si="53"/>
        <v>225035952</v>
      </c>
      <c r="H460" s="69">
        <v>1765368</v>
      </c>
      <c r="I460" s="69">
        <v>2922881</v>
      </c>
      <c r="J460" s="122">
        <v>48</v>
      </c>
      <c r="K460" s="122">
        <v>48</v>
      </c>
      <c r="L460" s="36">
        <f t="shared" si="59"/>
        <v>4688249</v>
      </c>
      <c r="M460" s="37">
        <f t="shared" si="60"/>
        <v>225035952</v>
      </c>
      <c r="N460" s="38">
        <f t="shared" si="64"/>
        <v>487146916</v>
      </c>
      <c r="O460" s="39" t="s">
        <v>741</v>
      </c>
      <c r="P460" s="107" t="s">
        <v>49</v>
      </c>
      <c r="Q460" s="40">
        <f t="shared" si="61"/>
        <v>487146916</v>
      </c>
      <c r="R460" s="40">
        <f>+'[1]D N 2'!AF482</f>
        <v>487146916</v>
      </c>
      <c r="S460" s="33">
        <f t="shared" si="62"/>
        <v>0</v>
      </c>
    </row>
    <row r="461" spans="1:19">
      <c r="A461" s="29">
        <f t="shared" si="63"/>
        <v>457</v>
      </c>
      <c r="B461" s="46" t="s">
        <v>1225</v>
      </c>
      <c r="C461" s="123" t="s">
        <v>1226</v>
      </c>
      <c r="D461" s="120" t="s">
        <v>1227</v>
      </c>
      <c r="E461" s="32">
        <v>43279</v>
      </c>
      <c r="F461" s="124">
        <v>243573458</v>
      </c>
      <c r="G461" s="36">
        <f t="shared" si="53"/>
        <v>225036048</v>
      </c>
      <c r="H461" s="69">
        <v>1765369</v>
      </c>
      <c r="I461" s="69">
        <v>2922882</v>
      </c>
      <c r="J461" s="122">
        <v>48</v>
      </c>
      <c r="K461" s="122">
        <v>48</v>
      </c>
      <c r="L461" s="36">
        <f t="shared" si="59"/>
        <v>4688251</v>
      </c>
      <c r="M461" s="37">
        <f t="shared" si="60"/>
        <v>225036048</v>
      </c>
      <c r="N461" s="38">
        <f t="shared" si="64"/>
        <v>243573458</v>
      </c>
      <c r="O461" s="39" t="s">
        <v>741</v>
      </c>
      <c r="P461" s="107" t="s">
        <v>49</v>
      </c>
      <c r="Q461" s="40">
        <f t="shared" si="61"/>
        <v>243573458</v>
      </c>
      <c r="R461" s="40">
        <f>+'[1]D N 2'!AF483</f>
        <v>243573458</v>
      </c>
      <c r="S461" s="33">
        <f t="shared" si="62"/>
        <v>0</v>
      </c>
    </row>
    <row r="462" spans="1:19">
      <c r="A462" s="29">
        <f t="shared" si="63"/>
        <v>458</v>
      </c>
      <c r="B462" s="46" t="s">
        <v>1228</v>
      </c>
      <c r="C462" s="123" t="s">
        <v>1229</v>
      </c>
      <c r="D462" s="120" t="s">
        <v>1230</v>
      </c>
      <c r="E462" s="32">
        <v>43277</v>
      </c>
      <c r="F462" s="121">
        <f>1200000+200000+148600000</f>
        <v>150000000</v>
      </c>
      <c r="G462" s="36">
        <f t="shared" si="53"/>
        <v>116400000</v>
      </c>
      <c r="H462" s="69">
        <v>625000</v>
      </c>
      <c r="I462" s="69">
        <f t="shared" si="58"/>
        <v>1800000</v>
      </c>
      <c r="J462" s="122">
        <v>48</v>
      </c>
      <c r="K462" s="122">
        <v>48</v>
      </c>
      <c r="L462" s="36">
        <f t="shared" si="59"/>
        <v>2425000</v>
      </c>
      <c r="M462" s="37">
        <f t="shared" si="60"/>
        <v>116400000</v>
      </c>
      <c r="N462" s="38">
        <f t="shared" si="64"/>
        <v>150000000</v>
      </c>
      <c r="O462" s="39" t="s">
        <v>1231</v>
      </c>
      <c r="P462" s="107" t="s">
        <v>49</v>
      </c>
      <c r="Q462" s="40">
        <f t="shared" si="61"/>
        <v>150000000</v>
      </c>
      <c r="R462" s="40">
        <f>+'[1]D N 2'!AF484</f>
        <v>150000000</v>
      </c>
      <c r="S462" s="33">
        <f t="shared" si="62"/>
        <v>0</v>
      </c>
    </row>
    <row r="463" spans="1:19">
      <c r="A463" s="29">
        <f t="shared" si="63"/>
        <v>459</v>
      </c>
      <c r="B463" s="46" t="s">
        <v>1232</v>
      </c>
      <c r="C463" s="123" t="s">
        <v>1233</v>
      </c>
      <c r="D463" s="120" t="s">
        <v>1234</v>
      </c>
      <c r="E463" s="32">
        <v>43277</v>
      </c>
      <c r="F463" s="121">
        <f>58760372+1469009+350000+200000+35000000</f>
        <v>95779381</v>
      </c>
      <c r="G463" s="36">
        <f t="shared" si="53"/>
        <v>80118000</v>
      </c>
      <c r="H463" s="69">
        <f>1076147</f>
        <v>1076147</v>
      </c>
      <c r="I463" s="69">
        <v>1149353</v>
      </c>
      <c r="J463" s="122">
        <v>36</v>
      </c>
      <c r="K463" s="122">
        <v>36</v>
      </c>
      <c r="L463" s="36">
        <f t="shared" si="59"/>
        <v>2225500</v>
      </c>
      <c r="M463" s="37">
        <f t="shared" si="60"/>
        <v>80118000</v>
      </c>
      <c r="N463" s="38">
        <f t="shared" si="64"/>
        <v>95779381</v>
      </c>
      <c r="O463" s="39" t="s">
        <v>257</v>
      </c>
      <c r="P463" s="107" t="s">
        <v>49</v>
      </c>
      <c r="Q463" s="40">
        <f t="shared" si="61"/>
        <v>95779381</v>
      </c>
      <c r="R463" s="40">
        <f>+'[1]D N 2'!AF485</f>
        <v>95779381</v>
      </c>
      <c r="S463" s="33">
        <f t="shared" si="62"/>
        <v>0</v>
      </c>
    </row>
    <row r="464" spans="1:19">
      <c r="A464" s="29">
        <f t="shared" si="63"/>
        <v>460</v>
      </c>
      <c r="B464" s="46" t="s">
        <v>1235</v>
      </c>
      <c r="C464" s="123" t="s">
        <v>1236</v>
      </c>
      <c r="D464" s="120" t="s">
        <v>1237</v>
      </c>
      <c r="E464" s="32">
        <v>43277</v>
      </c>
      <c r="F464" s="121">
        <f>16100000+402500+1361000+200000+150000000</f>
        <v>168063500</v>
      </c>
      <c r="G464" s="36">
        <f t="shared" si="53"/>
        <v>121440000</v>
      </c>
      <c r="H464" s="69">
        <v>623238</v>
      </c>
      <c r="I464" s="69">
        <f t="shared" si="58"/>
        <v>2016762</v>
      </c>
      <c r="J464" s="122">
        <v>46</v>
      </c>
      <c r="K464" s="122">
        <v>46</v>
      </c>
      <c r="L464" s="36">
        <f t="shared" si="59"/>
        <v>2640000</v>
      </c>
      <c r="M464" s="37">
        <f t="shared" si="60"/>
        <v>121440000</v>
      </c>
      <c r="N464" s="38">
        <f t="shared" si="64"/>
        <v>168063500</v>
      </c>
      <c r="O464" s="39" t="s">
        <v>77</v>
      </c>
      <c r="P464" s="107" t="s">
        <v>49</v>
      </c>
      <c r="Q464" s="40">
        <f t="shared" si="61"/>
        <v>168063500</v>
      </c>
      <c r="R464" s="40">
        <f>+'[1]D N 2'!AF486</f>
        <v>168063500</v>
      </c>
      <c r="S464" s="33">
        <f t="shared" si="62"/>
        <v>0</v>
      </c>
    </row>
    <row r="465" spans="1:19">
      <c r="A465" s="29">
        <f t="shared" si="63"/>
        <v>461</v>
      </c>
      <c r="B465" s="46" t="s">
        <v>1238</v>
      </c>
      <c r="C465" s="123" t="s">
        <v>1239</v>
      </c>
      <c r="D465" s="123" t="s">
        <v>1240</v>
      </c>
      <c r="E465" s="32">
        <v>43277</v>
      </c>
      <c r="F465" s="121">
        <f>22208000+555200+700000+200000+76336800</f>
        <v>100000000</v>
      </c>
      <c r="G465" s="36">
        <f t="shared" si="53"/>
        <v>53200800</v>
      </c>
      <c r="H465" s="69">
        <v>277800</v>
      </c>
      <c r="I465" s="69">
        <f t="shared" si="58"/>
        <v>1200000</v>
      </c>
      <c r="J465" s="122">
        <v>36</v>
      </c>
      <c r="K465" s="122">
        <v>36</v>
      </c>
      <c r="L465" s="36">
        <f t="shared" si="59"/>
        <v>1477800</v>
      </c>
      <c r="M465" s="37">
        <f t="shared" si="60"/>
        <v>53200800</v>
      </c>
      <c r="N465" s="38">
        <f t="shared" si="64"/>
        <v>100000000</v>
      </c>
      <c r="O465" s="39" t="s">
        <v>77</v>
      </c>
      <c r="P465" s="107" t="s">
        <v>49</v>
      </c>
      <c r="Q465" s="40">
        <f t="shared" si="61"/>
        <v>100000000</v>
      </c>
      <c r="R465" s="40">
        <f>+'[1]D N 2'!AF487</f>
        <v>100000000</v>
      </c>
      <c r="S465" s="33">
        <f t="shared" si="62"/>
        <v>0</v>
      </c>
    </row>
    <row r="466" spans="1:19">
      <c r="A466" s="29">
        <f t="shared" si="63"/>
        <v>462</v>
      </c>
      <c r="B466" s="46" t="s">
        <v>1241</v>
      </c>
      <c r="C466" s="123" t="s">
        <v>1242</v>
      </c>
      <c r="D466" s="123" t="s">
        <v>1243</v>
      </c>
      <c r="E466" s="32">
        <v>43277</v>
      </c>
      <c r="F466" s="121">
        <f>19151500+478788+1200000+200000+148121212-19151500-75000000</f>
        <v>75000000</v>
      </c>
      <c r="G466" s="36">
        <f t="shared" si="53"/>
        <v>57500000</v>
      </c>
      <c r="H466" s="69">
        <v>350000</v>
      </c>
      <c r="I466" s="69">
        <f t="shared" si="58"/>
        <v>900000</v>
      </c>
      <c r="J466" s="122">
        <v>46</v>
      </c>
      <c r="K466" s="122">
        <v>46</v>
      </c>
      <c r="L466" s="36">
        <f t="shared" si="59"/>
        <v>1250000</v>
      </c>
      <c r="M466" s="37">
        <f t="shared" si="60"/>
        <v>57500000</v>
      </c>
      <c r="N466" s="38">
        <f t="shared" si="64"/>
        <v>75000000</v>
      </c>
      <c r="O466" s="39" t="s">
        <v>593</v>
      </c>
      <c r="P466" s="107" t="s">
        <v>49</v>
      </c>
      <c r="Q466" s="40">
        <f t="shared" si="61"/>
        <v>75000000</v>
      </c>
      <c r="R466" s="40">
        <f>+'[1]D N 2'!AF488</f>
        <v>75000000</v>
      </c>
      <c r="S466" s="33">
        <f t="shared" si="62"/>
        <v>0</v>
      </c>
    </row>
    <row r="467" spans="1:19">
      <c r="A467" s="29">
        <f t="shared" si="63"/>
        <v>463</v>
      </c>
      <c r="B467" s="46" t="s">
        <v>1241</v>
      </c>
      <c r="C467" s="123" t="s">
        <v>1242</v>
      </c>
      <c r="D467" s="123" t="s">
        <v>1243</v>
      </c>
      <c r="E467" s="32">
        <v>43277</v>
      </c>
      <c r="F467" s="121">
        <v>75000000</v>
      </c>
      <c r="G467" s="36">
        <f t="shared" si="53"/>
        <v>57500000</v>
      </c>
      <c r="H467" s="69">
        <v>350000</v>
      </c>
      <c r="I467" s="69">
        <f t="shared" si="58"/>
        <v>900000</v>
      </c>
      <c r="J467" s="122">
        <v>46</v>
      </c>
      <c r="K467" s="122">
        <v>46</v>
      </c>
      <c r="L467" s="36">
        <f t="shared" si="59"/>
        <v>1250000</v>
      </c>
      <c r="M467" s="37">
        <f t="shared" si="60"/>
        <v>57500000</v>
      </c>
      <c r="N467" s="38">
        <f t="shared" si="64"/>
        <v>75000000</v>
      </c>
      <c r="O467" s="39" t="s">
        <v>593</v>
      </c>
      <c r="P467" s="107" t="s">
        <v>49</v>
      </c>
      <c r="Q467" s="40">
        <f t="shared" si="61"/>
        <v>75000000</v>
      </c>
      <c r="R467" s="40">
        <f>+'[1]D N 2'!AF489</f>
        <v>75000000</v>
      </c>
      <c r="S467" s="33">
        <f t="shared" si="62"/>
        <v>0</v>
      </c>
    </row>
    <row r="468" spans="1:19">
      <c r="A468" s="29">
        <f t="shared" si="63"/>
        <v>464</v>
      </c>
      <c r="B468" s="46" t="s">
        <v>1244</v>
      </c>
      <c r="C468" s="123" t="s">
        <v>1245</v>
      </c>
      <c r="D468" s="123" t="s">
        <v>1246</v>
      </c>
      <c r="E468" s="32">
        <v>43277</v>
      </c>
      <c r="F468" s="121">
        <f>90831000+2270775+1091690+200000+105606535</f>
        <v>200000000</v>
      </c>
      <c r="G468" s="36">
        <f t="shared" si="53"/>
        <v>186210000</v>
      </c>
      <c r="H468" s="69">
        <v>2772500</v>
      </c>
      <c r="I468" s="69">
        <f t="shared" si="58"/>
        <v>2400000</v>
      </c>
      <c r="J468" s="122">
        <v>36</v>
      </c>
      <c r="K468" s="122">
        <v>36</v>
      </c>
      <c r="L468" s="36">
        <f t="shared" si="59"/>
        <v>5172500</v>
      </c>
      <c r="M468" s="37">
        <f t="shared" si="60"/>
        <v>186210000</v>
      </c>
      <c r="N468" s="38">
        <f t="shared" si="64"/>
        <v>200000000</v>
      </c>
      <c r="O468" s="39" t="s">
        <v>1247</v>
      </c>
      <c r="P468" s="107" t="s">
        <v>49</v>
      </c>
      <c r="Q468" s="40">
        <f t="shared" si="61"/>
        <v>200000000</v>
      </c>
      <c r="R468" s="40">
        <f>+'[1]D N 2'!AF490</f>
        <v>200000000</v>
      </c>
      <c r="S468" s="33">
        <f t="shared" si="62"/>
        <v>0</v>
      </c>
    </row>
    <row r="469" spans="1:19">
      <c r="A469" s="29">
        <f t="shared" si="63"/>
        <v>465</v>
      </c>
      <c r="B469" s="46" t="s">
        <v>1248</v>
      </c>
      <c r="C469" s="123" t="s">
        <v>1249</v>
      </c>
      <c r="D469" s="120" t="s">
        <v>1250</v>
      </c>
      <c r="E469" s="32">
        <v>43280</v>
      </c>
      <c r="F469" s="121">
        <f>23328000+583200+6000000</f>
        <v>29911200</v>
      </c>
      <c r="G469" s="36">
        <f t="shared" si="53"/>
        <v>42834600</v>
      </c>
      <c r="H469" s="69">
        <v>830916</v>
      </c>
      <c r="I469" s="69">
        <v>358934</v>
      </c>
      <c r="J469" s="122">
        <v>36</v>
      </c>
      <c r="K469" s="122">
        <v>36</v>
      </c>
      <c r="L469" s="36">
        <f t="shared" si="59"/>
        <v>1189850</v>
      </c>
      <c r="M469" s="37">
        <f t="shared" si="60"/>
        <v>42834600</v>
      </c>
      <c r="N469" s="38">
        <f t="shared" si="64"/>
        <v>29911200</v>
      </c>
      <c r="O469" s="39" t="s">
        <v>741</v>
      </c>
      <c r="P469" s="107" t="s">
        <v>49</v>
      </c>
      <c r="Q469" s="40">
        <f t="shared" si="61"/>
        <v>29911200</v>
      </c>
      <c r="R469" s="40">
        <f>+'[1]D N 2'!AF491</f>
        <v>29911200</v>
      </c>
      <c r="S469" s="33">
        <f t="shared" si="62"/>
        <v>0</v>
      </c>
    </row>
    <row r="470" spans="1:19">
      <c r="A470" s="29">
        <f t="shared" si="63"/>
        <v>466</v>
      </c>
      <c r="B470" s="46" t="s">
        <v>1251</v>
      </c>
      <c r="C470" s="123" t="s">
        <v>1252</v>
      </c>
      <c r="D470" s="120" t="s">
        <v>1253</v>
      </c>
      <c r="E470" s="32">
        <v>43280</v>
      </c>
      <c r="F470" s="121">
        <f>78400000+1960000+716000+200000+68724000</f>
        <v>150000000</v>
      </c>
      <c r="G470" s="36">
        <f t="shared" si="53"/>
        <v>125800000</v>
      </c>
      <c r="H470" s="69">
        <v>1900000</v>
      </c>
      <c r="I470" s="69">
        <f t="shared" si="58"/>
        <v>1800000</v>
      </c>
      <c r="J470" s="122">
        <v>34</v>
      </c>
      <c r="K470" s="122">
        <v>34</v>
      </c>
      <c r="L470" s="36">
        <f t="shared" si="59"/>
        <v>3700000</v>
      </c>
      <c r="M470" s="37">
        <f t="shared" si="60"/>
        <v>125800000</v>
      </c>
      <c r="N470" s="38">
        <f t="shared" si="64"/>
        <v>150000000</v>
      </c>
      <c r="O470" s="39" t="s">
        <v>736</v>
      </c>
      <c r="P470" s="107" t="s">
        <v>49</v>
      </c>
      <c r="Q470" s="40">
        <f t="shared" si="61"/>
        <v>150000000</v>
      </c>
      <c r="R470" s="40">
        <f>+'[1]D N 2'!AF492</f>
        <v>150000000</v>
      </c>
      <c r="S470" s="33">
        <f t="shared" si="62"/>
        <v>0</v>
      </c>
    </row>
    <row r="471" spans="1:19">
      <c r="A471" s="29">
        <f t="shared" si="63"/>
        <v>467</v>
      </c>
      <c r="B471" s="46" t="s">
        <v>1254</v>
      </c>
      <c r="C471" s="123" t="s">
        <v>1255</v>
      </c>
      <c r="D471" s="123" t="s">
        <v>1256</v>
      </c>
      <c r="E471" s="32">
        <v>43284</v>
      </c>
      <c r="F471" s="121">
        <f>28275000+706875+356129+50000+200000+5411996</f>
        <v>35000000</v>
      </c>
      <c r="G471" s="36">
        <f t="shared" si="53"/>
        <v>50130000</v>
      </c>
      <c r="H471" s="69">
        <v>972500</v>
      </c>
      <c r="I471" s="69">
        <f t="shared" si="58"/>
        <v>420000</v>
      </c>
      <c r="J471" s="122">
        <v>36</v>
      </c>
      <c r="K471" s="122">
        <v>36</v>
      </c>
      <c r="L471" s="36">
        <f t="shared" si="59"/>
        <v>1392500</v>
      </c>
      <c r="M471" s="37">
        <f t="shared" si="60"/>
        <v>50130000</v>
      </c>
      <c r="N471" s="38">
        <f t="shared" si="64"/>
        <v>35000000</v>
      </c>
      <c r="O471" s="39" t="s">
        <v>285</v>
      </c>
      <c r="P471" s="107" t="s">
        <v>49</v>
      </c>
      <c r="Q471" s="40">
        <f t="shared" si="61"/>
        <v>35000000</v>
      </c>
      <c r="R471" s="40">
        <f>+'[1]D N 2'!AF493</f>
        <v>35000000</v>
      </c>
      <c r="S471" s="33">
        <f t="shared" si="62"/>
        <v>0</v>
      </c>
    </row>
    <row r="472" spans="1:19">
      <c r="A472" s="29">
        <f t="shared" si="63"/>
        <v>468</v>
      </c>
      <c r="B472" s="46" t="s">
        <v>828</v>
      </c>
      <c r="C472" s="120" t="s">
        <v>829</v>
      </c>
      <c r="D472" s="120" t="s">
        <v>1257</v>
      </c>
      <c r="E472" s="32">
        <v>43283</v>
      </c>
      <c r="F472" s="121">
        <f>9000000</f>
        <v>9000000</v>
      </c>
      <c r="G472" s="36">
        <f t="shared" si="53"/>
        <v>9000000</v>
      </c>
      <c r="H472" s="69">
        <f>+F472/J472</f>
        <v>250000</v>
      </c>
      <c r="I472" s="69">
        <v>0</v>
      </c>
      <c r="J472" s="122">
        <v>36</v>
      </c>
      <c r="K472" s="122">
        <v>36</v>
      </c>
      <c r="L472" s="36">
        <f t="shared" si="59"/>
        <v>250000</v>
      </c>
      <c r="M472" s="37">
        <f t="shared" si="60"/>
        <v>9000000</v>
      </c>
      <c r="N472" s="34">
        <f>+H472*K472</f>
        <v>9000000</v>
      </c>
      <c r="O472" s="39" t="s">
        <v>1258</v>
      </c>
      <c r="P472" s="107" t="s">
        <v>1259</v>
      </c>
      <c r="Q472" s="40">
        <f t="shared" si="61"/>
        <v>9000000</v>
      </c>
      <c r="R472" s="40">
        <f>+'[1]D N 2'!AF494</f>
        <v>9000000</v>
      </c>
      <c r="S472" s="33">
        <f t="shared" si="62"/>
        <v>0</v>
      </c>
    </row>
    <row r="473" spans="1:19">
      <c r="A473" s="29">
        <f t="shared" si="63"/>
        <v>469</v>
      </c>
      <c r="B473" s="46" t="s">
        <v>1260</v>
      </c>
      <c r="C473" s="120" t="s">
        <v>1261</v>
      </c>
      <c r="D473" s="120" t="s">
        <v>1262</v>
      </c>
      <c r="E473" s="32">
        <v>43283</v>
      </c>
      <c r="F473" s="121">
        <f>50825000+1270625+297097+341750+200000+32065528</f>
        <v>85000000</v>
      </c>
      <c r="G473" s="36">
        <f t="shared" si="53"/>
        <v>61722000</v>
      </c>
      <c r="H473" s="69">
        <v>694500</v>
      </c>
      <c r="I473" s="69">
        <f t="shared" ref="I473:I487" si="65">+F473*1.2%</f>
        <v>1020000</v>
      </c>
      <c r="J473" s="122">
        <v>36</v>
      </c>
      <c r="K473" s="122">
        <v>36</v>
      </c>
      <c r="L473" s="36">
        <f t="shared" si="59"/>
        <v>1714500</v>
      </c>
      <c r="M473" s="37">
        <f t="shared" si="60"/>
        <v>61722000</v>
      </c>
      <c r="N473" s="38">
        <f t="shared" ref="N473:N490" si="66">F473-(H473*0)</f>
        <v>85000000</v>
      </c>
      <c r="O473" s="39" t="s">
        <v>1263</v>
      </c>
      <c r="P473" s="107" t="s">
        <v>49</v>
      </c>
      <c r="Q473" s="40">
        <f t="shared" si="61"/>
        <v>85000000</v>
      </c>
      <c r="R473" s="40">
        <f>+'[1]D N 2'!AF495</f>
        <v>85000000</v>
      </c>
      <c r="S473" s="33">
        <f t="shared" si="62"/>
        <v>0</v>
      </c>
    </row>
    <row r="474" spans="1:19">
      <c r="A474" s="29">
        <f t="shared" si="63"/>
        <v>470</v>
      </c>
      <c r="B474" s="46" t="s">
        <v>1264</v>
      </c>
      <c r="C474" s="120" t="s">
        <v>1265</v>
      </c>
      <c r="D474" s="120" t="s">
        <v>1266</v>
      </c>
      <c r="E474" s="32">
        <v>43283</v>
      </c>
      <c r="F474" s="121">
        <f>151744100+400000+200000+40000000</f>
        <v>192344100</v>
      </c>
      <c r="G474" s="36">
        <f t="shared" si="53"/>
        <v>175000000</v>
      </c>
      <c r="H474" s="69">
        <v>191871</v>
      </c>
      <c r="I474" s="69">
        <v>2308129</v>
      </c>
      <c r="J474" s="122">
        <v>70</v>
      </c>
      <c r="K474" s="122">
        <v>70</v>
      </c>
      <c r="L474" s="36">
        <f t="shared" si="59"/>
        <v>2500000</v>
      </c>
      <c r="M474" s="37">
        <f t="shared" si="60"/>
        <v>175000000</v>
      </c>
      <c r="N474" s="38">
        <f t="shared" si="66"/>
        <v>192344100</v>
      </c>
      <c r="O474" s="39" t="s">
        <v>1267</v>
      </c>
      <c r="P474" s="107" t="s">
        <v>49</v>
      </c>
      <c r="Q474" s="40">
        <f t="shared" si="61"/>
        <v>192344100</v>
      </c>
      <c r="R474" s="40">
        <f>+'[1]D N 2'!AF496</f>
        <v>192344100</v>
      </c>
      <c r="S474" s="33">
        <f t="shared" si="62"/>
        <v>0</v>
      </c>
    </row>
    <row r="475" spans="1:19">
      <c r="A475" s="29">
        <f t="shared" si="63"/>
        <v>471</v>
      </c>
      <c r="B475" s="46" t="s">
        <v>421</v>
      </c>
      <c r="C475" s="123" t="s">
        <v>422</v>
      </c>
      <c r="D475" s="120" t="s">
        <v>1268</v>
      </c>
      <c r="E475" s="32">
        <v>43283</v>
      </c>
      <c r="F475" s="121">
        <f>917500+22938+10871+500000+200000+48348691</f>
        <v>50000000</v>
      </c>
      <c r="G475" s="36">
        <f t="shared" si="53"/>
        <v>26520000</v>
      </c>
      <c r="H475" s="69">
        <v>180000</v>
      </c>
      <c r="I475" s="69">
        <f t="shared" si="65"/>
        <v>600000</v>
      </c>
      <c r="J475" s="122">
        <v>34</v>
      </c>
      <c r="K475" s="122">
        <v>34</v>
      </c>
      <c r="L475" s="36">
        <f t="shared" si="59"/>
        <v>780000</v>
      </c>
      <c r="M475" s="37">
        <f t="shared" si="60"/>
        <v>26520000</v>
      </c>
      <c r="N475" s="38">
        <f t="shared" si="66"/>
        <v>50000000</v>
      </c>
      <c r="O475" s="39" t="s">
        <v>1269</v>
      </c>
      <c r="P475" s="107" t="s">
        <v>49</v>
      </c>
      <c r="Q475" s="40">
        <f t="shared" si="61"/>
        <v>50000000</v>
      </c>
      <c r="R475" s="40">
        <f>+'[1]D N 2'!AF497</f>
        <v>50000000</v>
      </c>
      <c r="S475" s="33">
        <f t="shared" si="62"/>
        <v>0</v>
      </c>
    </row>
    <row r="476" spans="1:19">
      <c r="A476" s="29">
        <f t="shared" si="63"/>
        <v>472</v>
      </c>
      <c r="B476" s="46" t="s">
        <v>1270</v>
      </c>
      <c r="C476" s="123" t="s">
        <v>1271</v>
      </c>
      <c r="D476" s="120" t="s">
        <v>1272</v>
      </c>
      <c r="E476" s="32">
        <v>43285</v>
      </c>
      <c r="F476" s="121">
        <f>700000+200000+99100000</f>
        <v>100000000</v>
      </c>
      <c r="G476" s="36">
        <f t="shared" si="53"/>
        <v>83214000</v>
      </c>
      <c r="H476" s="69">
        <v>1111500</v>
      </c>
      <c r="I476" s="69">
        <f t="shared" si="65"/>
        <v>1200000</v>
      </c>
      <c r="J476" s="122">
        <v>36</v>
      </c>
      <c r="K476" s="122">
        <v>36</v>
      </c>
      <c r="L476" s="36">
        <f t="shared" si="59"/>
        <v>2311500</v>
      </c>
      <c r="M476" s="37">
        <f t="shared" si="60"/>
        <v>83214000</v>
      </c>
      <c r="N476" s="38">
        <f t="shared" si="66"/>
        <v>100000000</v>
      </c>
      <c r="O476" s="39" t="s">
        <v>1273</v>
      </c>
      <c r="P476" s="107" t="s">
        <v>123</v>
      </c>
      <c r="Q476" s="40">
        <f t="shared" si="61"/>
        <v>100000000</v>
      </c>
      <c r="R476" s="40">
        <f>+'[1]D N 2'!AF498</f>
        <v>100000000</v>
      </c>
      <c r="S476" s="33">
        <f t="shared" si="62"/>
        <v>0</v>
      </c>
    </row>
    <row r="477" spans="1:19">
      <c r="A477" s="29">
        <f t="shared" si="63"/>
        <v>473</v>
      </c>
      <c r="B477" s="46" t="s">
        <v>1274</v>
      </c>
      <c r="C477" s="123" t="s">
        <v>1275</v>
      </c>
      <c r="D477" s="120" t="s">
        <v>1276</v>
      </c>
      <c r="E477" s="32">
        <v>43285</v>
      </c>
      <c r="F477" s="124">
        <f>200000+200000+49600000</f>
        <v>50000000</v>
      </c>
      <c r="G477" s="36">
        <f t="shared" si="53"/>
        <v>64401600</v>
      </c>
      <c r="H477" s="69">
        <v>2083400</v>
      </c>
      <c r="I477" s="69">
        <f t="shared" si="65"/>
        <v>600000</v>
      </c>
      <c r="J477" s="122">
        <v>24</v>
      </c>
      <c r="K477" s="122">
        <v>24</v>
      </c>
      <c r="L477" s="36">
        <f t="shared" si="59"/>
        <v>2683400</v>
      </c>
      <c r="M477" s="37">
        <f t="shared" si="60"/>
        <v>64401600</v>
      </c>
      <c r="N477" s="38">
        <f t="shared" si="66"/>
        <v>50000000</v>
      </c>
      <c r="O477" s="39" t="s">
        <v>1277</v>
      </c>
      <c r="P477" s="107" t="s">
        <v>157</v>
      </c>
      <c r="Q477" s="40">
        <f t="shared" si="61"/>
        <v>50000000</v>
      </c>
      <c r="R477" s="40">
        <f>+'[1]D N 2'!AF499</f>
        <v>50000000</v>
      </c>
      <c r="S477" s="33">
        <f t="shared" si="62"/>
        <v>0</v>
      </c>
    </row>
    <row r="478" spans="1:19">
      <c r="A478" s="29">
        <f t="shared" si="63"/>
        <v>474</v>
      </c>
      <c r="B478" s="46" t="s">
        <v>956</v>
      </c>
      <c r="C478" s="123" t="s">
        <v>957</v>
      </c>
      <c r="D478" s="120" t="s">
        <v>1278</v>
      </c>
      <c r="E478" s="32">
        <v>43285</v>
      </c>
      <c r="F478" s="121">
        <f>67277000+227230+200000+22295770</f>
        <v>90000000</v>
      </c>
      <c r="G478" s="36">
        <f t="shared" si="53"/>
        <v>83880000</v>
      </c>
      <c r="H478" s="69">
        <v>1250000</v>
      </c>
      <c r="I478" s="69">
        <f t="shared" si="65"/>
        <v>1080000</v>
      </c>
      <c r="J478" s="122">
        <v>36</v>
      </c>
      <c r="K478" s="122">
        <v>36</v>
      </c>
      <c r="L478" s="36">
        <f t="shared" si="59"/>
        <v>2330000</v>
      </c>
      <c r="M478" s="37">
        <f t="shared" si="60"/>
        <v>83880000</v>
      </c>
      <c r="N478" s="38">
        <f t="shared" si="66"/>
        <v>90000000</v>
      </c>
      <c r="O478" s="39" t="s">
        <v>1279</v>
      </c>
      <c r="P478" s="107" t="s">
        <v>123</v>
      </c>
      <c r="Q478" s="40">
        <f t="shared" si="61"/>
        <v>90000000</v>
      </c>
      <c r="R478" s="40">
        <f>+'[1]D N 2'!AF500</f>
        <v>90000000</v>
      </c>
      <c r="S478" s="33">
        <f t="shared" si="62"/>
        <v>0</v>
      </c>
    </row>
    <row r="479" spans="1:19">
      <c r="A479" s="29">
        <f t="shared" si="63"/>
        <v>475</v>
      </c>
      <c r="B479" s="46" t="s">
        <v>106</v>
      </c>
      <c r="C479" s="123" t="s">
        <v>107</v>
      </c>
      <c r="D479" s="120" t="s">
        <v>1280</v>
      </c>
      <c r="E479" s="32">
        <v>43285</v>
      </c>
      <c r="F479" s="121">
        <f>60000+5940000</f>
        <v>6000000</v>
      </c>
      <c r="G479" s="36">
        <f t="shared" si="53"/>
        <v>7299000</v>
      </c>
      <c r="H479" s="69">
        <v>333500</v>
      </c>
      <c r="I479" s="69">
        <f t="shared" si="65"/>
        <v>72000</v>
      </c>
      <c r="J479" s="122">
        <v>18</v>
      </c>
      <c r="K479" s="122">
        <v>18</v>
      </c>
      <c r="L479" s="36">
        <f t="shared" si="59"/>
        <v>405500</v>
      </c>
      <c r="M479" s="37">
        <f t="shared" si="60"/>
        <v>7299000</v>
      </c>
      <c r="N479" s="38">
        <f t="shared" si="66"/>
        <v>6000000</v>
      </c>
      <c r="O479" s="39" t="s">
        <v>1281</v>
      </c>
      <c r="P479" s="107" t="s">
        <v>123</v>
      </c>
      <c r="Q479" s="40">
        <f t="shared" si="61"/>
        <v>6000000</v>
      </c>
      <c r="R479" s="40">
        <f>+'[1]D N 2'!AF501</f>
        <v>6000000</v>
      </c>
      <c r="S479" s="33">
        <f t="shared" si="62"/>
        <v>0</v>
      </c>
    </row>
    <row r="480" spans="1:19">
      <c r="A480" s="29">
        <f t="shared" si="63"/>
        <v>476</v>
      </c>
      <c r="B480" s="125" t="s">
        <v>1282</v>
      </c>
      <c r="C480" s="123" t="s">
        <v>1283</v>
      </c>
      <c r="D480" s="120" t="s">
        <v>1284</v>
      </c>
      <c r="E480" s="32">
        <v>43290</v>
      </c>
      <c r="F480" s="121">
        <f>65600000+1640000+998710+200000+0</f>
        <v>68438710</v>
      </c>
      <c r="G480" s="36">
        <f t="shared" si="53"/>
        <v>34000000</v>
      </c>
      <c r="H480" s="69">
        <v>178735</v>
      </c>
      <c r="I480" s="69">
        <v>821265</v>
      </c>
      <c r="J480" s="122">
        <v>34</v>
      </c>
      <c r="K480" s="122">
        <v>34</v>
      </c>
      <c r="L480" s="36">
        <f t="shared" si="59"/>
        <v>1000000</v>
      </c>
      <c r="M480" s="37">
        <f t="shared" si="60"/>
        <v>34000000</v>
      </c>
      <c r="N480" s="38">
        <f t="shared" si="66"/>
        <v>68438710</v>
      </c>
      <c r="O480" s="39" t="s">
        <v>1285</v>
      </c>
      <c r="P480" s="107" t="s">
        <v>294</v>
      </c>
      <c r="Q480" s="40">
        <f t="shared" si="61"/>
        <v>68438710</v>
      </c>
      <c r="R480" s="40">
        <f>+'[1]D N 2'!AF502</f>
        <v>68438710</v>
      </c>
      <c r="S480" s="33">
        <f t="shared" si="62"/>
        <v>0</v>
      </c>
    </row>
    <row r="481" spans="1:19">
      <c r="A481" s="29">
        <f t="shared" si="63"/>
        <v>477</v>
      </c>
      <c r="B481" s="125" t="s">
        <v>1286</v>
      </c>
      <c r="C481" s="123" t="s">
        <v>1287</v>
      </c>
      <c r="D481" s="123" t="s">
        <v>1288</v>
      </c>
      <c r="E481" s="32">
        <v>43287</v>
      </c>
      <c r="F481" s="121">
        <f>22494000+562350+176516+100000+200000+16467134-20000000</f>
        <v>20000000</v>
      </c>
      <c r="G481" s="36">
        <f t="shared" si="53"/>
        <v>28647000</v>
      </c>
      <c r="H481" s="69">
        <v>555750</v>
      </c>
      <c r="I481" s="69">
        <f t="shared" si="65"/>
        <v>240000</v>
      </c>
      <c r="J481" s="122">
        <v>36</v>
      </c>
      <c r="K481" s="122">
        <v>36</v>
      </c>
      <c r="L481" s="36">
        <f t="shared" si="59"/>
        <v>795750</v>
      </c>
      <c r="M481" s="37">
        <f t="shared" si="60"/>
        <v>28647000</v>
      </c>
      <c r="N481" s="38">
        <f t="shared" si="66"/>
        <v>20000000</v>
      </c>
      <c r="O481" s="39" t="s">
        <v>1289</v>
      </c>
      <c r="P481" s="107" t="s">
        <v>49</v>
      </c>
      <c r="Q481" s="40">
        <f t="shared" si="61"/>
        <v>20000000</v>
      </c>
      <c r="R481" s="40">
        <f>+'[1]D N 2'!AF503</f>
        <v>20000000</v>
      </c>
      <c r="S481" s="33">
        <f t="shared" si="62"/>
        <v>0</v>
      </c>
    </row>
    <row r="482" spans="1:19">
      <c r="A482" s="29">
        <f t="shared" si="63"/>
        <v>478</v>
      </c>
      <c r="B482" s="125" t="s">
        <v>1286</v>
      </c>
      <c r="C482" s="123" t="s">
        <v>1287</v>
      </c>
      <c r="D482" s="123" t="s">
        <v>1288</v>
      </c>
      <c r="E482" s="32">
        <v>43287</v>
      </c>
      <c r="F482" s="121">
        <v>20000000</v>
      </c>
      <c r="G482" s="36">
        <f t="shared" si="53"/>
        <v>28647000</v>
      </c>
      <c r="H482" s="69">
        <v>555750</v>
      </c>
      <c r="I482" s="69">
        <f t="shared" si="65"/>
        <v>240000</v>
      </c>
      <c r="J482" s="122">
        <v>36</v>
      </c>
      <c r="K482" s="122">
        <v>36</v>
      </c>
      <c r="L482" s="36">
        <f t="shared" si="59"/>
        <v>795750</v>
      </c>
      <c r="M482" s="37">
        <f t="shared" si="60"/>
        <v>28647000</v>
      </c>
      <c r="N482" s="38">
        <f t="shared" si="66"/>
        <v>20000000</v>
      </c>
      <c r="O482" s="39" t="s">
        <v>1290</v>
      </c>
      <c r="P482" s="107" t="s">
        <v>49</v>
      </c>
      <c r="Q482" s="40">
        <f t="shared" si="61"/>
        <v>20000000</v>
      </c>
      <c r="R482" s="40">
        <f>+'[1]D N 2'!AF504</f>
        <v>20000000</v>
      </c>
      <c r="S482" s="33">
        <f t="shared" si="62"/>
        <v>0</v>
      </c>
    </row>
    <row r="483" spans="1:19">
      <c r="A483" s="29">
        <f t="shared" si="63"/>
        <v>479</v>
      </c>
      <c r="B483" s="46" t="s">
        <v>1083</v>
      </c>
      <c r="C483" s="123" t="s">
        <v>1084</v>
      </c>
      <c r="D483" s="123" t="s">
        <v>1291</v>
      </c>
      <c r="E483" s="32">
        <v>43291</v>
      </c>
      <c r="F483" s="121">
        <f>3000000</f>
        <v>3000000</v>
      </c>
      <c r="G483" s="36">
        <f t="shared" si="53"/>
        <v>3360000</v>
      </c>
      <c r="H483" s="69">
        <f t="shared" ref="H483" si="67">+F483/J483</f>
        <v>300000</v>
      </c>
      <c r="I483" s="69">
        <f t="shared" si="65"/>
        <v>36000</v>
      </c>
      <c r="J483" s="122">
        <v>10</v>
      </c>
      <c r="K483" s="122">
        <v>10</v>
      </c>
      <c r="L483" s="36">
        <f t="shared" si="59"/>
        <v>336000</v>
      </c>
      <c r="M483" s="37">
        <f t="shared" si="60"/>
        <v>3360000</v>
      </c>
      <c r="N483" s="34">
        <f>+H483*K483</f>
        <v>3000000</v>
      </c>
      <c r="O483" s="39" t="s">
        <v>791</v>
      </c>
      <c r="P483" s="107" t="s">
        <v>123</v>
      </c>
      <c r="Q483" s="40">
        <f t="shared" si="61"/>
        <v>3000000</v>
      </c>
      <c r="R483" s="40">
        <f>+'[1]D N 2'!AF505</f>
        <v>3000000</v>
      </c>
      <c r="S483" s="33">
        <f t="shared" si="62"/>
        <v>0</v>
      </c>
    </row>
    <row r="484" spans="1:19">
      <c r="A484" s="29">
        <f t="shared" si="63"/>
        <v>480</v>
      </c>
      <c r="B484" s="46" t="s">
        <v>1292</v>
      </c>
      <c r="C484" s="123" t="s">
        <v>1293</v>
      </c>
      <c r="D484" s="123" t="s">
        <v>1294</v>
      </c>
      <c r="E484" s="32">
        <v>43292</v>
      </c>
      <c r="F484" s="121">
        <f>826000+20650+352258+200000+200000+48401092-25000000</f>
        <v>25000000</v>
      </c>
      <c r="G484" s="36">
        <f t="shared" si="53"/>
        <v>12204000</v>
      </c>
      <c r="H484" s="69">
        <v>208500</v>
      </c>
      <c r="I484" s="69">
        <f t="shared" si="65"/>
        <v>300000</v>
      </c>
      <c r="J484" s="122">
        <v>24</v>
      </c>
      <c r="K484" s="122">
        <v>24</v>
      </c>
      <c r="L484" s="36">
        <f t="shared" si="59"/>
        <v>508500</v>
      </c>
      <c r="M484" s="37">
        <f t="shared" si="60"/>
        <v>12204000</v>
      </c>
      <c r="N484" s="38">
        <f t="shared" si="66"/>
        <v>25000000</v>
      </c>
      <c r="O484" s="39" t="s">
        <v>1295</v>
      </c>
      <c r="P484" s="107" t="s">
        <v>49</v>
      </c>
      <c r="Q484" s="40">
        <f t="shared" si="61"/>
        <v>25000000</v>
      </c>
      <c r="R484" s="40">
        <f>+'[1]D N 2'!AF506</f>
        <v>25000000</v>
      </c>
      <c r="S484" s="33">
        <f t="shared" si="62"/>
        <v>0</v>
      </c>
    </row>
    <row r="485" spans="1:19">
      <c r="A485" s="29">
        <f t="shared" si="63"/>
        <v>481</v>
      </c>
      <c r="B485" s="46" t="s">
        <v>1292</v>
      </c>
      <c r="C485" s="123" t="s">
        <v>1293</v>
      </c>
      <c r="D485" s="123" t="s">
        <v>1294</v>
      </c>
      <c r="E485" s="32">
        <v>43292</v>
      </c>
      <c r="F485" s="121">
        <v>25000000</v>
      </c>
      <c r="G485" s="36">
        <f t="shared" si="53"/>
        <v>12204000</v>
      </c>
      <c r="H485" s="69">
        <v>208500</v>
      </c>
      <c r="I485" s="69">
        <f t="shared" si="65"/>
        <v>300000</v>
      </c>
      <c r="J485" s="122">
        <v>24</v>
      </c>
      <c r="K485" s="122">
        <v>24</v>
      </c>
      <c r="L485" s="36">
        <f t="shared" si="59"/>
        <v>508500</v>
      </c>
      <c r="M485" s="37">
        <f t="shared" si="60"/>
        <v>12204000</v>
      </c>
      <c r="N485" s="38">
        <f t="shared" si="66"/>
        <v>25000000</v>
      </c>
      <c r="O485" s="39" t="s">
        <v>1295</v>
      </c>
      <c r="P485" s="107" t="s">
        <v>49</v>
      </c>
      <c r="Q485" s="40">
        <f t="shared" si="61"/>
        <v>25000000</v>
      </c>
      <c r="R485" s="40">
        <f>+'[1]D N 2'!AF507</f>
        <v>25000000</v>
      </c>
      <c r="S485" s="33">
        <f t="shared" si="62"/>
        <v>0</v>
      </c>
    </row>
    <row r="486" spans="1:19">
      <c r="A486" s="29">
        <f t="shared" si="63"/>
        <v>482</v>
      </c>
      <c r="B486" s="46" t="s">
        <v>1296</v>
      </c>
      <c r="C486" s="123" t="s">
        <v>1297</v>
      </c>
      <c r="D486" s="123" t="s">
        <v>1298</v>
      </c>
      <c r="E486" s="32">
        <v>43292</v>
      </c>
      <c r="F486" s="121">
        <f>25830000+3499156+1094494+733229+227699+200000+200000+18215422</f>
        <v>50000000</v>
      </c>
      <c r="G486" s="36">
        <f t="shared" si="53"/>
        <v>44030000</v>
      </c>
      <c r="H486" s="69">
        <v>695000</v>
      </c>
      <c r="I486" s="69">
        <f t="shared" si="65"/>
        <v>600000</v>
      </c>
      <c r="J486" s="122">
        <v>34</v>
      </c>
      <c r="K486" s="122">
        <v>34</v>
      </c>
      <c r="L486" s="36">
        <f t="shared" si="59"/>
        <v>1295000</v>
      </c>
      <c r="M486" s="37">
        <f t="shared" si="60"/>
        <v>44030000</v>
      </c>
      <c r="N486" s="38">
        <f t="shared" si="66"/>
        <v>50000000</v>
      </c>
      <c r="O486" s="39" t="s">
        <v>1299</v>
      </c>
      <c r="P486" s="107" t="s">
        <v>49</v>
      </c>
      <c r="Q486" s="40">
        <f t="shared" si="61"/>
        <v>50000000</v>
      </c>
      <c r="R486" s="40">
        <f>+'[1]D N 2'!AF508</f>
        <v>50000000</v>
      </c>
      <c r="S486" s="33">
        <f t="shared" si="62"/>
        <v>0</v>
      </c>
    </row>
    <row r="487" spans="1:19">
      <c r="A487" s="29">
        <f t="shared" si="63"/>
        <v>483</v>
      </c>
      <c r="B487" s="46" t="s">
        <v>1300</v>
      </c>
      <c r="C487" s="123" t="s">
        <v>1301</v>
      </c>
      <c r="D487" s="123" t="s">
        <v>1302</v>
      </c>
      <c r="E487" s="32">
        <v>43292</v>
      </c>
      <c r="F487" s="121">
        <f>29219247+730481+326521+200000+200000+19323751</f>
        <v>50000000</v>
      </c>
      <c r="G487" s="36">
        <f t="shared" si="53"/>
        <v>41601600</v>
      </c>
      <c r="H487" s="69">
        <v>555600</v>
      </c>
      <c r="I487" s="69">
        <f t="shared" si="65"/>
        <v>600000</v>
      </c>
      <c r="J487" s="122">
        <v>36</v>
      </c>
      <c r="K487" s="122">
        <v>36</v>
      </c>
      <c r="L487" s="36">
        <f t="shared" si="59"/>
        <v>1155600</v>
      </c>
      <c r="M487" s="37">
        <f t="shared" si="60"/>
        <v>41601600</v>
      </c>
      <c r="N487" s="38">
        <f t="shared" si="66"/>
        <v>50000000</v>
      </c>
      <c r="O487" s="39" t="s">
        <v>1303</v>
      </c>
      <c r="P487" s="107" t="s">
        <v>49</v>
      </c>
      <c r="Q487" s="40">
        <f t="shared" si="61"/>
        <v>50000000</v>
      </c>
      <c r="R487" s="40">
        <f>+'[1]D N 2'!AF509</f>
        <v>50000000</v>
      </c>
      <c r="S487" s="33">
        <f t="shared" si="62"/>
        <v>0</v>
      </c>
    </row>
    <row r="488" spans="1:19">
      <c r="A488" s="29">
        <f t="shared" si="63"/>
        <v>484</v>
      </c>
      <c r="B488" s="46" t="s">
        <v>1304</v>
      </c>
      <c r="C488" s="123" t="s">
        <v>1305</v>
      </c>
      <c r="D488" s="123" t="s">
        <v>1306</v>
      </c>
      <c r="E488" s="32">
        <v>43292</v>
      </c>
      <c r="F488" s="121">
        <f>67926955+1698174+635541+230000+200000+23000000-46845335</f>
        <v>46845335</v>
      </c>
      <c r="G488" s="36">
        <f t="shared" ref="G488:G541" si="68">+J488*L488</f>
        <v>40800000</v>
      </c>
      <c r="H488" s="69">
        <v>637856</v>
      </c>
      <c r="I488" s="69">
        <v>562144</v>
      </c>
      <c r="J488" s="122">
        <v>34</v>
      </c>
      <c r="K488" s="122">
        <v>34</v>
      </c>
      <c r="L488" s="36">
        <f t="shared" si="59"/>
        <v>1200000</v>
      </c>
      <c r="M488" s="37">
        <f t="shared" si="60"/>
        <v>40800000</v>
      </c>
      <c r="N488" s="38">
        <f t="shared" si="66"/>
        <v>46845335</v>
      </c>
      <c r="O488" s="39" t="s">
        <v>1307</v>
      </c>
      <c r="P488" s="107" t="s">
        <v>49</v>
      </c>
      <c r="Q488" s="40">
        <f t="shared" si="61"/>
        <v>46845335</v>
      </c>
      <c r="R488" s="40">
        <f>+'[1]D N 2'!AF510</f>
        <v>46845335</v>
      </c>
      <c r="S488" s="33">
        <f t="shared" si="62"/>
        <v>0</v>
      </c>
    </row>
    <row r="489" spans="1:19">
      <c r="A489" s="29">
        <f t="shared" si="63"/>
        <v>485</v>
      </c>
      <c r="B489" s="46" t="s">
        <v>1304</v>
      </c>
      <c r="C489" s="123" t="s">
        <v>1305</v>
      </c>
      <c r="D489" s="123" t="s">
        <v>1306</v>
      </c>
      <c r="E489" s="32">
        <v>43292</v>
      </c>
      <c r="F489" s="121">
        <v>46845335</v>
      </c>
      <c r="G489" s="36">
        <f t="shared" si="68"/>
        <v>40800000</v>
      </c>
      <c r="H489" s="69">
        <v>637856</v>
      </c>
      <c r="I489" s="69">
        <v>562144</v>
      </c>
      <c r="J489" s="122">
        <v>34</v>
      </c>
      <c r="K489" s="122">
        <v>34</v>
      </c>
      <c r="L489" s="36">
        <f t="shared" si="59"/>
        <v>1200000</v>
      </c>
      <c r="M489" s="37">
        <f t="shared" si="60"/>
        <v>40800000</v>
      </c>
      <c r="N489" s="38">
        <f t="shared" si="66"/>
        <v>46845335</v>
      </c>
      <c r="O489" s="39" t="s">
        <v>1307</v>
      </c>
      <c r="P489" s="107" t="s">
        <v>49</v>
      </c>
      <c r="Q489" s="40">
        <f t="shared" si="61"/>
        <v>46845335</v>
      </c>
      <c r="R489" s="40">
        <f>+'[1]D N 2'!AF511</f>
        <v>46845335</v>
      </c>
      <c r="S489" s="33">
        <f t="shared" si="62"/>
        <v>0</v>
      </c>
    </row>
    <row r="490" spans="1:19">
      <c r="A490" s="29">
        <f t="shared" si="63"/>
        <v>486</v>
      </c>
      <c r="B490" s="46" t="s">
        <v>1308</v>
      </c>
      <c r="C490" s="123" t="s">
        <v>1309</v>
      </c>
      <c r="D490" s="123" t="s">
        <v>1310</v>
      </c>
      <c r="E490" s="32">
        <v>43291</v>
      </c>
      <c r="F490" s="121">
        <f>20451072+511277+249668+14511+200000+11000000</f>
        <v>32426528</v>
      </c>
      <c r="G490" s="36">
        <f t="shared" si="68"/>
        <v>26115000</v>
      </c>
      <c r="H490" s="69">
        <v>481382</v>
      </c>
      <c r="I490" s="69">
        <v>389118</v>
      </c>
      <c r="J490" s="122">
        <v>30</v>
      </c>
      <c r="K490" s="122">
        <v>30</v>
      </c>
      <c r="L490" s="36">
        <f t="shared" si="59"/>
        <v>870500</v>
      </c>
      <c r="M490" s="37">
        <f t="shared" si="60"/>
        <v>26115000</v>
      </c>
      <c r="N490" s="38">
        <f t="shared" si="66"/>
        <v>32426528</v>
      </c>
      <c r="O490" s="39" t="s">
        <v>1311</v>
      </c>
      <c r="P490" s="107" t="s">
        <v>49</v>
      </c>
      <c r="Q490" s="40">
        <f t="shared" si="61"/>
        <v>32426528</v>
      </c>
      <c r="R490" s="40">
        <f>+'[1]D N 2'!AF512</f>
        <v>32426528</v>
      </c>
      <c r="S490" s="33">
        <f t="shared" si="62"/>
        <v>0</v>
      </c>
    </row>
    <row r="491" spans="1:19">
      <c r="A491" s="29"/>
      <c r="B491" s="126"/>
      <c r="C491" s="127"/>
      <c r="D491" s="105"/>
      <c r="E491" s="105"/>
      <c r="F491" s="47"/>
      <c r="G491" s="47"/>
      <c r="H491" s="33"/>
      <c r="I491" s="47"/>
      <c r="J491" s="29"/>
      <c r="K491" s="29"/>
      <c r="L491" s="128"/>
      <c r="M491" s="47"/>
      <c r="N491" s="33"/>
      <c r="O491" s="129"/>
      <c r="P491" s="130"/>
      <c r="Q491" s="30"/>
      <c r="R491" s="30"/>
      <c r="S491" s="30"/>
    </row>
    <row r="492" spans="1:19">
      <c r="A492" s="30"/>
      <c r="B492" s="131" t="s">
        <v>7</v>
      </c>
      <c r="C492" s="29"/>
      <c r="D492" s="90"/>
      <c r="E492" s="90"/>
      <c r="F492" s="47">
        <f>SUM(F5:F491)</f>
        <v>33749070272</v>
      </c>
      <c r="G492" s="47">
        <f t="shared" ref="G492:N492" si="69">SUM(G5:G491)</f>
        <v>29219939680</v>
      </c>
      <c r="H492" s="47">
        <f t="shared" si="69"/>
        <v>401202834</v>
      </c>
      <c r="I492" s="47">
        <f t="shared" si="69"/>
        <v>400204598</v>
      </c>
      <c r="J492" s="47">
        <f t="shared" si="69"/>
        <v>16625</v>
      </c>
      <c r="K492" s="47">
        <f t="shared" si="69"/>
        <v>12392</v>
      </c>
      <c r="L492" s="47">
        <f t="shared" si="69"/>
        <v>801407432</v>
      </c>
      <c r="M492" s="47">
        <f t="shared" si="69"/>
        <v>21970677504</v>
      </c>
      <c r="N492" s="47">
        <f t="shared" si="69"/>
        <v>24622314153</v>
      </c>
      <c r="O492" s="47"/>
      <c r="P492" s="47"/>
      <c r="Q492" s="47">
        <f t="shared" ref="Q492:S492" si="70">SUM(Q5:Q491)</f>
        <v>24622314153</v>
      </c>
      <c r="R492" s="47">
        <f t="shared" si="70"/>
        <v>24622314153</v>
      </c>
      <c r="S492" s="47">
        <f t="shared" si="70"/>
        <v>0</v>
      </c>
    </row>
    <row r="493" spans="1:19">
      <c r="L493" s="136">
        <v>856598325</v>
      </c>
      <c r="M493" s="14"/>
      <c r="N493" s="14"/>
      <c r="O493" s="14"/>
      <c r="P493" s="14"/>
    </row>
    <row r="494" spans="1:19">
      <c r="L494" s="136">
        <f>856598325-L493</f>
        <v>0</v>
      </c>
      <c r="M494" s="14"/>
      <c r="N494" s="14"/>
      <c r="O494" s="14"/>
      <c r="P494" s="14"/>
    </row>
    <row r="495" spans="1:19" ht="20.25">
      <c r="A495" s="15" t="s">
        <v>1312</v>
      </c>
      <c r="B495" s="2"/>
      <c r="C495" s="3"/>
      <c r="D495" s="4"/>
      <c r="E495" s="4"/>
      <c r="F495" s="9"/>
      <c r="G495" s="3"/>
      <c r="I495" s="135"/>
      <c r="J495" s="135"/>
      <c r="L495" s="137">
        <v>876012262</v>
      </c>
      <c r="M495" s="14"/>
      <c r="N495" s="14"/>
      <c r="O495" s="14"/>
      <c r="P495" s="14"/>
    </row>
    <row r="496" spans="1:19">
      <c r="A496" s="138" t="s">
        <v>2</v>
      </c>
      <c r="B496" s="138" t="s">
        <v>3</v>
      </c>
      <c r="C496" s="138" t="s">
        <v>4</v>
      </c>
      <c r="D496" s="18" t="s">
        <v>2</v>
      </c>
      <c r="E496" s="139" t="s">
        <v>5</v>
      </c>
      <c r="F496" s="140" t="s">
        <v>1313</v>
      </c>
      <c r="G496" s="140" t="s">
        <v>1314</v>
      </c>
      <c r="H496" s="140" t="s">
        <v>1315</v>
      </c>
      <c r="I496" s="141" t="s">
        <v>1316</v>
      </c>
      <c r="J496" s="142"/>
      <c r="K496" s="3"/>
      <c r="L496" s="10"/>
      <c r="M496" s="2"/>
      <c r="N496" s="2"/>
      <c r="O496" s="2"/>
      <c r="P496" s="2"/>
    </row>
    <row r="497" spans="1:19">
      <c r="A497" s="143"/>
      <c r="B497" s="143"/>
      <c r="C497" s="143"/>
      <c r="D497" s="23" t="s">
        <v>17</v>
      </c>
      <c r="E497" s="144" t="s">
        <v>18</v>
      </c>
      <c r="F497" s="145"/>
      <c r="G497" s="145"/>
      <c r="H497" s="145"/>
      <c r="I497" s="146"/>
      <c r="J497" s="142"/>
      <c r="K497" s="3"/>
      <c r="L497" s="10"/>
      <c r="M497" s="2"/>
      <c r="N497" s="2"/>
      <c r="O497" s="2"/>
      <c r="P497" s="2"/>
    </row>
    <row r="498" spans="1:19">
      <c r="A498" s="29">
        <v>1</v>
      </c>
      <c r="B498" s="30" t="s">
        <v>110</v>
      </c>
      <c r="C498" s="31" t="s">
        <v>111</v>
      </c>
      <c r="D498" s="147"/>
      <c r="E498" s="147">
        <v>41705</v>
      </c>
      <c r="F498" s="33">
        <v>15000000</v>
      </c>
      <c r="G498" s="47">
        <v>2500000</v>
      </c>
      <c r="H498" s="33">
        <v>5000000</v>
      </c>
      <c r="I498" s="29"/>
      <c r="J498" s="3"/>
      <c r="K498" s="3"/>
      <c r="L498" s="10"/>
      <c r="M498" s="3"/>
      <c r="N498" s="2"/>
      <c r="O498" s="2"/>
      <c r="P498" s="2"/>
      <c r="Q498" s="2"/>
      <c r="R498" s="2"/>
      <c r="S498" s="2"/>
    </row>
    <row r="499" spans="1:19">
      <c r="A499" s="29">
        <f>+A498+1</f>
        <v>2</v>
      </c>
      <c r="B499" s="33" t="s">
        <v>1317</v>
      </c>
      <c r="C499" s="84" t="s">
        <v>1318</v>
      </c>
      <c r="D499" s="32"/>
      <c r="E499" s="32">
        <v>42139</v>
      </c>
      <c r="F499" s="62">
        <v>10000000</v>
      </c>
      <c r="G499" s="70">
        <v>0</v>
      </c>
      <c r="H499" s="33">
        <v>3000000</v>
      </c>
      <c r="I499" s="148"/>
      <c r="J499" s="149"/>
      <c r="K499" s="3"/>
      <c r="L499" s="10"/>
      <c r="M499" s="149"/>
      <c r="N499" s="11"/>
      <c r="O499" s="12"/>
      <c r="P499" s="13"/>
      <c r="Q499" s="2"/>
      <c r="R499" s="2"/>
      <c r="S499" s="2"/>
    </row>
    <row r="500" spans="1:19">
      <c r="A500" s="29">
        <f t="shared" ref="A500:A563" si="71">+A499+1</f>
        <v>3</v>
      </c>
      <c r="B500" s="30" t="s">
        <v>232</v>
      </c>
      <c r="C500" s="31" t="s">
        <v>233</v>
      </c>
      <c r="D500" s="32"/>
      <c r="E500" s="32">
        <v>41982</v>
      </c>
      <c r="F500" s="33">
        <v>10000000</v>
      </c>
      <c r="G500" s="62">
        <v>0</v>
      </c>
      <c r="H500" s="33">
        <v>0</v>
      </c>
      <c r="I500" s="29"/>
      <c r="J500" s="3"/>
      <c r="K500" s="2"/>
      <c r="L500" s="2"/>
      <c r="M500" s="3"/>
      <c r="N500" s="2"/>
      <c r="O500" s="2"/>
      <c r="P500" s="2"/>
      <c r="Q500" s="2"/>
      <c r="R500" s="2"/>
      <c r="S500" s="2"/>
    </row>
    <row r="501" spans="1:19">
      <c r="A501" s="29">
        <f t="shared" si="71"/>
        <v>4</v>
      </c>
      <c r="B501" s="33" t="s">
        <v>1319</v>
      </c>
      <c r="C501" s="84" t="s">
        <v>1320</v>
      </c>
      <c r="D501" s="32"/>
      <c r="E501" s="32">
        <v>41907</v>
      </c>
      <c r="F501" s="33">
        <v>10000000</v>
      </c>
      <c r="G501" s="62">
        <v>0</v>
      </c>
      <c r="H501" s="33">
        <v>0</v>
      </c>
      <c r="I501" s="29"/>
      <c r="J501" s="3"/>
      <c r="K501" s="2"/>
      <c r="L501" s="2"/>
      <c r="M501" s="3"/>
      <c r="N501" s="2"/>
      <c r="O501" s="2"/>
      <c r="P501" s="2"/>
      <c r="Q501" s="2"/>
      <c r="R501" s="2"/>
      <c r="S501" s="2"/>
    </row>
    <row r="502" spans="1:19">
      <c r="A502" s="29">
        <f t="shared" si="71"/>
        <v>5</v>
      </c>
      <c r="B502" s="30" t="s">
        <v>359</v>
      </c>
      <c r="C502" s="31" t="s">
        <v>360</v>
      </c>
      <c r="D502" s="105"/>
      <c r="E502" s="105">
        <v>41473</v>
      </c>
      <c r="F502" s="33">
        <f>20000000</f>
        <v>20000000</v>
      </c>
      <c r="G502" s="33">
        <f>2500000</f>
        <v>2500000</v>
      </c>
      <c r="H502" s="33">
        <f>2500000</f>
        <v>2500000</v>
      </c>
      <c r="I502" s="29"/>
      <c r="J502" s="3"/>
      <c r="K502" s="2"/>
      <c r="L502" s="2"/>
      <c r="M502" s="3"/>
      <c r="N502" s="2"/>
      <c r="O502" s="2"/>
      <c r="P502" s="2"/>
      <c r="Q502" s="2"/>
      <c r="R502" s="2"/>
      <c r="S502" s="2"/>
    </row>
    <row r="503" spans="1:19">
      <c r="A503" s="29">
        <f t="shared" si="71"/>
        <v>6</v>
      </c>
      <c r="B503" s="30" t="s">
        <v>1321</v>
      </c>
      <c r="C503" s="31" t="s">
        <v>1322</v>
      </c>
      <c r="D503" s="32"/>
      <c r="E503" s="32">
        <v>42248</v>
      </c>
      <c r="F503" s="33">
        <v>50000000</v>
      </c>
      <c r="G503" s="33">
        <v>0</v>
      </c>
      <c r="H503" s="33">
        <v>0</v>
      </c>
      <c r="I503" s="31" t="s">
        <v>1323</v>
      </c>
      <c r="J503" s="150"/>
      <c r="K503" s="3"/>
      <c r="L503" s="10"/>
      <c r="M503" s="151"/>
      <c r="N503" s="152"/>
      <c r="O503" s="152"/>
      <c r="P503" s="13"/>
      <c r="Q503" s="2"/>
      <c r="R503" s="2"/>
      <c r="S503" s="2"/>
    </row>
    <row r="504" spans="1:19">
      <c r="A504" s="29">
        <f t="shared" si="71"/>
        <v>7</v>
      </c>
      <c r="B504" s="33" t="s">
        <v>374</v>
      </c>
      <c r="C504" s="84" t="s">
        <v>375</v>
      </c>
      <c r="D504" s="32"/>
      <c r="E504" s="32">
        <v>41907</v>
      </c>
      <c r="F504" s="33">
        <v>40000000</v>
      </c>
      <c r="G504" s="47">
        <v>5000000</v>
      </c>
      <c r="H504" s="33">
        <v>5000000</v>
      </c>
      <c r="I504" s="29"/>
      <c r="J504" s="3"/>
      <c r="K504" s="2"/>
      <c r="L504" s="2"/>
      <c r="M504" s="3"/>
      <c r="N504" s="2"/>
      <c r="O504" s="2"/>
      <c r="P504" s="2"/>
      <c r="Q504" s="2"/>
      <c r="R504" s="2"/>
      <c r="S504" s="2"/>
    </row>
    <row r="505" spans="1:19">
      <c r="A505" s="29">
        <f t="shared" si="71"/>
        <v>8</v>
      </c>
      <c r="B505" s="30" t="s">
        <v>404</v>
      </c>
      <c r="C505" s="31">
        <v>901781</v>
      </c>
      <c r="D505" s="82"/>
      <c r="E505" s="82">
        <v>41586</v>
      </c>
      <c r="F505" s="33">
        <v>1000000</v>
      </c>
      <c r="G505" s="47">
        <v>1000000</v>
      </c>
      <c r="H505" s="33">
        <v>1000000</v>
      </c>
      <c r="I505" s="29"/>
      <c r="J505" s="3"/>
      <c r="K505" s="2"/>
      <c r="L505" s="2"/>
      <c r="M505" s="3"/>
      <c r="N505" s="2"/>
      <c r="O505" s="2"/>
      <c r="P505" s="2"/>
      <c r="Q505" s="2"/>
      <c r="R505" s="2"/>
      <c r="S505" s="2"/>
    </row>
    <row r="506" spans="1:19">
      <c r="A506" s="29">
        <f t="shared" si="71"/>
        <v>9</v>
      </c>
      <c r="B506" s="33" t="s">
        <v>421</v>
      </c>
      <c r="C506" s="84" t="s">
        <v>422</v>
      </c>
      <c r="D506" s="32"/>
      <c r="E506" s="32">
        <v>42150</v>
      </c>
      <c r="F506" s="62">
        <v>15000000</v>
      </c>
      <c r="G506" s="153">
        <v>0</v>
      </c>
      <c r="H506" s="70">
        <v>0</v>
      </c>
      <c r="I506" s="29"/>
      <c r="J506" s="3"/>
      <c r="K506" s="154"/>
      <c r="L506" s="3"/>
      <c r="M506" s="3"/>
      <c r="N506" s="11"/>
      <c r="O506" s="12"/>
      <c r="P506" s="13"/>
      <c r="Q506" s="2"/>
      <c r="R506" s="2"/>
      <c r="S506" s="2"/>
    </row>
    <row r="507" spans="1:19">
      <c r="A507" s="29">
        <f t="shared" si="71"/>
        <v>10</v>
      </c>
      <c r="B507" s="33" t="s">
        <v>1324</v>
      </c>
      <c r="C507" s="84" t="s">
        <v>1325</v>
      </c>
      <c r="D507" s="32"/>
      <c r="E507" s="32">
        <v>42153</v>
      </c>
      <c r="F507" s="62">
        <v>5000000</v>
      </c>
      <c r="G507" s="70">
        <v>0</v>
      </c>
      <c r="H507" s="33">
        <v>0</v>
      </c>
      <c r="I507" s="84" t="s">
        <v>1326</v>
      </c>
      <c r="J507" s="155"/>
      <c r="K507" s="154"/>
      <c r="L507" s="3"/>
      <c r="M507" s="155"/>
      <c r="N507" s="156"/>
      <c r="O507" s="12"/>
      <c r="P507" s="13"/>
      <c r="Q507" s="2"/>
      <c r="R507" s="2"/>
      <c r="S507" s="2"/>
    </row>
    <row r="508" spans="1:19">
      <c r="A508" s="29">
        <f t="shared" si="71"/>
        <v>11</v>
      </c>
      <c r="B508" s="33" t="s">
        <v>1324</v>
      </c>
      <c r="C508" s="84" t="s">
        <v>1325</v>
      </c>
      <c r="D508" s="32"/>
      <c r="E508" s="32">
        <v>42153</v>
      </c>
      <c r="F508" s="62">
        <v>5000000</v>
      </c>
      <c r="G508" s="70"/>
      <c r="H508" s="33"/>
      <c r="I508" s="84" t="s">
        <v>1327</v>
      </c>
      <c r="J508" s="155"/>
      <c r="K508" s="154"/>
      <c r="L508" s="3"/>
      <c r="M508" s="155"/>
      <c r="N508" s="156"/>
      <c r="O508" s="12"/>
      <c r="P508" s="13"/>
      <c r="Q508" s="2"/>
      <c r="R508" s="2"/>
      <c r="S508" s="2"/>
    </row>
    <row r="509" spans="1:19">
      <c r="A509" s="29">
        <f t="shared" si="71"/>
        <v>12</v>
      </c>
      <c r="B509" s="30" t="s">
        <v>1328</v>
      </c>
      <c r="C509" s="31" t="s">
        <v>1329</v>
      </c>
      <c r="D509" s="32"/>
      <c r="E509" s="32">
        <v>42186</v>
      </c>
      <c r="F509" s="62">
        <v>7500000</v>
      </c>
      <c r="G509" s="70">
        <v>0</v>
      </c>
      <c r="H509" s="33">
        <v>0</v>
      </c>
      <c r="I509" s="84" t="s">
        <v>1330</v>
      </c>
      <c r="J509" s="155"/>
      <c r="K509" s="154"/>
      <c r="L509" s="156"/>
      <c r="M509" s="155"/>
      <c r="N509" s="11"/>
      <c r="O509" s="12"/>
      <c r="P509" s="13"/>
      <c r="Q509" s="2"/>
      <c r="R509" s="2"/>
      <c r="S509" s="2"/>
    </row>
    <row r="510" spans="1:19">
      <c r="A510" s="29">
        <f t="shared" si="71"/>
        <v>13</v>
      </c>
      <c r="B510" s="30" t="s">
        <v>1328</v>
      </c>
      <c r="C510" s="31" t="s">
        <v>1329</v>
      </c>
      <c r="D510" s="32"/>
      <c r="E510" s="32">
        <v>42186</v>
      </c>
      <c r="F510" s="62">
        <v>7500000</v>
      </c>
      <c r="G510" s="70">
        <v>0</v>
      </c>
      <c r="H510" s="33">
        <v>0</v>
      </c>
      <c r="I510" s="84" t="s">
        <v>1330</v>
      </c>
      <c r="J510" s="155"/>
      <c r="K510" s="154"/>
      <c r="L510" s="156"/>
      <c r="M510" s="155"/>
      <c r="N510" s="11"/>
      <c r="O510" s="12"/>
      <c r="P510" s="13"/>
      <c r="Q510" s="2"/>
      <c r="R510" s="2"/>
      <c r="S510" s="2"/>
    </row>
    <row r="511" spans="1:19">
      <c r="A511" s="29">
        <f t="shared" si="71"/>
        <v>14</v>
      </c>
      <c r="B511" s="33" t="s">
        <v>1331</v>
      </c>
      <c r="C511" s="84" t="s">
        <v>1332</v>
      </c>
      <c r="D511" s="32"/>
      <c r="E511" s="32">
        <v>42152</v>
      </c>
      <c r="F511" s="62">
        <v>10000000</v>
      </c>
      <c r="G511" s="70">
        <v>0</v>
      </c>
      <c r="H511" s="33">
        <v>0</v>
      </c>
      <c r="I511" s="84" t="s">
        <v>1333</v>
      </c>
      <c r="J511" s="155"/>
      <c r="K511" s="154"/>
      <c r="L511" s="3"/>
      <c r="M511" s="155"/>
      <c r="N511" s="11"/>
      <c r="O511" s="12"/>
      <c r="P511" s="13"/>
      <c r="Q511" s="2"/>
      <c r="R511" s="2"/>
      <c r="S511" s="2"/>
    </row>
    <row r="512" spans="1:19">
      <c r="A512" s="29">
        <f t="shared" si="71"/>
        <v>15</v>
      </c>
      <c r="B512" s="30" t="s">
        <v>1334</v>
      </c>
      <c r="C512" s="31" t="s">
        <v>1335</v>
      </c>
      <c r="D512" s="32"/>
      <c r="E512" s="32">
        <v>42209</v>
      </c>
      <c r="F512" s="62">
        <f>10000000</f>
        <v>10000000</v>
      </c>
      <c r="G512" s="70">
        <f>10000000</f>
        <v>10000000</v>
      </c>
      <c r="H512" s="70">
        <f>10000000</f>
        <v>10000000</v>
      </c>
      <c r="I512" s="29"/>
      <c r="J512" s="3"/>
      <c r="K512" s="154"/>
      <c r="L512" s="3"/>
      <c r="M512" s="3"/>
      <c r="N512" s="156"/>
      <c r="O512" s="156"/>
      <c r="P512" s="13"/>
      <c r="Q512" s="2"/>
      <c r="R512" s="2"/>
      <c r="S512" s="2"/>
    </row>
    <row r="513" spans="1:19">
      <c r="A513" s="29">
        <f t="shared" si="71"/>
        <v>16</v>
      </c>
      <c r="B513" s="30" t="s">
        <v>1336</v>
      </c>
      <c r="C513" s="31" t="s">
        <v>1337</v>
      </c>
      <c r="D513" s="32"/>
      <c r="E513" s="32">
        <v>42284</v>
      </c>
      <c r="F513" s="33">
        <v>25000000</v>
      </c>
      <c r="G513" s="33">
        <v>0</v>
      </c>
      <c r="H513" s="33">
        <v>0</v>
      </c>
      <c r="I513" s="148"/>
      <c r="J513" s="149"/>
      <c r="K513" s="3"/>
      <c r="L513" s="10"/>
      <c r="M513" s="149"/>
      <c r="N513" s="11"/>
      <c r="O513" s="12"/>
      <c r="P513" s="13"/>
      <c r="Q513" s="2"/>
      <c r="R513" s="2"/>
      <c r="S513" s="2"/>
    </row>
    <row r="514" spans="1:19">
      <c r="A514" s="29">
        <f t="shared" si="71"/>
        <v>17</v>
      </c>
      <c r="B514" s="30" t="s">
        <v>718</v>
      </c>
      <c r="C514" s="31">
        <v>921578</v>
      </c>
      <c r="D514" s="105"/>
      <c r="E514" s="105">
        <v>41213</v>
      </c>
      <c r="F514" s="33">
        <v>5000000</v>
      </c>
      <c r="G514" s="33">
        <v>0</v>
      </c>
      <c r="H514" s="33">
        <v>0</v>
      </c>
      <c r="I514" s="29"/>
      <c r="J514" s="3"/>
      <c r="K514" s="150"/>
      <c r="L514" s="2"/>
      <c r="M514" s="3"/>
      <c r="N514" s="2"/>
      <c r="O514" s="2"/>
      <c r="P514" s="2"/>
      <c r="Q514" s="2"/>
      <c r="R514" s="2"/>
      <c r="S514" s="2"/>
    </row>
    <row r="515" spans="1:19">
      <c r="A515" s="29">
        <f t="shared" si="71"/>
        <v>18</v>
      </c>
      <c r="B515" s="30" t="s">
        <v>1338</v>
      </c>
      <c r="C515" s="31" t="s">
        <v>1339</v>
      </c>
      <c r="D515" s="32"/>
      <c r="E515" s="32">
        <v>42244</v>
      </c>
      <c r="F515" s="33">
        <v>10000000</v>
      </c>
      <c r="G515" s="33">
        <v>3000000</v>
      </c>
      <c r="H515" s="33">
        <v>2000000</v>
      </c>
      <c r="I515" s="31" t="s">
        <v>1340</v>
      </c>
      <c r="J515" s="150"/>
      <c r="K515" s="2"/>
      <c r="L515" s="152"/>
      <c r="M515" s="151"/>
      <c r="N515" s="157"/>
      <c r="O515" s="12"/>
      <c r="P515" s="13"/>
      <c r="Q515" s="2"/>
      <c r="R515" s="2"/>
      <c r="S515" s="2"/>
    </row>
    <row r="516" spans="1:19">
      <c r="A516" s="29">
        <f t="shared" si="71"/>
        <v>19</v>
      </c>
      <c r="B516" s="30" t="s">
        <v>806</v>
      </c>
      <c r="C516" s="31">
        <v>960616</v>
      </c>
      <c r="D516" s="105"/>
      <c r="E516" s="105">
        <v>41213</v>
      </c>
      <c r="F516" s="33">
        <v>0</v>
      </c>
      <c r="G516" s="33">
        <v>1500000</v>
      </c>
      <c r="H516" s="33">
        <v>1000000</v>
      </c>
      <c r="I516" s="29"/>
      <c r="J516" s="3"/>
      <c r="K516" s="150"/>
      <c r="L516" s="2"/>
      <c r="M516" s="3"/>
      <c r="N516" s="2"/>
      <c r="O516" s="2"/>
      <c r="P516" s="2"/>
      <c r="Q516" s="2"/>
      <c r="R516" s="2"/>
      <c r="S516" s="2"/>
    </row>
    <row r="517" spans="1:19">
      <c r="A517" s="29">
        <f t="shared" si="71"/>
        <v>20</v>
      </c>
      <c r="B517" s="30" t="s">
        <v>824</v>
      </c>
      <c r="C517" s="31" t="s">
        <v>825</v>
      </c>
      <c r="D517" s="90"/>
      <c r="E517" s="90">
        <v>41878</v>
      </c>
      <c r="F517" s="33">
        <v>20000000</v>
      </c>
      <c r="G517" s="47">
        <v>5000000</v>
      </c>
      <c r="H517" s="33">
        <v>5000000</v>
      </c>
      <c r="I517" s="29"/>
      <c r="J517" s="3"/>
      <c r="K517" s="150"/>
      <c r="L517" s="2"/>
      <c r="M517" s="3"/>
      <c r="N517" s="2"/>
      <c r="O517" s="2"/>
      <c r="P517" s="2"/>
      <c r="Q517" s="2"/>
      <c r="R517" s="2"/>
      <c r="S517" s="2"/>
    </row>
    <row r="518" spans="1:19">
      <c r="A518" s="29">
        <f t="shared" si="71"/>
        <v>21</v>
      </c>
      <c r="B518" s="30" t="s">
        <v>1341</v>
      </c>
      <c r="C518" s="31" t="s">
        <v>1229</v>
      </c>
      <c r="D518" s="32"/>
      <c r="E518" s="32">
        <v>42257</v>
      </c>
      <c r="F518" s="33">
        <v>13000000</v>
      </c>
      <c r="G518" s="33">
        <v>5000000</v>
      </c>
      <c r="H518" s="33">
        <v>5000000</v>
      </c>
      <c r="I518" s="29"/>
      <c r="J518" s="3"/>
      <c r="K518" s="3"/>
      <c r="L518" s="10"/>
      <c r="M518" s="158"/>
      <c r="N518" s="152"/>
      <c r="O518" s="152"/>
      <c r="P518" s="13"/>
      <c r="Q518" s="2"/>
      <c r="R518" s="2"/>
      <c r="S518" s="2"/>
    </row>
    <row r="519" spans="1:19">
      <c r="A519" s="29">
        <f t="shared" si="71"/>
        <v>22</v>
      </c>
      <c r="B519" s="33" t="s">
        <v>1342</v>
      </c>
      <c r="C519" s="84" t="s">
        <v>1343</v>
      </c>
      <c r="D519" s="32"/>
      <c r="E519" s="32">
        <v>42152</v>
      </c>
      <c r="F519" s="62">
        <v>10000000</v>
      </c>
      <c r="G519" s="70">
        <v>3000000</v>
      </c>
      <c r="H519" s="33">
        <v>4000000</v>
      </c>
      <c r="I519" s="29"/>
      <c r="J519" s="3"/>
      <c r="K519" s="159"/>
      <c r="L519" s="3"/>
      <c r="M519" s="3"/>
      <c r="N519" s="11"/>
      <c r="O519" s="12"/>
      <c r="P519" s="13"/>
      <c r="Q519" s="2"/>
      <c r="R519" s="2"/>
      <c r="S519" s="2"/>
    </row>
    <row r="520" spans="1:19">
      <c r="A520" s="29">
        <f t="shared" si="71"/>
        <v>23</v>
      </c>
      <c r="B520" s="30" t="s">
        <v>1344</v>
      </c>
      <c r="C520" s="31" t="s">
        <v>1345</v>
      </c>
      <c r="D520" s="32"/>
      <c r="E520" s="32">
        <v>42213</v>
      </c>
      <c r="F520" s="62">
        <v>12000000</v>
      </c>
      <c r="G520" s="70">
        <v>0</v>
      </c>
      <c r="H520" s="33">
        <v>0</v>
      </c>
      <c r="I520" s="29"/>
      <c r="J520" s="3"/>
      <c r="K520" s="154"/>
      <c r="L520" s="3"/>
      <c r="M520" s="3"/>
      <c r="N520" s="156"/>
      <c r="O520" s="11"/>
      <c r="P520" s="13"/>
      <c r="Q520" s="2"/>
      <c r="R520" s="2"/>
      <c r="S520" s="2"/>
    </row>
    <row r="521" spans="1:19">
      <c r="A521" s="29">
        <f t="shared" si="71"/>
        <v>24</v>
      </c>
      <c r="B521" s="33" t="s">
        <v>1139</v>
      </c>
      <c r="C521" s="84" t="s">
        <v>1140</v>
      </c>
      <c r="D521" s="32"/>
      <c r="E521" s="32">
        <v>42152</v>
      </c>
      <c r="F521" s="62">
        <v>7500000</v>
      </c>
      <c r="G521" s="70">
        <v>1250000</v>
      </c>
      <c r="H521" s="33">
        <v>1250000</v>
      </c>
      <c r="I521" s="84" t="s">
        <v>1346</v>
      </c>
      <c r="J521" s="155"/>
      <c r="K521" s="154"/>
      <c r="L521" s="3"/>
      <c r="M521" s="155"/>
      <c r="N521" s="156"/>
      <c r="O521" s="12"/>
      <c r="P521" s="13"/>
      <c r="Q521" s="2"/>
      <c r="R521" s="2"/>
      <c r="S521" s="2"/>
    </row>
    <row r="522" spans="1:19">
      <c r="A522" s="29">
        <f t="shared" si="71"/>
        <v>25</v>
      </c>
      <c r="B522" s="33" t="s">
        <v>1139</v>
      </c>
      <c r="C522" s="84" t="s">
        <v>1140</v>
      </c>
      <c r="D522" s="32"/>
      <c r="E522" s="32">
        <v>42152</v>
      </c>
      <c r="F522" s="62">
        <v>7500000</v>
      </c>
      <c r="G522" s="62">
        <v>1250000</v>
      </c>
      <c r="H522" s="62">
        <v>1250000</v>
      </c>
      <c r="I522" s="84" t="s">
        <v>1347</v>
      </c>
      <c r="J522" s="155"/>
      <c r="K522" s="154"/>
      <c r="L522" s="3"/>
      <c r="M522" s="155"/>
      <c r="N522" s="156"/>
      <c r="O522" s="12"/>
      <c r="P522" s="13"/>
      <c r="Q522" s="2"/>
      <c r="R522" s="2"/>
      <c r="S522" s="2"/>
    </row>
    <row r="523" spans="1:19">
      <c r="A523" s="29">
        <f t="shared" si="71"/>
        <v>26</v>
      </c>
      <c r="B523" s="30" t="s">
        <v>1155</v>
      </c>
      <c r="C523" s="31" t="s">
        <v>1156</v>
      </c>
      <c r="D523" s="32"/>
      <c r="E523" s="32">
        <v>42181</v>
      </c>
      <c r="F523" s="62">
        <v>8000000</v>
      </c>
      <c r="G523" s="70">
        <v>0</v>
      </c>
      <c r="H523" s="33">
        <v>0</v>
      </c>
      <c r="I523" s="84" t="s">
        <v>1348</v>
      </c>
      <c r="J523" s="155"/>
      <c r="K523" s="3"/>
      <c r="L523" s="156"/>
      <c r="M523" s="155"/>
      <c r="N523" s="11"/>
      <c r="O523" s="12"/>
      <c r="P523" s="13"/>
      <c r="Q523" s="2"/>
      <c r="R523" s="2"/>
      <c r="S523" s="2"/>
    </row>
    <row r="524" spans="1:19">
      <c r="A524" s="29">
        <f t="shared" si="71"/>
        <v>27</v>
      </c>
      <c r="B524" s="30" t="s">
        <v>541</v>
      </c>
      <c r="C524" s="31" t="s">
        <v>542</v>
      </c>
      <c r="D524" s="32"/>
      <c r="E524" s="32">
        <v>42313</v>
      </c>
      <c r="F524" s="33">
        <v>20000000</v>
      </c>
      <c r="G524" s="33">
        <v>5000000</v>
      </c>
      <c r="H524" s="33">
        <v>5000000</v>
      </c>
      <c r="I524" s="31" t="s">
        <v>1349</v>
      </c>
      <c r="J524" s="150"/>
      <c r="K524" s="3"/>
      <c r="L524" s="10"/>
      <c r="M524" s="151"/>
      <c r="N524" s="11"/>
      <c r="O524" s="12"/>
      <c r="P524" s="13"/>
      <c r="Q524" s="2"/>
      <c r="R524" s="2"/>
      <c r="S524" s="2"/>
    </row>
    <row r="525" spans="1:19">
      <c r="A525" s="29">
        <f t="shared" si="71"/>
        <v>28</v>
      </c>
      <c r="B525" s="30" t="s">
        <v>772</v>
      </c>
      <c r="C525" s="31" t="s">
        <v>773</v>
      </c>
      <c r="D525" s="32"/>
      <c r="E525" s="32">
        <v>42325</v>
      </c>
      <c r="F525" s="33">
        <v>6000000</v>
      </c>
      <c r="G525" s="33">
        <v>2000000</v>
      </c>
      <c r="H525" s="33">
        <v>2000000</v>
      </c>
      <c r="I525" s="31" t="s">
        <v>1350</v>
      </c>
      <c r="J525" s="150"/>
      <c r="K525" s="3"/>
      <c r="L525" s="10"/>
      <c r="M525" s="151"/>
      <c r="N525" s="11"/>
      <c r="O525" s="12"/>
      <c r="P525" s="13"/>
      <c r="Q525" s="2"/>
      <c r="R525" s="2"/>
      <c r="S525" s="2"/>
    </row>
    <row r="526" spans="1:19">
      <c r="A526" s="29">
        <f t="shared" si="71"/>
        <v>29</v>
      </c>
      <c r="B526" s="30" t="s">
        <v>772</v>
      </c>
      <c r="C526" s="31" t="s">
        <v>773</v>
      </c>
      <c r="D526" s="32"/>
      <c r="E526" s="32">
        <v>42325</v>
      </c>
      <c r="F526" s="33">
        <v>6000000</v>
      </c>
      <c r="G526" s="33">
        <v>2000000</v>
      </c>
      <c r="H526" s="33">
        <v>2000000</v>
      </c>
      <c r="I526" s="31" t="s">
        <v>1350</v>
      </c>
      <c r="J526" s="150"/>
      <c r="K526" s="3"/>
      <c r="L526" s="10"/>
      <c r="M526" s="151"/>
      <c r="N526" s="11"/>
      <c r="O526" s="12"/>
      <c r="P526" s="13"/>
      <c r="Q526" s="2"/>
      <c r="R526" s="2"/>
      <c r="S526" s="2"/>
    </row>
    <row r="527" spans="1:19">
      <c r="A527" s="29">
        <f t="shared" si="71"/>
        <v>30</v>
      </c>
      <c r="B527" s="30" t="s">
        <v>1351</v>
      </c>
      <c r="C527" s="31" t="s">
        <v>1352</v>
      </c>
      <c r="D527" s="32"/>
      <c r="E527" s="32">
        <v>42333</v>
      </c>
      <c r="F527" s="44">
        <v>10000000</v>
      </c>
      <c r="G527" s="44">
        <v>0</v>
      </c>
      <c r="H527" s="44">
        <v>2500000</v>
      </c>
      <c r="I527" s="31" t="s">
        <v>1353</v>
      </c>
      <c r="J527" s="150"/>
      <c r="K527" s="2"/>
      <c r="L527" s="152"/>
      <c r="M527" s="151"/>
      <c r="N527" s="157"/>
      <c r="O527" s="12"/>
      <c r="P527" s="13"/>
      <c r="Q527" s="2"/>
      <c r="R527" s="2"/>
      <c r="S527" s="2"/>
    </row>
    <row r="528" spans="1:19">
      <c r="A528" s="29">
        <f t="shared" si="71"/>
        <v>31</v>
      </c>
      <c r="B528" s="30" t="s">
        <v>1351</v>
      </c>
      <c r="C528" s="31" t="s">
        <v>1352</v>
      </c>
      <c r="D528" s="32"/>
      <c r="E528" s="32">
        <v>42333</v>
      </c>
      <c r="F528" s="44">
        <v>10000000</v>
      </c>
      <c r="G528" s="44">
        <v>0</v>
      </c>
      <c r="H528" s="44">
        <v>2500000</v>
      </c>
      <c r="I528" s="31" t="s">
        <v>1354</v>
      </c>
      <c r="J528" s="150"/>
      <c r="K528" s="2"/>
      <c r="L528" s="152"/>
      <c r="M528" s="151"/>
      <c r="N528" s="157"/>
      <c r="O528" s="12"/>
      <c r="P528" s="13"/>
      <c r="Q528" s="2"/>
      <c r="R528" s="2"/>
      <c r="S528" s="2"/>
    </row>
    <row r="529" spans="1:19">
      <c r="A529" s="29">
        <f t="shared" si="71"/>
        <v>32</v>
      </c>
      <c r="B529" s="30" t="s">
        <v>704</v>
      </c>
      <c r="C529" s="31" t="s">
        <v>705</v>
      </c>
      <c r="D529" s="32"/>
      <c r="E529" s="32">
        <v>42333</v>
      </c>
      <c r="F529" s="44">
        <v>10000000</v>
      </c>
      <c r="G529" s="44">
        <v>1500000</v>
      </c>
      <c r="H529" s="44">
        <v>1500000</v>
      </c>
      <c r="I529" s="31" t="s">
        <v>1355</v>
      </c>
      <c r="J529" s="150"/>
      <c r="K529" s="2"/>
      <c r="L529" s="152"/>
      <c r="M529" s="151"/>
      <c r="N529" s="152"/>
      <c r="O529" s="12"/>
      <c r="P529" s="13"/>
      <c r="Q529" s="2"/>
      <c r="R529" s="2"/>
      <c r="S529" s="2"/>
    </row>
    <row r="530" spans="1:19">
      <c r="A530" s="29">
        <f t="shared" si="71"/>
        <v>33</v>
      </c>
      <c r="B530" s="30" t="s">
        <v>1356</v>
      </c>
      <c r="C530" s="31" t="s">
        <v>1357</v>
      </c>
      <c r="D530" s="32"/>
      <c r="E530" s="32">
        <v>42333</v>
      </c>
      <c r="F530" s="44">
        <v>5000000</v>
      </c>
      <c r="G530" s="44">
        <v>0</v>
      </c>
      <c r="H530" s="44">
        <v>0</v>
      </c>
      <c r="I530" s="31" t="s">
        <v>1358</v>
      </c>
      <c r="J530" s="150"/>
      <c r="K530" s="2"/>
      <c r="L530" s="152"/>
      <c r="M530" s="151"/>
      <c r="N530" s="157"/>
      <c r="O530" s="12"/>
      <c r="P530" s="13"/>
      <c r="Q530" s="2"/>
      <c r="R530" s="2"/>
      <c r="S530" s="2"/>
    </row>
    <row r="531" spans="1:19">
      <c r="A531" s="29">
        <f t="shared" si="71"/>
        <v>34</v>
      </c>
      <c r="B531" s="30" t="s">
        <v>1356</v>
      </c>
      <c r="C531" s="31" t="s">
        <v>1357</v>
      </c>
      <c r="D531" s="32"/>
      <c r="E531" s="32">
        <v>42333</v>
      </c>
      <c r="F531" s="44">
        <v>5000000</v>
      </c>
      <c r="G531" s="44">
        <v>0</v>
      </c>
      <c r="H531" s="44">
        <v>0</v>
      </c>
      <c r="I531" s="31" t="s">
        <v>1359</v>
      </c>
      <c r="J531" s="150"/>
      <c r="K531" s="2"/>
      <c r="L531" s="152"/>
      <c r="M531" s="151"/>
      <c r="N531" s="157"/>
      <c r="O531" s="12"/>
      <c r="P531" s="13"/>
      <c r="Q531" s="2"/>
      <c r="R531" s="2"/>
      <c r="S531" s="2"/>
    </row>
    <row r="532" spans="1:19">
      <c r="A532" s="29">
        <f t="shared" si="71"/>
        <v>35</v>
      </c>
      <c r="B532" s="30" t="s">
        <v>1360</v>
      </c>
      <c r="C532" s="31" t="s">
        <v>1361</v>
      </c>
      <c r="D532" s="32"/>
      <c r="E532" s="32">
        <v>42333</v>
      </c>
      <c r="F532" s="44">
        <v>5000000</v>
      </c>
      <c r="G532" s="44">
        <v>2500000</v>
      </c>
      <c r="H532" s="44">
        <v>2500000</v>
      </c>
      <c r="I532" s="31" t="s">
        <v>1362</v>
      </c>
      <c r="J532" s="150"/>
      <c r="K532" s="2"/>
      <c r="L532" s="152"/>
      <c r="M532" s="151"/>
      <c r="N532" s="157"/>
      <c r="O532" s="12"/>
      <c r="P532" s="13"/>
      <c r="Q532" s="2"/>
      <c r="R532" s="2"/>
      <c r="S532" s="2"/>
    </row>
    <row r="533" spans="1:19">
      <c r="A533" s="29">
        <f t="shared" si="71"/>
        <v>36</v>
      </c>
      <c r="B533" s="30" t="s">
        <v>1360</v>
      </c>
      <c r="C533" s="31" t="s">
        <v>1361</v>
      </c>
      <c r="D533" s="32"/>
      <c r="E533" s="32">
        <v>42333</v>
      </c>
      <c r="F533" s="44">
        <v>5000000</v>
      </c>
      <c r="G533" s="44">
        <v>2500000</v>
      </c>
      <c r="H533" s="44">
        <v>2500000</v>
      </c>
      <c r="I533" s="31" t="s">
        <v>1363</v>
      </c>
      <c r="J533" s="150"/>
      <c r="K533" s="2"/>
      <c r="L533" s="152"/>
      <c r="M533" s="151"/>
      <c r="N533" s="157"/>
      <c r="O533" s="12"/>
      <c r="P533" s="13"/>
      <c r="Q533" s="2"/>
      <c r="R533" s="2"/>
      <c r="S533" s="2"/>
    </row>
    <row r="534" spans="1:19">
      <c r="A534" s="29">
        <f t="shared" si="71"/>
        <v>37</v>
      </c>
      <c r="B534" s="30" t="s">
        <v>1054</v>
      </c>
      <c r="C534" s="31" t="s">
        <v>1055</v>
      </c>
      <c r="D534" s="32"/>
      <c r="E534" s="32">
        <v>42355</v>
      </c>
      <c r="F534" s="44">
        <v>7500000</v>
      </c>
      <c r="G534" s="44">
        <v>2500000</v>
      </c>
      <c r="H534" s="44">
        <v>2500000</v>
      </c>
      <c r="I534" s="31" t="s">
        <v>1364</v>
      </c>
      <c r="J534" s="150"/>
      <c r="K534" s="3"/>
      <c r="L534" s="10"/>
      <c r="M534" s="151"/>
      <c r="N534" s="152"/>
      <c r="O534" s="12"/>
      <c r="P534" s="13"/>
      <c r="Q534" s="2"/>
      <c r="R534" s="2"/>
      <c r="S534" s="2"/>
    </row>
    <row r="535" spans="1:19">
      <c r="A535" s="29">
        <f t="shared" si="71"/>
        <v>38</v>
      </c>
      <c r="B535" s="30" t="s">
        <v>498</v>
      </c>
      <c r="C535" s="31" t="s">
        <v>499</v>
      </c>
      <c r="D535" s="82"/>
      <c r="E535" s="82">
        <v>42369</v>
      </c>
      <c r="F535" s="33">
        <v>20000000</v>
      </c>
      <c r="G535" s="33">
        <v>5000000</v>
      </c>
      <c r="H535" s="33">
        <v>5000000</v>
      </c>
      <c r="I535" s="31"/>
      <c r="J535" s="150"/>
      <c r="K535" s="3"/>
      <c r="L535" s="10"/>
      <c r="M535" s="151"/>
      <c r="N535" s="152"/>
      <c r="O535" s="12"/>
      <c r="P535" s="13"/>
      <c r="Q535" s="2"/>
      <c r="R535" s="2"/>
      <c r="S535" s="2"/>
    </row>
    <row r="536" spans="1:19">
      <c r="A536" s="29">
        <f t="shared" si="71"/>
        <v>39</v>
      </c>
      <c r="B536" s="30" t="s">
        <v>222</v>
      </c>
      <c r="C536" s="81" t="s">
        <v>223</v>
      </c>
      <c r="D536" s="82"/>
      <c r="E536" s="82">
        <v>42398</v>
      </c>
      <c r="F536" s="35">
        <v>9000000</v>
      </c>
      <c r="G536" s="44">
        <v>1500000</v>
      </c>
      <c r="H536" s="44">
        <v>1500000</v>
      </c>
      <c r="I536" s="31" t="s">
        <v>1365</v>
      </c>
      <c r="J536" s="150"/>
      <c r="K536" s="2"/>
      <c r="L536" s="152"/>
      <c r="M536" s="151"/>
      <c r="N536" s="157"/>
      <c r="O536" s="12"/>
      <c r="P536" s="13"/>
      <c r="Q536" s="2"/>
      <c r="R536" s="2"/>
      <c r="S536" s="2"/>
    </row>
    <row r="537" spans="1:19">
      <c r="A537" s="29">
        <f t="shared" si="71"/>
        <v>40</v>
      </c>
      <c r="B537" s="30" t="s">
        <v>222</v>
      </c>
      <c r="C537" s="81" t="s">
        <v>223</v>
      </c>
      <c r="D537" s="82"/>
      <c r="E537" s="82">
        <v>42398</v>
      </c>
      <c r="F537" s="35">
        <v>9000000</v>
      </c>
      <c r="G537" s="44">
        <v>1500000</v>
      </c>
      <c r="H537" s="44">
        <v>1500000</v>
      </c>
      <c r="I537" s="31" t="s">
        <v>1366</v>
      </c>
      <c r="J537" s="150"/>
      <c r="K537" s="2"/>
      <c r="L537" s="152"/>
      <c r="M537" s="151"/>
      <c r="N537" s="157"/>
      <c r="O537" s="12"/>
      <c r="P537" s="13"/>
      <c r="Q537" s="2"/>
      <c r="R537" s="2"/>
      <c r="S537" s="2"/>
    </row>
    <row r="538" spans="1:19">
      <c r="A538" s="29">
        <f t="shared" si="71"/>
        <v>41</v>
      </c>
      <c r="B538" s="30" t="s">
        <v>1000</v>
      </c>
      <c r="C538" s="31" t="s">
        <v>1001</v>
      </c>
      <c r="D538" s="82"/>
      <c r="E538" s="82">
        <v>42403</v>
      </c>
      <c r="F538" s="44">
        <v>10000000</v>
      </c>
      <c r="G538" s="44">
        <v>5000000</v>
      </c>
      <c r="H538" s="44">
        <v>5000000</v>
      </c>
      <c r="I538" s="31" t="s">
        <v>1367</v>
      </c>
      <c r="J538" s="150"/>
      <c r="K538" s="2"/>
      <c r="L538" s="152"/>
      <c r="M538" s="151"/>
      <c r="N538" s="152"/>
      <c r="O538" s="12"/>
      <c r="P538" s="13"/>
      <c r="Q538" s="2"/>
      <c r="R538" s="2"/>
      <c r="S538" s="2"/>
    </row>
    <row r="539" spans="1:19">
      <c r="A539" s="29">
        <f t="shared" si="71"/>
        <v>42</v>
      </c>
      <c r="B539" s="30" t="s">
        <v>725</v>
      </c>
      <c r="C539" s="31" t="s">
        <v>726</v>
      </c>
      <c r="D539" s="90"/>
      <c r="E539" s="90">
        <v>42416</v>
      </c>
      <c r="F539" s="44">
        <v>5000000</v>
      </c>
      <c r="G539" s="44">
        <v>2500000</v>
      </c>
      <c r="H539" s="44">
        <v>2500000</v>
      </c>
      <c r="I539" s="31" t="s">
        <v>1368</v>
      </c>
      <c r="J539" s="150"/>
      <c r="K539" s="2"/>
      <c r="L539" s="152"/>
      <c r="M539" s="151"/>
      <c r="N539" s="152"/>
      <c r="O539" s="2"/>
      <c r="P539" s="13"/>
      <c r="Q539" s="2"/>
      <c r="R539" s="2"/>
      <c r="S539" s="2"/>
    </row>
    <row r="540" spans="1:19">
      <c r="A540" s="29">
        <f t="shared" si="71"/>
        <v>43</v>
      </c>
      <c r="B540" s="30" t="s">
        <v>1043</v>
      </c>
      <c r="C540" s="31" t="s">
        <v>1044</v>
      </c>
      <c r="D540" s="82"/>
      <c r="E540" s="82">
        <v>42425</v>
      </c>
      <c r="F540" s="72">
        <v>7500000</v>
      </c>
      <c r="G540" s="72">
        <v>0</v>
      </c>
      <c r="H540" s="72">
        <v>2500000</v>
      </c>
      <c r="I540" s="160" t="s">
        <v>1369</v>
      </c>
      <c r="J540" s="161"/>
      <c r="K540" s="162"/>
      <c r="L540" s="163"/>
      <c r="M540" s="164"/>
      <c r="N540" s="165"/>
      <c r="O540" s="2"/>
      <c r="P540" s="13"/>
      <c r="Q540" s="2"/>
      <c r="R540" s="2"/>
      <c r="S540" s="2"/>
    </row>
    <row r="541" spans="1:19">
      <c r="A541" s="29">
        <f t="shared" si="71"/>
        <v>44</v>
      </c>
      <c r="B541" s="30" t="s">
        <v>1043</v>
      </c>
      <c r="C541" s="31" t="s">
        <v>1044</v>
      </c>
      <c r="D541" s="82"/>
      <c r="E541" s="82">
        <v>42425</v>
      </c>
      <c r="F541" s="72">
        <v>7500000</v>
      </c>
      <c r="G541" s="72">
        <v>0</v>
      </c>
      <c r="H541" s="72">
        <v>2500000</v>
      </c>
      <c r="I541" s="160" t="s">
        <v>1370</v>
      </c>
      <c r="J541" s="161"/>
      <c r="K541" s="162"/>
      <c r="L541" s="163"/>
      <c r="M541" s="164"/>
      <c r="N541" s="165"/>
      <c r="O541" s="2"/>
      <c r="P541" s="13"/>
      <c r="Q541" s="2"/>
      <c r="R541" s="2"/>
      <c r="S541" s="2"/>
    </row>
    <row r="542" spans="1:19">
      <c r="A542" s="29">
        <f t="shared" si="71"/>
        <v>45</v>
      </c>
      <c r="B542" s="30" t="s">
        <v>981</v>
      </c>
      <c r="C542" s="31" t="s">
        <v>982</v>
      </c>
      <c r="D542" s="32"/>
      <c r="E542" s="32">
        <v>42453</v>
      </c>
      <c r="F542" s="72">
        <v>4000000</v>
      </c>
      <c r="G542" s="72">
        <v>3500000</v>
      </c>
      <c r="H542" s="72">
        <v>3500000</v>
      </c>
      <c r="I542" s="160">
        <v>8220208088</v>
      </c>
      <c r="J542" s="161"/>
      <c r="K542" s="2"/>
      <c r="L542" s="2"/>
      <c r="M542" s="164"/>
      <c r="N542" s="164"/>
      <c r="O542" s="2"/>
      <c r="P542" s="13"/>
      <c r="Q542" s="2"/>
      <c r="R542" s="2"/>
      <c r="S542" s="2"/>
    </row>
    <row r="543" spans="1:19">
      <c r="A543" s="29">
        <f t="shared" si="71"/>
        <v>46</v>
      </c>
      <c r="B543" s="30" t="s">
        <v>981</v>
      </c>
      <c r="C543" s="31" t="s">
        <v>982</v>
      </c>
      <c r="D543" s="32"/>
      <c r="E543" s="32">
        <v>42453</v>
      </c>
      <c r="F543" s="72">
        <v>4000000</v>
      </c>
      <c r="G543" s="72">
        <v>3500000</v>
      </c>
      <c r="H543" s="72">
        <v>3500000</v>
      </c>
      <c r="I543" s="160">
        <v>6100012004</v>
      </c>
      <c r="J543" s="161"/>
      <c r="K543" s="2"/>
      <c r="L543" s="2"/>
      <c r="M543" s="164"/>
      <c r="N543" s="164"/>
      <c r="O543" s="2"/>
      <c r="P543" s="13"/>
      <c r="Q543" s="2"/>
      <c r="R543" s="2"/>
      <c r="S543" s="2"/>
    </row>
    <row r="544" spans="1:19">
      <c r="A544" s="29">
        <f t="shared" si="71"/>
        <v>47</v>
      </c>
      <c r="B544" s="166" t="s">
        <v>1371</v>
      </c>
      <c r="C544" s="167" t="s">
        <v>1372</v>
      </c>
      <c r="D544" s="167"/>
      <c r="E544" s="167" t="s">
        <v>1373</v>
      </c>
      <c r="F544" s="168">
        <v>10000000</v>
      </c>
      <c r="G544" s="115">
        <v>0</v>
      </c>
      <c r="H544" s="115">
        <v>0</v>
      </c>
      <c r="I544" s="29"/>
      <c r="J544" s="3"/>
      <c r="K544" s="2"/>
      <c r="L544" s="2"/>
      <c r="M544" s="3"/>
      <c r="N544" s="2"/>
      <c r="O544" s="2"/>
      <c r="P544" s="13"/>
      <c r="Q544" s="2"/>
      <c r="R544" s="2"/>
      <c r="S544" s="2"/>
    </row>
    <row r="545" spans="1:19">
      <c r="A545" s="29">
        <f t="shared" si="71"/>
        <v>48</v>
      </c>
      <c r="B545" s="30" t="s">
        <v>374</v>
      </c>
      <c r="C545" s="31" t="s">
        <v>375</v>
      </c>
      <c r="D545" s="32"/>
      <c r="E545" s="32">
        <v>42500</v>
      </c>
      <c r="F545" s="33">
        <v>10150000</v>
      </c>
      <c r="G545" s="33">
        <v>0</v>
      </c>
      <c r="H545" s="33">
        <v>0</v>
      </c>
      <c r="I545" s="29"/>
      <c r="J545" s="3"/>
      <c r="K545" s="2"/>
      <c r="L545" s="2"/>
      <c r="M545" s="158"/>
      <c r="N545" s="152"/>
      <c r="O545" s="2"/>
      <c r="P545" s="13"/>
      <c r="Q545" s="2"/>
      <c r="R545" s="2"/>
      <c r="S545" s="2"/>
    </row>
    <row r="546" spans="1:19">
      <c r="A546" s="29">
        <f t="shared" si="71"/>
        <v>49</v>
      </c>
      <c r="B546" s="30" t="s">
        <v>369</v>
      </c>
      <c r="C546" s="31" t="s">
        <v>370</v>
      </c>
      <c r="D546" s="32"/>
      <c r="E546" s="32">
        <v>42502</v>
      </c>
      <c r="F546" s="44">
        <v>2500000</v>
      </c>
      <c r="G546" s="44">
        <v>1250000</v>
      </c>
      <c r="H546" s="44">
        <v>1250000</v>
      </c>
      <c r="I546" s="31" t="s">
        <v>1374</v>
      </c>
      <c r="J546" s="150"/>
      <c r="K546" s="2"/>
      <c r="L546" s="2"/>
      <c r="M546" s="151"/>
      <c r="N546" s="157"/>
      <c r="O546" s="2"/>
      <c r="P546" s="13"/>
      <c r="Q546" s="2"/>
      <c r="R546" s="2"/>
      <c r="S546" s="2"/>
    </row>
    <row r="547" spans="1:19">
      <c r="A547" s="29">
        <f t="shared" si="71"/>
        <v>50</v>
      </c>
      <c r="B547" s="30" t="s">
        <v>369</v>
      </c>
      <c r="C547" s="31" t="s">
        <v>370</v>
      </c>
      <c r="D547" s="32"/>
      <c r="E547" s="32">
        <v>42502</v>
      </c>
      <c r="F547" s="44">
        <v>2500000</v>
      </c>
      <c r="G547" s="44">
        <v>1250000</v>
      </c>
      <c r="H547" s="44">
        <v>1250000</v>
      </c>
      <c r="I547" s="31" t="s">
        <v>1375</v>
      </c>
      <c r="J547" s="150"/>
      <c r="K547" s="2"/>
      <c r="L547" s="2"/>
      <c r="M547" s="151"/>
      <c r="N547" s="157"/>
      <c r="O547" s="2"/>
      <c r="P547" s="13"/>
      <c r="Q547" s="2"/>
      <c r="R547" s="2"/>
      <c r="S547" s="2"/>
    </row>
    <row r="548" spans="1:19">
      <c r="A548" s="29">
        <f t="shared" si="71"/>
        <v>51</v>
      </c>
      <c r="B548" s="30" t="s">
        <v>769</v>
      </c>
      <c r="C548" s="31" t="s">
        <v>770</v>
      </c>
      <c r="D548" s="32"/>
      <c r="E548" s="32">
        <v>42503</v>
      </c>
      <c r="F548" s="44">
        <v>17500000</v>
      </c>
      <c r="G548" s="44">
        <v>0</v>
      </c>
      <c r="H548" s="44">
        <v>0</v>
      </c>
      <c r="I548" s="29"/>
      <c r="J548" s="3"/>
      <c r="K548" s="2"/>
      <c r="L548" s="2"/>
      <c r="M548" s="158"/>
      <c r="N548" s="152"/>
      <c r="O548" s="2"/>
      <c r="P548" s="13"/>
      <c r="Q548" s="2"/>
      <c r="R548" s="2"/>
      <c r="S548" s="2"/>
    </row>
    <row r="549" spans="1:19">
      <c r="A549" s="29">
        <f t="shared" si="71"/>
        <v>52</v>
      </c>
      <c r="B549" s="30" t="s">
        <v>769</v>
      </c>
      <c r="C549" s="31" t="s">
        <v>770</v>
      </c>
      <c r="D549" s="32"/>
      <c r="E549" s="32">
        <v>42503</v>
      </c>
      <c r="F549" s="44">
        <v>17500000</v>
      </c>
      <c r="G549" s="44"/>
      <c r="H549" s="44"/>
      <c r="I549" s="29"/>
      <c r="J549" s="3"/>
      <c r="K549" s="2"/>
      <c r="L549" s="2"/>
      <c r="M549" s="158"/>
      <c r="N549" s="152"/>
      <c r="O549" s="2"/>
      <c r="P549" s="13"/>
      <c r="Q549" s="2"/>
      <c r="R549" s="2"/>
      <c r="S549" s="2"/>
    </row>
    <row r="550" spans="1:19">
      <c r="A550" s="29">
        <f t="shared" si="71"/>
        <v>53</v>
      </c>
      <c r="B550" s="30" t="s">
        <v>653</v>
      </c>
      <c r="C550" s="31" t="s">
        <v>654</v>
      </c>
      <c r="D550" s="32"/>
      <c r="E550" s="32">
        <v>42506</v>
      </c>
      <c r="F550" s="44">
        <v>4500000</v>
      </c>
      <c r="G550" s="44">
        <v>3000000</v>
      </c>
      <c r="H550" s="44">
        <v>3000000</v>
      </c>
      <c r="I550" s="31" t="s">
        <v>1376</v>
      </c>
      <c r="J550" s="150"/>
      <c r="K550" s="2"/>
      <c r="L550" s="2"/>
      <c r="M550" s="151"/>
      <c r="N550" s="157"/>
      <c r="O550" s="2"/>
      <c r="P550" s="13"/>
      <c r="Q550" s="2"/>
      <c r="R550" s="2"/>
      <c r="S550" s="2"/>
    </row>
    <row r="551" spans="1:19">
      <c r="A551" s="29">
        <f t="shared" si="71"/>
        <v>54</v>
      </c>
      <c r="B551" s="30" t="s">
        <v>653</v>
      </c>
      <c r="C551" s="31" t="s">
        <v>654</v>
      </c>
      <c r="D551" s="32"/>
      <c r="E551" s="32">
        <v>42506</v>
      </c>
      <c r="F551" s="44">
        <v>4500000</v>
      </c>
      <c r="G551" s="44">
        <v>3000000</v>
      </c>
      <c r="H551" s="44">
        <v>3000000</v>
      </c>
      <c r="I551" s="31" t="s">
        <v>1377</v>
      </c>
      <c r="J551" s="150"/>
      <c r="K551" s="2"/>
      <c r="L551" s="2"/>
      <c r="M551" s="151"/>
      <c r="N551" s="152"/>
      <c r="O551" s="2"/>
      <c r="P551" s="13"/>
      <c r="Q551" s="2"/>
      <c r="R551" s="2"/>
      <c r="S551" s="2"/>
    </row>
    <row r="552" spans="1:19">
      <c r="A552" s="29">
        <f t="shared" si="71"/>
        <v>55</v>
      </c>
      <c r="B552" s="30" t="s">
        <v>264</v>
      </c>
      <c r="C552" s="31" t="s">
        <v>265</v>
      </c>
      <c r="D552" s="32"/>
      <c r="E552" s="32">
        <v>42507</v>
      </c>
      <c r="F552" s="44">
        <v>2500000</v>
      </c>
      <c r="G552" s="44">
        <v>2500000</v>
      </c>
      <c r="H552" s="44">
        <v>2500000</v>
      </c>
      <c r="I552" s="31" t="s">
        <v>1378</v>
      </c>
      <c r="J552" s="150"/>
      <c r="K552" s="2"/>
      <c r="L552" s="2"/>
      <c r="M552" s="151"/>
      <c r="N552" s="152"/>
      <c r="O552" s="2"/>
      <c r="P552" s="13"/>
      <c r="Q552" s="2"/>
      <c r="R552" s="2"/>
      <c r="S552" s="2"/>
    </row>
    <row r="553" spans="1:19">
      <c r="A553" s="29">
        <f t="shared" si="71"/>
        <v>56</v>
      </c>
      <c r="B553" s="30" t="s">
        <v>264</v>
      </c>
      <c r="C553" s="31" t="s">
        <v>265</v>
      </c>
      <c r="D553" s="32"/>
      <c r="E553" s="32">
        <v>42507</v>
      </c>
      <c r="F553" s="44">
        <v>2500000</v>
      </c>
      <c r="G553" s="44">
        <v>2500000</v>
      </c>
      <c r="H553" s="44">
        <v>2500000</v>
      </c>
      <c r="I553" s="31" t="s">
        <v>1379</v>
      </c>
      <c r="J553" s="150"/>
      <c r="K553" s="2"/>
      <c r="L553" s="2"/>
      <c r="M553" s="151"/>
      <c r="N553" s="152"/>
      <c r="O553" s="2"/>
      <c r="P553" s="13"/>
      <c r="Q553" s="2"/>
      <c r="R553" s="2"/>
      <c r="S553" s="2"/>
    </row>
    <row r="554" spans="1:19">
      <c r="A554" s="29">
        <f t="shared" si="71"/>
        <v>57</v>
      </c>
      <c r="B554" s="33" t="s">
        <v>267</v>
      </c>
      <c r="C554" s="84" t="s">
        <v>268</v>
      </c>
      <c r="D554" s="32"/>
      <c r="E554" s="32">
        <v>42515</v>
      </c>
      <c r="F554" s="34">
        <v>7000000</v>
      </c>
      <c r="G554" s="35"/>
      <c r="H554" s="34">
        <v>0</v>
      </c>
      <c r="I554" s="169"/>
      <c r="J554" s="170"/>
      <c r="K554" s="3"/>
      <c r="L554" s="158"/>
      <c r="M554" s="170"/>
      <c r="N554" s="2"/>
      <c r="O554" s="2"/>
      <c r="P554" s="13"/>
      <c r="Q554" s="2"/>
      <c r="R554" s="2"/>
      <c r="S554" s="2"/>
    </row>
    <row r="555" spans="1:19">
      <c r="A555" s="29">
        <f t="shared" si="71"/>
        <v>58</v>
      </c>
      <c r="B555" s="30" t="s">
        <v>1380</v>
      </c>
      <c r="C555" s="31" t="s">
        <v>1255</v>
      </c>
      <c r="D555" s="32"/>
      <c r="E555" s="32">
        <v>42515</v>
      </c>
      <c r="F555" s="62">
        <v>10000000</v>
      </c>
      <c r="G555" s="33">
        <v>3000000</v>
      </c>
      <c r="H555" s="62">
        <v>4000000</v>
      </c>
      <c r="I555" s="169"/>
      <c r="J555" s="170"/>
      <c r="K555" s="3"/>
      <c r="L555" s="158"/>
      <c r="M555" s="170"/>
      <c r="N555" s="2"/>
      <c r="O555" s="2"/>
      <c r="P555" s="13"/>
      <c r="Q555" s="2"/>
      <c r="R555" s="2"/>
      <c r="S555" s="2"/>
    </row>
    <row r="556" spans="1:19">
      <c r="A556" s="29">
        <f t="shared" si="71"/>
        <v>59</v>
      </c>
      <c r="B556" s="30" t="s">
        <v>1078</v>
      </c>
      <c r="C556" s="31" t="s">
        <v>1079</v>
      </c>
      <c r="D556" s="32"/>
      <c r="E556" s="32">
        <v>42515</v>
      </c>
      <c r="F556" s="33">
        <f>7500000</f>
        <v>7500000</v>
      </c>
      <c r="G556" s="33">
        <v>2000000</v>
      </c>
      <c r="H556" s="33">
        <v>1500000</v>
      </c>
      <c r="I556" s="31" t="s">
        <v>1381</v>
      </c>
      <c r="J556" s="150"/>
      <c r="K556" s="2"/>
      <c r="L556" s="152"/>
      <c r="M556" s="151"/>
      <c r="N556" s="11"/>
      <c r="O556" s="12"/>
      <c r="P556" s="13"/>
    </row>
    <row r="557" spans="1:19">
      <c r="A557" s="29">
        <f t="shared" si="71"/>
        <v>60</v>
      </c>
      <c r="B557" s="30" t="s">
        <v>1078</v>
      </c>
      <c r="C557" s="31" t="s">
        <v>1079</v>
      </c>
      <c r="D557" s="32"/>
      <c r="E557" s="32">
        <v>42515</v>
      </c>
      <c r="F557" s="33">
        <f>7500000</f>
        <v>7500000</v>
      </c>
      <c r="G557" s="33">
        <v>2000000</v>
      </c>
      <c r="H557" s="33">
        <v>1500000</v>
      </c>
      <c r="I557" s="31" t="s">
        <v>1382</v>
      </c>
      <c r="J557" s="150"/>
      <c r="K557" s="2"/>
      <c r="L557" s="152"/>
      <c r="M557" s="151"/>
      <c r="N557" s="11"/>
      <c r="O557" s="12"/>
      <c r="P557" s="13"/>
    </row>
    <row r="558" spans="1:19">
      <c r="A558" s="29">
        <f t="shared" si="71"/>
        <v>61</v>
      </c>
      <c r="B558" s="30" t="s">
        <v>1383</v>
      </c>
      <c r="C558" s="31" t="s">
        <v>1384</v>
      </c>
      <c r="D558" s="32"/>
      <c r="E558" s="32">
        <v>42517</v>
      </c>
      <c r="F558" s="33">
        <v>15000000</v>
      </c>
      <c r="G558" s="33">
        <v>1000000</v>
      </c>
      <c r="H558" s="33">
        <v>1000000</v>
      </c>
      <c r="I558" s="31"/>
      <c r="J558" s="150"/>
      <c r="K558" s="2"/>
      <c r="L558" s="152"/>
      <c r="M558" s="151"/>
      <c r="N558" s="11"/>
      <c r="O558" s="12"/>
      <c r="P558" s="13"/>
    </row>
    <row r="559" spans="1:19">
      <c r="A559" s="29">
        <f t="shared" si="71"/>
        <v>62</v>
      </c>
      <c r="B559" s="30" t="s">
        <v>431</v>
      </c>
      <c r="C559" s="31" t="s">
        <v>432</v>
      </c>
      <c r="D559" s="32"/>
      <c r="E559" s="32">
        <v>42521</v>
      </c>
      <c r="F559" s="44">
        <v>15000000</v>
      </c>
      <c r="G559" s="44">
        <v>0</v>
      </c>
      <c r="H559" s="44">
        <v>0</v>
      </c>
      <c r="I559" s="31" t="s">
        <v>1385</v>
      </c>
      <c r="J559" s="150"/>
      <c r="K559" s="2"/>
      <c r="L559" s="152"/>
      <c r="M559" s="151"/>
      <c r="N559" s="11"/>
      <c r="O559" s="12"/>
      <c r="P559" s="13"/>
    </row>
    <row r="560" spans="1:19">
      <c r="A560" s="29">
        <f t="shared" si="71"/>
        <v>63</v>
      </c>
      <c r="B560" s="30" t="s">
        <v>1036</v>
      </c>
      <c r="C560" s="31" t="s">
        <v>1037</v>
      </c>
      <c r="D560" s="32"/>
      <c r="E560" s="32">
        <v>42523</v>
      </c>
      <c r="F560" s="44">
        <f>20000000</f>
        <v>20000000</v>
      </c>
      <c r="G560" s="115">
        <v>0</v>
      </c>
      <c r="H560" s="115">
        <v>0</v>
      </c>
      <c r="I560" s="29"/>
      <c r="J560" s="3"/>
      <c r="K560" s="2"/>
      <c r="L560" s="152"/>
      <c r="M560" s="158"/>
      <c r="N560" s="152"/>
      <c r="O560" s="12"/>
      <c r="P560" s="13"/>
    </row>
    <row r="561" spans="1:16">
      <c r="A561" s="29">
        <f t="shared" si="71"/>
        <v>64</v>
      </c>
      <c r="B561" s="30" t="s">
        <v>1386</v>
      </c>
      <c r="C561" s="31" t="s">
        <v>1387</v>
      </c>
      <c r="D561" s="32"/>
      <c r="E561" s="32">
        <v>42531</v>
      </c>
      <c r="F561" s="44">
        <v>17000000</v>
      </c>
      <c r="G561" s="44">
        <v>0</v>
      </c>
      <c r="H561" s="44">
        <v>0</v>
      </c>
      <c r="I561" s="29"/>
      <c r="J561" s="3"/>
      <c r="K561" s="2"/>
      <c r="L561" s="152"/>
      <c r="M561" s="158"/>
      <c r="N561" s="152"/>
      <c r="O561" s="12"/>
      <c r="P561" s="13"/>
    </row>
    <row r="562" spans="1:16">
      <c r="A562" s="29">
        <f t="shared" si="71"/>
        <v>65</v>
      </c>
      <c r="B562" s="30" t="s">
        <v>219</v>
      </c>
      <c r="C562" s="31" t="s">
        <v>220</v>
      </c>
      <c r="D562" s="32"/>
      <c r="E562" s="32">
        <v>42536</v>
      </c>
      <c r="F562" s="44">
        <v>16000000</v>
      </c>
      <c r="G562" s="44">
        <v>0</v>
      </c>
      <c r="H562" s="44">
        <v>0</v>
      </c>
      <c r="I562" s="29"/>
      <c r="J562" s="3"/>
      <c r="K562" s="2"/>
      <c r="L562" s="152"/>
      <c r="M562" s="158"/>
      <c r="N562" s="152"/>
      <c r="O562" s="12"/>
      <c r="P562" s="13"/>
    </row>
    <row r="563" spans="1:16">
      <c r="A563" s="29">
        <f t="shared" si="71"/>
        <v>66</v>
      </c>
      <c r="B563" s="30" t="s">
        <v>308</v>
      </c>
      <c r="C563" s="31" t="s">
        <v>309</v>
      </c>
      <c r="D563" s="32"/>
      <c r="E563" s="32">
        <v>42530</v>
      </c>
      <c r="F563" s="44">
        <v>30000000</v>
      </c>
      <c r="G563" s="44">
        <v>2500000</v>
      </c>
      <c r="H563" s="44">
        <v>5000000</v>
      </c>
      <c r="I563" s="29"/>
      <c r="J563" s="3"/>
      <c r="K563" s="2"/>
      <c r="L563" s="152"/>
      <c r="M563" s="158"/>
      <c r="N563" s="152"/>
      <c r="O563" s="12"/>
      <c r="P563" s="13"/>
    </row>
    <row r="564" spans="1:16">
      <c r="A564" s="29">
        <f t="shared" ref="A564:A627" si="72">+A563+1</f>
        <v>67</v>
      </c>
      <c r="B564" s="30" t="s">
        <v>308</v>
      </c>
      <c r="C564" s="31" t="s">
        <v>309</v>
      </c>
      <c r="D564" s="32"/>
      <c r="E564" s="32">
        <v>42530</v>
      </c>
      <c r="F564" s="44">
        <v>30000000</v>
      </c>
      <c r="G564" s="44">
        <v>2500000</v>
      </c>
      <c r="H564" s="44">
        <v>5000000</v>
      </c>
      <c r="I564" s="29"/>
      <c r="J564" s="3"/>
      <c r="K564" s="2"/>
      <c r="L564" s="152"/>
      <c r="M564" s="158"/>
      <c r="N564" s="152"/>
      <c r="O564" s="12"/>
      <c r="P564" s="13"/>
    </row>
    <row r="565" spans="1:16">
      <c r="A565" s="29">
        <f t="shared" si="72"/>
        <v>68</v>
      </c>
      <c r="B565" s="30" t="s">
        <v>185</v>
      </c>
      <c r="C565" s="31" t="s">
        <v>186</v>
      </c>
      <c r="D565" s="32"/>
      <c r="E565" s="32">
        <v>42543</v>
      </c>
      <c r="F565" s="44">
        <v>15000000</v>
      </c>
      <c r="G565" s="44">
        <v>2500000</v>
      </c>
      <c r="H565" s="44">
        <v>2500000</v>
      </c>
      <c r="I565" s="31" t="s">
        <v>1388</v>
      </c>
      <c r="J565" s="150"/>
      <c r="K565" s="3"/>
      <c r="L565" s="10"/>
      <c r="M565" s="151"/>
      <c r="N565" s="152"/>
      <c r="O565" s="12"/>
      <c r="P565" s="13"/>
    </row>
    <row r="566" spans="1:16">
      <c r="A566" s="29">
        <f t="shared" si="72"/>
        <v>69</v>
      </c>
      <c r="B566" s="30" t="s">
        <v>686</v>
      </c>
      <c r="C566" s="31" t="s">
        <v>687</v>
      </c>
      <c r="D566" s="32"/>
      <c r="E566" s="32">
        <v>42544</v>
      </c>
      <c r="F566" s="44">
        <v>10000000</v>
      </c>
      <c r="G566" s="44">
        <v>0</v>
      </c>
      <c r="H566" s="44">
        <v>0</v>
      </c>
      <c r="I566" s="29"/>
      <c r="J566" s="3"/>
      <c r="K566" s="3"/>
      <c r="L566" s="10"/>
      <c r="M566" s="158"/>
      <c r="N566" s="152"/>
      <c r="O566" s="12"/>
      <c r="P566" s="13"/>
    </row>
    <row r="567" spans="1:16">
      <c r="A567" s="29">
        <f t="shared" si="72"/>
        <v>70</v>
      </c>
      <c r="B567" s="30" t="s">
        <v>1133</v>
      </c>
      <c r="C567" s="31" t="s">
        <v>1134</v>
      </c>
      <c r="D567" s="32"/>
      <c r="E567" s="32">
        <v>42544</v>
      </c>
      <c r="F567" s="44">
        <v>7500000</v>
      </c>
      <c r="G567" s="44">
        <v>1250000</v>
      </c>
      <c r="H567" s="44">
        <v>1250000</v>
      </c>
      <c r="I567" s="31" t="s">
        <v>1389</v>
      </c>
      <c r="J567" s="150"/>
      <c r="K567" s="3"/>
      <c r="L567" s="10"/>
      <c r="M567" s="151"/>
      <c r="N567" s="152"/>
      <c r="O567" s="12"/>
      <c r="P567" s="13"/>
    </row>
    <row r="568" spans="1:16">
      <c r="A568" s="29">
        <f t="shared" si="72"/>
        <v>71</v>
      </c>
      <c r="B568" s="30" t="s">
        <v>1133</v>
      </c>
      <c r="C568" s="31" t="s">
        <v>1134</v>
      </c>
      <c r="D568" s="32"/>
      <c r="E568" s="32">
        <v>42544</v>
      </c>
      <c r="F568" s="44">
        <v>7500000</v>
      </c>
      <c r="G568" s="44">
        <v>1250000</v>
      </c>
      <c r="H568" s="44">
        <v>1250000</v>
      </c>
      <c r="I568" s="31" t="s">
        <v>1390</v>
      </c>
      <c r="J568" s="150"/>
      <c r="K568" s="3"/>
      <c r="L568" s="10"/>
      <c r="M568" s="151"/>
      <c r="N568" s="152"/>
      <c r="O568" s="12"/>
      <c r="P568" s="13"/>
    </row>
    <row r="569" spans="1:16">
      <c r="A569" s="29">
        <f t="shared" si="72"/>
        <v>72</v>
      </c>
      <c r="B569" s="30" t="s">
        <v>971</v>
      </c>
      <c r="C569" s="31" t="s">
        <v>972</v>
      </c>
      <c r="D569" s="32"/>
      <c r="E569" s="32">
        <v>42551</v>
      </c>
      <c r="F569" s="44">
        <v>8000000</v>
      </c>
      <c r="G569" s="44">
        <v>1000000</v>
      </c>
      <c r="H569" s="44">
        <v>1000000</v>
      </c>
      <c r="I569" s="31" t="s">
        <v>1391</v>
      </c>
      <c r="J569" s="150"/>
      <c r="K569" s="3"/>
      <c r="L569" s="10"/>
      <c r="M569" s="151"/>
      <c r="N569" s="152"/>
      <c r="O569" s="12"/>
      <c r="P569" s="13"/>
    </row>
    <row r="570" spans="1:16">
      <c r="A570" s="29">
        <f t="shared" si="72"/>
        <v>73</v>
      </c>
      <c r="B570" s="30" t="s">
        <v>1392</v>
      </c>
      <c r="C570" s="31" t="s">
        <v>1393</v>
      </c>
      <c r="D570" s="32"/>
      <c r="E570" s="32">
        <v>42563</v>
      </c>
      <c r="F570" s="171">
        <v>10536000</v>
      </c>
      <c r="G570" s="33">
        <v>0</v>
      </c>
      <c r="H570" s="33">
        <v>0</v>
      </c>
      <c r="I570" s="31" t="s">
        <v>1394</v>
      </c>
      <c r="J570" s="150"/>
      <c r="K570" s="2"/>
      <c r="L570" s="152"/>
      <c r="M570" s="151"/>
      <c r="N570" s="157"/>
      <c r="O570" s="12"/>
      <c r="P570" s="13"/>
    </row>
    <row r="571" spans="1:16">
      <c r="A571" s="29">
        <f t="shared" si="72"/>
        <v>74</v>
      </c>
      <c r="B571" s="30" t="s">
        <v>447</v>
      </c>
      <c r="C571" s="31" t="s">
        <v>448</v>
      </c>
      <c r="D571" s="32"/>
      <c r="E571" s="32">
        <v>42565</v>
      </c>
      <c r="F571" s="33">
        <v>6000000</v>
      </c>
      <c r="G571" s="33">
        <v>2000000</v>
      </c>
      <c r="H571" s="33">
        <v>2000000</v>
      </c>
      <c r="I571" s="29"/>
      <c r="J571" s="3"/>
      <c r="K571" s="2"/>
      <c r="L571" s="152"/>
      <c r="M571" s="158"/>
      <c r="N571" s="152"/>
      <c r="O571" s="12"/>
      <c r="P571" s="13"/>
    </row>
    <row r="572" spans="1:16">
      <c r="A572" s="29">
        <f t="shared" si="72"/>
        <v>75</v>
      </c>
      <c r="B572" s="30" t="s">
        <v>554</v>
      </c>
      <c r="C572" s="31" t="s">
        <v>555</v>
      </c>
      <c r="D572" s="32"/>
      <c r="E572" s="32">
        <v>42585</v>
      </c>
      <c r="F572" s="33">
        <v>8500000</v>
      </c>
      <c r="G572" s="33">
        <v>1500000</v>
      </c>
      <c r="H572" s="33">
        <v>1500000</v>
      </c>
      <c r="I572" s="31" t="s">
        <v>1395</v>
      </c>
      <c r="J572" s="150"/>
      <c r="K572" s="2"/>
      <c r="L572" s="152"/>
      <c r="M572" s="151"/>
      <c r="N572" s="152"/>
      <c r="O572" s="12"/>
      <c r="P572" s="13"/>
    </row>
    <row r="573" spans="1:16">
      <c r="A573" s="29">
        <f t="shared" si="72"/>
        <v>76</v>
      </c>
      <c r="B573" s="30" t="s">
        <v>554</v>
      </c>
      <c r="C573" s="31" t="s">
        <v>555</v>
      </c>
      <c r="D573" s="32"/>
      <c r="E573" s="32">
        <v>42585</v>
      </c>
      <c r="F573" s="33">
        <v>8500000</v>
      </c>
      <c r="G573" s="33">
        <v>1500000</v>
      </c>
      <c r="H573" s="33">
        <v>1500000</v>
      </c>
      <c r="I573" s="31" t="s">
        <v>1396</v>
      </c>
      <c r="J573" s="150"/>
      <c r="K573" s="2"/>
      <c r="L573" s="152"/>
      <c r="M573" s="151"/>
      <c r="N573" s="152"/>
      <c r="O573" s="12"/>
      <c r="P573" s="13"/>
    </row>
    <row r="574" spans="1:16">
      <c r="A574" s="29">
        <f t="shared" si="72"/>
        <v>77</v>
      </c>
      <c r="B574" s="30" t="s">
        <v>342</v>
      </c>
      <c r="C574" s="31" t="s">
        <v>343</v>
      </c>
      <c r="D574" s="32"/>
      <c r="E574" s="32">
        <v>42586</v>
      </c>
      <c r="F574" s="44">
        <f>5000000</f>
        <v>5000000</v>
      </c>
      <c r="G574" s="44">
        <v>500000</v>
      </c>
      <c r="H574" s="44">
        <v>500000</v>
      </c>
      <c r="I574" s="31" t="s">
        <v>1397</v>
      </c>
      <c r="J574" s="150"/>
      <c r="K574" s="2"/>
      <c r="L574" s="152"/>
      <c r="M574" s="151"/>
      <c r="N574" s="152"/>
      <c r="O574" s="12"/>
      <c r="P574" s="13"/>
    </row>
    <row r="575" spans="1:16">
      <c r="A575" s="29">
        <f t="shared" si="72"/>
        <v>78</v>
      </c>
      <c r="B575" s="30" t="s">
        <v>342</v>
      </c>
      <c r="C575" s="31" t="s">
        <v>343</v>
      </c>
      <c r="D575" s="32"/>
      <c r="E575" s="32">
        <v>42586</v>
      </c>
      <c r="F575" s="44">
        <f>5000000</f>
        <v>5000000</v>
      </c>
      <c r="G575" s="44">
        <v>500000</v>
      </c>
      <c r="H575" s="44">
        <v>500000</v>
      </c>
      <c r="I575" s="31" t="s">
        <v>1398</v>
      </c>
      <c r="J575" s="150"/>
      <c r="K575" s="2"/>
      <c r="L575" s="152"/>
      <c r="M575" s="151"/>
      <c r="N575" s="152"/>
      <c r="O575" s="12"/>
      <c r="P575" s="13"/>
    </row>
    <row r="576" spans="1:16">
      <c r="A576" s="29">
        <f t="shared" si="72"/>
        <v>79</v>
      </c>
      <c r="B576" s="30" t="s">
        <v>400</v>
      </c>
      <c r="C576" s="31" t="s">
        <v>401</v>
      </c>
      <c r="D576" s="32"/>
      <c r="E576" s="32">
        <v>42587</v>
      </c>
      <c r="F576" s="44">
        <v>20000000</v>
      </c>
      <c r="G576" s="44">
        <v>10000000</v>
      </c>
      <c r="H576" s="44">
        <v>5000000</v>
      </c>
      <c r="I576" s="31" t="s">
        <v>1399</v>
      </c>
      <c r="J576" s="150"/>
      <c r="K576" s="2"/>
      <c r="L576" s="152"/>
      <c r="M576" s="151"/>
      <c r="N576" s="152"/>
      <c r="O576" s="12"/>
      <c r="P576" s="13"/>
    </row>
    <row r="577" spans="1:16">
      <c r="A577" s="29">
        <f t="shared" si="72"/>
        <v>80</v>
      </c>
      <c r="B577" s="30" t="s">
        <v>1021</v>
      </c>
      <c r="C577" s="31" t="s">
        <v>1022</v>
      </c>
      <c r="D577" s="32"/>
      <c r="E577" s="32">
        <v>42593</v>
      </c>
      <c r="F577" s="33">
        <v>5000000</v>
      </c>
      <c r="G577" s="33">
        <v>1250000</v>
      </c>
      <c r="H577" s="33">
        <v>1250000</v>
      </c>
      <c r="I577" s="31"/>
      <c r="J577" s="150"/>
      <c r="K577" s="2"/>
      <c r="L577" s="152"/>
      <c r="M577" s="151"/>
      <c r="N577" s="152"/>
      <c r="O577" s="12"/>
      <c r="P577" s="13"/>
    </row>
    <row r="578" spans="1:16">
      <c r="A578" s="29">
        <f t="shared" si="72"/>
        <v>81</v>
      </c>
      <c r="B578" s="30" t="s">
        <v>1021</v>
      </c>
      <c r="C578" s="31" t="s">
        <v>1022</v>
      </c>
      <c r="D578" s="32"/>
      <c r="E578" s="32">
        <v>42593</v>
      </c>
      <c r="F578" s="33">
        <v>5000000</v>
      </c>
      <c r="G578" s="33">
        <v>1250000</v>
      </c>
      <c r="H578" s="33">
        <v>1250000</v>
      </c>
      <c r="I578" s="29"/>
      <c r="J578" s="3"/>
      <c r="K578" s="2"/>
      <c r="L578" s="152"/>
      <c r="M578" s="158"/>
      <c r="N578" s="152"/>
      <c r="O578" s="12"/>
      <c r="P578" s="13"/>
    </row>
    <row r="579" spans="1:16">
      <c r="A579" s="29">
        <f t="shared" si="72"/>
        <v>82</v>
      </c>
      <c r="B579" s="30" t="s">
        <v>372</v>
      </c>
      <c r="C579" s="31" t="s">
        <v>373</v>
      </c>
      <c r="D579" s="32"/>
      <c r="E579" s="32">
        <v>42608</v>
      </c>
      <c r="F579" s="34">
        <v>35000000</v>
      </c>
      <c r="G579" s="33">
        <v>0</v>
      </c>
      <c r="H579" s="33">
        <v>5000000</v>
      </c>
      <c r="I579" s="31" t="s">
        <v>1400</v>
      </c>
      <c r="J579" s="150"/>
      <c r="K579" s="3"/>
      <c r="L579" s="10"/>
      <c r="M579" s="10"/>
    </row>
    <row r="580" spans="1:16">
      <c r="A580" s="29">
        <f t="shared" si="72"/>
        <v>83</v>
      </c>
      <c r="B580" s="30" t="s">
        <v>488</v>
      </c>
      <c r="C580" s="31" t="s">
        <v>489</v>
      </c>
      <c r="D580" s="32"/>
      <c r="E580" s="32">
        <v>42608</v>
      </c>
      <c r="F580" s="34">
        <v>7500000</v>
      </c>
      <c r="G580" s="33">
        <v>0</v>
      </c>
      <c r="H580" s="33">
        <v>0</v>
      </c>
      <c r="I580" s="31" t="s">
        <v>1401</v>
      </c>
      <c r="J580" s="150"/>
      <c r="K580" s="3"/>
      <c r="L580" s="10"/>
      <c r="M580" s="10"/>
    </row>
    <row r="581" spans="1:16">
      <c r="A581" s="29">
        <f t="shared" si="72"/>
        <v>84</v>
      </c>
      <c r="B581" s="30" t="s">
        <v>488</v>
      </c>
      <c r="C581" s="31" t="s">
        <v>489</v>
      </c>
      <c r="D581" s="32"/>
      <c r="E581" s="32">
        <v>42608</v>
      </c>
      <c r="F581" s="34">
        <v>7500000</v>
      </c>
      <c r="G581" s="33"/>
      <c r="H581" s="33"/>
      <c r="I581" s="31" t="s">
        <v>1402</v>
      </c>
      <c r="J581" s="150"/>
      <c r="K581" s="3"/>
      <c r="L581" s="10"/>
      <c r="M581" s="10"/>
    </row>
    <row r="582" spans="1:16">
      <c r="A582" s="29">
        <f t="shared" si="72"/>
        <v>85</v>
      </c>
      <c r="B582" s="30" t="s">
        <v>397</v>
      </c>
      <c r="C582" s="31" t="s">
        <v>398</v>
      </c>
      <c r="D582" s="32"/>
      <c r="E582" s="32">
        <v>42639</v>
      </c>
      <c r="F582" s="34">
        <v>50000000</v>
      </c>
      <c r="G582" s="34">
        <v>0</v>
      </c>
      <c r="H582" s="34">
        <v>0</v>
      </c>
      <c r="I582" s="31"/>
      <c r="J582" s="150"/>
      <c r="K582" s="3"/>
      <c r="L582" s="10"/>
      <c r="M582" s="10"/>
      <c r="N582" s="14"/>
      <c r="O582" s="14"/>
      <c r="P582" s="14"/>
    </row>
    <row r="583" spans="1:16">
      <c r="A583" s="29">
        <f t="shared" si="72"/>
        <v>86</v>
      </c>
      <c r="B583" s="30" t="s">
        <v>235</v>
      </c>
      <c r="C583" s="31" t="s">
        <v>236</v>
      </c>
      <c r="D583" s="32"/>
      <c r="E583" s="32">
        <v>42639</v>
      </c>
      <c r="F583" s="34">
        <v>10000000</v>
      </c>
      <c r="G583" s="34">
        <v>0</v>
      </c>
      <c r="H583" s="34">
        <v>0</v>
      </c>
      <c r="I583" s="31" t="s">
        <v>1403</v>
      </c>
      <c r="J583" s="150"/>
      <c r="K583" s="3"/>
      <c r="L583" s="10"/>
      <c r="M583" s="10"/>
      <c r="N583" s="14"/>
      <c r="O583" s="14"/>
      <c r="P583" s="14"/>
    </row>
    <row r="584" spans="1:16">
      <c r="A584" s="29">
        <f t="shared" si="72"/>
        <v>87</v>
      </c>
      <c r="B584" s="30" t="s">
        <v>917</v>
      </c>
      <c r="C584" s="31" t="s">
        <v>918</v>
      </c>
      <c r="D584" s="32"/>
      <c r="E584" s="32">
        <v>42639</v>
      </c>
      <c r="F584" s="34">
        <v>5000000</v>
      </c>
      <c r="G584" s="34">
        <v>5000000</v>
      </c>
      <c r="H584" s="34">
        <v>5000000</v>
      </c>
      <c r="I584" s="31" t="s">
        <v>1404</v>
      </c>
      <c r="J584" s="150"/>
      <c r="K584" s="3"/>
      <c r="L584" s="10"/>
      <c r="M584" s="10"/>
      <c r="N584" s="14"/>
      <c r="O584" s="14"/>
      <c r="P584" s="14"/>
    </row>
    <row r="585" spans="1:16">
      <c r="A585" s="29">
        <f t="shared" si="72"/>
        <v>88</v>
      </c>
      <c r="B585" s="30" t="s">
        <v>312</v>
      </c>
      <c r="C585" s="31" t="s">
        <v>313</v>
      </c>
      <c r="D585" s="32"/>
      <c r="E585" s="32">
        <v>42639</v>
      </c>
      <c r="F585" s="34">
        <v>20000000</v>
      </c>
      <c r="G585" s="34">
        <v>5000000</v>
      </c>
      <c r="H585" s="34">
        <v>5000000</v>
      </c>
      <c r="I585" s="31" t="s">
        <v>1405</v>
      </c>
      <c r="J585" s="150"/>
      <c r="K585" s="3"/>
      <c r="L585" s="10"/>
      <c r="M585" s="10"/>
      <c r="N585" s="14"/>
      <c r="O585" s="14"/>
      <c r="P585" s="14"/>
    </row>
    <row r="586" spans="1:16">
      <c r="A586" s="29">
        <f t="shared" si="72"/>
        <v>89</v>
      </c>
      <c r="B586" s="30" t="s">
        <v>466</v>
      </c>
      <c r="C586" s="31" t="s">
        <v>467</v>
      </c>
      <c r="D586" s="32"/>
      <c r="E586" s="32">
        <v>42642</v>
      </c>
      <c r="F586" s="34">
        <v>20000000</v>
      </c>
      <c r="G586" s="34">
        <v>0</v>
      </c>
      <c r="H586" s="34">
        <v>0</v>
      </c>
      <c r="I586" s="31"/>
      <c r="J586" s="150"/>
      <c r="K586" s="3"/>
      <c r="L586" s="10"/>
      <c r="M586" s="10"/>
      <c r="N586" s="14"/>
      <c r="O586" s="14"/>
      <c r="P586" s="14"/>
    </row>
    <row r="587" spans="1:16">
      <c r="A587" s="29">
        <f t="shared" si="72"/>
        <v>90</v>
      </c>
      <c r="B587" s="30" t="s">
        <v>383</v>
      </c>
      <c r="C587" s="31" t="s">
        <v>384</v>
      </c>
      <c r="D587" s="32"/>
      <c r="E587" s="32">
        <v>42669</v>
      </c>
      <c r="F587" s="34">
        <v>10000000</v>
      </c>
      <c r="G587" s="34">
        <v>1000000</v>
      </c>
      <c r="H587" s="34">
        <v>1500000</v>
      </c>
      <c r="I587" s="31" t="s">
        <v>1406</v>
      </c>
      <c r="J587" s="150"/>
      <c r="K587" s="3"/>
      <c r="L587" s="10"/>
      <c r="M587" s="10"/>
      <c r="N587" s="14"/>
      <c r="O587" s="14"/>
      <c r="P587" s="14"/>
    </row>
    <row r="588" spans="1:16">
      <c r="A588" s="29">
        <f t="shared" si="72"/>
        <v>91</v>
      </c>
      <c r="B588" s="30" t="s">
        <v>383</v>
      </c>
      <c r="C588" s="31" t="s">
        <v>384</v>
      </c>
      <c r="D588" s="32"/>
      <c r="E588" s="32">
        <v>42669</v>
      </c>
      <c r="F588" s="34">
        <v>10000000</v>
      </c>
      <c r="G588" s="34">
        <v>1000000</v>
      </c>
      <c r="H588" s="34">
        <v>1500000</v>
      </c>
      <c r="I588" s="31" t="s">
        <v>1407</v>
      </c>
      <c r="J588" s="150"/>
      <c r="K588" s="3"/>
      <c r="L588" s="10"/>
      <c r="M588" s="10"/>
      <c r="N588" s="14"/>
      <c r="O588" s="14"/>
      <c r="P588" s="14"/>
    </row>
    <row r="589" spans="1:16">
      <c r="A589" s="29">
        <f t="shared" si="72"/>
        <v>92</v>
      </c>
      <c r="B589" s="30" t="s">
        <v>734</v>
      </c>
      <c r="C589" s="31" t="s">
        <v>735</v>
      </c>
      <c r="D589" s="32"/>
      <c r="E589" s="32">
        <v>42669</v>
      </c>
      <c r="F589" s="33">
        <v>15000000</v>
      </c>
      <c r="G589" s="33">
        <v>7500000</v>
      </c>
      <c r="H589" s="33">
        <v>7500000</v>
      </c>
      <c r="I589" s="31" t="s">
        <v>1408</v>
      </c>
      <c r="J589" s="150"/>
      <c r="K589" s="3"/>
      <c r="L589" s="10"/>
      <c r="M589" s="10"/>
      <c r="N589" s="14"/>
      <c r="O589" s="14"/>
      <c r="P589" s="14"/>
    </row>
    <row r="590" spans="1:16">
      <c r="A590" s="29">
        <f t="shared" si="72"/>
        <v>93</v>
      </c>
      <c r="B590" s="30" t="s">
        <v>1151</v>
      </c>
      <c r="C590" s="31" t="s">
        <v>1152</v>
      </c>
      <c r="D590" s="32"/>
      <c r="E590" s="32">
        <v>42670</v>
      </c>
      <c r="F590" s="33">
        <v>5000000</v>
      </c>
      <c r="G590" s="33">
        <v>2500000</v>
      </c>
      <c r="H590" s="33">
        <v>2500000</v>
      </c>
      <c r="I590" s="31" t="s">
        <v>1409</v>
      </c>
      <c r="J590" s="150"/>
      <c r="K590" s="3"/>
      <c r="L590" s="10"/>
      <c r="M590" s="10"/>
      <c r="N590" s="14"/>
      <c r="O590" s="14"/>
      <c r="P590" s="14"/>
    </row>
    <row r="591" spans="1:16">
      <c r="A591" s="29">
        <f t="shared" si="72"/>
        <v>94</v>
      </c>
      <c r="B591" s="30" t="s">
        <v>149</v>
      </c>
      <c r="C591" s="31" t="s">
        <v>150</v>
      </c>
      <c r="D591" s="43" t="s">
        <v>151</v>
      </c>
      <c r="E591" s="32">
        <v>42699</v>
      </c>
      <c r="F591" s="83">
        <v>12000000</v>
      </c>
      <c r="G591" s="34">
        <v>0</v>
      </c>
      <c r="H591" s="34">
        <v>0</v>
      </c>
      <c r="I591" s="31" t="s">
        <v>1410</v>
      </c>
      <c r="J591" s="150"/>
      <c r="K591" s="3"/>
      <c r="L591" s="10"/>
      <c r="M591" s="10"/>
      <c r="N591" s="14"/>
      <c r="O591" s="14"/>
      <c r="P591" s="14"/>
    </row>
    <row r="592" spans="1:16">
      <c r="A592" s="29">
        <f t="shared" si="72"/>
        <v>95</v>
      </c>
      <c r="B592" s="30" t="s">
        <v>40</v>
      </c>
      <c r="C592" s="31" t="s">
        <v>41</v>
      </c>
      <c r="D592" s="43" t="s">
        <v>42</v>
      </c>
      <c r="E592" s="32">
        <v>42702</v>
      </c>
      <c r="F592" s="33">
        <v>10000000</v>
      </c>
      <c r="G592" s="33">
        <v>0</v>
      </c>
      <c r="H592" s="33">
        <v>0</v>
      </c>
      <c r="I592" s="31" t="s">
        <v>1411</v>
      </c>
      <c r="J592" s="150"/>
      <c r="K592" s="3"/>
      <c r="L592" s="10"/>
      <c r="M592" s="10"/>
      <c r="N592" s="14"/>
      <c r="O592" s="14"/>
      <c r="P592" s="14"/>
    </row>
    <row r="593" spans="1:16">
      <c r="A593" s="29">
        <f t="shared" si="72"/>
        <v>96</v>
      </c>
      <c r="B593" s="30" t="s">
        <v>36</v>
      </c>
      <c r="C593" s="31" t="s">
        <v>37</v>
      </c>
      <c r="D593" s="43" t="s">
        <v>38</v>
      </c>
      <c r="E593" s="32">
        <v>42706</v>
      </c>
      <c r="F593" s="34">
        <v>8000000</v>
      </c>
      <c r="G593" s="34">
        <f>2000000</f>
        <v>2000000</v>
      </c>
      <c r="H593" s="34">
        <f>2000000</f>
        <v>2000000</v>
      </c>
      <c r="I593" s="174" t="s">
        <v>1412</v>
      </c>
      <c r="J593" s="175"/>
      <c r="K593" s="3"/>
      <c r="L593" s="10"/>
      <c r="M593" s="10"/>
      <c r="N593" s="14"/>
      <c r="O593" s="14"/>
      <c r="P593" s="14"/>
    </row>
    <row r="594" spans="1:16">
      <c r="A594" s="29">
        <f t="shared" si="72"/>
        <v>97</v>
      </c>
      <c r="B594" s="30" t="s">
        <v>58</v>
      </c>
      <c r="C594" s="31" t="s">
        <v>59</v>
      </c>
      <c r="D594" s="43" t="s">
        <v>60</v>
      </c>
      <c r="E594" s="32">
        <v>42705</v>
      </c>
      <c r="F594" s="34">
        <v>16500000</v>
      </c>
      <c r="G594" s="34">
        <v>0</v>
      </c>
      <c r="H594" s="34">
        <v>0</v>
      </c>
      <c r="I594" s="174" t="s">
        <v>1413</v>
      </c>
      <c r="J594" s="175"/>
      <c r="K594" s="3"/>
      <c r="L594" s="10"/>
      <c r="M594" s="10"/>
      <c r="N594" s="14"/>
      <c r="O594" s="14"/>
      <c r="P594" s="14"/>
    </row>
    <row r="595" spans="1:16">
      <c r="A595" s="29">
        <f t="shared" si="72"/>
        <v>98</v>
      </c>
      <c r="B595" s="30" t="s">
        <v>688</v>
      </c>
      <c r="C595" s="31" t="s">
        <v>689</v>
      </c>
      <c r="D595" s="43" t="s">
        <v>690</v>
      </c>
      <c r="E595" s="32">
        <v>42720</v>
      </c>
      <c r="F595" s="34">
        <v>5000000</v>
      </c>
      <c r="G595" s="34">
        <v>2500000</v>
      </c>
      <c r="H595" s="34">
        <v>2500000</v>
      </c>
      <c r="I595" s="174" t="s">
        <v>1414</v>
      </c>
      <c r="J595" s="175"/>
      <c r="K595" s="3"/>
      <c r="L595" s="10"/>
      <c r="M595" s="10"/>
      <c r="N595" s="2"/>
      <c r="O595" s="2"/>
      <c r="P595" s="2"/>
    </row>
    <row r="596" spans="1:16">
      <c r="A596" s="29">
        <f t="shared" si="72"/>
        <v>99</v>
      </c>
      <c r="B596" s="30" t="s">
        <v>62</v>
      </c>
      <c r="C596" s="31" t="s">
        <v>63</v>
      </c>
      <c r="D596" s="31" t="s">
        <v>63</v>
      </c>
      <c r="E596" s="32">
        <v>42740</v>
      </c>
      <c r="F596" s="34">
        <v>12500000</v>
      </c>
      <c r="G596" s="34">
        <v>1250000</v>
      </c>
      <c r="H596" s="34">
        <v>1250000</v>
      </c>
      <c r="I596" s="174" t="s">
        <v>1415</v>
      </c>
      <c r="J596" s="175"/>
      <c r="K596" s="3"/>
      <c r="L596" s="10"/>
      <c r="M596" s="10"/>
      <c r="N596" s="14"/>
      <c r="O596" s="14"/>
      <c r="P596" s="14"/>
    </row>
    <row r="597" spans="1:16">
      <c r="A597" s="29">
        <f t="shared" si="72"/>
        <v>100</v>
      </c>
      <c r="B597" s="30" t="s">
        <v>62</v>
      </c>
      <c r="C597" s="31" t="s">
        <v>63</v>
      </c>
      <c r="D597" s="31" t="s">
        <v>63</v>
      </c>
      <c r="E597" s="32">
        <v>42740</v>
      </c>
      <c r="F597" s="34">
        <v>12500000</v>
      </c>
      <c r="G597" s="34">
        <v>1250000</v>
      </c>
      <c r="H597" s="34">
        <v>1250000</v>
      </c>
      <c r="I597" s="174"/>
      <c r="J597" s="175"/>
      <c r="K597" s="3"/>
      <c r="L597" s="10"/>
      <c r="M597" s="10"/>
      <c r="N597" s="14"/>
      <c r="O597" s="14"/>
      <c r="P597" s="14"/>
    </row>
    <row r="598" spans="1:16">
      <c r="A598" s="29">
        <f t="shared" si="72"/>
        <v>101</v>
      </c>
      <c r="B598" s="30" t="s">
        <v>794</v>
      </c>
      <c r="C598" s="31" t="s">
        <v>795</v>
      </c>
      <c r="D598" s="43" t="s">
        <v>796</v>
      </c>
      <c r="E598" s="32">
        <v>42738</v>
      </c>
      <c r="F598" s="34">
        <v>20000000</v>
      </c>
      <c r="G598" s="34">
        <v>0</v>
      </c>
      <c r="H598" s="34">
        <v>0</v>
      </c>
      <c r="I598" s="174" t="s">
        <v>1416</v>
      </c>
      <c r="J598" s="175"/>
      <c r="K598" s="3"/>
      <c r="L598" s="10"/>
      <c r="M598" s="10"/>
      <c r="N598" s="14"/>
      <c r="O598" s="14"/>
      <c r="P598" s="14"/>
    </row>
    <row r="599" spans="1:16">
      <c r="A599" s="29">
        <f t="shared" si="72"/>
        <v>102</v>
      </c>
      <c r="B599" s="30" t="s">
        <v>1162</v>
      </c>
      <c r="C599" s="31" t="s">
        <v>1163</v>
      </c>
      <c r="D599" s="43" t="s">
        <v>1164</v>
      </c>
      <c r="E599" s="32">
        <v>42765</v>
      </c>
      <c r="F599" s="34">
        <v>7500000</v>
      </c>
      <c r="G599" s="34">
        <v>2500000</v>
      </c>
      <c r="H599" s="34">
        <v>2500000</v>
      </c>
      <c r="I599" s="174" t="s">
        <v>1417</v>
      </c>
      <c r="J599" s="175"/>
      <c r="K599" s="3"/>
      <c r="L599" s="10"/>
      <c r="M599" s="10"/>
      <c r="N599" s="14"/>
      <c r="O599" s="14"/>
      <c r="P599" s="14"/>
    </row>
    <row r="600" spans="1:16">
      <c r="A600" s="29">
        <f t="shared" si="72"/>
        <v>103</v>
      </c>
      <c r="B600" s="30" t="s">
        <v>1162</v>
      </c>
      <c r="C600" s="31" t="s">
        <v>1163</v>
      </c>
      <c r="D600" s="43" t="s">
        <v>1164</v>
      </c>
      <c r="E600" s="32">
        <v>42765</v>
      </c>
      <c r="F600" s="34">
        <v>7500000</v>
      </c>
      <c r="G600" s="34">
        <v>2500000</v>
      </c>
      <c r="H600" s="34">
        <v>2500000</v>
      </c>
      <c r="I600" s="174" t="s">
        <v>1418</v>
      </c>
      <c r="J600" s="175"/>
      <c r="K600" s="3"/>
      <c r="L600" s="10"/>
      <c r="M600" s="10"/>
      <c r="N600" s="14"/>
      <c r="O600" s="14"/>
      <c r="P600" s="14"/>
    </row>
    <row r="601" spans="1:16">
      <c r="A601" s="29">
        <f t="shared" si="72"/>
        <v>104</v>
      </c>
      <c r="B601" s="30" t="s">
        <v>931</v>
      </c>
      <c r="C601" s="31" t="s">
        <v>932</v>
      </c>
      <c r="D601" s="43" t="s">
        <v>933</v>
      </c>
      <c r="E601" s="32">
        <v>42780</v>
      </c>
      <c r="F601" s="34">
        <v>10000000</v>
      </c>
      <c r="G601" s="34">
        <v>1250000</v>
      </c>
      <c r="H601" s="34">
        <v>1250000</v>
      </c>
      <c r="I601" s="174" t="s">
        <v>1419</v>
      </c>
      <c r="J601" s="175"/>
      <c r="K601" s="3"/>
      <c r="L601" s="10"/>
      <c r="M601" s="10"/>
      <c r="N601" s="14"/>
      <c r="O601" s="14"/>
      <c r="P601" s="14"/>
    </row>
    <row r="602" spans="1:16">
      <c r="A602" s="29">
        <f t="shared" si="72"/>
        <v>105</v>
      </c>
      <c r="B602" s="30" t="s">
        <v>931</v>
      </c>
      <c r="C602" s="31" t="s">
        <v>932</v>
      </c>
      <c r="D602" s="43" t="s">
        <v>933</v>
      </c>
      <c r="E602" s="32">
        <v>42780</v>
      </c>
      <c r="F602" s="34">
        <v>10000000</v>
      </c>
      <c r="G602" s="34">
        <v>1250000</v>
      </c>
      <c r="H602" s="34">
        <v>1250000</v>
      </c>
      <c r="I602" s="174" t="s">
        <v>1419</v>
      </c>
      <c r="J602" s="175"/>
      <c r="K602" s="3"/>
      <c r="L602" s="10"/>
      <c r="M602" s="10"/>
      <c r="N602" s="14"/>
      <c r="O602" s="14"/>
      <c r="P602" s="14"/>
    </row>
    <row r="603" spans="1:16">
      <c r="A603" s="29">
        <f t="shared" si="72"/>
        <v>106</v>
      </c>
      <c r="B603" s="30" t="s">
        <v>721</v>
      </c>
      <c r="C603" s="31" t="s">
        <v>722</v>
      </c>
      <c r="D603" s="43" t="s">
        <v>723</v>
      </c>
      <c r="E603" s="32">
        <v>42802</v>
      </c>
      <c r="F603" s="34">
        <v>15000000</v>
      </c>
      <c r="G603" s="34">
        <v>2500000</v>
      </c>
      <c r="H603" s="34">
        <v>2500000</v>
      </c>
      <c r="I603" s="174" t="s">
        <v>1420</v>
      </c>
      <c r="J603" s="175"/>
      <c r="K603" s="3"/>
      <c r="L603" s="10"/>
      <c r="M603" s="10"/>
      <c r="N603" s="14"/>
      <c r="O603" s="14"/>
      <c r="P603" s="14"/>
    </row>
    <row r="604" spans="1:16">
      <c r="A604" s="29">
        <f t="shared" si="72"/>
        <v>107</v>
      </c>
      <c r="B604" s="30" t="s">
        <v>700</v>
      </c>
      <c r="C604" s="31" t="s">
        <v>701</v>
      </c>
      <c r="D604" s="43" t="s">
        <v>702</v>
      </c>
      <c r="E604" s="32">
        <v>42823</v>
      </c>
      <c r="F604" s="34">
        <v>0</v>
      </c>
      <c r="G604" s="34">
        <v>5000000</v>
      </c>
      <c r="H604" s="34">
        <v>5000000</v>
      </c>
      <c r="I604" s="174" t="s">
        <v>1421</v>
      </c>
      <c r="J604" s="175"/>
      <c r="K604" s="3"/>
      <c r="L604" s="10"/>
      <c r="M604" s="10"/>
      <c r="N604" s="14"/>
      <c r="O604" s="14"/>
      <c r="P604" s="14"/>
    </row>
    <row r="605" spans="1:16">
      <c r="A605" s="29">
        <f t="shared" si="72"/>
        <v>108</v>
      </c>
      <c r="B605" s="30" t="s">
        <v>1422</v>
      </c>
      <c r="C605" s="31" t="s">
        <v>1423</v>
      </c>
      <c r="D605" s="43" t="s">
        <v>1424</v>
      </c>
      <c r="E605" s="32">
        <v>42825</v>
      </c>
      <c r="F605" s="176" t="s">
        <v>1425</v>
      </c>
      <c r="G605" s="34">
        <v>10000000</v>
      </c>
      <c r="H605" s="34">
        <v>10000000</v>
      </c>
      <c r="I605" s="174" t="s">
        <v>1426</v>
      </c>
      <c r="J605" s="175"/>
      <c r="K605" s="3"/>
      <c r="L605" s="10"/>
      <c r="M605" s="10"/>
      <c r="N605" s="14"/>
      <c r="O605" s="14"/>
      <c r="P605" s="14"/>
    </row>
    <row r="606" spans="1:16">
      <c r="A606" s="29">
        <f t="shared" si="72"/>
        <v>109</v>
      </c>
      <c r="B606" s="30" t="s">
        <v>610</v>
      </c>
      <c r="C606" s="31" t="s">
        <v>611</v>
      </c>
      <c r="D606" s="31"/>
      <c r="E606" s="32">
        <v>42647</v>
      </c>
      <c r="F606" s="44">
        <v>20000000</v>
      </c>
      <c r="G606" s="115">
        <v>0</v>
      </c>
      <c r="H606" s="115">
        <v>0</v>
      </c>
      <c r="I606" s="174"/>
      <c r="J606" s="14"/>
      <c r="K606" s="3"/>
      <c r="L606" s="10"/>
      <c r="M606" s="10"/>
      <c r="N606" s="14"/>
      <c r="O606" s="14"/>
      <c r="P606" s="14"/>
    </row>
    <row r="607" spans="1:16">
      <c r="A607" s="29">
        <f t="shared" si="72"/>
        <v>110</v>
      </c>
      <c r="B607" s="30" t="s">
        <v>352</v>
      </c>
      <c r="C607" s="31" t="s">
        <v>349</v>
      </c>
      <c r="D607" s="43" t="s">
        <v>357</v>
      </c>
      <c r="E607" s="32">
        <v>42853</v>
      </c>
      <c r="F607" s="34">
        <f>25000000</f>
        <v>25000000</v>
      </c>
      <c r="G607" s="34">
        <v>6250000</v>
      </c>
      <c r="H607" s="34">
        <v>6250000</v>
      </c>
      <c r="I607" s="174" t="s">
        <v>1427</v>
      </c>
      <c r="J607" s="14"/>
      <c r="K607" s="14"/>
      <c r="L607" s="14"/>
      <c r="M607" s="14"/>
      <c r="N607" s="14"/>
      <c r="O607" s="14"/>
      <c r="P607" s="14"/>
    </row>
    <row r="608" spans="1:16">
      <c r="A608" s="29">
        <f t="shared" si="72"/>
        <v>111</v>
      </c>
      <c r="B608" s="30" t="s">
        <v>352</v>
      </c>
      <c r="C608" s="31" t="s">
        <v>349</v>
      </c>
      <c r="D608" s="43" t="s">
        <v>357</v>
      </c>
      <c r="E608" s="32">
        <v>42853</v>
      </c>
      <c r="F608" s="34">
        <f>25000000</f>
        <v>25000000</v>
      </c>
      <c r="G608" s="34">
        <v>6250000</v>
      </c>
      <c r="H608" s="34">
        <v>6250000</v>
      </c>
      <c r="I608" s="174" t="s">
        <v>1427</v>
      </c>
      <c r="J608" s="14"/>
      <c r="K608" s="14"/>
      <c r="L608" s="14"/>
      <c r="M608" s="14"/>
      <c r="N608" s="14"/>
      <c r="O608" s="14"/>
      <c r="P608" s="14"/>
    </row>
    <row r="609" spans="1:16">
      <c r="A609" s="29">
        <f t="shared" si="72"/>
        <v>112</v>
      </c>
      <c r="B609" s="30" t="s">
        <v>888</v>
      </c>
      <c r="C609" s="31" t="s">
        <v>889</v>
      </c>
      <c r="D609" s="43" t="s">
        <v>890</v>
      </c>
      <c r="E609" s="32">
        <v>42860</v>
      </c>
      <c r="F609" s="34">
        <v>7500000</v>
      </c>
      <c r="G609" s="34">
        <v>3500000</v>
      </c>
      <c r="H609" s="34">
        <v>2500000</v>
      </c>
      <c r="I609" s="174" t="s">
        <v>1428</v>
      </c>
    </row>
    <row r="610" spans="1:16">
      <c r="A610" s="29">
        <f t="shared" si="72"/>
        <v>113</v>
      </c>
      <c r="B610" s="30" t="s">
        <v>888</v>
      </c>
      <c r="C610" s="31" t="s">
        <v>889</v>
      </c>
      <c r="D610" s="43" t="s">
        <v>890</v>
      </c>
      <c r="E610" s="32">
        <v>42860</v>
      </c>
      <c r="F610" s="34">
        <v>7500000</v>
      </c>
      <c r="G610" s="34">
        <v>3500000</v>
      </c>
      <c r="H610" s="34">
        <v>2500000</v>
      </c>
      <c r="I610" s="174" t="s">
        <v>1429</v>
      </c>
    </row>
    <row r="611" spans="1:16">
      <c r="A611" s="29">
        <f t="shared" si="72"/>
        <v>114</v>
      </c>
      <c r="B611" s="30" t="s">
        <v>967</v>
      </c>
      <c r="C611" s="31" t="s">
        <v>968</v>
      </c>
      <c r="D611" s="31" t="s">
        <v>969</v>
      </c>
      <c r="E611" s="32">
        <v>42860</v>
      </c>
      <c r="F611" s="34">
        <v>15000000</v>
      </c>
      <c r="G611" s="34">
        <v>0</v>
      </c>
      <c r="H611" s="34">
        <v>0</v>
      </c>
      <c r="I611" s="174" t="s">
        <v>1430</v>
      </c>
    </row>
    <row r="612" spans="1:16">
      <c r="A612" s="29">
        <f t="shared" si="72"/>
        <v>115</v>
      </c>
      <c r="B612" s="30" t="s">
        <v>181</v>
      </c>
      <c r="C612" s="31" t="s">
        <v>182</v>
      </c>
      <c r="D612" s="31" t="s">
        <v>183</v>
      </c>
      <c r="E612" s="32">
        <v>42865</v>
      </c>
      <c r="F612" s="34">
        <v>5000000</v>
      </c>
      <c r="G612" s="34">
        <v>0</v>
      </c>
      <c r="H612" s="34">
        <v>2500000</v>
      </c>
      <c r="I612" s="174" t="s">
        <v>1431</v>
      </c>
    </row>
    <row r="613" spans="1:16">
      <c r="A613" s="29">
        <f t="shared" si="72"/>
        <v>116</v>
      </c>
      <c r="B613" s="30" t="s">
        <v>181</v>
      </c>
      <c r="C613" s="31" t="s">
        <v>182</v>
      </c>
      <c r="D613" s="31" t="s">
        <v>183</v>
      </c>
      <c r="E613" s="32">
        <v>42865</v>
      </c>
      <c r="F613" s="34">
        <v>5000000</v>
      </c>
      <c r="G613" s="34">
        <v>0</v>
      </c>
      <c r="H613" s="34">
        <v>2500000</v>
      </c>
      <c r="I613" s="174" t="s">
        <v>1432</v>
      </c>
    </row>
    <row r="614" spans="1:16">
      <c r="A614" s="29">
        <f t="shared" si="72"/>
        <v>117</v>
      </c>
      <c r="B614" s="30" t="s">
        <v>753</v>
      </c>
      <c r="C614" s="31" t="s">
        <v>754</v>
      </c>
      <c r="D614" s="31" t="s">
        <v>755</v>
      </c>
      <c r="E614" s="32">
        <v>42867</v>
      </c>
      <c r="F614" s="34">
        <v>10000000</v>
      </c>
      <c r="G614" s="34">
        <v>2000000</v>
      </c>
      <c r="H614" s="34">
        <v>3000000</v>
      </c>
      <c r="I614" s="174" t="s">
        <v>1433</v>
      </c>
    </row>
    <row r="615" spans="1:16">
      <c r="A615" s="29">
        <f t="shared" si="72"/>
        <v>118</v>
      </c>
      <c r="B615" s="30" t="s">
        <v>620</v>
      </c>
      <c r="C615" s="31" t="s">
        <v>621</v>
      </c>
      <c r="D615" s="43" t="s">
        <v>624</v>
      </c>
      <c r="E615" s="32">
        <v>42867</v>
      </c>
      <c r="F615" s="34">
        <v>4500000</v>
      </c>
      <c r="G615" s="34">
        <v>750000</v>
      </c>
      <c r="H615" s="34">
        <v>750000</v>
      </c>
      <c r="I615" s="174" t="s">
        <v>1434</v>
      </c>
    </row>
    <row r="616" spans="1:16">
      <c r="A616" s="29">
        <f t="shared" si="72"/>
        <v>119</v>
      </c>
      <c r="B616" s="30" t="s">
        <v>620</v>
      </c>
      <c r="C616" s="31" t="s">
        <v>621</v>
      </c>
      <c r="D616" s="43" t="s">
        <v>624</v>
      </c>
      <c r="E616" s="32">
        <v>42867</v>
      </c>
      <c r="F616" s="34">
        <v>4500000</v>
      </c>
      <c r="G616" s="34">
        <v>750000</v>
      </c>
      <c r="H616" s="34">
        <v>750000</v>
      </c>
      <c r="I616" s="174" t="s">
        <v>1435</v>
      </c>
    </row>
    <row r="617" spans="1:16">
      <c r="A617" s="29">
        <f t="shared" si="72"/>
        <v>120</v>
      </c>
      <c r="B617" s="30" t="s">
        <v>683</v>
      </c>
      <c r="C617" s="31" t="s">
        <v>684</v>
      </c>
      <c r="D617" s="43" t="s">
        <v>685</v>
      </c>
      <c r="E617" s="32">
        <v>42872</v>
      </c>
      <c r="F617" s="34">
        <v>23800000</v>
      </c>
      <c r="G617" s="34">
        <v>0</v>
      </c>
      <c r="H617" s="34">
        <v>0</v>
      </c>
      <c r="I617" s="174" t="s">
        <v>1436</v>
      </c>
      <c r="J617" s="14"/>
      <c r="K617" s="14"/>
      <c r="L617" s="14"/>
      <c r="M617" s="14"/>
      <c r="N617" s="14"/>
      <c r="O617" s="14"/>
      <c r="P617" s="14"/>
    </row>
    <row r="618" spans="1:16">
      <c r="A618" s="29">
        <f t="shared" si="72"/>
        <v>121</v>
      </c>
      <c r="B618" s="30" t="s">
        <v>509</v>
      </c>
      <c r="C618" s="31" t="s">
        <v>506</v>
      </c>
      <c r="D618" s="43" t="s">
        <v>510</v>
      </c>
      <c r="E618" s="32">
        <v>42871</v>
      </c>
      <c r="F618" s="34">
        <v>7500000</v>
      </c>
      <c r="G618" s="34">
        <v>6250000</v>
      </c>
      <c r="H618" s="34">
        <v>6250000</v>
      </c>
      <c r="I618" s="174" t="s">
        <v>1437</v>
      </c>
      <c r="J618" s="14"/>
      <c r="K618" s="14"/>
      <c r="L618" s="14"/>
      <c r="M618" s="14"/>
      <c r="N618" s="14"/>
      <c r="O618" s="14"/>
      <c r="P618" s="14"/>
    </row>
    <row r="619" spans="1:16">
      <c r="A619" s="29">
        <f t="shared" si="72"/>
        <v>122</v>
      </c>
      <c r="B619" s="30" t="s">
        <v>509</v>
      </c>
      <c r="C619" s="31" t="s">
        <v>506</v>
      </c>
      <c r="D619" s="43" t="s">
        <v>510</v>
      </c>
      <c r="E619" s="32">
        <v>42871</v>
      </c>
      <c r="F619" s="34">
        <v>7500000</v>
      </c>
      <c r="G619" s="34">
        <v>6250000</v>
      </c>
      <c r="H619" s="34">
        <v>6250000</v>
      </c>
      <c r="I619" s="174" t="s">
        <v>1438</v>
      </c>
      <c r="J619" s="14"/>
      <c r="K619" s="14"/>
      <c r="L619" s="14"/>
      <c r="M619" s="14"/>
      <c r="N619" s="14"/>
      <c r="O619" s="14"/>
      <c r="P619" s="14"/>
    </row>
    <row r="620" spans="1:16">
      <c r="A620" s="29">
        <f t="shared" si="72"/>
        <v>123</v>
      </c>
      <c r="B620" s="30" t="s">
        <v>198</v>
      </c>
      <c r="C620" s="31" t="s">
        <v>469</v>
      </c>
      <c r="D620" s="43" t="s">
        <v>470</v>
      </c>
      <c r="E620" s="32">
        <v>42873</v>
      </c>
      <c r="F620" s="34">
        <v>6500000</v>
      </c>
      <c r="G620" s="34">
        <v>1000000</v>
      </c>
      <c r="H620" s="34">
        <v>0</v>
      </c>
      <c r="I620" s="174" t="s">
        <v>1439</v>
      </c>
      <c r="J620" s="14"/>
      <c r="K620" s="14"/>
      <c r="L620" s="14"/>
      <c r="M620" s="14"/>
      <c r="N620" s="14"/>
      <c r="O620" s="14"/>
      <c r="P620" s="14"/>
    </row>
    <row r="621" spans="1:16">
      <c r="A621" s="29">
        <f t="shared" si="72"/>
        <v>124</v>
      </c>
      <c r="B621" s="30" t="s">
        <v>198</v>
      </c>
      <c r="C621" s="31" t="s">
        <v>469</v>
      </c>
      <c r="D621" s="43" t="s">
        <v>470</v>
      </c>
      <c r="E621" s="32">
        <v>42873</v>
      </c>
      <c r="F621" s="34">
        <v>6500000</v>
      </c>
      <c r="G621" s="34">
        <v>1000000</v>
      </c>
      <c r="H621" s="34">
        <v>0</v>
      </c>
      <c r="I621" s="174" t="s">
        <v>1440</v>
      </c>
      <c r="J621" s="14"/>
      <c r="K621" s="14"/>
      <c r="L621" s="14"/>
      <c r="M621" s="14"/>
      <c r="N621" s="14"/>
      <c r="O621" s="14"/>
      <c r="P621" s="14"/>
    </row>
    <row r="622" spans="1:16">
      <c r="A622" s="29">
        <f t="shared" si="72"/>
        <v>125</v>
      </c>
      <c r="B622" s="30" t="s">
        <v>1090</v>
      </c>
      <c r="C622" s="31" t="s">
        <v>1091</v>
      </c>
      <c r="D622" s="43" t="s">
        <v>1094</v>
      </c>
      <c r="E622" s="32">
        <v>42874</v>
      </c>
      <c r="F622" s="34">
        <v>7500000</v>
      </c>
      <c r="G622" s="34">
        <v>2500000</v>
      </c>
      <c r="H622" s="34">
        <v>2500000</v>
      </c>
      <c r="I622" s="174" t="s">
        <v>1441</v>
      </c>
      <c r="J622" s="14"/>
      <c r="K622" s="14"/>
      <c r="L622" s="14"/>
      <c r="M622" s="14"/>
      <c r="N622" s="14"/>
      <c r="O622" s="14"/>
      <c r="P622" s="14"/>
    </row>
    <row r="623" spans="1:16">
      <c r="A623" s="29">
        <f t="shared" si="72"/>
        <v>126</v>
      </c>
      <c r="B623" s="30" t="s">
        <v>1090</v>
      </c>
      <c r="C623" s="31" t="s">
        <v>1091</v>
      </c>
      <c r="D623" s="43" t="s">
        <v>1094</v>
      </c>
      <c r="E623" s="32">
        <v>42874</v>
      </c>
      <c r="F623" s="34">
        <v>7500000</v>
      </c>
      <c r="G623" s="34">
        <v>2500000</v>
      </c>
      <c r="H623" s="34">
        <v>2500000</v>
      </c>
      <c r="I623" s="174" t="s">
        <v>1441</v>
      </c>
      <c r="J623" s="14"/>
      <c r="K623" s="14"/>
      <c r="L623" s="14"/>
      <c r="M623" s="14"/>
      <c r="N623" s="14"/>
      <c r="O623" s="14"/>
      <c r="P623" s="14"/>
    </row>
    <row r="624" spans="1:16">
      <c r="A624" s="29">
        <f t="shared" si="72"/>
        <v>127</v>
      </c>
      <c r="B624" s="30" t="s">
        <v>120</v>
      </c>
      <c r="C624" s="31" t="s">
        <v>121</v>
      </c>
      <c r="D624" s="43" t="s">
        <v>124</v>
      </c>
      <c r="E624" s="32">
        <v>42873</v>
      </c>
      <c r="F624" s="34">
        <v>6000000</v>
      </c>
      <c r="G624" s="34">
        <v>0</v>
      </c>
      <c r="H624" s="34">
        <v>0</v>
      </c>
      <c r="I624" s="174" t="s">
        <v>1442</v>
      </c>
      <c r="J624" s="14"/>
      <c r="K624" s="14"/>
      <c r="L624" s="14"/>
      <c r="M624" s="14"/>
      <c r="N624" s="14"/>
      <c r="O624" s="14"/>
      <c r="P624" s="14"/>
    </row>
    <row r="625" spans="1:16">
      <c r="A625" s="29">
        <f t="shared" si="72"/>
        <v>128</v>
      </c>
      <c r="B625" s="30" t="s">
        <v>202</v>
      </c>
      <c r="C625" s="31" t="s">
        <v>203</v>
      </c>
      <c r="D625" s="31" t="s">
        <v>207</v>
      </c>
      <c r="E625" s="32">
        <v>42879</v>
      </c>
      <c r="F625" s="34">
        <v>0</v>
      </c>
      <c r="G625" s="34">
        <v>5000000</v>
      </c>
      <c r="H625" s="34">
        <v>5000000</v>
      </c>
      <c r="I625" s="174" t="s">
        <v>1443</v>
      </c>
    </row>
    <row r="626" spans="1:16">
      <c r="A626" s="29">
        <f t="shared" si="72"/>
        <v>129</v>
      </c>
      <c r="B626" s="30" t="s">
        <v>333</v>
      </c>
      <c r="C626" s="31" t="s">
        <v>334</v>
      </c>
      <c r="D626" s="43" t="s">
        <v>335</v>
      </c>
      <c r="E626" s="32">
        <v>42879</v>
      </c>
      <c r="F626" s="34">
        <v>15000000</v>
      </c>
      <c r="G626" s="34">
        <v>0</v>
      </c>
      <c r="H626" s="34">
        <v>0</v>
      </c>
      <c r="I626" s="174" t="s">
        <v>1444</v>
      </c>
      <c r="J626" s="14"/>
      <c r="K626" s="14"/>
      <c r="L626" s="14"/>
      <c r="M626" s="14"/>
      <c r="N626" s="14"/>
      <c r="O626" s="14"/>
      <c r="P626" s="14"/>
    </row>
    <row r="627" spans="1:16">
      <c r="A627" s="29">
        <f t="shared" si="72"/>
        <v>130</v>
      </c>
      <c r="B627" s="30" t="s">
        <v>835</v>
      </c>
      <c r="C627" s="31" t="s">
        <v>836</v>
      </c>
      <c r="D627" s="31" t="s">
        <v>837</v>
      </c>
      <c r="E627" s="32">
        <v>42879</v>
      </c>
      <c r="F627" s="34">
        <v>5675000</v>
      </c>
      <c r="G627" s="34">
        <v>2175000</v>
      </c>
      <c r="H627" s="34">
        <v>2175000</v>
      </c>
      <c r="I627" s="174"/>
      <c r="J627" s="14"/>
      <c r="K627" s="14"/>
      <c r="L627" s="14"/>
      <c r="M627" s="14"/>
      <c r="N627" s="14"/>
      <c r="O627" s="14"/>
      <c r="P627" s="14"/>
    </row>
    <row r="628" spans="1:16">
      <c r="A628" s="29">
        <f t="shared" ref="A628:A691" si="73">+A627+1</f>
        <v>131</v>
      </c>
      <c r="B628" s="30" t="s">
        <v>835</v>
      </c>
      <c r="C628" s="31" t="s">
        <v>836</v>
      </c>
      <c r="D628" s="31" t="s">
        <v>837</v>
      </c>
      <c r="E628" s="32">
        <v>42879</v>
      </c>
      <c r="F628" s="34">
        <v>5675000</v>
      </c>
      <c r="G628" s="34">
        <v>2175000</v>
      </c>
      <c r="H628" s="34">
        <v>2175000</v>
      </c>
      <c r="I628" s="174"/>
      <c r="J628" s="14"/>
      <c r="K628" s="14"/>
      <c r="L628" s="14"/>
      <c r="M628" s="14"/>
      <c r="N628" s="14"/>
      <c r="O628" s="14"/>
      <c r="P628" s="14"/>
    </row>
    <row r="629" spans="1:16">
      <c r="A629" s="29">
        <f t="shared" si="73"/>
        <v>132</v>
      </c>
      <c r="B629" s="30" t="s">
        <v>582</v>
      </c>
      <c r="C629" s="31" t="s">
        <v>583</v>
      </c>
      <c r="D629" s="43" t="s">
        <v>584</v>
      </c>
      <c r="E629" s="32">
        <v>42892</v>
      </c>
      <c r="F629" s="34">
        <v>5000000</v>
      </c>
      <c r="G629" s="34">
        <v>0</v>
      </c>
      <c r="H629" s="34">
        <v>3750000</v>
      </c>
      <c r="I629" s="174"/>
      <c r="J629" s="14"/>
      <c r="K629" s="14"/>
      <c r="L629" s="14"/>
      <c r="M629" s="14"/>
      <c r="N629" s="14"/>
      <c r="O629" s="14"/>
      <c r="P629" s="14"/>
    </row>
    <row r="630" spans="1:16">
      <c r="A630" s="29">
        <f t="shared" si="73"/>
        <v>133</v>
      </c>
      <c r="B630" s="30" t="s">
        <v>582</v>
      </c>
      <c r="C630" s="31" t="s">
        <v>583</v>
      </c>
      <c r="D630" s="43" t="s">
        <v>584</v>
      </c>
      <c r="E630" s="32">
        <v>42892</v>
      </c>
      <c r="F630" s="34">
        <v>5000000</v>
      </c>
      <c r="G630" s="34">
        <v>0</v>
      </c>
      <c r="H630" s="34">
        <v>3750000</v>
      </c>
      <c r="I630" s="174"/>
      <c r="J630" s="14"/>
      <c r="K630" s="14"/>
      <c r="L630" s="14"/>
      <c r="M630" s="14"/>
      <c r="N630" s="14"/>
      <c r="O630" s="14"/>
      <c r="P630" s="14"/>
    </row>
    <row r="631" spans="1:16">
      <c r="A631" s="29">
        <f t="shared" si="73"/>
        <v>134</v>
      </c>
      <c r="B631" s="30" t="s">
        <v>129</v>
      </c>
      <c r="C631" s="31" t="s">
        <v>126</v>
      </c>
      <c r="D631" s="43" t="s">
        <v>130</v>
      </c>
      <c r="E631" s="32">
        <v>42891</v>
      </c>
      <c r="F631" s="34">
        <v>500000</v>
      </c>
      <c r="G631" s="34">
        <v>500000</v>
      </c>
      <c r="H631" s="34">
        <v>0</v>
      </c>
      <c r="I631" s="174"/>
    </row>
    <row r="632" spans="1:16">
      <c r="A632" s="29">
        <f t="shared" si="73"/>
        <v>135</v>
      </c>
      <c r="B632" s="30" t="s">
        <v>91</v>
      </c>
      <c r="C632" s="31" t="s">
        <v>92</v>
      </c>
      <c r="D632" s="31" t="s">
        <v>96</v>
      </c>
      <c r="E632" s="32">
        <v>42892</v>
      </c>
      <c r="F632" s="34">
        <v>15000000</v>
      </c>
      <c r="G632" s="34">
        <v>2500000</v>
      </c>
      <c r="H632" s="34">
        <v>2500000</v>
      </c>
      <c r="I632" s="174"/>
      <c r="J632" s="14"/>
      <c r="K632" s="14"/>
      <c r="L632" s="14"/>
      <c r="M632" s="14"/>
      <c r="N632" s="14"/>
      <c r="O632" s="14"/>
      <c r="P632" s="14"/>
    </row>
    <row r="633" spans="1:16">
      <c r="A633" s="29">
        <f t="shared" si="73"/>
        <v>136</v>
      </c>
      <c r="B633" s="30" t="s">
        <v>145</v>
      </c>
      <c r="C633" s="31" t="s">
        <v>146</v>
      </c>
      <c r="D633" s="31" t="s">
        <v>147</v>
      </c>
      <c r="E633" s="32">
        <v>42832</v>
      </c>
      <c r="F633" s="34">
        <v>5000000</v>
      </c>
      <c r="G633" s="91">
        <v>1000000</v>
      </c>
      <c r="H633" s="91">
        <v>1000000</v>
      </c>
      <c r="I633" s="47"/>
      <c r="J633" s="14"/>
      <c r="K633" s="14"/>
      <c r="L633" s="14"/>
      <c r="M633" s="14"/>
      <c r="N633" s="14"/>
      <c r="O633" s="14"/>
      <c r="P633" s="14"/>
    </row>
    <row r="634" spans="1:16">
      <c r="A634" s="29">
        <f t="shared" si="73"/>
        <v>137</v>
      </c>
      <c r="B634" s="30" t="s">
        <v>852</v>
      </c>
      <c r="C634" s="31" t="s">
        <v>853</v>
      </c>
      <c r="D634" s="43" t="s">
        <v>855</v>
      </c>
      <c r="E634" s="32">
        <v>42906</v>
      </c>
      <c r="F634" s="34">
        <v>6550000</v>
      </c>
      <c r="G634" s="34">
        <v>3850000</v>
      </c>
      <c r="H634" s="34">
        <v>1500000</v>
      </c>
      <c r="I634" s="174" t="s">
        <v>1445</v>
      </c>
    </row>
    <row r="635" spans="1:16">
      <c r="A635" s="29">
        <f t="shared" si="73"/>
        <v>138</v>
      </c>
      <c r="B635" s="30" t="s">
        <v>852</v>
      </c>
      <c r="C635" s="31" t="s">
        <v>853</v>
      </c>
      <c r="D635" s="43" t="s">
        <v>855</v>
      </c>
      <c r="E635" s="32">
        <v>42906</v>
      </c>
      <c r="F635" s="34">
        <v>6550000</v>
      </c>
      <c r="G635" s="34">
        <v>3850000</v>
      </c>
      <c r="H635" s="34">
        <v>1500000</v>
      </c>
      <c r="I635" s="174" t="s">
        <v>1445</v>
      </c>
    </row>
    <row r="636" spans="1:16">
      <c r="A636" s="29">
        <f t="shared" si="73"/>
        <v>139</v>
      </c>
      <c r="B636" s="30" t="s">
        <v>617</v>
      </c>
      <c r="C636" s="31" t="s">
        <v>618</v>
      </c>
      <c r="D636" s="31" t="s">
        <v>619</v>
      </c>
      <c r="E636" s="32">
        <v>42906</v>
      </c>
      <c r="F636" s="34">
        <v>7500000</v>
      </c>
      <c r="G636" s="34">
        <v>1250000</v>
      </c>
      <c r="H636" s="34">
        <v>1250000</v>
      </c>
      <c r="I636" s="174" t="s">
        <v>1446</v>
      </c>
    </row>
    <row r="637" spans="1:16">
      <c r="A637" s="29">
        <f t="shared" si="73"/>
        <v>140</v>
      </c>
      <c r="B637" s="30" t="s">
        <v>617</v>
      </c>
      <c r="C637" s="31" t="s">
        <v>618</v>
      </c>
      <c r="D637" s="31" t="s">
        <v>619</v>
      </c>
      <c r="E637" s="32">
        <v>42906</v>
      </c>
      <c r="F637" s="34">
        <v>7500000</v>
      </c>
      <c r="G637" s="34">
        <v>1250000</v>
      </c>
      <c r="H637" s="34">
        <v>1250000</v>
      </c>
      <c r="I637" s="174" t="s">
        <v>1446</v>
      </c>
    </row>
    <row r="638" spans="1:16">
      <c r="A638" s="29">
        <f t="shared" si="73"/>
        <v>141</v>
      </c>
      <c r="B638" s="30" t="s">
        <v>250</v>
      </c>
      <c r="C638" s="31" t="s">
        <v>251</v>
      </c>
      <c r="D638" s="31" t="s">
        <v>252</v>
      </c>
      <c r="E638" s="32">
        <v>42906</v>
      </c>
      <c r="F638" s="34">
        <v>7750000</v>
      </c>
      <c r="G638" s="34">
        <v>2500000</v>
      </c>
      <c r="H638" s="34">
        <v>2500000</v>
      </c>
      <c r="I638" s="174" t="s">
        <v>1447</v>
      </c>
      <c r="J638" s="14"/>
      <c r="K638" s="14"/>
      <c r="L638" s="14"/>
      <c r="M638" s="14"/>
      <c r="N638" s="14"/>
      <c r="O638" s="14"/>
      <c r="P638" s="14"/>
    </row>
    <row r="639" spans="1:16">
      <c r="A639" s="29">
        <f t="shared" si="73"/>
        <v>142</v>
      </c>
      <c r="B639" s="30" t="s">
        <v>250</v>
      </c>
      <c r="C639" s="31" t="s">
        <v>251</v>
      </c>
      <c r="D639" s="31" t="s">
        <v>252</v>
      </c>
      <c r="E639" s="32">
        <v>42906</v>
      </c>
      <c r="F639" s="34">
        <v>7750000</v>
      </c>
      <c r="G639" s="34">
        <v>2500000</v>
      </c>
      <c r="H639" s="34">
        <v>2500000</v>
      </c>
      <c r="I639" s="174" t="s">
        <v>1447</v>
      </c>
      <c r="J639" s="14"/>
      <c r="K639" s="14"/>
      <c r="L639" s="14"/>
      <c r="M639" s="14"/>
      <c r="N639" s="14"/>
      <c r="O639" s="14"/>
      <c r="P639" s="14"/>
    </row>
    <row r="640" spans="1:16">
      <c r="A640" s="29">
        <f t="shared" si="73"/>
        <v>143</v>
      </c>
      <c r="B640" s="30" t="s">
        <v>1100</v>
      </c>
      <c r="C640" s="31" t="s">
        <v>1101</v>
      </c>
      <c r="D640" s="31" t="s">
        <v>1102</v>
      </c>
      <c r="E640" s="32">
        <v>42907</v>
      </c>
      <c r="F640" s="34">
        <v>10000000</v>
      </c>
      <c r="G640" s="34">
        <v>0</v>
      </c>
      <c r="H640" s="34">
        <v>5000000</v>
      </c>
      <c r="I640" s="174" t="s">
        <v>1448</v>
      </c>
      <c r="J640" s="14"/>
      <c r="K640" s="14"/>
      <c r="L640" s="14"/>
      <c r="M640" s="14"/>
      <c r="N640" s="14"/>
      <c r="O640" s="14"/>
      <c r="P640" s="14"/>
    </row>
    <row r="641" spans="1:16">
      <c r="A641" s="29">
        <f t="shared" si="73"/>
        <v>144</v>
      </c>
      <c r="B641" s="30" t="s">
        <v>1100</v>
      </c>
      <c r="C641" s="31" t="s">
        <v>1101</v>
      </c>
      <c r="D641" s="31" t="s">
        <v>1102</v>
      </c>
      <c r="E641" s="32">
        <v>42907</v>
      </c>
      <c r="F641" s="34">
        <v>10000000</v>
      </c>
      <c r="G641" s="34">
        <v>0</v>
      </c>
      <c r="H641" s="34">
        <v>5000000</v>
      </c>
      <c r="I641" s="174" t="s">
        <v>1449</v>
      </c>
      <c r="J641" s="14"/>
      <c r="K641" s="14"/>
      <c r="L641" s="14"/>
      <c r="M641" s="14"/>
      <c r="N641" s="14"/>
      <c r="O641" s="14"/>
      <c r="P641" s="14"/>
    </row>
    <row r="642" spans="1:16">
      <c r="A642" s="29">
        <f t="shared" si="73"/>
        <v>145</v>
      </c>
      <c r="B642" s="30" t="s">
        <v>462</v>
      </c>
      <c r="C642" s="31" t="s">
        <v>463</v>
      </c>
      <c r="D642" s="43" t="s">
        <v>464</v>
      </c>
      <c r="E642" s="32">
        <v>42907</v>
      </c>
      <c r="F642" s="34">
        <v>12500000</v>
      </c>
      <c r="G642" s="34">
        <v>0</v>
      </c>
      <c r="H642" s="34">
        <v>0</v>
      </c>
      <c r="I642" s="174" t="s">
        <v>1450</v>
      </c>
      <c r="J642" s="14"/>
      <c r="K642" s="14"/>
      <c r="L642" s="14"/>
      <c r="M642" s="14"/>
      <c r="N642" s="14"/>
      <c r="O642" s="14"/>
      <c r="P642" s="14"/>
    </row>
    <row r="643" spans="1:16">
      <c r="A643" s="29">
        <f t="shared" si="73"/>
        <v>146</v>
      </c>
      <c r="B643" s="30" t="s">
        <v>462</v>
      </c>
      <c r="C643" s="31" t="s">
        <v>463</v>
      </c>
      <c r="D643" s="43" t="s">
        <v>464</v>
      </c>
      <c r="E643" s="32">
        <v>42907</v>
      </c>
      <c r="F643" s="34">
        <v>12500000</v>
      </c>
      <c r="G643" s="34">
        <v>0</v>
      </c>
      <c r="H643" s="34">
        <v>0</v>
      </c>
      <c r="I643" s="174" t="s">
        <v>1450</v>
      </c>
      <c r="J643" s="14"/>
      <c r="K643" s="14"/>
      <c r="L643" s="14"/>
      <c r="M643" s="14"/>
      <c r="N643" s="14"/>
      <c r="O643" s="14"/>
      <c r="P643" s="14"/>
    </row>
    <row r="644" spans="1:16">
      <c r="A644" s="29">
        <f t="shared" si="73"/>
        <v>147</v>
      </c>
      <c r="B644" s="30" t="s">
        <v>434</v>
      </c>
      <c r="C644" s="31" t="s">
        <v>435</v>
      </c>
      <c r="D644" s="43" t="s">
        <v>436</v>
      </c>
      <c r="E644" s="32">
        <v>42907</v>
      </c>
      <c r="F644" s="34">
        <v>10000000</v>
      </c>
      <c r="G644" s="34">
        <v>1250000</v>
      </c>
      <c r="H644" s="34">
        <v>1250000</v>
      </c>
      <c r="I644" s="174" t="s">
        <v>1451</v>
      </c>
      <c r="J644" s="14"/>
      <c r="K644" s="14"/>
      <c r="L644" s="14"/>
      <c r="M644" s="14"/>
      <c r="N644" s="14"/>
      <c r="O644" s="14"/>
      <c r="P644" s="14"/>
    </row>
    <row r="645" spans="1:16">
      <c r="A645" s="29">
        <f t="shared" si="73"/>
        <v>148</v>
      </c>
      <c r="B645" s="30" t="s">
        <v>434</v>
      </c>
      <c r="C645" s="31" t="s">
        <v>435</v>
      </c>
      <c r="D645" s="43" t="s">
        <v>436</v>
      </c>
      <c r="E645" s="32">
        <v>42907</v>
      </c>
      <c r="F645" s="34">
        <v>10000000</v>
      </c>
      <c r="G645" s="34">
        <v>1250000</v>
      </c>
      <c r="H645" s="34">
        <v>1250000</v>
      </c>
      <c r="I645" s="174" t="s">
        <v>1452</v>
      </c>
      <c r="J645" s="14"/>
      <c r="K645" s="14"/>
      <c r="L645" s="14"/>
      <c r="M645" s="14"/>
      <c r="N645" s="14"/>
      <c r="O645" s="14"/>
      <c r="P645" s="14"/>
    </row>
    <row r="646" spans="1:16">
      <c r="A646" s="29">
        <f t="shared" si="73"/>
        <v>149</v>
      </c>
      <c r="B646" s="30" t="s">
        <v>74</v>
      </c>
      <c r="C646" s="31" t="s">
        <v>75</v>
      </c>
      <c r="D646" s="31" t="s">
        <v>76</v>
      </c>
      <c r="E646" s="32">
        <v>42907</v>
      </c>
      <c r="F646" s="34">
        <v>2500000</v>
      </c>
      <c r="G646" s="34">
        <v>1250000</v>
      </c>
      <c r="H646" s="34">
        <v>1250000</v>
      </c>
      <c r="I646" s="174" t="s">
        <v>1453</v>
      </c>
      <c r="J646" s="14"/>
      <c r="K646" s="14"/>
      <c r="L646" s="14"/>
      <c r="M646" s="14"/>
      <c r="N646" s="14"/>
      <c r="O646" s="14"/>
      <c r="P646" s="14"/>
    </row>
    <row r="647" spans="1:16">
      <c r="A647" s="29">
        <f t="shared" si="73"/>
        <v>150</v>
      </c>
      <c r="B647" s="30" t="s">
        <v>74</v>
      </c>
      <c r="C647" s="31" t="s">
        <v>75</v>
      </c>
      <c r="D647" s="31" t="s">
        <v>76</v>
      </c>
      <c r="E647" s="32">
        <v>42907</v>
      </c>
      <c r="F647" s="34">
        <v>2500000</v>
      </c>
      <c r="G647" s="34">
        <v>1250000</v>
      </c>
      <c r="H647" s="34">
        <v>1250000</v>
      </c>
      <c r="I647" s="174" t="s">
        <v>1454</v>
      </c>
      <c r="J647" s="14"/>
      <c r="K647" s="14"/>
      <c r="L647" s="14"/>
      <c r="M647" s="14"/>
      <c r="N647" s="14"/>
      <c r="O647" s="14"/>
      <c r="P647" s="14"/>
    </row>
    <row r="648" spans="1:16">
      <c r="A648" s="29">
        <f t="shared" si="73"/>
        <v>151</v>
      </c>
      <c r="B648" s="30" t="s">
        <v>170</v>
      </c>
      <c r="C648" s="31" t="s">
        <v>171</v>
      </c>
      <c r="D648" s="43" t="s">
        <v>172</v>
      </c>
      <c r="E648" s="32">
        <v>42907</v>
      </c>
      <c r="F648" s="34">
        <v>20000000</v>
      </c>
      <c r="G648" s="34">
        <v>2500000</v>
      </c>
      <c r="H648" s="34">
        <v>2500000</v>
      </c>
      <c r="I648" s="174" t="s">
        <v>1455</v>
      </c>
      <c r="J648" s="14"/>
      <c r="K648" s="14"/>
      <c r="L648" s="14"/>
      <c r="M648" s="14"/>
      <c r="N648" s="14"/>
      <c r="O648" s="14"/>
      <c r="P648" s="14"/>
    </row>
    <row r="649" spans="1:16">
      <c r="A649" s="29">
        <f t="shared" si="73"/>
        <v>152</v>
      </c>
      <c r="B649" s="30" t="s">
        <v>170</v>
      </c>
      <c r="C649" s="31" t="s">
        <v>171</v>
      </c>
      <c r="D649" s="43" t="s">
        <v>172</v>
      </c>
      <c r="E649" s="32">
        <v>42907</v>
      </c>
      <c r="F649" s="34">
        <v>20000000</v>
      </c>
      <c r="G649" s="34">
        <v>2500000</v>
      </c>
      <c r="H649" s="34">
        <v>2500000</v>
      </c>
      <c r="I649" s="174" t="s">
        <v>1455</v>
      </c>
      <c r="J649" s="14"/>
      <c r="K649" s="14"/>
      <c r="L649" s="14"/>
      <c r="M649" s="14"/>
      <c r="N649" s="14"/>
      <c r="O649" s="14"/>
      <c r="P649" s="14"/>
    </row>
    <row r="650" spans="1:16">
      <c r="A650" s="29">
        <f t="shared" si="73"/>
        <v>153</v>
      </c>
      <c r="B650" s="30" t="s">
        <v>1115</v>
      </c>
      <c r="C650" s="31" t="s">
        <v>1116</v>
      </c>
      <c r="D650" s="43" t="s">
        <v>1117</v>
      </c>
      <c r="E650" s="32">
        <v>42908</v>
      </c>
      <c r="F650" s="34">
        <v>7500000</v>
      </c>
      <c r="G650" s="34">
        <v>1250000</v>
      </c>
      <c r="H650" s="34">
        <v>1250000</v>
      </c>
      <c r="I650" s="174" t="s">
        <v>1456</v>
      </c>
      <c r="J650" s="14"/>
      <c r="K650" s="14"/>
      <c r="L650" s="14"/>
      <c r="M650" s="14"/>
      <c r="N650" s="14"/>
      <c r="O650" s="14"/>
      <c r="P650" s="14"/>
    </row>
    <row r="651" spans="1:16">
      <c r="A651" s="29">
        <f t="shared" si="73"/>
        <v>154</v>
      </c>
      <c r="B651" s="30" t="s">
        <v>1115</v>
      </c>
      <c r="C651" s="31" t="s">
        <v>1116</v>
      </c>
      <c r="D651" s="43" t="s">
        <v>1117</v>
      </c>
      <c r="E651" s="32">
        <v>42908</v>
      </c>
      <c r="F651" s="34">
        <v>7500000</v>
      </c>
      <c r="G651" s="34">
        <v>1250000</v>
      </c>
      <c r="H651" s="34">
        <v>1250000</v>
      </c>
      <c r="I651" s="174" t="s">
        <v>1457</v>
      </c>
      <c r="J651" s="14"/>
      <c r="K651" s="14"/>
      <c r="L651" s="14"/>
      <c r="M651" s="14"/>
      <c r="N651" s="14"/>
      <c r="O651" s="14"/>
      <c r="P651" s="14"/>
    </row>
    <row r="652" spans="1:16">
      <c r="A652" s="29">
        <f t="shared" si="73"/>
        <v>155</v>
      </c>
      <c r="B652" s="30" t="s">
        <v>1104</v>
      </c>
      <c r="C652" s="31" t="s">
        <v>1105</v>
      </c>
      <c r="D652" s="43" t="s">
        <v>1106</v>
      </c>
      <c r="E652" s="32">
        <v>42908</v>
      </c>
      <c r="F652" s="34">
        <v>3000000</v>
      </c>
      <c r="G652" s="34">
        <v>2500000</v>
      </c>
      <c r="H652" s="34">
        <v>2500000</v>
      </c>
      <c r="I652" s="174" t="s">
        <v>1458</v>
      </c>
      <c r="J652" s="14"/>
      <c r="K652" s="14"/>
      <c r="L652" s="14"/>
      <c r="M652" s="14"/>
      <c r="N652" s="14"/>
      <c r="O652" s="14"/>
      <c r="P652" s="14"/>
    </row>
    <row r="653" spans="1:16">
      <c r="A653" s="29">
        <f t="shared" si="73"/>
        <v>156</v>
      </c>
      <c r="B653" s="30" t="s">
        <v>1104</v>
      </c>
      <c r="C653" s="31" t="s">
        <v>1105</v>
      </c>
      <c r="D653" s="43" t="s">
        <v>1106</v>
      </c>
      <c r="E653" s="32">
        <v>42908</v>
      </c>
      <c r="F653" s="34">
        <v>3000000</v>
      </c>
      <c r="G653" s="34">
        <v>2500000</v>
      </c>
      <c r="H653" s="34">
        <v>2500000</v>
      </c>
      <c r="I653" s="174" t="s">
        <v>1458</v>
      </c>
      <c r="J653" s="14"/>
      <c r="K653" s="14"/>
      <c r="L653" s="14"/>
      <c r="M653" s="14"/>
      <c r="N653" s="14"/>
      <c r="O653" s="14"/>
      <c r="P653" s="14"/>
    </row>
    <row r="654" spans="1:16">
      <c r="A654" s="29">
        <f t="shared" si="73"/>
        <v>157</v>
      </c>
      <c r="B654" s="30" t="s">
        <v>241</v>
      </c>
      <c r="C654" s="31" t="s">
        <v>242</v>
      </c>
      <c r="D654" s="31" t="s">
        <v>246</v>
      </c>
      <c r="E654" s="32">
        <v>42926</v>
      </c>
      <c r="F654" s="34">
        <v>3500000</v>
      </c>
      <c r="G654" s="34">
        <v>2000000</v>
      </c>
      <c r="H654" s="34">
        <v>1000000</v>
      </c>
      <c r="I654" s="174" t="s">
        <v>1459</v>
      </c>
    </row>
    <row r="655" spans="1:16">
      <c r="A655" s="29">
        <f t="shared" si="73"/>
        <v>158</v>
      </c>
      <c r="B655" s="30" t="s">
        <v>241</v>
      </c>
      <c r="C655" s="31" t="s">
        <v>242</v>
      </c>
      <c r="D655" s="31" t="s">
        <v>246</v>
      </c>
      <c r="E655" s="32">
        <v>42926</v>
      </c>
      <c r="F655" s="34">
        <v>3500000</v>
      </c>
      <c r="G655" s="34">
        <v>2000000</v>
      </c>
      <c r="H655" s="34">
        <v>1000000</v>
      </c>
      <c r="I655" s="174" t="s">
        <v>1459</v>
      </c>
    </row>
    <row r="656" spans="1:16">
      <c r="A656" s="29">
        <f t="shared" si="73"/>
        <v>159</v>
      </c>
      <c r="B656" s="30" t="s">
        <v>1051</v>
      </c>
      <c r="C656" s="31" t="s">
        <v>1052</v>
      </c>
      <c r="D656" s="31" t="s">
        <v>1053</v>
      </c>
      <c r="E656" s="32">
        <v>42926</v>
      </c>
      <c r="F656" s="34">
        <v>10000000</v>
      </c>
      <c r="G656" s="34">
        <v>0</v>
      </c>
      <c r="H656" s="34">
        <v>0</v>
      </c>
      <c r="I656" s="174" t="s">
        <v>1460</v>
      </c>
    </row>
    <row r="657" spans="1:16">
      <c r="A657" s="29">
        <f t="shared" si="73"/>
        <v>160</v>
      </c>
      <c r="B657" s="30" t="s">
        <v>941</v>
      </c>
      <c r="C657" s="31" t="s">
        <v>942</v>
      </c>
      <c r="D657" s="43" t="s">
        <v>943</v>
      </c>
      <c r="E657" s="32">
        <v>42926</v>
      </c>
      <c r="F657" s="34">
        <v>7500000</v>
      </c>
      <c r="G657" s="34">
        <v>0</v>
      </c>
      <c r="H657" s="34">
        <v>0</v>
      </c>
      <c r="I657" s="174" t="s">
        <v>1461</v>
      </c>
    </row>
    <row r="658" spans="1:16">
      <c r="A658" s="29">
        <f t="shared" si="73"/>
        <v>161</v>
      </c>
      <c r="B658" s="30" t="s">
        <v>941</v>
      </c>
      <c r="C658" s="31" t="s">
        <v>942</v>
      </c>
      <c r="D658" s="43" t="s">
        <v>943</v>
      </c>
      <c r="E658" s="32">
        <v>42926</v>
      </c>
      <c r="F658" s="34">
        <v>7500000</v>
      </c>
      <c r="G658" s="34">
        <v>0</v>
      </c>
      <c r="H658" s="34">
        <v>0</v>
      </c>
      <c r="I658" s="174"/>
    </row>
    <row r="659" spans="1:16">
      <c r="A659" s="29">
        <f t="shared" si="73"/>
        <v>162</v>
      </c>
      <c r="B659" s="30" t="s">
        <v>102</v>
      </c>
      <c r="C659" s="31" t="s">
        <v>103</v>
      </c>
      <c r="D659" s="43" t="s">
        <v>104</v>
      </c>
      <c r="E659" s="32">
        <v>42926</v>
      </c>
      <c r="F659" s="34">
        <v>12500000</v>
      </c>
      <c r="G659" s="34">
        <v>2500000</v>
      </c>
      <c r="H659" s="34">
        <v>2500000</v>
      </c>
      <c r="I659" s="174" t="s">
        <v>1462</v>
      </c>
    </row>
    <row r="660" spans="1:16">
      <c r="A660" s="29">
        <f t="shared" si="73"/>
        <v>163</v>
      </c>
      <c r="B660" s="30" t="s">
        <v>102</v>
      </c>
      <c r="C660" s="31" t="s">
        <v>103</v>
      </c>
      <c r="D660" s="43" t="s">
        <v>104</v>
      </c>
      <c r="E660" s="32">
        <v>42926</v>
      </c>
      <c r="F660" s="34">
        <v>12500000</v>
      </c>
      <c r="G660" s="34">
        <v>2500000</v>
      </c>
      <c r="H660" s="34">
        <v>2500000</v>
      </c>
      <c r="I660" s="174" t="s">
        <v>1462</v>
      </c>
    </row>
    <row r="661" spans="1:16">
      <c r="A661" s="29">
        <f t="shared" si="73"/>
        <v>164</v>
      </c>
      <c r="B661" s="30" t="s">
        <v>198</v>
      </c>
      <c r="C661" s="31" t="s">
        <v>199</v>
      </c>
      <c r="D661" s="43" t="s">
        <v>200</v>
      </c>
      <c r="E661" s="32">
        <v>42929</v>
      </c>
      <c r="F661" s="34">
        <v>20000000</v>
      </c>
      <c r="G661" s="34">
        <v>0</v>
      </c>
      <c r="H661" s="34">
        <v>0</v>
      </c>
      <c r="I661" s="174" t="s">
        <v>1463</v>
      </c>
    </row>
    <row r="662" spans="1:16">
      <c r="A662" s="29">
        <f t="shared" si="73"/>
        <v>165</v>
      </c>
      <c r="B662" s="30" t="s">
        <v>613</v>
      </c>
      <c r="C662" s="31" t="s">
        <v>614</v>
      </c>
      <c r="D662" s="43" t="s">
        <v>615</v>
      </c>
      <c r="E662" s="32">
        <v>42930</v>
      </c>
      <c r="F662" s="34">
        <v>12500000</v>
      </c>
      <c r="G662" s="34">
        <v>0</v>
      </c>
      <c r="H662" s="34">
        <v>0</v>
      </c>
      <c r="I662" s="174" t="s">
        <v>1464</v>
      </c>
      <c r="J662" s="14"/>
      <c r="K662" s="14"/>
      <c r="L662" s="14"/>
      <c r="M662" s="14"/>
      <c r="N662" s="14"/>
      <c r="O662" s="14"/>
      <c r="P662" s="14"/>
    </row>
    <row r="663" spans="1:16">
      <c r="A663" s="29">
        <f t="shared" si="73"/>
        <v>166</v>
      </c>
      <c r="B663" s="30" t="s">
        <v>776</v>
      </c>
      <c r="C663" s="31" t="s">
        <v>777</v>
      </c>
      <c r="D663" s="43" t="s">
        <v>778</v>
      </c>
      <c r="E663" s="32">
        <v>42930</v>
      </c>
      <c r="F663" s="34">
        <v>10000000</v>
      </c>
      <c r="G663" s="34">
        <v>5000000</v>
      </c>
      <c r="H663" s="34">
        <v>5000000</v>
      </c>
      <c r="I663" s="174" t="s">
        <v>1465</v>
      </c>
      <c r="J663" s="14"/>
      <c r="K663" s="14"/>
      <c r="L663" s="14"/>
      <c r="M663" s="14"/>
      <c r="N663" s="14"/>
      <c r="O663" s="14"/>
      <c r="P663" s="14"/>
    </row>
    <row r="664" spans="1:16">
      <c r="A664" s="29">
        <f t="shared" si="73"/>
        <v>167</v>
      </c>
      <c r="B664" s="30" t="s">
        <v>421</v>
      </c>
      <c r="C664" s="31" t="s">
        <v>422</v>
      </c>
      <c r="D664" s="43" t="s">
        <v>425</v>
      </c>
      <c r="E664" s="32">
        <v>42933</v>
      </c>
      <c r="F664" s="34">
        <v>15000000</v>
      </c>
      <c r="G664" s="34">
        <v>0</v>
      </c>
      <c r="H664" s="34">
        <v>0</v>
      </c>
      <c r="I664" s="174"/>
      <c r="J664" s="14"/>
      <c r="K664" s="14"/>
      <c r="L664" s="14"/>
      <c r="M664" s="14"/>
      <c r="N664" s="14"/>
      <c r="O664" s="14"/>
      <c r="P664" s="14"/>
    </row>
    <row r="665" spans="1:16">
      <c r="A665" s="29">
        <f t="shared" si="73"/>
        <v>168</v>
      </c>
      <c r="B665" s="30" t="s">
        <v>31</v>
      </c>
      <c r="C665" s="31" t="s">
        <v>32</v>
      </c>
      <c r="D665" s="43" t="s">
        <v>33</v>
      </c>
      <c r="E665" s="32">
        <v>42934</v>
      </c>
      <c r="F665" s="34">
        <v>9500000</v>
      </c>
      <c r="G665" s="34">
        <v>0</v>
      </c>
      <c r="H665" s="34">
        <v>0</v>
      </c>
      <c r="I665" s="174" t="s">
        <v>1466</v>
      </c>
      <c r="J665" s="14"/>
      <c r="K665" s="14"/>
      <c r="L665" s="14"/>
      <c r="M665" s="14"/>
      <c r="N665" s="14"/>
      <c r="O665" s="14"/>
      <c r="P665" s="14"/>
    </row>
    <row r="666" spans="1:16">
      <c r="A666" s="29">
        <f t="shared" si="73"/>
        <v>169</v>
      </c>
      <c r="B666" s="30" t="s">
        <v>763</v>
      </c>
      <c r="C666" s="31" t="s">
        <v>761</v>
      </c>
      <c r="D666" s="31" t="s">
        <v>764</v>
      </c>
      <c r="E666" s="32">
        <v>42941</v>
      </c>
      <c r="F666" s="34">
        <v>5000000</v>
      </c>
      <c r="G666" s="34">
        <v>2500000</v>
      </c>
      <c r="H666" s="34">
        <v>2500000</v>
      </c>
      <c r="I666" s="174" t="s">
        <v>1467</v>
      </c>
    </row>
    <row r="667" spans="1:16">
      <c r="A667" s="29">
        <f t="shared" si="73"/>
        <v>170</v>
      </c>
      <c r="B667" s="30" t="s">
        <v>642</v>
      </c>
      <c r="C667" s="31" t="s">
        <v>643</v>
      </c>
      <c r="D667" s="31" t="s">
        <v>644</v>
      </c>
      <c r="E667" s="32">
        <v>42941</v>
      </c>
      <c r="F667" s="34">
        <v>10000000</v>
      </c>
      <c r="G667" s="34">
        <v>1500000</v>
      </c>
      <c r="H667" s="34">
        <v>1000000</v>
      </c>
      <c r="I667" s="174" t="s">
        <v>1468</v>
      </c>
      <c r="J667" s="14"/>
      <c r="K667" s="14"/>
      <c r="L667" s="14"/>
      <c r="M667" s="14"/>
      <c r="N667" s="14"/>
      <c r="O667" s="14"/>
      <c r="P667" s="14"/>
    </row>
    <row r="668" spans="1:16">
      <c r="A668" s="29">
        <f t="shared" si="73"/>
        <v>171</v>
      </c>
      <c r="B668" s="30" t="s">
        <v>642</v>
      </c>
      <c r="C668" s="31" t="s">
        <v>643</v>
      </c>
      <c r="D668" s="31" t="s">
        <v>644</v>
      </c>
      <c r="E668" s="32">
        <v>42941</v>
      </c>
      <c r="F668" s="34">
        <v>10000000</v>
      </c>
      <c r="G668" s="34">
        <v>1500000</v>
      </c>
      <c r="H668" s="34">
        <v>1000000</v>
      </c>
      <c r="I668" s="174" t="s">
        <v>1469</v>
      </c>
      <c r="J668" s="14"/>
      <c r="K668" s="14"/>
      <c r="L668" s="14"/>
      <c r="M668" s="14"/>
      <c r="N668" s="14"/>
      <c r="O668" s="14"/>
      <c r="P668" s="14"/>
    </row>
    <row r="669" spans="1:16">
      <c r="A669" s="29">
        <f t="shared" si="73"/>
        <v>172</v>
      </c>
      <c r="B669" s="30" t="s">
        <v>879</v>
      </c>
      <c r="C669" s="31" t="s">
        <v>880</v>
      </c>
      <c r="D669" s="31" t="s">
        <v>881</v>
      </c>
      <c r="E669" s="32">
        <v>42941</v>
      </c>
      <c r="F669" s="34">
        <v>25000000</v>
      </c>
      <c r="G669" s="34">
        <v>5000000</v>
      </c>
      <c r="H669" s="34">
        <v>5000000</v>
      </c>
      <c r="I669" s="174" t="s">
        <v>1470</v>
      </c>
      <c r="J669" s="14"/>
      <c r="K669" s="14"/>
      <c r="L669" s="14"/>
      <c r="M669" s="14"/>
      <c r="N669" s="14"/>
      <c r="O669" s="14"/>
      <c r="P669" s="14"/>
    </row>
    <row r="670" spans="1:16">
      <c r="A670" s="29">
        <f t="shared" si="73"/>
        <v>173</v>
      </c>
      <c r="B670" s="30" t="s">
        <v>485</v>
      </c>
      <c r="C670" s="31" t="s">
        <v>486</v>
      </c>
      <c r="D670" s="31" t="s">
        <v>487</v>
      </c>
      <c r="E670" s="32">
        <v>42941</v>
      </c>
      <c r="F670" s="34">
        <v>25000000</v>
      </c>
      <c r="G670" s="34">
        <v>5000000</v>
      </c>
      <c r="H670" s="34">
        <v>5000000</v>
      </c>
      <c r="I670" s="174" t="s">
        <v>1471</v>
      </c>
      <c r="J670" s="14"/>
      <c r="K670" s="14"/>
      <c r="L670" s="14"/>
      <c r="M670" s="14"/>
      <c r="N670" s="14"/>
      <c r="O670" s="14"/>
      <c r="P670" s="14"/>
    </row>
    <row r="671" spans="1:16">
      <c r="A671" s="29">
        <f t="shared" si="73"/>
        <v>174</v>
      </c>
      <c r="B671" s="30" t="s">
        <v>680</v>
      </c>
      <c r="C671" s="31" t="s">
        <v>681</v>
      </c>
      <c r="D671" s="31" t="s">
        <v>682</v>
      </c>
      <c r="E671" s="32">
        <v>42942</v>
      </c>
      <c r="F671" s="34">
        <v>7750000</v>
      </c>
      <c r="G671" s="34">
        <v>0</v>
      </c>
      <c r="H671" s="34">
        <v>1250000</v>
      </c>
      <c r="I671" s="174" t="s">
        <v>1472</v>
      </c>
      <c r="J671" s="14"/>
      <c r="K671" s="14"/>
      <c r="L671" s="14"/>
      <c r="M671" s="14"/>
      <c r="N671" s="14"/>
      <c r="O671" s="14"/>
      <c r="P671" s="14"/>
    </row>
    <row r="672" spans="1:16">
      <c r="A672" s="29">
        <f t="shared" si="73"/>
        <v>175</v>
      </c>
      <c r="B672" s="30" t="s">
        <v>680</v>
      </c>
      <c r="C672" s="31" t="s">
        <v>681</v>
      </c>
      <c r="D672" s="31" t="s">
        <v>682</v>
      </c>
      <c r="E672" s="32">
        <v>42942</v>
      </c>
      <c r="F672" s="34">
        <v>7750000</v>
      </c>
      <c r="G672" s="34">
        <v>0</v>
      </c>
      <c r="H672" s="34">
        <v>1250000</v>
      </c>
      <c r="I672" s="174" t="s">
        <v>1472</v>
      </c>
      <c r="J672" s="14"/>
      <c r="K672" s="14"/>
      <c r="L672" s="14"/>
      <c r="M672" s="14"/>
      <c r="N672" s="14"/>
      <c r="O672" s="14"/>
      <c r="P672" s="14"/>
    </row>
    <row r="673" spans="1:16">
      <c r="A673" s="29">
        <f t="shared" si="73"/>
        <v>176</v>
      </c>
      <c r="B673" s="30" t="s">
        <v>657</v>
      </c>
      <c r="C673" s="31" t="s">
        <v>658</v>
      </c>
      <c r="D673" s="31" t="s">
        <v>659</v>
      </c>
      <c r="E673" s="32">
        <v>42942</v>
      </c>
      <c r="F673" s="34">
        <v>7500000</v>
      </c>
      <c r="G673" s="34">
        <v>3000000</v>
      </c>
      <c r="H673" s="34">
        <v>3000000</v>
      </c>
      <c r="I673" s="174"/>
      <c r="J673" s="14"/>
      <c r="K673" s="14"/>
      <c r="L673" s="14"/>
      <c r="M673" s="14"/>
      <c r="N673" s="14"/>
      <c r="O673" s="14"/>
      <c r="P673" s="14"/>
    </row>
    <row r="674" spans="1:16">
      <c r="A674" s="29">
        <f t="shared" si="73"/>
        <v>177</v>
      </c>
      <c r="B674" s="30" t="s">
        <v>657</v>
      </c>
      <c r="C674" s="31" t="s">
        <v>658</v>
      </c>
      <c r="D674" s="31" t="s">
        <v>659</v>
      </c>
      <c r="E674" s="32">
        <v>42942</v>
      </c>
      <c r="F674" s="34">
        <v>7500000</v>
      </c>
      <c r="G674" s="34">
        <v>3000000</v>
      </c>
      <c r="H674" s="34">
        <v>3000000</v>
      </c>
      <c r="I674" s="174"/>
      <c r="J674" s="14"/>
      <c r="K674" s="14"/>
      <c r="L674" s="14"/>
      <c r="M674" s="14"/>
      <c r="N674" s="14"/>
      <c r="O674" s="14"/>
      <c r="P674" s="14"/>
    </row>
    <row r="675" spans="1:16">
      <c r="A675" s="29">
        <f t="shared" si="73"/>
        <v>178</v>
      </c>
      <c r="B675" s="30" t="s">
        <v>45</v>
      </c>
      <c r="C675" s="31" t="s">
        <v>46</v>
      </c>
      <c r="D675" s="31" t="s">
        <v>47</v>
      </c>
      <c r="E675" s="32">
        <v>42942</v>
      </c>
      <c r="F675" s="34">
        <v>15000000</v>
      </c>
      <c r="G675" s="34">
        <v>2500000</v>
      </c>
      <c r="H675" s="34">
        <v>2500000</v>
      </c>
      <c r="I675" s="174" t="s">
        <v>1473</v>
      </c>
      <c r="J675" s="14"/>
      <c r="K675" s="14"/>
      <c r="L675" s="14"/>
      <c r="M675" s="14"/>
      <c r="N675" s="14"/>
      <c r="O675" s="14"/>
      <c r="P675" s="14"/>
    </row>
    <row r="676" spans="1:16">
      <c r="A676" s="29">
        <f t="shared" si="73"/>
        <v>179</v>
      </c>
      <c r="B676" s="30" t="s">
        <v>765</v>
      </c>
      <c r="C676" s="31" t="s">
        <v>766</v>
      </c>
      <c r="D676" s="31" t="s">
        <v>767</v>
      </c>
      <c r="E676" s="32">
        <v>42942</v>
      </c>
      <c r="F676" s="34">
        <v>12000000</v>
      </c>
      <c r="G676" s="34">
        <v>0</v>
      </c>
      <c r="H676" s="34">
        <v>0</v>
      </c>
      <c r="I676" s="174"/>
      <c r="J676" s="14"/>
      <c r="K676" s="14"/>
      <c r="L676" s="14"/>
      <c r="M676" s="14"/>
      <c r="N676" s="14"/>
      <c r="O676" s="14"/>
      <c r="P676" s="14"/>
    </row>
    <row r="677" spans="1:16">
      <c r="A677" s="29">
        <f t="shared" si="73"/>
        <v>180</v>
      </c>
      <c r="B677" s="30" t="s">
        <v>765</v>
      </c>
      <c r="C677" s="31" t="s">
        <v>766</v>
      </c>
      <c r="D677" s="31" t="s">
        <v>767</v>
      </c>
      <c r="E677" s="32">
        <v>42947</v>
      </c>
      <c r="F677" s="34">
        <v>18000000</v>
      </c>
      <c r="G677" s="34">
        <v>10000000</v>
      </c>
      <c r="H677" s="34">
        <v>7000000</v>
      </c>
      <c r="I677" s="174"/>
      <c r="J677" s="14"/>
      <c r="K677" s="14"/>
      <c r="L677" s="14"/>
      <c r="M677" s="14"/>
      <c r="N677" s="14"/>
      <c r="O677" s="14"/>
      <c r="P677" s="14"/>
    </row>
    <row r="678" spans="1:16">
      <c r="A678" s="29">
        <f t="shared" si="73"/>
        <v>181</v>
      </c>
      <c r="B678" s="30" t="s">
        <v>869</v>
      </c>
      <c r="C678" s="31" t="s">
        <v>870</v>
      </c>
      <c r="D678" s="31" t="s">
        <v>871</v>
      </c>
      <c r="E678" s="32">
        <v>42942</v>
      </c>
      <c r="F678" s="34">
        <v>8000000</v>
      </c>
      <c r="G678" s="34">
        <v>0</v>
      </c>
      <c r="H678" s="34">
        <v>0</v>
      </c>
      <c r="I678" s="174" t="s">
        <v>1474</v>
      </c>
      <c r="J678" s="14"/>
      <c r="K678" s="14"/>
      <c r="L678" s="14"/>
      <c r="M678" s="14"/>
      <c r="N678" s="14"/>
      <c r="O678" s="14"/>
      <c r="P678" s="14"/>
    </row>
    <row r="679" spans="1:16">
      <c r="A679" s="29">
        <f t="shared" si="73"/>
        <v>182</v>
      </c>
      <c r="B679" s="30" t="s">
        <v>301</v>
      </c>
      <c r="C679" s="31" t="s">
        <v>302</v>
      </c>
      <c r="D679" s="31" t="s">
        <v>303</v>
      </c>
      <c r="E679" s="32">
        <v>42943</v>
      </c>
      <c r="F679" s="34">
        <v>12000000</v>
      </c>
      <c r="G679" s="34">
        <v>2500000</v>
      </c>
      <c r="H679" s="34">
        <v>2500000</v>
      </c>
      <c r="I679" s="174" t="s">
        <v>1475</v>
      </c>
      <c r="J679" s="14"/>
      <c r="K679" s="14"/>
      <c r="L679" s="14"/>
      <c r="M679" s="14"/>
      <c r="N679" s="14"/>
      <c r="O679" s="14"/>
      <c r="P679" s="14"/>
    </row>
    <row r="680" spans="1:16">
      <c r="A680" s="29">
        <f t="shared" si="73"/>
        <v>183</v>
      </c>
      <c r="B680" s="30" t="s">
        <v>301</v>
      </c>
      <c r="C680" s="31" t="s">
        <v>302</v>
      </c>
      <c r="D680" s="31" t="s">
        <v>303</v>
      </c>
      <c r="E680" s="32">
        <v>42943</v>
      </c>
      <c r="F680" s="34">
        <v>12000000</v>
      </c>
      <c r="G680" s="34">
        <v>2500000</v>
      </c>
      <c r="H680" s="34">
        <v>2500000</v>
      </c>
      <c r="I680" s="174" t="s">
        <v>1475</v>
      </c>
      <c r="J680" s="14"/>
      <c r="K680" s="14"/>
      <c r="L680" s="14"/>
      <c r="M680" s="14"/>
      <c r="N680" s="14"/>
      <c r="O680" s="14"/>
      <c r="P680" s="14"/>
    </row>
    <row r="681" spans="1:16">
      <c r="A681" s="29">
        <f t="shared" si="73"/>
        <v>184</v>
      </c>
      <c r="B681" s="30" t="s">
        <v>54</v>
      </c>
      <c r="C681" s="31" t="s">
        <v>55</v>
      </c>
      <c r="D681" s="31" t="s">
        <v>56</v>
      </c>
      <c r="E681" s="32">
        <v>42943</v>
      </c>
      <c r="F681" s="34">
        <v>7500000</v>
      </c>
      <c r="G681" s="34">
        <v>3000000</v>
      </c>
      <c r="H681" s="34">
        <v>3000000</v>
      </c>
      <c r="I681" s="174" t="s">
        <v>1476</v>
      </c>
      <c r="J681" s="14"/>
      <c r="K681" s="14"/>
      <c r="L681" s="14"/>
      <c r="M681" s="14"/>
      <c r="N681" s="14"/>
      <c r="O681" s="14"/>
      <c r="P681" s="14"/>
    </row>
    <row r="682" spans="1:16">
      <c r="A682" s="29">
        <f t="shared" si="73"/>
        <v>185</v>
      </c>
      <c r="B682" s="30" t="s">
        <v>54</v>
      </c>
      <c r="C682" s="31" t="s">
        <v>55</v>
      </c>
      <c r="D682" s="31" t="s">
        <v>56</v>
      </c>
      <c r="E682" s="32">
        <v>42943</v>
      </c>
      <c r="F682" s="34">
        <v>7500000</v>
      </c>
      <c r="G682" s="34">
        <v>3000000</v>
      </c>
      <c r="H682" s="34">
        <v>3000000</v>
      </c>
      <c r="I682" s="174" t="s">
        <v>1477</v>
      </c>
      <c r="J682" s="14"/>
      <c r="K682" s="14"/>
      <c r="L682" s="14"/>
      <c r="M682" s="14"/>
      <c r="N682" s="14"/>
      <c r="O682" s="14"/>
      <c r="P682" s="14"/>
    </row>
    <row r="683" spans="1:16">
      <c r="A683" s="29">
        <f t="shared" si="73"/>
        <v>186</v>
      </c>
      <c r="B683" s="30" t="s">
        <v>997</v>
      </c>
      <c r="C683" s="31" t="s">
        <v>998</v>
      </c>
      <c r="D683" s="31" t="s">
        <v>999</v>
      </c>
      <c r="E683" s="32">
        <v>42943</v>
      </c>
      <c r="F683" s="34">
        <v>20000000</v>
      </c>
      <c r="G683" s="34">
        <v>2500000</v>
      </c>
      <c r="H683" s="34">
        <v>2500000</v>
      </c>
      <c r="I683" s="174" t="s">
        <v>1478</v>
      </c>
      <c r="J683" s="14"/>
      <c r="K683" s="14"/>
      <c r="L683" s="14"/>
      <c r="M683" s="14"/>
      <c r="N683" s="14"/>
      <c r="O683" s="14"/>
      <c r="P683" s="14"/>
    </row>
    <row r="684" spans="1:16">
      <c r="A684" s="29">
        <f t="shared" si="73"/>
        <v>187</v>
      </c>
      <c r="B684" s="30" t="s">
        <v>997</v>
      </c>
      <c r="C684" s="31" t="s">
        <v>998</v>
      </c>
      <c r="D684" s="31" t="s">
        <v>999</v>
      </c>
      <c r="E684" s="32">
        <v>42943</v>
      </c>
      <c r="F684" s="34">
        <v>20000000</v>
      </c>
      <c r="G684" s="34">
        <v>2500000</v>
      </c>
      <c r="H684" s="34">
        <v>2500000</v>
      </c>
      <c r="I684" s="174" t="s">
        <v>1478</v>
      </c>
      <c r="J684" s="14"/>
      <c r="K684" s="14"/>
      <c r="L684" s="14"/>
      <c r="M684" s="14"/>
      <c r="N684" s="14"/>
      <c r="O684" s="14"/>
      <c r="P684" s="14"/>
    </row>
    <row r="685" spans="1:16">
      <c r="A685" s="29">
        <f t="shared" si="73"/>
        <v>188</v>
      </c>
      <c r="B685" s="30" t="s">
        <v>579</v>
      </c>
      <c r="C685" s="31" t="s">
        <v>580</v>
      </c>
      <c r="D685" s="31" t="s">
        <v>581</v>
      </c>
      <c r="E685" s="32">
        <v>42943</v>
      </c>
      <c r="F685" s="34">
        <v>5000000</v>
      </c>
      <c r="G685" s="34">
        <v>0</v>
      </c>
      <c r="H685" s="34">
        <v>0</v>
      </c>
      <c r="I685" s="174" t="s">
        <v>1479</v>
      </c>
      <c r="J685" s="14"/>
      <c r="K685" s="14"/>
      <c r="L685" s="14"/>
      <c r="M685" s="14"/>
      <c r="N685" s="14"/>
      <c r="O685" s="14"/>
      <c r="P685" s="14"/>
    </row>
    <row r="686" spans="1:16">
      <c r="A686" s="29">
        <f t="shared" si="73"/>
        <v>189</v>
      </c>
      <c r="B686" s="30" t="s">
        <v>579</v>
      </c>
      <c r="C686" s="31" t="s">
        <v>580</v>
      </c>
      <c r="D686" s="31" t="s">
        <v>581</v>
      </c>
      <c r="E686" s="32">
        <v>42943</v>
      </c>
      <c r="F686" s="34">
        <v>5000000</v>
      </c>
      <c r="G686" s="34">
        <v>0</v>
      </c>
      <c r="H686" s="34">
        <v>0</v>
      </c>
      <c r="I686" s="174" t="s">
        <v>1480</v>
      </c>
      <c r="J686" s="14"/>
      <c r="K686" s="14"/>
      <c r="L686" s="14"/>
      <c r="M686" s="14"/>
      <c r="N686" s="14"/>
      <c r="O686" s="14"/>
      <c r="P686" s="14"/>
    </row>
    <row r="687" spans="1:16">
      <c r="A687" s="29">
        <f t="shared" si="73"/>
        <v>190</v>
      </c>
      <c r="B687" s="30" t="s">
        <v>87</v>
      </c>
      <c r="C687" s="31" t="s">
        <v>88</v>
      </c>
      <c r="D687" s="31" t="s">
        <v>89</v>
      </c>
      <c r="E687" s="32">
        <v>42947</v>
      </c>
      <c r="F687" s="34">
        <v>30000000</v>
      </c>
      <c r="G687" s="34">
        <v>10000000</v>
      </c>
      <c r="H687" s="34">
        <v>10000000</v>
      </c>
      <c r="I687" s="174" t="s">
        <v>1481</v>
      </c>
      <c r="J687" s="14"/>
      <c r="K687" s="14"/>
      <c r="L687" s="14"/>
      <c r="M687" s="14"/>
      <c r="N687" s="14"/>
      <c r="O687" s="14"/>
      <c r="P687" s="14"/>
    </row>
    <row r="688" spans="1:16">
      <c r="A688" s="29">
        <f t="shared" si="73"/>
        <v>191</v>
      </c>
      <c r="B688" s="30" t="s">
        <v>166</v>
      </c>
      <c r="C688" s="31" t="s">
        <v>167</v>
      </c>
      <c r="D688" s="43" t="s">
        <v>168</v>
      </c>
      <c r="E688" s="32">
        <v>42949</v>
      </c>
      <c r="F688" s="34">
        <v>10000000</v>
      </c>
      <c r="G688" s="34">
        <v>2500000</v>
      </c>
      <c r="H688" s="34">
        <v>2500000</v>
      </c>
      <c r="I688" s="174" t="s">
        <v>1482</v>
      </c>
      <c r="J688" s="14"/>
      <c r="K688" s="14"/>
      <c r="L688" s="14"/>
      <c r="M688" s="14"/>
      <c r="N688" s="14"/>
      <c r="O688" s="14"/>
      <c r="P688" s="14"/>
    </row>
    <row r="689" spans="1:16">
      <c r="A689" s="29">
        <f t="shared" si="73"/>
        <v>192</v>
      </c>
      <c r="B689" s="30" t="s">
        <v>166</v>
      </c>
      <c r="C689" s="31" t="s">
        <v>167</v>
      </c>
      <c r="D689" s="43" t="s">
        <v>168</v>
      </c>
      <c r="E689" s="32">
        <v>42949</v>
      </c>
      <c r="F689" s="34">
        <v>10000000</v>
      </c>
      <c r="G689" s="34">
        <v>2500000</v>
      </c>
      <c r="H689" s="34">
        <v>2500000</v>
      </c>
      <c r="I689" s="174" t="s">
        <v>1483</v>
      </c>
      <c r="J689" s="14"/>
      <c r="K689" s="14"/>
      <c r="L689" s="14"/>
      <c r="M689" s="14"/>
      <c r="N689" s="14"/>
      <c r="O689" s="14"/>
      <c r="P689" s="14"/>
    </row>
    <row r="690" spans="1:16">
      <c r="A690" s="29">
        <f t="shared" si="73"/>
        <v>193</v>
      </c>
      <c r="B690" s="30" t="s">
        <v>923</v>
      </c>
      <c r="C690" s="31" t="s">
        <v>924</v>
      </c>
      <c r="D690" s="31" t="s">
        <v>925</v>
      </c>
      <c r="E690" s="32">
        <v>42950</v>
      </c>
      <c r="F690" s="34">
        <v>2500000</v>
      </c>
      <c r="G690" s="34">
        <v>1250000</v>
      </c>
      <c r="H690" s="34">
        <v>1250000</v>
      </c>
      <c r="I690" s="174" t="s">
        <v>1484</v>
      </c>
      <c r="J690" s="14"/>
      <c r="K690" s="14"/>
      <c r="L690" s="14"/>
      <c r="M690" s="14"/>
      <c r="N690" s="14"/>
      <c r="O690" s="14"/>
      <c r="P690" s="14"/>
    </row>
    <row r="691" spans="1:16">
      <c r="A691" s="29">
        <f t="shared" si="73"/>
        <v>194</v>
      </c>
      <c r="B691" s="30" t="s">
        <v>923</v>
      </c>
      <c r="C691" s="31" t="s">
        <v>924</v>
      </c>
      <c r="D691" s="31" t="s">
        <v>925</v>
      </c>
      <c r="E691" s="32">
        <v>42950</v>
      </c>
      <c r="F691" s="34">
        <v>2500000</v>
      </c>
      <c r="G691" s="34">
        <v>1250000</v>
      </c>
      <c r="H691" s="34">
        <v>1250000</v>
      </c>
      <c r="I691" s="174" t="s">
        <v>1484</v>
      </c>
      <c r="J691" s="14"/>
      <c r="K691" s="14"/>
      <c r="L691" s="14"/>
      <c r="M691" s="14"/>
      <c r="N691" s="14"/>
      <c r="O691" s="14"/>
      <c r="P691" s="14"/>
    </row>
    <row r="692" spans="1:16">
      <c r="A692" s="29">
        <f t="shared" ref="A692:A755" si="74">+A691+1</f>
        <v>195</v>
      </c>
      <c r="B692" s="30" t="s">
        <v>1126</v>
      </c>
      <c r="C692" s="31" t="s">
        <v>1127</v>
      </c>
      <c r="D692" s="31" t="s">
        <v>1128</v>
      </c>
      <c r="E692" s="32">
        <v>42961</v>
      </c>
      <c r="F692" s="34">
        <v>15000000</v>
      </c>
      <c r="G692" s="34">
        <v>0</v>
      </c>
      <c r="H692" s="34">
        <v>0</v>
      </c>
      <c r="I692" s="174" t="s">
        <v>1485</v>
      </c>
      <c r="J692" s="14"/>
      <c r="K692" s="14"/>
      <c r="L692" s="14"/>
      <c r="M692" s="14"/>
      <c r="N692" s="14"/>
      <c r="O692" s="14"/>
      <c r="P692" s="14"/>
    </row>
    <row r="693" spans="1:16">
      <c r="A693" s="29">
        <f t="shared" si="74"/>
        <v>196</v>
      </c>
      <c r="B693" s="30" t="s">
        <v>1086</v>
      </c>
      <c r="C693" s="31" t="s">
        <v>1087</v>
      </c>
      <c r="D693" s="31" t="s">
        <v>1088</v>
      </c>
      <c r="E693" s="32">
        <v>42961</v>
      </c>
      <c r="F693" s="34">
        <v>8000000</v>
      </c>
      <c r="G693" s="34">
        <v>2000000</v>
      </c>
      <c r="H693" s="34">
        <v>2000000</v>
      </c>
      <c r="I693" s="44">
        <v>0</v>
      </c>
      <c r="J693" s="14"/>
      <c r="K693" s="14"/>
      <c r="L693" s="14"/>
      <c r="M693" s="14"/>
      <c r="N693" s="14"/>
      <c r="O693" s="14"/>
      <c r="P693" s="14"/>
    </row>
    <row r="694" spans="1:16">
      <c r="A694" s="29">
        <f t="shared" si="74"/>
        <v>197</v>
      </c>
      <c r="B694" s="30" t="s">
        <v>603</v>
      </c>
      <c r="C694" s="31" t="s">
        <v>604</v>
      </c>
      <c r="D694" s="43" t="s">
        <v>605</v>
      </c>
      <c r="E694" s="32">
        <v>42972</v>
      </c>
      <c r="F694" s="34">
        <v>10000000</v>
      </c>
      <c r="G694" s="34">
        <v>2000000</v>
      </c>
      <c r="H694" s="34">
        <v>2000000</v>
      </c>
      <c r="I694" s="174" t="s">
        <v>1486</v>
      </c>
    </row>
    <row r="695" spans="1:16">
      <c r="A695" s="29">
        <f t="shared" si="74"/>
        <v>198</v>
      </c>
      <c r="B695" s="30" t="s">
        <v>842</v>
      </c>
      <c r="C695" s="31" t="s">
        <v>843</v>
      </c>
      <c r="D695" s="43" t="s">
        <v>843</v>
      </c>
      <c r="E695" s="32">
        <v>42977</v>
      </c>
      <c r="F695" s="34">
        <v>25000000</v>
      </c>
      <c r="G695" s="34">
        <v>0</v>
      </c>
      <c r="H695" s="34">
        <v>0</v>
      </c>
      <c r="I695" s="174"/>
    </row>
    <row r="696" spans="1:16">
      <c r="A696" s="29">
        <f t="shared" si="74"/>
        <v>199</v>
      </c>
      <c r="B696" s="30" t="s">
        <v>407</v>
      </c>
      <c r="C696" s="31" t="s">
        <v>408</v>
      </c>
      <c r="D696" s="31" t="s">
        <v>409</v>
      </c>
      <c r="E696" s="32">
        <v>42975</v>
      </c>
      <c r="F696" s="34">
        <v>6500000</v>
      </c>
      <c r="G696" s="34">
        <v>0</v>
      </c>
      <c r="H696" s="34">
        <v>0</v>
      </c>
      <c r="I696" s="174" t="s">
        <v>1487</v>
      </c>
      <c r="J696" s="14"/>
      <c r="K696" s="14"/>
      <c r="L696" s="14"/>
      <c r="M696" s="14"/>
      <c r="N696" s="14"/>
      <c r="O696" s="14"/>
      <c r="P696" s="14"/>
    </row>
    <row r="697" spans="1:16">
      <c r="A697" s="29">
        <f t="shared" si="74"/>
        <v>200</v>
      </c>
      <c r="B697" s="30" t="s">
        <v>407</v>
      </c>
      <c r="C697" s="31" t="s">
        <v>408</v>
      </c>
      <c r="D697" s="31" t="s">
        <v>409</v>
      </c>
      <c r="E697" s="32">
        <v>42975</v>
      </c>
      <c r="F697" s="34">
        <v>6500000</v>
      </c>
      <c r="G697" s="34"/>
      <c r="H697" s="34"/>
      <c r="I697" s="174" t="s">
        <v>1488</v>
      </c>
      <c r="J697" s="14"/>
      <c r="K697" s="14"/>
      <c r="L697" s="14"/>
      <c r="M697" s="14"/>
      <c r="N697" s="14"/>
      <c r="O697" s="14"/>
      <c r="P697" s="14"/>
    </row>
    <row r="698" spans="1:16">
      <c r="A698" s="29">
        <f t="shared" si="74"/>
        <v>201</v>
      </c>
      <c r="B698" s="30" t="s">
        <v>1159</v>
      </c>
      <c r="C698" s="31" t="s">
        <v>1160</v>
      </c>
      <c r="D698" s="31" t="s">
        <v>1161</v>
      </c>
      <c r="E698" s="32">
        <v>42975</v>
      </c>
      <c r="F698" s="34">
        <v>15000000</v>
      </c>
      <c r="G698" s="34">
        <v>5000000</v>
      </c>
      <c r="H698" s="34">
        <v>5000000</v>
      </c>
      <c r="I698" s="174" t="s">
        <v>1489</v>
      </c>
      <c r="J698" s="14"/>
      <c r="K698" s="14"/>
      <c r="L698" s="14"/>
      <c r="M698" s="14"/>
      <c r="N698" s="14"/>
      <c r="O698" s="14"/>
      <c r="P698" s="14"/>
    </row>
    <row r="699" spans="1:16">
      <c r="A699" s="29">
        <f t="shared" si="74"/>
        <v>202</v>
      </c>
      <c r="B699" s="30" t="s">
        <v>674</v>
      </c>
      <c r="C699" s="31" t="s">
        <v>675</v>
      </c>
      <c r="D699" s="31" t="s">
        <v>676</v>
      </c>
      <c r="E699" s="32">
        <v>42976</v>
      </c>
      <c r="F699" s="34">
        <v>20000000</v>
      </c>
      <c r="G699" s="34">
        <v>5000000</v>
      </c>
      <c r="H699" s="34">
        <v>0</v>
      </c>
      <c r="I699" s="174" t="s">
        <v>1490</v>
      </c>
      <c r="J699" s="14"/>
      <c r="K699" s="14"/>
      <c r="L699" s="14"/>
      <c r="M699" s="14"/>
      <c r="N699" s="14"/>
      <c r="O699" s="14"/>
      <c r="P699" s="14"/>
    </row>
    <row r="700" spans="1:16">
      <c r="A700" s="29">
        <f t="shared" si="74"/>
        <v>203</v>
      </c>
      <c r="B700" s="30" t="s">
        <v>660</v>
      </c>
      <c r="C700" s="31" t="s">
        <v>661</v>
      </c>
      <c r="D700" s="31" t="s">
        <v>662</v>
      </c>
      <c r="E700" s="32">
        <v>42976</v>
      </c>
      <c r="F700" s="34">
        <v>11000000</v>
      </c>
      <c r="G700" s="34">
        <v>0</v>
      </c>
      <c r="H700" s="34">
        <v>0</v>
      </c>
      <c r="I700" s="174" t="s">
        <v>1491</v>
      </c>
      <c r="J700" s="14"/>
      <c r="K700" s="14"/>
      <c r="L700" s="14"/>
      <c r="M700" s="14"/>
      <c r="N700" s="14"/>
      <c r="O700" s="14"/>
      <c r="P700" s="14"/>
    </row>
    <row r="701" spans="1:16">
      <c r="A701" s="29">
        <f t="shared" si="74"/>
        <v>204</v>
      </c>
      <c r="B701" s="30" t="s">
        <v>820</v>
      </c>
      <c r="C701" s="31" t="s">
        <v>821</v>
      </c>
      <c r="D701" s="31" t="s">
        <v>822</v>
      </c>
      <c r="E701" s="32">
        <v>42978</v>
      </c>
      <c r="F701" s="34">
        <v>10000000</v>
      </c>
      <c r="G701" s="34">
        <v>0</v>
      </c>
      <c r="H701" s="34">
        <v>2500000</v>
      </c>
      <c r="I701" s="174" t="s">
        <v>1492</v>
      </c>
      <c r="J701" s="14"/>
      <c r="K701" s="14"/>
      <c r="L701" s="14"/>
      <c r="M701" s="14"/>
      <c r="N701" s="14"/>
      <c r="O701" s="14"/>
      <c r="P701" s="14"/>
    </row>
    <row r="702" spans="1:16">
      <c r="A702" s="29">
        <f t="shared" si="74"/>
        <v>205</v>
      </c>
      <c r="B702" s="30" t="s">
        <v>820</v>
      </c>
      <c r="C702" s="31" t="s">
        <v>821</v>
      </c>
      <c r="D702" s="31" t="s">
        <v>822</v>
      </c>
      <c r="E702" s="32">
        <v>42978</v>
      </c>
      <c r="F702" s="34">
        <v>10000000</v>
      </c>
      <c r="G702" s="34">
        <v>0</v>
      </c>
      <c r="H702" s="34">
        <v>2500000</v>
      </c>
      <c r="I702" s="174" t="s">
        <v>1493</v>
      </c>
      <c r="J702" s="14"/>
      <c r="K702" s="14"/>
      <c r="L702" s="14"/>
      <c r="M702" s="14"/>
      <c r="N702" s="14"/>
      <c r="O702" s="14"/>
      <c r="P702" s="14"/>
    </row>
    <row r="703" spans="1:16">
      <c r="A703" s="29">
        <f t="shared" si="74"/>
        <v>206</v>
      </c>
      <c r="B703" s="30" t="s">
        <v>938</v>
      </c>
      <c r="C703" s="31" t="s">
        <v>939</v>
      </c>
      <c r="D703" s="43" t="s">
        <v>940</v>
      </c>
      <c r="E703" s="32">
        <v>42983</v>
      </c>
      <c r="F703" s="34">
        <v>5000000</v>
      </c>
      <c r="G703" s="34">
        <v>3500000</v>
      </c>
      <c r="H703" s="34">
        <v>0</v>
      </c>
      <c r="I703" s="174" t="s">
        <v>1494</v>
      </c>
      <c r="J703" s="14"/>
      <c r="K703" s="14"/>
      <c r="L703" s="14"/>
      <c r="M703" s="14"/>
      <c r="N703" s="14"/>
      <c r="O703" s="14"/>
      <c r="P703" s="14"/>
    </row>
    <row r="704" spans="1:16">
      <c r="A704" s="29">
        <f t="shared" si="74"/>
        <v>207</v>
      </c>
      <c r="B704" s="30" t="s">
        <v>1057</v>
      </c>
      <c r="C704" s="31" t="s">
        <v>1058</v>
      </c>
      <c r="D704" s="43" t="s">
        <v>1059</v>
      </c>
      <c r="E704" s="32">
        <v>42984</v>
      </c>
      <c r="F704" s="34">
        <v>8000000</v>
      </c>
      <c r="G704" s="34">
        <v>1000000</v>
      </c>
      <c r="H704" s="34">
        <v>1000000</v>
      </c>
      <c r="I704" s="174" t="s">
        <v>1495</v>
      </c>
      <c r="J704" s="14"/>
      <c r="K704" s="14"/>
      <c r="L704" s="14"/>
      <c r="M704" s="14"/>
      <c r="N704" s="14"/>
      <c r="O704" s="14"/>
      <c r="P704" s="14"/>
    </row>
    <row r="705" spans="1:16">
      <c r="A705" s="29">
        <f t="shared" si="74"/>
        <v>208</v>
      </c>
      <c r="B705" s="30" t="s">
        <v>1057</v>
      </c>
      <c r="C705" s="31" t="s">
        <v>1058</v>
      </c>
      <c r="D705" s="43" t="s">
        <v>1059</v>
      </c>
      <c r="E705" s="32">
        <v>42984</v>
      </c>
      <c r="F705" s="34">
        <v>8000000</v>
      </c>
      <c r="G705" s="34">
        <v>1000000</v>
      </c>
      <c r="H705" s="34">
        <v>1000000</v>
      </c>
      <c r="I705" s="174" t="s">
        <v>1496</v>
      </c>
      <c r="J705" s="14"/>
      <c r="K705" s="14"/>
      <c r="L705" s="14"/>
      <c r="M705" s="14"/>
      <c r="N705" s="14"/>
      <c r="O705" s="14"/>
      <c r="P705" s="14"/>
    </row>
    <row r="706" spans="1:16">
      <c r="A706" s="29">
        <f t="shared" si="74"/>
        <v>209</v>
      </c>
      <c r="B706" s="30" t="s">
        <v>454</v>
      </c>
      <c r="C706" s="31" t="s">
        <v>455</v>
      </c>
      <c r="D706" s="31" t="s">
        <v>456</v>
      </c>
      <c r="E706" s="32">
        <v>42983</v>
      </c>
      <c r="F706" s="34">
        <v>10000000</v>
      </c>
      <c r="G706" s="34">
        <v>5000000</v>
      </c>
      <c r="H706" s="34">
        <v>5000000</v>
      </c>
      <c r="I706" s="174" t="s">
        <v>1497</v>
      </c>
      <c r="J706" s="14"/>
      <c r="K706" s="14"/>
      <c r="L706" s="14"/>
      <c r="M706" s="14"/>
      <c r="N706" s="14"/>
      <c r="O706" s="14"/>
      <c r="P706" s="14"/>
    </row>
    <row r="707" spans="1:16">
      <c r="A707" s="29">
        <f t="shared" si="74"/>
        <v>210</v>
      </c>
      <c r="B707" s="30" t="s">
        <v>421</v>
      </c>
      <c r="C707" s="31" t="s">
        <v>422</v>
      </c>
      <c r="D707" s="31" t="s">
        <v>423</v>
      </c>
      <c r="E707" s="32">
        <v>42986</v>
      </c>
      <c r="F707" s="34">
        <v>15000000</v>
      </c>
      <c r="G707" s="34">
        <v>0</v>
      </c>
      <c r="H707" s="34">
        <v>0</v>
      </c>
      <c r="I707" s="174" t="s">
        <v>1498</v>
      </c>
      <c r="J707" s="14"/>
      <c r="K707" s="14"/>
      <c r="L707" s="14"/>
      <c r="M707" s="14"/>
      <c r="N707" s="14"/>
      <c r="O707" s="14"/>
      <c r="P707" s="14"/>
    </row>
    <row r="708" spans="1:16">
      <c r="A708" s="29">
        <f t="shared" si="74"/>
        <v>211</v>
      </c>
      <c r="B708" s="30" t="s">
        <v>1499</v>
      </c>
      <c r="C708" s="31" t="s">
        <v>27</v>
      </c>
      <c r="D708" s="31" t="s">
        <v>28</v>
      </c>
      <c r="E708" s="32">
        <v>42982</v>
      </c>
      <c r="F708" s="34">
        <v>10000000</v>
      </c>
      <c r="G708" s="34">
        <v>0</v>
      </c>
      <c r="H708" s="34">
        <v>0</v>
      </c>
      <c r="I708" s="174" t="s">
        <v>1500</v>
      </c>
      <c r="J708" s="14"/>
      <c r="K708" s="14"/>
      <c r="L708" s="14"/>
      <c r="M708" s="14"/>
      <c r="N708" s="14"/>
      <c r="O708" s="14"/>
      <c r="P708" s="14"/>
    </row>
    <row r="709" spans="1:16">
      <c r="A709" s="29">
        <f t="shared" si="74"/>
        <v>212</v>
      </c>
      <c r="B709" s="30" t="s">
        <v>745</v>
      </c>
      <c r="C709" s="31" t="s">
        <v>746</v>
      </c>
      <c r="D709" s="31" t="s">
        <v>747</v>
      </c>
      <c r="E709" s="32">
        <v>42982</v>
      </c>
      <c r="F709" s="34">
        <v>5000000</v>
      </c>
      <c r="G709" s="34">
        <v>750000</v>
      </c>
      <c r="H709" s="34">
        <v>750000</v>
      </c>
      <c r="I709" s="174" t="s">
        <v>1501</v>
      </c>
      <c r="J709" s="14"/>
      <c r="K709" s="14"/>
      <c r="L709" s="14"/>
      <c r="M709" s="14"/>
      <c r="N709" s="14"/>
      <c r="O709" s="14"/>
      <c r="P709" s="14"/>
    </row>
    <row r="710" spans="1:16">
      <c r="A710" s="29">
        <f t="shared" si="74"/>
        <v>213</v>
      </c>
      <c r="B710" s="30" t="s">
        <v>745</v>
      </c>
      <c r="C710" s="31" t="s">
        <v>746</v>
      </c>
      <c r="D710" s="31" t="s">
        <v>747</v>
      </c>
      <c r="E710" s="32">
        <v>42982</v>
      </c>
      <c r="F710" s="34">
        <v>5000000</v>
      </c>
      <c r="G710" s="34">
        <v>750000</v>
      </c>
      <c r="H710" s="34">
        <v>750000</v>
      </c>
      <c r="I710" s="174" t="s">
        <v>1502</v>
      </c>
      <c r="J710" s="14"/>
      <c r="K710" s="14"/>
      <c r="L710" s="14"/>
      <c r="M710" s="14"/>
      <c r="N710" s="14"/>
      <c r="O710" s="14"/>
      <c r="P710" s="14"/>
    </row>
    <row r="711" spans="1:16">
      <c r="A711" s="29">
        <f t="shared" si="74"/>
        <v>214</v>
      </c>
      <c r="B711" s="30" t="s">
        <v>98</v>
      </c>
      <c r="C711" s="31" t="s">
        <v>99</v>
      </c>
      <c r="D711" s="31" t="s">
        <v>100</v>
      </c>
      <c r="E711" s="32">
        <v>42982</v>
      </c>
      <c r="F711" s="34">
        <v>10000000</v>
      </c>
      <c r="G711" s="34">
        <v>3500000</v>
      </c>
      <c r="H711" s="34">
        <v>3500000</v>
      </c>
      <c r="I711" s="174" t="s">
        <v>1503</v>
      </c>
      <c r="J711" s="14"/>
      <c r="K711" s="14"/>
      <c r="L711" s="14"/>
      <c r="M711" s="14"/>
      <c r="N711" s="14"/>
      <c r="O711" s="14"/>
      <c r="P711" s="14"/>
    </row>
    <row r="712" spans="1:16">
      <c r="A712" s="29">
        <f t="shared" si="74"/>
        <v>215</v>
      </c>
      <c r="B712" s="30" t="s">
        <v>98</v>
      </c>
      <c r="C712" s="31" t="s">
        <v>99</v>
      </c>
      <c r="D712" s="31" t="s">
        <v>100</v>
      </c>
      <c r="E712" s="32">
        <v>42982</v>
      </c>
      <c r="F712" s="34">
        <v>10000000</v>
      </c>
      <c r="G712" s="34">
        <v>3500000</v>
      </c>
      <c r="H712" s="34">
        <v>3500000</v>
      </c>
      <c r="I712" s="174" t="s">
        <v>1504</v>
      </c>
      <c r="J712" s="14"/>
      <c r="K712" s="14"/>
      <c r="L712" s="14"/>
      <c r="M712" s="14"/>
      <c r="N712" s="14"/>
      <c r="O712" s="14"/>
      <c r="P712" s="14"/>
    </row>
    <row r="713" spans="1:16">
      <c r="A713" s="29">
        <f t="shared" si="74"/>
        <v>216</v>
      </c>
      <c r="B713" s="30" t="s">
        <v>275</v>
      </c>
      <c r="C713" s="31" t="s">
        <v>276</v>
      </c>
      <c r="D713" s="31" t="s">
        <v>277</v>
      </c>
      <c r="E713" s="32">
        <v>42982</v>
      </c>
      <c r="F713" s="34">
        <v>10000000</v>
      </c>
      <c r="G713" s="34">
        <v>3500000</v>
      </c>
      <c r="H713" s="34">
        <v>3500000</v>
      </c>
      <c r="I713" s="174" t="s">
        <v>1505</v>
      </c>
      <c r="J713" s="14"/>
      <c r="K713" s="14"/>
      <c r="L713" s="14"/>
      <c r="M713" s="14"/>
      <c r="N713" s="14"/>
      <c r="O713" s="14"/>
      <c r="P713" s="14"/>
    </row>
    <row r="714" spans="1:16">
      <c r="A714" s="29">
        <f t="shared" si="74"/>
        <v>217</v>
      </c>
      <c r="B714" s="30" t="s">
        <v>275</v>
      </c>
      <c r="C714" s="31" t="s">
        <v>276</v>
      </c>
      <c r="D714" s="31" t="s">
        <v>277</v>
      </c>
      <c r="E714" s="32">
        <v>42982</v>
      </c>
      <c r="F714" s="34">
        <v>10000000</v>
      </c>
      <c r="G714" s="34">
        <v>3500000</v>
      </c>
      <c r="H714" s="34">
        <v>3500000</v>
      </c>
      <c r="I714" s="174" t="s">
        <v>1506</v>
      </c>
      <c r="J714" s="14"/>
      <c r="K714" s="14"/>
      <c r="L714" s="14"/>
      <c r="M714" s="14"/>
      <c r="N714" s="14"/>
      <c r="O714" s="14"/>
      <c r="P714" s="14"/>
    </row>
    <row r="715" spans="1:16">
      <c r="A715" s="29">
        <f t="shared" si="74"/>
        <v>218</v>
      </c>
      <c r="B715" s="30" t="s">
        <v>861</v>
      </c>
      <c r="C715" s="31" t="s">
        <v>862</v>
      </c>
      <c r="D715" s="31" t="s">
        <v>863</v>
      </c>
      <c r="E715" s="32">
        <v>42985</v>
      </c>
      <c r="F715" s="34">
        <v>20000000</v>
      </c>
      <c r="G715" s="34">
        <v>0</v>
      </c>
      <c r="H715" s="34">
        <v>0</v>
      </c>
      <c r="I715" s="174" t="s">
        <v>1507</v>
      </c>
      <c r="J715" s="14"/>
      <c r="K715" s="14"/>
      <c r="L715" s="14"/>
      <c r="M715" s="14"/>
      <c r="N715" s="14"/>
      <c r="O715" s="14"/>
      <c r="P715" s="14"/>
    </row>
    <row r="716" spans="1:16">
      <c r="A716" s="29">
        <f t="shared" si="74"/>
        <v>219</v>
      </c>
      <c r="B716" s="30" t="s">
        <v>586</v>
      </c>
      <c r="C716" s="31" t="s">
        <v>587</v>
      </c>
      <c r="D716" s="31" t="s">
        <v>588</v>
      </c>
      <c r="E716" s="32">
        <v>42985</v>
      </c>
      <c r="F716" s="34">
        <v>5000000</v>
      </c>
      <c r="G716" s="34">
        <v>2500000</v>
      </c>
      <c r="H716" s="34">
        <v>5000000</v>
      </c>
      <c r="I716" s="174" t="s">
        <v>1508</v>
      </c>
      <c r="J716" s="14"/>
      <c r="K716" s="14"/>
      <c r="L716" s="14"/>
      <c r="M716" s="14"/>
      <c r="N716" s="14"/>
      <c r="O716" s="14"/>
      <c r="P716" s="14"/>
    </row>
    <row r="717" spans="1:16">
      <c r="A717" s="29">
        <f t="shared" si="74"/>
        <v>220</v>
      </c>
      <c r="B717" s="30" t="s">
        <v>586</v>
      </c>
      <c r="C717" s="31" t="s">
        <v>587</v>
      </c>
      <c r="D717" s="31" t="s">
        <v>588</v>
      </c>
      <c r="E717" s="32">
        <v>42985</v>
      </c>
      <c r="F717" s="34">
        <v>5000000</v>
      </c>
      <c r="G717" s="34">
        <v>2500000</v>
      </c>
      <c r="H717" s="34">
        <v>5000000</v>
      </c>
      <c r="I717" s="174" t="s">
        <v>1508</v>
      </c>
      <c r="J717" s="14"/>
      <c r="K717" s="14"/>
      <c r="L717" s="14"/>
      <c r="M717" s="14"/>
      <c r="N717" s="14"/>
      <c r="O717" s="14"/>
      <c r="P717" s="14"/>
    </row>
    <row r="718" spans="1:16">
      <c r="A718" s="29">
        <f t="shared" si="74"/>
        <v>221</v>
      </c>
      <c r="B718" s="30" t="s">
        <v>501</v>
      </c>
      <c r="C718" s="31" t="s">
        <v>502</v>
      </c>
      <c r="D718" s="31" t="s">
        <v>503</v>
      </c>
      <c r="E718" s="32">
        <v>42990</v>
      </c>
      <c r="F718" s="34">
        <v>6000000</v>
      </c>
      <c r="G718" s="34">
        <v>3000000</v>
      </c>
      <c r="H718" s="34">
        <v>3000000</v>
      </c>
      <c r="I718" s="174" t="s">
        <v>1509</v>
      </c>
      <c r="J718" s="14"/>
      <c r="K718" s="14"/>
      <c r="L718" s="14"/>
      <c r="M718" s="14"/>
      <c r="N718" s="14"/>
      <c r="O718" s="14"/>
      <c r="P718" s="14"/>
    </row>
    <row r="719" spans="1:16">
      <c r="A719" s="29">
        <f t="shared" si="74"/>
        <v>222</v>
      </c>
      <c r="B719" s="30" t="s">
        <v>501</v>
      </c>
      <c r="C719" s="31" t="s">
        <v>502</v>
      </c>
      <c r="D719" s="31" t="s">
        <v>503</v>
      </c>
      <c r="E719" s="32">
        <v>42990</v>
      </c>
      <c r="F719" s="34">
        <v>6000000</v>
      </c>
      <c r="G719" s="34">
        <v>3000000</v>
      </c>
      <c r="H719" s="34">
        <v>3000000</v>
      </c>
      <c r="I719" s="174" t="s">
        <v>1510</v>
      </c>
      <c r="J719" s="14"/>
      <c r="K719" s="14"/>
      <c r="L719" s="14"/>
      <c r="M719" s="14"/>
      <c r="N719" s="14"/>
      <c r="O719" s="14"/>
      <c r="P719" s="14"/>
    </row>
    <row r="720" spans="1:16">
      <c r="A720" s="29">
        <f t="shared" si="74"/>
        <v>223</v>
      </c>
      <c r="B720" s="30" t="s">
        <v>985</v>
      </c>
      <c r="C720" s="31" t="s">
        <v>986</v>
      </c>
      <c r="D720" s="31" t="s">
        <v>987</v>
      </c>
      <c r="E720" s="32">
        <v>42992</v>
      </c>
      <c r="F720" s="34">
        <v>10000000</v>
      </c>
      <c r="G720" s="34">
        <v>3000000</v>
      </c>
      <c r="H720" s="34">
        <v>3000000</v>
      </c>
      <c r="I720" s="174" t="s">
        <v>1511</v>
      </c>
      <c r="J720" s="14"/>
      <c r="K720" s="14"/>
      <c r="L720" s="14"/>
      <c r="M720" s="14"/>
      <c r="N720" s="14"/>
      <c r="O720" s="14"/>
      <c r="P720" s="14"/>
    </row>
    <row r="721" spans="1:16">
      <c r="A721" s="29">
        <f t="shared" si="74"/>
        <v>224</v>
      </c>
      <c r="B721" s="30" t="s">
        <v>132</v>
      </c>
      <c r="C721" s="31" t="s">
        <v>133</v>
      </c>
      <c r="D721" s="31" t="s">
        <v>134</v>
      </c>
      <c r="E721" s="32">
        <v>42992</v>
      </c>
      <c r="F721" s="34">
        <v>16000000</v>
      </c>
      <c r="G721" s="34">
        <v>5000000</v>
      </c>
      <c r="H721" s="34">
        <v>4000000</v>
      </c>
      <c r="I721" s="174" t="s">
        <v>1512</v>
      </c>
      <c r="J721" s="14"/>
      <c r="K721" s="14"/>
      <c r="L721" s="14"/>
      <c r="M721" s="14"/>
      <c r="N721" s="14"/>
      <c r="O721" s="14"/>
      <c r="P721" s="14"/>
    </row>
    <row r="722" spans="1:16">
      <c r="A722" s="29">
        <f t="shared" si="74"/>
        <v>225</v>
      </c>
      <c r="B722" s="30" t="s">
        <v>849</v>
      </c>
      <c r="C722" s="31" t="s">
        <v>850</v>
      </c>
      <c r="D722" s="43" t="s">
        <v>851</v>
      </c>
      <c r="E722" s="32">
        <v>43003</v>
      </c>
      <c r="F722" s="34">
        <v>3750000</v>
      </c>
      <c r="G722" s="34">
        <v>0</v>
      </c>
      <c r="H722" s="34">
        <v>1250000</v>
      </c>
      <c r="I722" s="174" t="s">
        <v>1513</v>
      </c>
    </row>
    <row r="723" spans="1:16">
      <c r="A723" s="29">
        <f t="shared" si="74"/>
        <v>226</v>
      </c>
      <c r="B723" s="30" t="s">
        <v>849</v>
      </c>
      <c r="C723" s="31" t="s">
        <v>850</v>
      </c>
      <c r="D723" s="43" t="s">
        <v>851</v>
      </c>
      <c r="E723" s="32">
        <v>43003</v>
      </c>
      <c r="F723" s="34">
        <v>3750000</v>
      </c>
      <c r="G723" s="34">
        <v>0</v>
      </c>
      <c r="H723" s="34">
        <v>1250000</v>
      </c>
      <c r="I723" s="174" t="s">
        <v>1514</v>
      </c>
    </row>
    <row r="724" spans="1:16">
      <c r="A724" s="29">
        <f t="shared" si="74"/>
        <v>227</v>
      </c>
      <c r="B724" s="30" t="s">
        <v>279</v>
      </c>
      <c r="C724" s="31" t="s">
        <v>280</v>
      </c>
      <c r="D724" s="43" t="s">
        <v>281</v>
      </c>
      <c r="E724" s="32">
        <v>43003</v>
      </c>
      <c r="F724" s="34">
        <v>15000000</v>
      </c>
      <c r="G724" s="34">
        <v>0</v>
      </c>
      <c r="H724" s="34">
        <v>0</v>
      </c>
      <c r="I724" s="174" t="s">
        <v>1515</v>
      </c>
    </row>
    <row r="725" spans="1:16">
      <c r="A725" s="29">
        <f t="shared" si="74"/>
        <v>228</v>
      </c>
      <c r="B725" s="30" t="s">
        <v>1111</v>
      </c>
      <c r="C725" s="31" t="s">
        <v>1112</v>
      </c>
      <c r="D725" s="31" t="s">
        <v>1113</v>
      </c>
      <c r="E725" s="32">
        <v>43003</v>
      </c>
      <c r="F725" s="34">
        <v>7500000</v>
      </c>
      <c r="G725" s="34">
        <v>0</v>
      </c>
      <c r="H725" s="34">
        <v>2500000</v>
      </c>
      <c r="I725" s="174" t="s">
        <v>1516</v>
      </c>
    </row>
    <row r="726" spans="1:16">
      <c r="A726" s="29">
        <f t="shared" si="74"/>
        <v>229</v>
      </c>
      <c r="B726" s="30" t="s">
        <v>1111</v>
      </c>
      <c r="C726" s="31" t="s">
        <v>1112</v>
      </c>
      <c r="D726" s="31" t="s">
        <v>1113</v>
      </c>
      <c r="E726" s="32">
        <v>43003</v>
      </c>
      <c r="F726" s="34">
        <v>7500000</v>
      </c>
      <c r="G726" s="34">
        <v>0</v>
      </c>
      <c r="H726" s="34">
        <v>2500000</v>
      </c>
      <c r="I726" s="174" t="s">
        <v>1517</v>
      </c>
    </row>
    <row r="727" spans="1:16">
      <c r="A727" s="29">
        <f t="shared" si="74"/>
        <v>230</v>
      </c>
      <c r="B727" s="30" t="s">
        <v>437</v>
      </c>
      <c r="C727" s="31" t="s">
        <v>438</v>
      </c>
      <c r="D727" s="31" t="s">
        <v>439</v>
      </c>
      <c r="E727" s="32">
        <v>43004</v>
      </c>
      <c r="F727" s="34">
        <v>10000000</v>
      </c>
      <c r="G727" s="34">
        <v>0</v>
      </c>
      <c r="H727" s="34">
        <v>10000000</v>
      </c>
      <c r="I727" s="174" t="s">
        <v>1518</v>
      </c>
    </row>
    <row r="728" spans="1:16">
      <c r="A728" s="29">
        <f t="shared" si="74"/>
        <v>231</v>
      </c>
      <c r="B728" s="30" t="s">
        <v>418</v>
      </c>
      <c r="C728" s="31" t="s">
        <v>419</v>
      </c>
      <c r="D728" s="31" t="s">
        <v>420</v>
      </c>
      <c r="E728" s="32">
        <v>43006</v>
      </c>
      <c r="F728" s="34">
        <v>22000000</v>
      </c>
      <c r="G728" s="34">
        <v>0</v>
      </c>
      <c r="H728" s="34">
        <v>0</v>
      </c>
      <c r="I728" s="174" t="s">
        <v>1519</v>
      </c>
      <c r="J728" s="14"/>
      <c r="K728" s="14"/>
      <c r="L728" s="14"/>
      <c r="M728" s="14"/>
      <c r="N728" s="14"/>
      <c r="O728" s="14"/>
      <c r="P728" s="14"/>
    </row>
    <row r="729" spans="1:16">
      <c r="A729" s="29">
        <f t="shared" si="74"/>
        <v>232</v>
      </c>
      <c r="B729" s="30" t="s">
        <v>798</v>
      </c>
      <c r="C729" s="31" t="s">
        <v>799</v>
      </c>
      <c r="D729" s="31" t="s">
        <v>800</v>
      </c>
      <c r="E729" s="32">
        <v>42982</v>
      </c>
      <c r="F729" s="34">
        <v>11000000</v>
      </c>
      <c r="G729" s="34">
        <v>3000000</v>
      </c>
      <c r="H729" s="34">
        <v>3000000</v>
      </c>
      <c r="I729" s="44">
        <v>0</v>
      </c>
      <c r="J729" s="14"/>
      <c r="K729" s="14"/>
      <c r="L729" s="14"/>
      <c r="M729" s="14"/>
      <c r="N729" s="14"/>
      <c r="O729" s="14"/>
      <c r="P729" s="14"/>
    </row>
    <row r="730" spans="1:16">
      <c r="A730" s="29">
        <f t="shared" si="74"/>
        <v>233</v>
      </c>
      <c r="B730" s="30" t="s">
        <v>737</v>
      </c>
      <c r="C730" s="31" t="s">
        <v>738</v>
      </c>
      <c r="D730" s="43" t="s">
        <v>739</v>
      </c>
      <c r="E730" s="32">
        <v>43011</v>
      </c>
      <c r="F730" s="34">
        <v>30000000</v>
      </c>
      <c r="G730" s="34">
        <v>5000000</v>
      </c>
      <c r="H730" s="34">
        <v>7000000</v>
      </c>
      <c r="I730" s="174" t="s">
        <v>1520</v>
      </c>
    </row>
    <row r="731" spans="1:16">
      <c r="A731" s="29">
        <f t="shared" si="74"/>
        <v>234</v>
      </c>
      <c r="B731" s="30" t="s">
        <v>557</v>
      </c>
      <c r="C731" s="31" t="s">
        <v>558</v>
      </c>
      <c r="D731" s="43" t="s">
        <v>559</v>
      </c>
      <c r="E731" s="32">
        <v>43013</v>
      </c>
      <c r="F731" s="34">
        <v>15000000</v>
      </c>
      <c r="G731" s="34">
        <v>2000000</v>
      </c>
      <c r="H731" s="34">
        <v>0</v>
      </c>
      <c r="I731" s="174" t="s">
        <v>1521</v>
      </c>
    </row>
    <row r="732" spans="1:16">
      <c r="A732" s="29">
        <f t="shared" si="74"/>
        <v>235</v>
      </c>
      <c r="B732" s="30" t="s">
        <v>756</v>
      </c>
      <c r="C732" s="31" t="s">
        <v>757</v>
      </c>
      <c r="D732" s="43" t="s">
        <v>758</v>
      </c>
      <c r="E732" s="32">
        <v>43017</v>
      </c>
      <c r="F732" s="34">
        <v>7500000</v>
      </c>
      <c r="G732" s="34">
        <v>7500000</v>
      </c>
      <c r="H732" s="34">
        <v>0</v>
      </c>
      <c r="I732" s="44">
        <v>0</v>
      </c>
    </row>
    <row r="733" spans="1:16">
      <c r="A733" s="29">
        <f t="shared" si="74"/>
        <v>236</v>
      </c>
      <c r="B733" s="30" t="s">
        <v>993</v>
      </c>
      <c r="C733" s="31" t="s">
        <v>994</v>
      </c>
      <c r="D733" s="31" t="s">
        <v>995</v>
      </c>
      <c r="E733" s="32">
        <v>43017</v>
      </c>
      <c r="F733" s="34">
        <v>7500000</v>
      </c>
      <c r="G733" s="34">
        <v>4000000</v>
      </c>
      <c r="H733" s="34">
        <v>2800000</v>
      </c>
      <c r="I733" s="174" t="s">
        <v>1522</v>
      </c>
    </row>
    <row r="734" spans="1:16">
      <c r="A734" s="29">
        <f t="shared" si="74"/>
        <v>237</v>
      </c>
      <c r="B734" s="30" t="s">
        <v>1027</v>
      </c>
      <c r="C734" s="31" t="s">
        <v>1028</v>
      </c>
      <c r="D734" s="31" t="s">
        <v>1029</v>
      </c>
      <c r="E734" s="32">
        <v>43018</v>
      </c>
      <c r="F734" s="34">
        <v>20000000</v>
      </c>
      <c r="G734" s="34">
        <v>0</v>
      </c>
      <c r="H734" s="34">
        <v>0</v>
      </c>
      <c r="I734" s="174" t="s">
        <v>1523</v>
      </c>
    </row>
    <row r="735" spans="1:16">
      <c r="A735" s="29">
        <f t="shared" si="74"/>
        <v>238</v>
      </c>
      <c r="B735" s="30" t="s">
        <v>1118</v>
      </c>
      <c r="C735" s="31" t="s">
        <v>1119</v>
      </c>
      <c r="D735" s="31" t="s">
        <v>1120</v>
      </c>
      <c r="E735" s="32">
        <v>43018</v>
      </c>
      <c r="F735" s="34">
        <v>15000000</v>
      </c>
      <c r="G735" s="34">
        <v>0</v>
      </c>
      <c r="H735" s="34">
        <v>0</v>
      </c>
      <c r="I735" s="174" t="s">
        <v>1524</v>
      </c>
    </row>
    <row r="736" spans="1:16">
      <c r="A736" s="29">
        <f t="shared" si="74"/>
        <v>239</v>
      </c>
      <c r="B736" s="30" t="s">
        <v>876</v>
      </c>
      <c r="C736" s="31" t="s">
        <v>877</v>
      </c>
      <c r="D736" s="31" t="s">
        <v>878</v>
      </c>
      <c r="E736" s="32">
        <v>43018</v>
      </c>
      <c r="F736" s="34">
        <v>11000000</v>
      </c>
      <c r="G736" s="34">
        <v>0</v>
      </c>
      <c r="H736" s="34">
        <v>0</v>
      </c>
      <c r="I736" s="44">
        <v>0</v>
      </c>
    </row>
    <row r="737" spans="1:16">
      <c r="A737" s="29">
        <f t="shared" si="74"/>
        <v>240</v>
      </c>
      <c r="B737" s="30" t="s">
        <v>788</v>
      </c>
      <c r="C737" s="31" t="s">
        <v>789</v>
      </c>
      <c r="D737" s="31" t="s">
        <v>792</v>
      </c>
      <c r="E737" s="32">
        <v>43018</v>
      </c>
      <c r="F737" s="34">
        <v>15000000</v>
      </c>
      <c r="G737" s="34">
        <v>2000000</v>
      </c>
      <c r="H737" s="34">
        <v>2000000</v>
      </c>
      <c r="I737" s="174" t="s">
        <v>1525</v>
      </c>
    </row>
    <row r="738" spans="1:16">
      <c r="A738" s="29">
        <f t="shared" si="74"/>
        <v>241</v>
      </c>
      <c r="B738" s="30" t="s">
        <v>865</v>
      </c>
      <c r="C738" s="31" t="s">
        <v>866</v>
      </c>
      <c r="D738" s="31" t="s">
        <v>867</v>
      </c>
      <c r="E738" s="32">
        <v>43020</v>
      </c>
      <c r="F738" s="34">
        <v>5500000</v>
      </c>
      <c r="G738" s="34">
        <v>0</v>
      </c>
      <c r="H738" s="34">
        <v>0</v>
      </c>
      <c r="I738" s="174" t="s">
        <v>1526</v>
      </c>
    </row>
    <row r="739" spans="1:16">
      <c r="A739" s="29">
        <f t="shared" si="74"/>
        <v>242</v>
      </c>
      <c r="B739" s="30" t="s">
        <v>865</v>
      </c>
      <c r="C739" s="31" t="s">
        <v>866</v>
      </c>
      <c r="D739" s="31" t="s">
        <v>867</v>
      </c>
      <c r="E739" s="32">
        <v>43020</v>
      </c>
      <c r="F739" s="34">
        <v>5500000</v>
      </c>
      <c r="G739" s="34">
        <v>0</v>
      </c>
      <c r="H739" s="34">
        <v>0</v>
      </c>
      <c r="I739" s="174" t="s">
        <v>1527</v>
      </c>
    </row>
    <row r="740" spans="1:16">
      <c r="A740" s="29">
        <f t="shared" si="74"/>
        <v>243</v>
      </c>
      <c r="B740" s="30" t="s">
        <v>106</v>
      </c>
      <c r="C740" s="31" t="s">
        <v>107</v>
      </c>
      <c r="D740" s="31" t="s">
        <v>108</v>
      </c>
      <c r="E740" s="32">
        <v>43019</v>
      </c>
      <c r="F740" s="34">
        <v>7000000</v>
      </c>
      <c r="G740" s="34">
        <v>500000</v>
      </c>
      <c r="H740" s="34">
        <v>0</v>
      </c>
      <c r="I740" s="174" t="s">
        <v>1528</v>
      </c>
    </row>
    <row r="741" spans="1:16">
      <c r="A741" s="29">
        <f t="shared" si="74"/>
        <v>244</v>
      </c>
      <c r="B741" s="30" t="s">
        <v>106</v>
      </c>
      <c r="C741" s="31" t="s">
        <v>107</v>
      </c>
      <c r="D741" s="31" t="s">
        <v>108</v>
      </c>
      <c r="E741" s="32">
        <v>43019</v>
      </c>
      <c r="F741" s="34">
        <v>7000000</v>
      </c>
      <c r="G741" s="34">
        <v>500000</v>
      </c>
      <c r="H741" s="34">
        <v>0</v>
      </c>
      <c r="I741" s="174" t="s">
        <v>1529</v>
      </c>
    </row>
    <row r="742" spans="1:16">
      <c r="A742" s="29">
        <f t="shared" si="74"/>
        <v>245</v>
      </c>
      <c r="B742" s="30" t="s">
        <v>905</v>
      </c>
      <c r="C742" s="31" t="s">
        <v>906</v>
      </c>
      <c r="D742" s="31" t="s">
        <v>907</v>
      </c>
      <c r="E742" s="32">
        <v>43021</v>
      </c>
      <c r="F742" s="34">
        <v>5000000</v>
      </c>
      <c r="G742" s="34">
        <v>2500000</v>
      </c>
      <c r="H742" s="34">
        <v>2500000</v>
      </c>
      <c r="I742" s="44">
        <v>0</v>
      </c>
      <c r="J742" s="14"/>
      <c r="K742" s="14"/>
      <c r="L742" s="14"/>
      <c r="M742" s="14"/>
      <c r="N742" s="14"/>
      <c r="O742" s="14"/>
      <c r="P742" s="14"/>
    </row>
    <row r="743" spans="1:16">
      <c r="A743" s="29">
        <f t="shared" si="74"/>
        <v>246</v>
      </c>
      <c r="B743" s="30" t="s">
        <v>450</v>
      </c>
      <c r="C743" s="31" t="s">
        <v>451</v>
      </c>
      <c r="D743" s="43" t="s">
        <v>452</v>
      </c>
      <c r="E743" s="32">
        <v>43033</v>
      </c>
      <c r="F743" s="34">
        <v>7500000</v>
      </c>
      <c r="G743" s="34">
        <v>5000000</v>
      </c>
      <c r="H743" s="34">
        <v>2500000</v>
      </c>
      <c r="I743" s="174" t="s">
        <v>1530</v>
      </c>
      <c r="J743" s="14"/>
      <c r="K743" s="14"/>
      <c r="L743" s="14"/>
      <c r="M743" s="14"/>
      <c r="N743" s="14"/>
      <c r="O743" s="14"/>
      <c r="P743" s="14"/>
    </row>
    <row r="744" spans="1:16">
      <c r="A744" s="29">
        <f t="shared" si="74"/>
        <v>247</v>
      </c>
      <c r="B744" s="30" t="s">
        <v>338</v>
      </c>
      <c r="C744" s="31" t="s">
        <v>339</v>
      </c>
      <c r="D744" s="43" t="s">
        <v>340</v>
      </c>
      <c r="E744" s="32">
        <v>43033</v>
      </c>
      <c r="F744" s="34">
        <v>17500000</v>
      </c>
      <c r="G744" s="34">
        <v>1250000</v>
      </c>
      <c r="H744" s="34">
        <v>1250000</v>
      </c>
      <c r="I744" s="174" t="s">
        <v>1531</v>
      </c>
      <c r="J744" s="14"/>
      <c r="K744" s="14"/>
      <c r="L744" s="14"/>
      <c r="M744" s="14"/>
      <c r="N744" s="14"/>
      <c r="O744" s="14"/>
      <c r="P744" s="14"/>
    </row>
    <row r="745" spans="1:16">
      <c r="A745" s="29">
        <f t="shared" si="74"/>
        <v>248</v>
      </c>
      <c r="B745" s="30" t="s">
        <v>338</v>
      </c>
      <c r="C745" s="31" t="s">
        <v>339</v>
      </c>
      <c r="D745" s="43" t="s">
        <v>340</v>
      </c>
      <c r="E745" s="32">
        <v>43033</v>
      </c>
      <c r="F745" s="34">
        <v>17500000</v>
      </c>
      <c r="G745" s="34">
        <v>1250000</v>
      </c>
      <c r="H745" s="34">
        <v>1250000</v>
      </c>
      <c r="I745" s="174" t="s">
        <v>1532</v>
      </c>
      <c r="J745" s="14"/>
      <c r="K745" s="14"/>
      <c r="L745" s="14"/>
      <c r="M745" s="14"/>
      <c r="N745" s="14"/>
      <c r="O745" s="14"/>
      <c r="P745" s="14"/>
    </row>
    <row r="746" spans="1:16">
      <c r="A746" s="29">
        <f t="shared" si="74"/>
        <v>249</v>
      </c>
      <c r="B746" s="30" t="s">
        <v>1129</v>
      </c>
      <c r="C746" s="31" t="s">
        <v>1130</v>
      </c>
      <c r="D746" s="43" t="s">
        <v>1131</v>
      </c>
      <c r="E746" s="32">
        <v>43033</v>
      </c>
      <c r="F746" s="34">
        <v>33000000</v>
      </c>
      <c r="G746" s="34">
        <v>0</v>
      </c>
      <c r="H746" s="34">
        <v>0</v>
      </c>
      <c r="I746" s="174" t="s">
        <v>1533</v>
      </c>
      <c r="J746" s="14"/>
      <c r="K746" s="14"/>
      <c r="L746" s="14"/>
      <c r="M746" s="14"/>
      <c r="N746" s="14"/>
      <c r="O746" s="14"/>
      <c r="P746" s="14"/>
    </row>
    <row r="747" spans="1:16">
      <c r="A747" s="29">
        <f t="shared" si="74"/>
        <v>250</v>
      </c>
      <c r="B747" s="30" t="s">
        <v>544</v>
      </c>
      <c r="C747" s="31" t="s">
        <v>545</v>
      </c>
      <c r="D747" s="43" t="s">
        <v>546</v>
      </c>
      <c r="E747" s="32">
        <v>43040</v>
      </c>
      <c r="F747" s="34">
        <v>15000000</v>
      </c>
      <c r="G747" s="34">
        <v>5000000</v>
      </c>
      <c r="H747" s="34">
        <v>0</v>
      </c>
      <c r="I747" s="174" t="s">
        <v>1534</v>
      </c>
    </row>
    <row r="748" spans="1:16">
      <c r="A748" s="29">
        <f t="shared" si="74"/>
        <v>251</v>
      </c>
      <c r="B748" s="30" t="s">
        <v>194</v>
      </c>
      <c r="C748" s="31" t="s">
        <v>195</v>
      </c>
      <c r="D748" s="43" t="s">
        <v>196</v>
      </c>
      <c r="E748" s="32">
        <v>43041</v>
      </c>
      <c r="F748" s="34">
        <v>15000000</v>
      </c>
      <c r="G748" s="34">
        <v>0</v>
      </c>
      <c r="H748" s="34">
        <v>0</v>
      </c>
      <c r="I748" s="174" t="s">
        <v>1535</v>
      </c>
    </row>
    <row r="749" spans="1:16">
      <c r="A749" s="29">
        <f t="shared" si="74"/>
        <v>252</v>
      </c>
      <c r="B749" s="30" t="s">
        <v>989</v>
      </c>
      <c r="C749" s="31" t="s">
        <v>990</v>
      </c>
      <c r="D749" s="43" t="s">
        <v>991</v>
      </c>
      <c r="E749" s="32">
        <v>43042</v>
      </c>
      <c r="F749" s="34">
        <v>5000000</v>
      </c>
      <c r="G749" s="34">
        <v>2000000</v>
      </c>
      <c r="H749" s="34">
        <v>3000000</v>
      </c>
      <c r="I749" s="174" t="s">
        <v>1536</v>
      </c>
    </row>
    <row r="750" spans="1:16">
      <c r="A750" s="29">
        <f t="shared" si="74"/>
        <v>253</v>
      </c>
      <c r="B750" s="30" t="s">
        <v>474</v>
      </c>
      <c r="C750" s="31" t="s">
        <v>475</v>
      </c>
      <c r="D750" s="31" t="s">
        <v>476</v>
      </c>
      <c r="E750" s="32">
        <v>43045</v>
      </c>
      <c r="F750" s="34">
        <v>12000000</v>
      </c>
      <c r="G750" s="34">
        <v>0</v>
      </c>
      <c r="H750" s="34">
        <v>0</v>
      </c>
      <c r="I750" s="44">
        <v>0</v>
      </c>
      <c r="J750" s="14"/>
      <c r="K750" s="14"/>
      <c r="L750" s="14"/>
      <c r="M750" s="14"/>
      <c r="N750" s="14"/>
      <c r="O750" s="14"/>
      <c r="P750" s="14"/>
    </row>
    <row r="751" spans="1:16">
      <c r="A751" s="29">
        <f t="shared" si="74"/>
        <v>254</v>
      </c>
      <c r="B751" s="30" t="s">
        <v>808</v>
      </c>
      <c r="C751" s="31" t="s">
        <v>809</v>
      </c>
      <c r="D751" s="31" t="s">
        <v>810</v>
      </c>
      <c r="E751" s="32">
        <v>43047</v>
      </c>
      <c r="F751" s="34">
        <v>15000000</v>
      </c>
      <c r="G751" s="34">
        <v>0</v>
      </c>
      <c r="H751" s="34">
        <v>0</v>
      </c>
      <c r="I751" s="44">
        <v>0</v>
      </c>
      <c r="J751" s="14"/>
      <c r="K751" s="14"/>
      <c r="L751" s="14"/>
      <c r="M751" s="14"/>
      <c r="N751" s="14"/>
      <c r="O751" s="14"/>
      <c r="P751" s="14"/>
    </row>
    <row r="752" spans="1:16">
      <c r="A752" s="29">
        <f t="shared" si="74"/>
        <v>255</v>
      </c>
      <c r="B752" s="30" t="s">
        <v>696</v>
      </c>
      <c r="C752" s="31" t="s">
        <v>697</v>
      </c>
      <c r="D752" s="43" t="s">
        <v>698</v>
      </c>
      <c r="E752" s="32">
        <v>43066</v>
      </c>
      <c r="F752" s="34">
        <v>12500000</v>
      </c>
      <c r="G752" s="34">
        <v>0</v>
      </c>
      <c r="H752" s="34">
        <v>0</v>
      </c>
      <c r="I752" s="174" t="s">
        <v>1537</v>
      </c>
      <c r="J752" s="14"/>
      <c r="K752" s="14"/>
      <c r="L752" s="14"/>
      <c r="M752" s="14"/>
      <c r="N752" s="14"/>
      <c r="O752" s="14"/>
      <c r="P752" s="14"/>
    </row>
    <row r="753" spans="1:16">
      <c r="A753" s="29">
        <f t="shared" si="74"/>
        <v>256</v>
      </c>
      <c r="B753" s="30" t="s">
        <v>696</v>
      </c>
      <c r="C753" s="31" t="s">
        <v>697</v>
      </c>
      <c r="D753" s="43" t="s">
        <v>698</v>
      </c>
      <c r="E753" s="32">
        <v>43066</v>
      </c>
      <c r="F753" s="34">
        <v>12500000</v>
      </c>
      <c r="G753" s="34">
        <v>0</v>
      </c>
      <c r="H753" s="34">
        <v>0</v>
      </c>
      <c r="I753" s="174" t="s">
        <v>1538</v>
      </c>
      <c r="J753" s="14"/>
      <c r="K753" s="14"/>
      <c r="L753" s="14"/>
      <c r="M753" s="14"/>
      <c r="N753" s="14"/>
      <c r="O753" s="14"/>
      <c r="P753" s="14"/>
    </row>
    <row r="754" spans="1:16">
      <c r="A754" s="29">
        <f t="shared" si="74"/>
        <v>257</v>
      </c>
      <c r="B754" s="30" t="s">
        <v>838</v>
      </c>
      <c r="C754" s="31" t="s">
        <v>839</v>
      </c>
      <c r="D754" s="31" t="s">
        <v>840</v>
      </c>
      <c r="E754" s="32">
        <v>43063</v>
      </c>
      <c r="F754" s="34">
        <v>4000000</v>
      </c>
      <c r="G754" s="34">
        <v>0</v>
      </c>
      <c r="H754" s="34">
        <v>0</v>
      </c>
      <c r="I754" s="174" t="s">
        <v>1539</v>
      </c>
      <c r="J754" s="14"/>
      <c r="K754" s="14"/>
      <c r="L754" s="14"/>
      <c r="M754" s="14"/>
      <c r="N754" s="14"/>
      <c r="O754" s="14"/>
      <c r="P754" s="14"/>
    </row>
    <row r="755" spans="1:16">
      <c r="A755" s="29">
        <f t="shared" si="74"/>
        <v>258</v>
      </c>
      <c r="B755" s="30" t="s">
        <v>838</v>
      </c>
      <c r="C755" s="31" t="s">
        <v>839</v>
      </c>
      <c r="D755" s="31" t="s">
        <v>840</v>
      </c>
      <c r="E755" s="32">
        <v>43063</v>
      </c>
      <c r="F755" s="34">
        <v>4000000</v>
      </c>
      <c r="G755" s="34">
        <v>0</v>
      </c>
      <c r="H755" s="34">
        <v>0</v>
      </c>
      <c r="I755" s="174" t="s">
        <v>1540</v>
      </c>
      <c r="J755" s="14"/>
      <c r="K755" s="14"/>
      <c r="L755" s="14"/>
      <c r="M755" s="14"/>
      <c r="N755" s="14"/>
      <c r="O755" s="14"/>
      <c r="P755" s="14"/>
    </row>
    <row r="756" spans="1:16">
      <c r="A756" s="29">
        <f t="shared" ref="A756:A819" si="75">+A755+1</f>
        <v>259</v>
      </c>
      <c r="B756" s="30" t="s">
        <v>974</v>
      </c>
      <c r="C756" s="31" t="s">
        <v>975</v>
      </c>
      <c r="D756" s="31" t="s">
        <v>976</v>
      </c>
      <c r="E756" s="32">
        <v>43068</v>
      </c>
      <c r="F756" s="34">
        <v>60000000</v>
      </c>
      <c r="G756" s="34">
        <v>7000000</v>
      </c>
      <c r="H756" s="34">
        <v>7000000</v>
      </c>
      <c r="I756" s="44">
        <v>0</v>
      </c>
      <c r="J756" s="14"/>
      <c r="K756" s="14"/>
      <c r="L756" s="14"/>
      <c r="M756" s="14"/>
      <c r="N756" s="14"/>
      <c r="O756" s="14"/>
      <c r="P756" s="14"/>
    </row>
    <row r="757" spans="1:16">
      <c r="A757" s="29">
        <f t="shared" si="75"/>
        <v>260</v>
      </c>
      <c r="B757" s="30" t="s">
        <v>873</v>
      </c>
      <c r="C757" s="31" t="s">
        <v>874</v>
      </c>
      <c r="D757" s="31" t="s">
        <v>875</v>
      </c>
      <c r="E757" s="32">
        <v>43088</v>
      </c>
      <c r="F757" s="44">
        <v>20000000</v>
      </c>
      <c r="G757" s="34">
        <v>0</v>
      </c>
      <c r="H757" s="44">
        <v>0</v>
      </c>
      <c r="I757" s="174" t="s">
        <v>1541</v>
      </c>
    </row>
    <row r="758" spans="1:16">
      <c r="A758" s="29">
        <f t="shared" si="75"/>
        <v>261</v>
      </c>
      <c r="B758" s="30" t="s">
        <v>873</v>
      </c>
      <c r="C758" s="31" t="s">
        <v>874</v>
      </c>
      <c r="D758" s="31" t="s">
        <v>875</v>
      </c>
      <c r="E758" s="32">
        <v>43088</v>
      </c>
      <c r="F758" s="44">
        <v>20000000</v>
      </c>
      <c r="G758" s="34">
        <v>0</v>
      </c>
      <c r="H758" s="44">
        <v>0</v>
      </c>
      <c r="I758" s="174" t="s">
        <v>1542</v>
      </c>
    </row>
    <row r="759" spans="1:16">
      <c r="A759" s="29">
        <f t="shared" si="75"/>
        <v>262</v>
      </c>
      <c r="B759" s="30" t="s">
        <v>1264</v>
      </c>
      <c r="C759" s="31" t="s">
        <v>1265</v>
      </c>
      <c r="D759" s="31" t="s">
        <v>1543</v>
      </c>
      <c r="E759" s="32">
        <v>43084</v>
      </c>
      <c r="F759" s="44">
        <v>0</v>
      </c>
      <c r="G759" s="34">
        <v>0</v>
      </c>
      <c r="H759" s="44">
        <v>2500000</v>
      </c>
      <c r="I759" s="174" t="s">
        <v>1544</v>
      </c>
      <c r="J759" s="14"/>
      <c r="K759" s="14"/>
      <c r="L759" s="14"/>
      <c r="M759" s="14"/>
      <c r="N759" s="14"/>
      <c r="O759" s="14"/>
      <c r="P759" s="14"/>
    </row>
    <row r="760" spans="1:16">
      <c r="A760" s="29">
        <f t="shared" si="75"/>
        <v>263</v>
      </c>
      <c r="B760" s="30" t="s">
        <v>1545</v>
      </c>
      <c r="C760" s="31" t="s">
        <v>900</v>
      </c>
      <c r="D760" s="31" t="s">
        <v>902</v>
      </c>
      <c r="E760" s="32">
        <v>43073</v>
      </c>
      <c r="F760" s="44">
        <v>17500000</v>
      </c>
      <c r="G760" s="44">
        <v>2500000</v>
      </c>
      <c r="H760" s="44">
        <v>0</v>
      </c>
      <c r="I760" s="174" t="s">
        <v>1546</v>
      </c>
      <c r="J760" s="14"/>
      <c r="K760" s="14"/>
      <c r="L760" s="14"/>
      <c r="M760" s="14"/>
      <c r="N760" s="14"/>
      <c r="O760" s="14"/>
      <c r="P760" s="14"/>
    </row>
    <row r="761" spans="1:16">
      <c r="A761" s="29">
        <f t="shared" si="75"/>
        <v>264</v>
      </c>
      <c r="B761" s="30" t="s">
        <v>1545</v>
      </c>
      <c r="C761" s="31" t="s">
        <v>900</v>
      </c>
      <c r="D761" s="31" t="s">
        <v>902</v>
      </c>
      <c r="E761" s="32">
        <v>43073</v>
      </c>
      <c r="F761" s="44">
        <v>17500000</v>
      </c>
      <c r="G761" s="44">
        <v>2500000</v>
      </c>
      <c r="H761" s="44">
        <v>0</v>
      </c>
      <c r="I761" s="174" t="s">
        <v>1546</v>
      </c>
      <c r="J761" s="14"/>
      <c r="K761" s="14"/>
      <c r="L761" s="14"/>
      <c r="M761" s="14"/>
      <c r="N761" s="14"/>
      <c r="O761" s="14"/>
      <c r="P761" s="14"/>
    </row>
    <row r="762" spans="1:16">
      <c r="A762" s="29">
        <f t="shared" si="75"/>
        <v>265</v>
      </c>
      <c r="B762" s="30" t="s">
        <v>520</v>
      </c>
      <c r="C762" s="31" t="s">
        <v>521</v>
      </c>
      <c r="D762" s="31" t="s">
        <v>522</v>
      </c>
      <c r="E762" s="32">
        <v>43089</v>
      </c>
      <c r="F762" s="34">
        <v>11000000</v>
      </c>
      <c r="G762" s="34">
        <v>0</v>
      </c>
      <c r="H762" s="34">
        <v>0</v>
      </c>
      <c r="I762" s="44">
        <v>0</v>
      </c>
      <c r="J762" s="14"/>
      <c r="K762" s="14"/>
      <c r="L762" s="14"/>
      <c r="M762" s="14"/>
      <c r="N762" s="14"/>
      <c r="O762" s="14"/>
      <c r="P762" s="14"/>
    </row>
    <row r="763" spans="1:16">
      <c r="A763" s="29">
        <f t="shared" si="75"/>
        <v>266</v>
      </c>
      <c r="B763" s="30" t="s">
        <v>667</v>
      </c>
      <c r="C763" s="31" t="s">
        <v>668</v>
      </c>
      <c r="D763" s="31" t="s">
        <v>669</v>
      </c>
      <c r="E763" s="32">
        <v>43087</v>
      </c>
      <c r="F763" s="44">
        <v>12500000</v>
      </c>
      <c r="G763" s="44">
        <v>3000000</v>
      </c>
      <c r="H763" s="44">
        <v>3500000</v>
      </c>
      <c r="I763" s="174" t="s">
        <v>1547</v>
      </c>
      <c r="J763" s="14"/>
      <c r="K763" s="14"/>
      <c r="L763" s="14"/>
      <c r="M763" s="14"/>
      <c r="N763" s="14"/>
      <c r="O763" s="14"/>
      <c r="P763" s="14"/>
    </row>
    <row r="764" spans="1:16">
      <c r="A764" s="29">
        <f t="shared" si="75"/>
        <v>267</v>
      </c>
      <c r="B764" s="30" t="s">
        <v>667</v>
      </c>
      <c r="C764" s="31" t="s">
        <v>668</v>
      </c>
      <c r="D764" s="31" t="s">
        <v>669</v>
      </c>
      <c r="E764" s="32">
        <v>43087</v>
      </c>
      <c r="F764" s="44">
        <v>12500000</v>
      </c>
      <c r="G764" s="44">
        <v>3000000</v>
      </c>
      <c r="H764" s="44">
        <v>3500000</v>
      </c>
      <c r="I764" s="174" t="s">
        <v>1548</v>
      </c>
      <c r="J764" s="14"/>
      <c r="K764" s="14"/>
      <c r="L764" s="14"/>
      <c r="M764" s="14"/>
      <c r="N764" s="14"/>
      <c r="O764" s="14"/>
      <c r="P764" s="14"/>
    </row>
    <row r="765" spans="1:16">
      <c r="A765" s="29">
        <f t="shared" si="75"/>
        <v>268</v>
      </c>
      <c r="B765" s="30" t="s">
        <v>664</v>
      </c>
      <c r="C765" s="31" t="s">
        <v>665</v>
      </c>
      <c r="D765" s="31" t="s">
        <v>666</v>
      </c>
      <c r="E765" s="32">
        <v>43087</v>
      </c>
      <c r="F765" s="34">
        <v>30000000</v>
      </c>
      <c r="G765" s="34">
        <v>10000000</v>
      </c>
      <c r="H765" s="34">
        <v>10000000</v>
      </c>
      <c r="I765" s="174" t="s">
        <v>1549</v>
      </c>
      <c r="J765" s="14"/>
      <c r="K765" s="14"/>
      <c r="L765" s="14"/>
      <c r="M765" s="14"/>
      <c r="N765" s="14"/>
      <c r="O765" s="14"/>
      <c r="P765" s="14"/>
    </row>
    <row r="766" spans="1:16">
      <c r="A766" s="29">
        <f t="shared" si="75"/>
        <v>269</v>
      </c>
      <c r="B766" s="30" t="s">
        <v>482</v>
      </c>
      <c r="C766" s="31" t="s">
        <v>483</v>
      </c>
      <c r="D766" s="31" t="s">
        <v>484</v>
      </c>
      <c r="E766" s="32">
        <v>43084</v>
      </c>
      <c r="F766" s="34">
        <v>17500000</v>
      </c>
      <c r="G766" s="34">
        <v>0</v>
      </c>
      <c r="H766" s="44">
        <v>0</v>
      </c>
      <c r="I766" s="174" t="s">
        <v>1550</v>
      </c>
      <c r="J766" s="14"/>
      <c r="K766" s="14"/>
      <c r="L766" s="14"/>
      <c r="M766" s="14"/>
      <c r="N766" s="14"/>
      <c r="O766" s="14"/>
      <c r="P766" s="14"/>
    </row>
    <row r="767" spans="1:16">
      <c r="A767" s="29">
        <f t="shared" si="75"/>
        <v>270</v>
      </c>
      <c r="B767" s="30" t="s">
        <v>482</v>
      </c>
      <c r="C767" s="31" t="s">
        <v>483</v>
      </c>
      <c r="D767" s="31" t="s">
        <v>484</v>
      </c>
      <c r="E767" s="32">
        <v>43084</v>
      </c>
      <c r="F767" s="34">
        <v>17500000</v>
      </c>
      <c r="G767" s="34">
        <v>0</v>
      </c>
      <c r="H767" s="44">
        <v>0</v>
      </c>
      <c r="I767" s="174" t="s">
        <v>1551</v>
      </c>
      <c r="J767" s="14"/>
      <c r="K767" s="14"/>
      <c r="L767" s="14"/>
      <c r="M767" s="14"/>
      <c r="N767" s="14"/>
      <c r="O767" s="14"/>
      <c r="P767" s="14"/>
    </row>
    <row r="768" spans="1:16">
      <c r="A768" s="29">
        <f t="shared" si="75"/>
        <v>271</v>
      </c>
      <c r="B768" s="30" t="s">
        <v>1144</v>
      </c>
      <c r="C768" s="31" t="s">
        <v>1145</v>
      </c>
      <c r="D768" s="31" t="s">
        <v>1146</v>
      </c>
      <c r="E768" s="32">
        <v>43098</v>
      </c>
      <c r="F768" s="34">
        <v>9000000</v>
      </c>
      <c r="G768" s="34">
        <v>0</v>
      </c>
      <c r="H768" s="34">
        <v>0</v>
      </c>
      <c r="I768" s="44">
        <v>0</v>
      </c>
      <c r="J768" s="14"/>
      <c r="K768" s="14"/>
      <c r="L768" s="14"/>
      <c r="M768" s="14"/>
      <c r="N768" s="14"/>
      <c r="O768" s="14"/>
      <c r="P768" s="14"/>
    </row>
    <row r="769" spans="1:16">
      <c r="A769" s="29">
        <f t="shared" si="75"/>
        <v>272</v>
      </c>
      <c r="B769" s="30" t="s">
        <v>638</v>
      </c>
      <c r="C769" s="31" t="s">
        <v>639</v>
      </c>
      <c r="D769" s="31" t="s">
        <v>640</v>
      </c>
      <c r="E769" s="32">
        <v>43097</v>
      </c>
      <c r="F769" s="34">
        <v>25000000</v>
      </c>
      <c r="G769" s="34">
        <v>10000000</v>
      </c>
      <c r="H769" s="34">
        <v>10000000</v>
      </c>
      <c r="I769" s="174" t="s">
        <v>1552</v>
      </c>
      <c r="J769" s="14"/>
      <c r="K769" s="14"/>
      <c r="L769" s="14"/>
      <c r="M769" s="14"/>
      <c r="N769" s="14"/>
      <c r="O769" s="14"/>
      <c r="P769" s="14"/>
    </row>
    <row r="770" spans="1:16">
      <c r="A770" s="29">
        <f t="shared" si="75"/>
        <v>273</v>
      </c>
      <c r="B770" s="30" t="s">
        <v>784</v>
      </c>
      <c r="C770" s="31" t="s">
        <v>785</v>
      </c>
      <c r="D770" s="31" t="s">
        <v>786</v>
      </c>
      <c r="E770" s="32">
        <v>43097</v>
      </c>
      <c r="F770" s="34">
        <v>5000000</v>
      </c>
      <c r="G770" s="34">
        <v>0</v>
      </c>
      <c r="H770" s="34">
        <v>0</v>
      </c>
      <c r="I770" s="174" t="s">
        <v>1553</v>
      </c>
      <c r="J770" s="14"/>
      <c r="K770" s="14"/>
      <c r="L770" s="14"/>
      <c r="M770" s="14"/>
      <c r="N770" s="14"/>
      <c r="O770" s="14"/>
      <c r="P770" s="14"/>
    </row>
    <row r="771" spans="1:16">
      <c r="A771" s="29">
        <f t="shared" si="75"/>
        <v>274</v>
      </c>
      <c r="B771" s="30" t="s">
        <v>784</v>
      </c>
      <c r="C771" s="31" t="s">
        <v>785</v>
      </c>
      <c r="D771" s="31" t="s">
        <v>786</v>
      </c>
      <c r="E771" s="32">
        <v>43097</v>
      </c>
      <c r="F771" s="34">
        <v>5000000</v>
      </c>
      <c r="G771" s="34">
        <v>0</v>
      </c>
      <c r="H771" s="34">
        <v>0</v>
      </c>
      <c r="I771" s="174" t="s">
        <v>1554</v>
      </c>
      <c r="J771" s="14"/>
      <c r="K771" s="14"/>
      <c r="L771" s="14"/>
      <c r="M771" s="14"/>
      <c r="N771" s="14"/>
      <c r="O771" s="14"/>
      <c r="P771" s="14"/>
    </row>
    <row r="772" spans="1:16">
      <c r="A772" s="29">
        <f t="shared" si="75"/>
        <v>275</v>
      </c>
      <c r="B772" s="30" t="s">
        <v>1148</v>
      </c>
      <c r="C772" s="31" t="s">
        <v>1149</v>
      </c>
      <c r="D772" s="31" t="s">
        <v>1150</v>
      </c>
      <c r="E772" s="32">
        <v>43104</v>
      </c>
      <c r="F772" s="44">
        <v>12000000</v>
      </c>
      <c r="G772" s="34">
        <v>0</v>
      </c>
      <c r="H772" s="44">
        <v>0</v>
      </c>
      <c r="I772" s="174" t="s">
        <v>1555</v>
      </c>
      <c r="J772" s="14"/>
      <c r="K772" s="14"/>
      <c r="L772" s="14"/>
      <c r="M772" s="14"/>
      <c r="N772" s="14"/>
      <c r="O772" s="14"/>
      <c r="P772" s="14"/>
    </row>
    <row r="773" spans="1:16">
      <c r="A773" s="29">
        <f t="shared" si="75"/>
        <v>276</v>
      </c>
      <c r="B773" s="30" t="s">
        <v>710</v>
      </c>
      <c r="C773" s="31" t="s">
        <v>711</v>
      </c>
      <c r="D773" s="31" t="s">
        <v>712</v>
      </c>
      <c r="E773" s="32">
        <v>43104</v>
      </c>
      <c r="F773" s="44">
        <v>13500000</v>
      </c>
      <c r="G773" s="34">
        <v>5000000</v>
      </c>
      <c r="H773" s="44">
        <v>5000000</v>
      </c>
      <c r="I773" s="174" t="s">
        <v>1556</v>
      </c>
      <c r="J773" s="14"/>
      <c r="K773" s="14"/>
      <c r="L773" s="14"/>
      <c r="M773" s="14"/>
      <c r="N773" s="14"/>
      <c r="O773" s="14"/>
      <c r="P773" s="14"/>
    </row>
    <row r="774" spans="1:16">
      <c r="A774" s="29">
        <f t="shared" si="75"/>
        <v>277</v>
      </c>
      <c r="B774" s="30" t="s">
        <v>1008</v>
      </c>
      <c r="C774" s="31" t="s">
        <v>1009</v>
      </c>
      <c r="D774" s="31" t="s">
        <v>1010</v>
      </c>
      <c r="E774" s="32">
        <v>43104</v>
      </c>
      <c r="F774" s="44">
        <v>5000000</v>
      </c>
      <c r="G774" s="34">
        <v>2500000</v>
      </c>
      <c r="H774" s="44">
        <v>0</v>
      </c>
      <c r="I774" s="174" t="s">
        <v>1557</v>
      </c>
      <c r="J774" s="14"/>
      <c r="K774" s="14"/>
      <c r="L774" s="14"/>
      <c r="M774" s="14"/>
      <c r="N774" s="14"/>
      <c r="O774" s="14"/>
      <c r="P774" s="14"/>
    </row>
    <row r="775" spans="1:16">
      <c r="A775" s="29">
        <f t="shared" si="75"/>
        <v>278</v>
      </c>
      <c r="B775" s="30" t="s">
        <v>1008</v>
      </c>
      <c r="C775" s="31" t="s">
        <v>1009</v>
      </c>
      <c r="D775" s="31" t="s">
        <v>1010</v>
      </c>
      <c r="E775" s="32">
        <v>43104</v>
      </c>
      <c r="F775" s="44">
        <v>5000000</v>
      </c>
      <c r="G775" s="34">
        <v>2500000</v>
      </c>
      <c r="H775" s="44">
        <v>0</v>
      </c>
      <c r="I775" s="174" t="s">
        <v>1558</v>
      </c>
      <c r="J775" s="14"/>
      <c r="K775" s="14"/>
      <c r="L775" s="14"/>
      <c r="M775" s="14"/>
      <c r="N775" s="14"/>
      <c r="O775" s="14"/>
      <c r="P775" s="14"/>
    </row>
    <row r="776" spans="1:16">
      <c r="A776" s="29">
        <f t="shared" si="75"/>
        <v>279</v>
      </c>
      <c r="B776" s="30" t="s">
        <v>625</v>
      </c>
      <c r="C776" s="31" t="s">
        <v>626</v>
      </c>
      <c r="D776" s="31" t="s">
        <v>627</v>
      </c>
      <c r="E776" s="32">
        <v>43111</v>
      </c>
      <c r="F776" s="44">
        <v>2500000</v>
      </c>
      <c r="G776" s="44">
        <v>1000000</v>
      </c>
      <c r="H776" s="44">
        <v>2500000</v>
      </c>
      <c r="I776" s="174" t="s">
        <v>1559</v>
      </c>
      <c r="J776" s="14"/>
      <c r="K776" s="14"/>
      <c r="L776" s="14"/>
      <c r="M776" s="14"/>
      <c r="N776" s="14"/>
      <c r="O776" s="14"/>
      <c r="P776" s="14"/>
    </row>
    <row r="777" spans="1:16">
      <c r="A777" s="29">
        <f t="shared" si="75"/>
        <v>280</v>
      </c>
      <c r="B777" s="30" t="s">
        <v>625</v>
      </c>
      <c r="C777" s="31" t="s">
        <v>626</v>
      </c>
      <c r="D777" s="31" t="s">
        <v>627</v>
      </c>
      <c r="E777" s="32">
        <v>43111</v>
      </c>
      <c r="F777" s="44">
        <v>2500000</v>
      </c>
      <c r="G777" s="44">
        <v>1000000</v>
      </c>
      <c r="H777" s="44">
        <v>2500000</v>
      </c>
      <c r="I777" s="174" t="s">
        <v>1560</v>
      </c>
      <c r="J777" s="14"/>
      <c r="K777" s="14"/>
      <c r="L777" s="14"/>
      <c r="M777" s="14"/>
      <c r="N777" s="14"/>
      <c r="O777" s="14"/>
      <c r="P777" s="14"/>
    </row>
    <row r="778" spans="1:16">
      <c r="A778" s="29">
        <f t="shared" si="75"/>
        <v>281</v>
      </c>
      <c r="B778" s="30" t="s">
        <v>1068</v>
      </c>
      <c r="C778" s="31" t="s">
        <v>1069</v>
      </c>
      <c r="D778" s="31" t="s">
        <v>1070</v>
      </c>
      <c r="E778" s="32">
        <v>43125</v>
      </c>
      <c r="F778" s="44">
        <v>7500000</v>
      </c>
      <c r="G778" s="44">
        <v>1250000</v>
      </c>
      <c r="H778" s="44">
        <v>1250000</v>
      </c>
      <c r="I778" s="174" t="s">
        <v>1561</v>
      </c>
    </row>
    <row r="779" spans="1:16">
      <c r="A779" s="29">
        <f t="shared" si="75"/>
        <v>282</v>
      </c>
      <c r="B779" s="30" t="s">
        <v>1068</v>
      </c>
      <c r="C779" s="31" t="s">
        <v>1069</v>
      </c>
      <c r="D779" s="31" t="s">
        <v>1070</v>
      </c>
      <c r="E779" s="32">
        <v>43125</v>
      </c>
      <c r="F779" s="44">
        <v>7500000</v>
      </c>
      <c r="G779" s="44">
        <v>1250000</v>
      </c>
      <c r="H779" s="44">
        <v>1250000</v>
      </c>
      <c r="I779" s="174" t="s">
        <v>1562</v>
      </c>
      <c r="J779" s="14"/>
      <c r="K779" s="14"/>
      <c r="L779" s="14"/>
      <c r="M779" s="14"/>
      <c r="N779" s="14"/>
      <c r="O779" s="14"/>
      <c r="P779" s="14"/>
    </row>
    <row r="780" spans="1:16">
      <c r="A780" s="29">
        <f t="shared" si="75"/>
        <v>283</v>
      </c>
      <c r="B780" s="30" t="s">
        <v>857</v>
      </c>
      <c r="C780" s="31" t="s">
        <v>858</v>
      </c>
      <c r="D780" s="31" t="s">
        <v>859</v>
      </c>
      <c r="E780" s="32">
        <v>43130</v>
      </c>
      <c r="F780" s="44">
        <v>32500000</v>
      </c>
      <c r="G780" s="44">
        <v>7500000</v>
      </c>
      <c r="H780" s="44">
        <v>7500000</v>
      </c>
      <c r="I780" s="174" t="s">
        <v>1563</v>
      </c>
      <c r="J780" s="14"/>
      <c r="K780" s="14"/>
      <c r="L780" s="14"/>
      <c r="M780" s="14"/>
      <c r="N780" s="14"/>
      <c r="O780" s="14"/>
      <c r="P780" s="14"/>
    </row>
    <row r="781" spans="1:16">
      <c r="A781" s="29">
        <f t="shared" si="75"/>
        <v>284</v>
      </c>
      <c r="B781" s="30" t="s">
        <v>857</v>
      </c>
      <c r="C781" s="31" t="s">
        <v>858</v>
      </c>
      <c r="D781" s="31" t="s">
        <v>859</v>
      </c>
      <c r="E781" s="32">
        <v>43130</v>
      </c>
      <c r="F781" s="44">
        <v>32500000</v>
      </c>
      <c r="G781" s="44">
        <v>7500000</v>
      </c>
      <c r="H781" s="44">
        <v>7500000</v>
      </c>
      <c r="I781" s="174" t="s">
        <v>1564</v>
      </c>
      <c r="J781" s="14"/>
      <c r="K781" s="14"/>
      <c r="L781" s="14"/>
      <c r="M781" s="14"/>
      <c r="N781" s="14"/>
      <c r="O781" s="14"/>
      <c r="P781" s="14"/>
    </row>
    <row r="782" spans="1:16">
      <c r="A782" s="29">
        <f t="shared" si="75"/>
        <v>285</v>
      </c>
      <c r="B782" s="30" t="s">
        <v>742</v>
      </c>
      <c r="C782" s="31" t="s">
        <v>743</v>
      </c>
      <c r="D782" s="31" t="s">
        <v>744</v>
      </c>
      <c r="E782" s="32">
        <v>43140</v>
      </c>
      <c r="F782" s="44">
        <v>7500000</v>
      </c>
      <c r="G782" s="44">
        <v>0</v>
      </c>
      <c r="H782" s="44">
        <v>0</v>
      </c>
      <c r="I782" s="44">
        <v>0</v>
      </c>
      <c r="J782" s="14"/>
      <c r="K782" s="14"/>
      <c r="L782" s="14"/>
      <c r="M782" s="14"/>
      <c r="N782" s="14"/>
      <c r="O782" s="14"/>
      <c r="P782" s="14"/>
    </row>
    <row r="783" spans="1:16">
      <c r="A783" s="29">
        <f t="shared" si="75"/>
        <v>286</v>
      </c>
      <c r="B783" s="30" t="s">
        <v>742</v>
      </c>
      <c r="C783" s="31" t="s">
        <v>743</v>
      </c>
      <c r="D783" s="31" t="s">
        <v>744</v>
      </c>
      <c r="E783" s="32">
        <v>43140</v>
      </c>
      <c r="F783" s="44">
        <v>7500000</v>
      </c>
      <c r="G783" s="44">
        <v>0</v>
      </c>
      <c r="H783" s="44">
        <v>0</v>
      </c>
      <c r="I783" s="44">
        <v>0</v>
      </c>
      <c r="J783" s="14"/>
      <c r="K783" s="14"/>
      <c r="L783" s="14"/>
      <c r="M783" s="14"/>
      <c r="N783" s="14"/>
      <c r="O783" s="14"/>
      <c r="P783" s="14"/>
    </row>
    <row r="784" spans="1:16">
      <c r="A784" s="29">
        <f t="shared" si="75"/>
        <v>287</v>
      </c>
      <c r="B784" s="30" t="s">
        <v>598</v>
      </c>
      <c r="C784" s="31" t="s">
        <v>599</v>
      </c>
      <c r="D784" s="31" t="s">
        <v>600</v>
      </c>
      <c r="E784" s="32">
        <v>43140</v>
      </c>
      <c r="F784" s="44">
        <v>7500000</v>
      </c>
      <c r="G784" s="44">
        <v>0</v>
      </c>
      <c r="H784" s="44">
        <v>2500000</v>
      </c>
      <c r="I784" s="174" t="s">
        <v>1565</v>
      </c>
      <c r="J784" s="14"/>
      <c r="K784" s="14"/>
      <c r="L784" s="14"/>
      <c r="M784" s="14"/>
      <c r="N784" s="14"/>
      <c r="O784" s="14"/>
      <c r="P784" s="14"/>
    </row>
    <row r="785" spans="1:16">
      <c r="A785" s="29">
        <f t="shared" si="75"/>
        <v>288</v>
      </c>
      <c r="B785" s="30" t="s">
        <v>598</v>
      </c>
      <c r="C785" s="31" t="s">
        <v>599</v>
      </c>
      <c r="D785" s="31" t="s">
        <v>600</v>
      </c>
      <c r="E785" s="32">
        <v>43140</v>
      </c>
      <c r="F785" s="44">
        <v>7500000</v>
      </c>
      <c r="G785" s="44">
        <v>0</v>
      </c>
      <c r="H785" s="44">
        <v>2500000</v>
      </c>
      <c r="I785" s="174" t="s">
        <v>1566</v>
      </c>
      <c r="J785" s="14"/>
      <c r="K785" s="14"/>
      <c r="L785" s="14"/>
      <c r="M785" s="14"/>
      <c r="N785" s="14"/>
      <c r="O785" s="14"/>
      <c r="P785" s="14"/>
    </row>
    <row r="786" spans="1:16">
      <c r="A786" s="29">
        <f t="shared" si="75"/>
        <v>289</v>
      </c>
      <c r="B786" s="30" t="s">
        <v>1024</v>
      </c>
      <c r="C786" s="31" t="s">
        <v>1025</v>
      </c>
      <c r="D786" s="31" t="s">
        <v>1026</v>
      </c>
      <c r="E786" s="32">
        <v>43154</v>
      </c>
      <c r="F786" s="44">
        <v>23000000</v>
      </c>
      <c r="G786" s="44">
        <v>5000000</v>
      </c>
      <c r="H786" s="44">
        <v>2000000</v>
      </c>
      <c r="I786" s="174" t="s">
        <v>1567</v>
      </c>
      <c r="J786" s="14"/>
      <c r="K786" s="14"/>
      <c r="L786" s="14"/>
      <c r="M786" s="14"/>
      <c r="N786" s="14"/>
      <c r="O786" s="14"/>
      <c r="P786" s="14"/>
    </row>
    <row r="787" spans="1:16">
      <c r="A787" s="29">
        <f t="shared" si="75"/>
        <v>290</v>
      </c>
      <c r="B787" s="30" t="s">
        <v>526</v>
      </c>
      <c r="C787" s="31" t="s">
        <v>527</v>
      </c>
      <c r="D787" s="31" t="s">
        <v>528</v>
      </c>
      <c r="E787" s="32">
        <v>43154</v>
      </c>
      <c r="F787" s="44">
        <v>20000000</v>
      </c>
      <c r="G787" s="44">
        <v>2000000</v>
      </c>
      <c r="H787" s="44">
        <v>3000000</v>
      </c>
      <c r="I787" s="174" t="s">
        <v>1568</v>
      </c>
      <c r="J787" s="14"/>
      <c r="K787" s="14"/>
      <c r="L787" s="14"/>
      <c r="M787" s="14"/>
      <c r="N787" s="14"/>
      <c r="O787" s="14"/>
      <c r="P787" s="14"/>
    </row>
    <row r="788" spans="1:16">
      <c r="A788" s="29">
        <f t="shared" si="75"/>
        <v>291</v>
      </c>
      <c r="B788" s="30" t="s">
        <v>571</v>
      </c>
      <c r="C788" s="31" t="s">
        <v>572</v>
      </c>
      <c r="D788" s="31" t="s">
        <v>573</v>
      </c>
      <c r="E788" s="32">
        <v>43153</v>
      </c>
      <c r="F788" s="44">
        <v>5000000</v>
      </c>
      <c r="G788" s="44">
        <v>2500000</v>
      </c>
      <c r="H788" s="44">
        <v>2500000</v>
      </c>
      <c r="I788" s="174" t="s">
        <v>1569</v>
      </c>
      <c r="J788" s="14"/>
      <c r="K788" s="14"/>
      <c r="L788" s="14"/>
      <c r="M788" s="14"/>
      <c r="N788" s="14"/>
      <c r="O788" s="14"/>
      <c r="P788" s="14"/>
    </row>
    <row r="789" spans="1:16">
      <c r="A789" s="29">
        <f t="shared" si="75"/>
        <v>292</v>
      </c>
      <c r="B789" s="30" t="s">
        <v>571</v>
      </c>
      <c r="C789" s="31" t="s">
        <v>572</v>
      </c>
      <c r="D789" s="31" t="s">
        <v>573</v>
      </c>
      <c r="E789" s="32">
        <v>43153</v>
      </c>
      <c r="F789" s="44">
        <v>5000000</v>
      </c>
      <c r="G789" s="44">
        <v>2500000</v>
      </c>
      <c r="H789" s="44">
        <v>2500000</v>
      </c>
      <c r="I789" s="174" t="s">
        <v>1569</v>
      </c>
      <c r="J789" s="14"/>
      <c r="K789" s="14"/>
      <c r="L789" s="14"/>
      <c r="M789" s="14"/>
      <c r="N789" s="14"/>
      <c r="O789" s="14"/>
      <c r="P789" s="14"/>
    </row>
    <row r="790" spans="1:16">
      <c r="A790" s="29">
        <f t="shared" si="75"/>
        <v>293</v>
      </c>
      <c r="B790" s="30" t="s">
        <v>963</v>
      </c>
      <c r="C790" s="31" t="s">
        <v>964</v>
      </c>
      <c r="D790" s="31" t="s">
        <v>965</v>
      </c>
      <c r="E790" s="32">
        <v>43161</v>
      </c>
      <c r="F790" s="44">
        <v>0</v>
      </c>
      <c r="G790" s="44">
        <v>3000000</v>
      </c>
      <c r="H790" s="44">
        <v>0</v>
      </c>
      <c r="I790" s="174" t="s">
        <v>1570</v>
      </c>
    </row>
    <row r="791" spans="1:16">
      <c r="A791" s="29">
        <f t="shared" si="75"/>
        <v>294</v>
      </c>
      <c r="B791" s="30" t="s">
        <v>714</v>
      </c>
      <c r="C791" s="31" t="s">
        <v>715</v>
      </c>
      <c r="D791" s="31" t="s">
        <v>716</v>
      </c>
      <c r="E791" s="32">
        <v>43160</v>
      </c>
      <c r="F791" s="44">
        <v>13000000</v>
      </c>
      <c r="G791" s="44">
        <v>0</v>
      </c>
      <c r="H791" s="44">
        <v>2000000</v>
      </c>
      <c r="I791" s="44">
        <v>0</v>
      </c>
    </row>
    <row r="792" spans="1:16">
      <c r="A792" s="29">
        <f t="shared" si="75"/>
        <v>295</v>
      </c>
      <c r="B792" s="30" t="s">
        <v>731</v>
      </c>
      <c r="C792" s="31" t="s">
        <v>732</v>
      </c>
      <c r="D792" s="31" t="s">
        <v>733</v>
      </c>
      <c r="E792" s="32">
        <v>43166</v>
      </c>
      <c r="F792" s="44">
        <v>15000000</v>
      </c>
      <c r="G792" s="44">
        <v>2500000</v>
      </c>
      <c r="H792" s="44">
        <v>2500000</v>
      </c>
      <c r="I792" s="174" t="s">
        <v>1571</v>
      </c>
    </row>
    <row r="793" spans="1:16">
      <c r="A793" s="29">
        <f t="shared" si="75"/>
        <v>296</v>
      </c>
      <c r="B793" s="30" t="s">
        <v>1122</v>
      </c>
      <c r="C793" s="31">
        <v>975392</v>
      </c>
      <c r="D793" s="31" t="s">
        <v>1125</v>
      </c>
      <c r="E793" s="32">
        <v>43165</v>
      </c>
      <c r="F793" s="44">
        <v>6000000</v>
      </c>
      <c r="G793" s="44">
        <v>0</v>
      </c>
      <c r="H793" s="44">
        <v>4000000</v>
      </c>
      <c r="I793" s="174" t="s">
        <v>1572</v>
      </c>
    </row>
    <row r="794" spans="1:16">
      <c r="A794" s="29">
        <f t="shared" si="75"/>
        <v>297</v>
      </c>
      <c r="B794" s="30" t="s">
        <v>927</v>
      </c>
      <c r="C794" s="31" t="s">
        <v>928</v>
      </c>
      <c r="D794" s="31" t="s">
        <v>929</v>
      </c>
      <c r="E794" s="32">
        <v>43167</v>
      </c>
      <c r="F794" s="44">
        <v>10000000</v>
      </c>
      <c r="G794" s="44">
        <v>2500000</v>
      </c>
      <c r="H794" s="44">
        <v>2500000</v>
      </c>
      <c r="I794" s="174" t="s">
        <v>1573</v>
      </c>
    </row>
    <row r="795" spans="1:16">
      <c r="A795" s="29">
        <f t="shared" si="75"/>
        <v>298</v>
      </c>
      <c r="B795" s="30" t="s">
        <v>927</v>
      </c>
      <c r="C795" s="31" t="s">
        <v>928</v>
      </c>
      <c r="D795" s="31" t="s">
        <v>929</v>
      </c>
      <c r="E795" s="32">
        <v>43167</v>
      </c>
      <c r="F795" s="44">
        <v>10000000</v>
      </c>
      <c r="G795" s="44">
        <v>2500000</v>
      </c>
      <c r="H795" s="44">
        <v>2500000</v>
      </c>
      <c r="I795" s="174" t="s">
        <v>1574</v>
      </c>
      <c r="J795" s="14"/>
      <c r="K795" s="14"/>
      <c r="L795" s="14"/>
      <c r="M795" s="14"/>
      <c r="N795" s="14"/>
      <c r="O795" s="14"/>
      <c r="P795" s="14"/>
    </row>
    <row r="796" spans="1:16">
      <c r="A796" s="29">
        <f t="shared" si="75"/>
        <v>299</v>
      </c>
      <c r="B796" s="30" t="s">
        <v>945</v>
      </c>
      <c r="C796" s="31" t="s">
        <v>946</v>
      </c>
      <c r="D796" s="31" t="s">
        <v>947</v>
      </c>
      <c r="E796" s="32">
        <v>43173</v>
      </c>
      <c r="F796" s="44">
        <v>10000000</v>
      </c>
      <c r="G796" s="34">
        <v>0</v>
      </c>
      <c r="H796" s="44">
        <v>0</v>
      </c>
      <c r="I796" s="44">
        <v>0</v>
      </c>
      <c r="J796" s="14"/>
      <c r="K796" s="14"/>
      <c r="L796" s="14"/>
      <c r="M796" s="14"/>
      <c r="N796" s="14"/>
      <c r="O796" s="14"/>
      <c r="P796" s="14"/>
    </row>
    <row r="797" spans="1:16">
      <c r="A797" s="29">
        <f t="shared" si="75"/>
        <v>300</v>
      </c>
      <c r="B797" s="30" t="s">
        <v>1065</v>
      </c>
      <c r="C797" s="31" t="s">
        <v>1066</v>
      </c>
      <c r="D797" s="31" t="s">
        <v>1067</v>
      </c>
      <c r="E797" s="32">
        <v>43171</v>
      </c>
      <c r="F797" s="44">
        <v>15000000</v>
      </c>
      <c r="G797" s="34">
        <v>0</v>
      </c>
      <c r="H797" s="44">
        <v>0</v>
      </c>
      <c r="I797" s="174" t="s">
        <v>1575</v>
      </c>
      <c r="J797" s="14"/>
      <c r="K797" s="14"/>
      <c r="L797" s="14"/>
      <c r="M797" s="14"/>
      <c r="N797" s="14"/>
      <c r="O797" s="14"/>
      <c r="P797" s="14"/>
    </row>
    <row r="798" spans="1:16">
      <c r="A798" s="29">
        <f t="shared" si="75"/>
        <v>301</v>
      </c>
      <c r="B798" s="30" t="s">
        <v>153</v>
      </c>
      <c r="C798" s="31" t="s">
        <v>154</v>
      </c>
      <c r="D798" s="31" t="s">
        <v>158</v>
      </c>
      <c r="E798" s="32">
        <v>43111</v>
      </c>
      <c r="F798" s="34">
        <v>3000000</v>
      </c>
      <c r="G798" s="34">
        <v>0</v>
      </c>
      <c r="H798" s="34">
        <v>0</v>
      </c>
      <c r="I798" s="44">
        <v>0</v>
      </c>
    </row>
    <row r="799" spans="1:16">
      <c r="A799" s="29">
        <f t="shared" si="75"/>
        <v>302</v>
      </c>
      <c r="B799" s="30" t="s">
        <v>153</v>
      </c>
      <c r="C799" s="31" t="s">
        <v>154</v>
      </c>
      <c r="D799" s="31" t="s">
        <v>155</v>
      </c>
      <c r="E799" s="32">
        <v>43112</v>
      </c>
      <c r="F799" s="34">
        <v>0</v>
      </c>
      <c r="G799" s="34">
        <v>1500000</v>
      </c>
      <c r="H799" s="34">
        <v>1500000</v>
      </c>
      <c r="I799" s="44">
        <v>0</v>
      </c>
    </row>
    <row r="800" spans="1:16">
      <c r="A800" s="29">
        <f t="shared" si="75"/>
        <v>303</v>
      </c>
      <c r="B800" s="30" t="s">
        <v>516</v>
      </c>
      <c r="C800" s="31" t="s">
        <v>517</v>
      </c>
      <c r="D800" s="31" t="s">
        <v>518</v>
      </c>
      <c r="E800" s="32">
        <v>43182</v>
      </c>
      <c r="F800" s="44">
        <v>60000000</v>
      </c>
      <c r="G800" s="44">
        <v>12500000</v>
      </c>
      <c r="H800" s="44">
        <v>12500000</v>
      </c>
      <c r="I800" s="174" t="s">
        <v>1576</v>
      </c>
    </row>
    <row r="801" spans="1:16">
      <c r="A801" s="29">
        <f t="shared" si="75"/>
        <v>304</v>
      </c>
      <c r="B801" s="30" t="s">
        <v>298</v>
      </c>
      <c r="C801" s="31" t="s">
        <v>299</v>
      </c>
      <c r="D801" s="31" t="s">
        <v>300</v>
      </c>
      <c r="E801" s="32">
        <v>43182</v>
      </c>
      <c r="F801" s="177" t="s">
        <v>1577</v>
      </c>
      <c r="G801" s="44">
        <v>3500000</v>
      </c>
      <c r="H801" s="44">
        <v>3500000</v>
      </c>
      <c r="I801" s="174" t="s">
        <v>1578</v>
      </c>
    </row>
    <row r="802" spans="1:16">
      <c r="A802" s="29">
        <f t="shared" si="75"/>
        <v>305</v>
      </c>
      <c r="B802" s="30"/>
      <c r="C802" s="31"/>
      <c r="D802" s="31"/>
      <c r="E802" s="32"/>
      <c r="F802" s="177" t="s">
        <v>1579</v>
      </c>
      <c r="G802" s="44">
        <v>0</v>
      </c>
      <c r="H802" s="44">
        <v>0</v>
      </c>
      <c r="I802" s="44">
        <v>0</v>
      </c>
      <c r="J802" s="14"/>
      <c r="K802" s="14"/>
      <c r="L802" s="14"/>
      <c r="M802" s="14"/>
      <c r="N802" s="14"/>
      <c r="O802" s="14"/>
      <c r="P802" s="14"/>
    </row>
    <row r="803" spans="1:16">
      <c r="A803" s="29">
        <f t="shared" si="75"/>
        <v>306</v>
      </c>
      <c r="B803" s="30" t="s">
        <v>315</v>
      </c>
      <c r="C803" s="31" t="s">
        <v>316</v>
      </c>
      <c r="D803" s="31" t="s">
        <v>317</v>
      </c>
      <c r="E803" s="32">
        <v>43186</v>
      </c>
      <c r="F803" s="44">
        <v>15000000</v>
      </c>
      <c r="G803" s="44">
        <v>5000000</v>
      </c>
      <c r="H803" s="44">
        <v>5000000</v>
      </c>
      <c r="I803" s="174" t="s">
        <v>1580</v>
      </c>
      <c r="J803" s="14"/>
      <c r="K803" s="14"/>
      <c r="L803" s="14"/>
      <c r="M803" s="14"/>
      <c r="N803" s="14"/>
      <c r="O803" s="14"/>
      <c r="P803" s="14"/>
    </row>
    <row r="804" spans="1:16">
      <c r="A804" s="29">
        <f t="shared" si="75"/>
        <v>307</v>
      </c>
      <c r="B804" s="30" t="s">
        <v>174</v>
      </c>
      <c r="C804" s="31" t="s">
        <v>175</v>
      </c>
      <c r="D804" s="31" t="s">
        <v>176</v>
      </c>
      <c r="E804" s="32">
        <v>43185</v>
      </c>
      <c r="F804" s="44">
        <v>15000000</v>
      </c>
      <c r="G804" s="44">
        <v>3500000</v>
      </c>
      <c r="H804" s="44">
        <v>3500000</v>
      </c>
      <c r="I804" s="174" t="s">
        <v>1581</v>
      </c>
      <c r="J804" s="14"/>
      <c r="K804" s="14"/>
      <c r="L804" s="14"/>
      <c r="M804" s="14"/>
      <c r="N804" s="14"/>
      <c r="O804" s="14"/>
      <c r="P804" s="14"/>
    </row>
    <row r="805" spans="1:16">
      <c r="A805" s="29">
        <f t="shared" si="75"/>
        <v>308</v>
      </c>
      <c r="B805" s="30" t="s">
        <v>414</v>
      </c>
      <c r="C805" s="31" t="s">
        <v>415</v>
      </c>
      <c r="D805" s="31" t="s">
        <v>416</v>
      </c>
      <c r="E805" s="32">
        <v>43185</v>
      </c>
      <c r="F805" s="177" t="s">
        <v>1582</v>
      </c>
      <c r="G805" s="177" t="s">
        <v>1582</v>
      </c>
      <c r="H805" s="177" t="s">
        <v>1583</v>
      </c>
      <c r="I805" s="174" t="s">
        <v>1584</v>
      </c>
      <c r="J805" s="14"/>
      <c r="K805" s="14"/>
      <c r="L805" s="14"/>
      <c r="M805" s="14"/>
      <c r="N805" s="14"/>
      <c r="O805" s="14"/>
      <c r="P805" s="14"/>
    </row>
    <row r="806" spans="1:16">
      <c r="A806" s="29">
        <f t="shared" si="75"/>
        <v>309</v>
      </c>
      <c r="B806" s="30"/>
      <c r="C806" s="31"/>
      <c r="D806" s="31"/>
      <c r="E806" s="32"/>
      <c r="F806" s="177" t="s">
        <v>1585</v>
      </c>
      <c r="G806" s="177" t="s">
        <v>1586</v>
      </c>
      <c r="H806" s="177" t="s">
        <v>1586</v>
      </c>
      <c r="I806" s="44">
        <v>0</v>
      </c>
      <c r="J806" s="14"/>
      <c r="K806" s="14"/>
      <c r="L806" s="14"/>
      <c r="M806" s="14"/>
      <c r="N806" s="14"/>
      <c r="O806" s="14"/>
      <c r="P806" s="14"/>
    </row>
    <row r="807" spans="1:16">
      <c r="A807" s="29">
        <f t="shared" si="75"/>
        <v>310</v>
      </c>
      <c r="B807" s="30"/>
      <c r="C807" s="31"/>
      <c r="D807" s="31"/>
      <c r="E807" s="32"/>
      <c r="F807" s="177" t="s">
        <v>1587</v>
      </c>
      <c r="G807" s="177" t="s">
        <v>1588</v>
      </c>
      <c r="H807" s="44">
        <v>0</v>
      </c>
      <c r="I807" s="44">
        <v>0</v>
      </c>
      <c r="J807" s="14"/>
      <c r="K807" s="14"/>
      <c r="L807" s="14"/>
      <c r="M807" s="14"/>
      <c r="N807" s="14"/>
      <c r="O807" s="14"/>
      <c r="P807" s="14"/>
    </row>
    <row r="808" spans="1:16">
      <c r="A808" s="29">
        <f t="shared" si="75"/>
        <v>311</v>
      </c>
      <c r="B808" s="30" t="s">
        <v>1005</v>
      </c>
      <c r="C808" s="31" t="s">
        <v>1006</v>
      </c>
      <c r="D808" s="31" t="s">
        <v>1007</v>
      </c>
      <c r="E808" s="32">
        <v>43185</v>
      </c>
      <c r="F808" s="44">
        <v>12000000</v>
      </c>
      <c r="G808" s="44">
        <v>3000000</v>
      </c>
      <c r="H808" s="44">
        <v>3000000</v>
      </c>
      <c r="I808" s="174" t="s">
        <v>1589</v>
      </c>
      <c r="J808" s="14"/>
      <c r="K808" s="14"/>
      <c r="L808" s="14"/>
      <c r="M808" s="14"/>
      <c r="N808" s="14"/>
      <c r="O808" s="14"/>
      <c r="P808" s="14"/>
    </row>
    <row r="809" spans="1:16">
      <c r="A809" s="29">
        <f t="shared" si="75"/>
        <v>312</v>
      </c>
      <c r="B809" s="30" t="s">
        <v>295</v>
      </c>
      <c r="C809" s="31" t="s">
        <v>296</v>
      </c>
      <c r="D809" s="31" t="s">
        <v>297</v>
      </c>
      <c r="E809" s="32">
        <v>43220</v>
      </c>
      <c r="F809" s="44">
        <v>20000000</v>
      </c>
      <c r="G809" s="44">
        <v>0</v>
      </c>
      <c r="H809" s="44">
        <v>0</v>
      </c>
      <c r="I809" s="174" t="s">
        <v>1590</v>
      </c>
    </row>
    <row r="810" spans="1:16">
      <c r="A810" s="29">
        <f t="shared" si="75"/>
        <v>313</v>
      </c>
      <c r="B810" s="30" t="s">
        <v>295</v>
      </c>
      <c r="C810" s="31" t="s">
        <v>296</v>
      </c>
      <c r="D810" s="31" t="s">
        <v>297</v>
      </c>
      <c r="E810" s="32">
        <v>43220</v>
      </c>
      <c r="F810" s="44">
        <v>20000000</v>
      </c>
      <c r="G810" s="44">
        <v>0</v>
      </c>
      <c r="H810" s="44">
        <v>0</v>
      </c>
      <c r="I810" s="174" t="s">
        <v>1591</v>
      </c>
    </row>
    <row r="811" spans="1:16">
      <c r="A811" s="29">
        <f t="shared" si="75"/>
        <v>314</v>
      </c>
      <c r="B811" s="30" t="s">
        <v>1592</v>
      </c>
      <c r="C811" s="31" t="s">
        <v>238</v>
      </c>
      <c r="D811" s="31" t="s">
        <v>239</v>
      </c>
      <c r="E811" s="32">
        <v>43215</v>
      </c>
      <c r="F811" s="44">
        <v>10000000</v>
      </c>
      <c r="G811" s="44">
        <v>0</v>
      </c>
      <c r="H811" s="44">
        <v>0</v>
      </c>
      <c r="I811" s="174"/>
    </row>
    <row r="812" spans="1:16">
      <c r="A812" s="29">
        <f t="shared" si="75"/>
        <v>315</v>
      </c>
      <c r="B812" s="30" t="s">
        <v>318</v>
      </c>
      <c r="C812" s="31" t="s">
        <v>319</v>
      </c>
      <c r="D812" s="31" t="s">
        <v>320</v>
      </c>
      <c r="E812" s="32">
        <v>43215</v>
      </c>
      <c r="F812" s="44">
        <v>40000000</v>
      </c>
      <c r="G812" s="44">
        <v>0</v>
      </c>
      <c r="H812" s="44">
        <v>0</v>
      </c>
      <c r="I812" s="174" t="s">
        <v>1593</v>
      </c>
    </row>
    <row r="813" spans="1:16">
      <c r="A813" s="29">
        <f t="shared" si="75"/>
        <v>316</v>
      </c>
      <c r="B813" s="30" t="s">
        <v>225</v>
      </c>
      <c r="C813" s="31" t="s">
        <v>226</v>
      </c>
      <c r="D813" s="31" t="s">
        <v>229</v>
      </c>
      <c r="E813" s="32">
        <v>43215</v>
      </c>
      <c r="F813" s="44">
        <v>35000000</v>
      </c>
      <c r="G813" s="44">
        <v>7500000</v>
      </c>
      <c r="H813" s="44">
        <v>7500000</v>
      </c>
      <c r="I813" s="174"/>
    </row>
    <row r="814" spans="1:16">
      <c r="A814" s="29">
        <f t="shared" si="75"/>
        <v>317</v>
      </c>
      <c r="B814" s="30" t="s">
        <v>952</v>
      </c>
      <c r="C814" s="31" t="s">
        <v>953</v>
      </c>
      <c r="D814" s="31" t="s">
        <v>954</v>
      </c>
      <c r="E814" s="32">
        <v>43215</v>
      </c>
      <c r="F814" s="44">
        <v>20000000</v>
      </c>
      <c r="G814" s="44">
        <v>0</v>
      </c>
      <c r="H814" s="44">
        <v>0</v>
      </c>
      <c r="I814" s="174" t="s">
        <v>1594</v>
      </c>
    </row>
    <row r="815" spans="1:16">
      <c r="A815" s="29">
        <f t="shared" si="75"/>
        <v>318</v>
      </c>
      <c r="B815" s="30" t="s">
        <v>390</v>
      </c>
      <c r="C815" s="31" t="s">
        <v>391</v>
      </c>
      <c r="D815" s="31" t="s">
        <v>392</v>
      </c>
      <c r="E815" s="32">
        <v>43215</v>
      </c>
      <c r="F815" s="44">
        <v>10000000</v>
      </c>
      <c r="G815" s="44">
        <v>0</v>
      </c>
      <c r="H815" s="44">
        <v>0</v>
      </c>
      <c r="I815" s="174" t="s">
        <v>1595</v>
      </c>
    </row>
    <row r="816" spans="1:16">
      <c r="A816" s="29">
        <f t="shared" si="75"/>
        <v>319</v>
      </c>
      <c r="B816" s="30" t="s">
        <v>935</v>
      </c>
      <c r="C816" s="31" t="s">
        <v>936</v>
      </c>
      <c r="D816" s="31" t="s">
        <v>937</v>
      </c>
      <c r="E816" s="32">
        <v>43215</v>
      </c>
      <c r="F816" s="44">
        <v>19700000</v>
      </c>
      <c r="G816" s="44">
        <v>0</v>
      </c>
      <c r="H816" s="44">
        <v>0</v>
      </c>
      <c r="I816" s="174" t="s">
        <v>1596</v>
      </c>
    </row>
    <row r="817" spans="1:16">
      <c r="A817" s="29">
        <f t="shared" si="75"/>
        <v>320</v>
      </c>
      <c r="B817" s="30" t="s">
        <v>136</v>
      </c>
      <c r="C817" s="31" t="s">
        <v>137</v>
      </c>
      <c r="D817" s="31" t="s">
        <v>138</v>
      </c>
      <c r="E817" s="32">
        <v>43215</v>
      </c>
      <c r="F817" s="44">
        <v>20000000</v>
      </c>
      <c r="G817" s="44">
        <v>2500000</v>
      </c>
      <c r="H817" s="44">
        <v>2500000</v>
      </c>
      <c r="I817" s="174" t="s">
        <v>1597</v>
      </c>
    </row>
    <row r="818" spans="1:16">
      <c r="A818" s="29">
        <f t="shared" si="75"/>
        <v>321</v>
      </c>
      <c r="B818" s="30" t="s">
        <v>1076</v>
      </c>
      <c r="C818" s="31" t="s">
        <v>1072</v>
      </c>
      <c r="D818" s="31" t="s">
        <v>1077</v>
      </c>
      <c r="E818" s="32">
        <v>43224</v>
      </c>
      <c r="F818" s="44">
        <v>40000000</v>
      </c>
      <c r="G818" s="44">
        <v>5000000</v>
      </c>
      <c r="H818" s="44">
        <v>5000000</v>
      </c>
      <c r="I818" s="174"/>
    </row>
    <row r="819" spans="1:16">
      <c r="A819" s="29">
        <f t="shared" si="75"/>
        <v>322</v>
      </c>
      <c r="B819" s="30" t="s">
        <v>606</v>
      </c>
      <c r="C819" s="31" t="s">
        <v>607</v>
      </c>
      <c r="D819" s="31" t="s">
        <v>608</v>
      </c>
      <c r="E819" s="32">
        <v>43224</v>
      </c>
      <c r="F819" s="44">
        <v>15000000</v>
      </c>
      <c r="G819" s="44">
        <v>7500000</v>
      </c>
      <c r="H819" s="44">
        <v>7500000</v>
      </c>
      <c r="I819" s="174" t="s">
        <v>1598</v>
      </c>
    </row>
    <row r="820" spans="1:16">
      <c r="A820" s="29">
        <f t="shared" ref="A820:A883" si="76">+A819+1</f>
        <v>323</v>
      </c>
      <c r="B820" s="30" t="s">
        <v>590</v>
      </c>
      <c r="C820" s="45" t="s">
        <v>591</v>
      </c>
      <c r="D820" s="45" t="s">
        <v>592</v>
      </c>
      <c r="E820" s="32">
        <v>43224</v>
      </c>
      <c r="F820" s="44">
        <f>5000000</f>
        <v>5000000</v>
      </c>
      <c r="G820" s="44">
        <f>5000000</f>
        <v>5000000</v>
      </c>
      <c r="H820" s="44">
        <f>5000000</f>
        <v>5000000</v>
      </c>
      <c r="I820" s="174" t="s">
        <v>1599</v>
      </c>
    </row>
    <row r="821" spans="1:16">
      <c r="A821" s="29">
        <f t="shared" si="76"/>
        <v>324</v>
      </c>
      <c r="B821" s="30" t="s">
        <v>441</v>
      </c>
      <c r="C821" s="45" t="s">
        <v>442</v>
      </c>
      <c r="D821" s="45" t="s">
        <v>443</v>
      </c>
      <c r="E821" s="32">
        <v>43223</v>
      </c>
      <c r="F821" s="44">
        <v>17000000</v>
      </c>
      <c r="G821" s="44">
        <v>0</v>
      </c>
      <c r="H821" s="44">
        <v>0</v>
      </c>
      <c r="I821" s="174" t="s">
        <v>1600</v>
      </c>
      <c r="J821" s="14"/>
      <c r="K821" s="14"/>
      <c r="L821" s="14"/>
      <c r="M821" s="14"/>
      <c r="N821" s="14"/>
      <c r="O821" s="14"/>
      <c r="P821" s="14"/>
    </row>
    <row r="822" spans="1:16">
      <c r="A822" s="29">
        <f t="shared" si="76"/>
        <v>325</v>
      </c>
      <c r="B822" s="30" t="s">
        <v>1014</v>
      </c>
      <c r="C822" s="45" t="s">
        <v>1015</v>
      </c>
      <c r="D822" s="45" t="s">
        <v>1016</v>
      </c>
      <c r="E822" s="32">
        <v>43235</v>
      </c>
      <c r="F822" s="44">
        <v>10000000</v>
      </c>
      <c r="G822" s="44">
        <v>3500000</v>
      </c>
      <c r="H822" s="44">
        <v>2500000</v>
      </c>
      <c r="I822" s="174" t="s">
        <v>1601</v>
      </c>
      <c r="J822" s="14"/>
      <c r="K822" s="14"/>
      <c r="L822" s="14"/>
      <c r="M822" s="14"/>
      <c r="N822" s="14"/>
      <c r="O822" s="14"/>
      <c r="P822" s="14"/>
    </row>
    <row r="823" spans="1:16">
      <c r="A823" s="29">
        <f t="shared" si="76"/>
        <v>326</v>
      </c>
      <c r="B823" s="30" t="s">
        <v>802</v>
      </c>
      <c r="C823" s="45" t="s">
        <v>803</v>
      </c>
      <c r="D823" s="45" t="s">
        <v>804</v>
      </c>
      <c r="E823" s="32">
        <v>43235</v>
      </c>
      <c r="F823" s="44">
        <v>20000000</v>
      </c>
      <c r="G823" s="44">
        <v>0</v>
      </c>
      <c r="H823" s="44">
        <v>0</v>
      </c>
      <c r="I823" s="174" t="s">
        <v>1602</v>
      </c>
      <c r="J823" s="14"/>
      <c r="K823" s="14"/>
      <c r="L823" s="14"/>
      <c r="M823" s="14"/>
      <c r="N823" s="14"/>
      <c r="O823" s="14"/>
      <c r="P823" s="14"/>
    </row>
    <row r="824" spans="1:16">
      <c r="A824" s="29">
        <f t="shared" si="76"/>
        <v>327</v>
      </c>
      <c r="B824" s="30" t="s">
        <v>523</v>
      </c>
      <c r="C824" s="45" t="s">
        <v>524</v>
      </c>
      <c r="D824" s="45" t="s">
        <v>525</v>
      </c>
      <c r="E824" s="32">
        <v>43235</v>
      </c>
      <c r="F824" s="44">
        <v>20000000</v>
      </c>
      <c r="G824" s="44">
        <v>0</v>
      </c>
      <c r="H824" s="44">
        <v>0</v>
      </c>
      <c r="I824" s="174"/>
      <c r="J824" s="14"/>
      <c r="K824" s="14"/>
      <c r="L824" s="14"/>
      <c r="M824" s="14"/>
      <c r="N824" s="14"/>
      <c r="O824" s="14"/>
      <c r="P824" s="14"/>
    </row>
    <row r="825" spans="1:16">
      <c r="A825" s="29">
        <f t="shared" si="76"/>
        <v>328</v>
      </c>
      <c r="B825" s="30" t="s">
        <v>817</v>
      </c>
      <c r="C825" s="45" t="s">
        <v>818</v>
      </c>
      <c r="D825" s="45" t="s">
        <v>819</v>
      </c>
      <c r="E825" s="32">
        <v>43235</v>
      </c>
      <c r="F825" s="44">
        <v>4000000</v>
      </c>
      <c r="G825" s="44">
        <v>3000000</v>
      </c>
      <c r="H825" s="44">
        <v>3000000</v>
      </c>
      <c r="I825" s="174" t="s">
        <v>1603</v>
      </c>
      <c r="J825" s="14"/>
      <c r="K825" s="14"/>
      <c r="L825" s="14"/>
      <c r="M825" s="14"/>
      <c r="N825" s="14"/>
      <c r="O825" s="14"/>
      <c r="P825" s="14"/>
    </row>
    <row r="826" spans="1:16">
      <c r="A826" s="29">
        <f t="shared" si="76"/>
        <v>329</v>
      </c>
      <c r="B826" s="30" t="s">
        <v>329</v>
      </c>
      <c r="C826" s="45" t="s">
        <v>330</v>
      </c>
      <c r="D826" s="45" t="s">
        <v>331</v>
      </c>
      <c r="E826" s="32">
        <v>43231</v>
      </c>
      <c r="F826" s="44">
        <v>10000000</v>
      </c>
      <c r="G826" s="44">
        <v>0</v>
      </c>
      <c r="H826" s="44">
        <v>2500000</v>
      </c>
      <c r="I826" s="174" t="s">
        <v>1604</v>
      </c>
      <c r="J826" s="14"/>
      <c r="K826" s="14"/>
      <c r="L826" s="14"/>
      <c r="M826" s="14"/>
      <c r="N826" s="14"/>
      <c r="O826" s="14"/>
      <c r="P826" s="14"/>
    </row>
    <row r="827" spans="1:16">
      <c r="A827" s="29">
        <f t="shared" si="76"/>
        <v>330</v>
      </c>
      <c r="B827" s="30" t="s">
        <v>427</v>
      </c>
      <c r="C827" s="45" t="s">
        <v>428</v>
      </c>
      <c r="D827" s="45" t="s">
        <v>429</v>
      </c>
      <c r="E827" s="32">
        <v>43231</v>
      </c>
      <c r="F827" s="44">
        <v>10000000</v>
      </c>
      <c r="G827" s="44">
        <v>0</v>
      </c>
      <c r="H827" s="44">
        <v>0</v>
      </c>
      <c r="I827" s="174" t="s">
        <v>1605</v>
      </c>
      <c r="J827" s="14"/>
      <c r="K827" s="14"/>
      <c r="L827" s="14"/>
      <c r="M827" s="14"/>
      <c r="N827" s="14"/>
      <c r="O827" s="14"/>
      <c r="P827" s="14"/>
    </row>
    <row r="828" spans="1:16">
      <c r="A828" s="29">
        <f t="shared" si="76"/>
        <v>331</v>
      </c>
      <c r="B828" s="30" t="s">
        <v>427</v>
      </c>
      <c r="C828" s="45" t="s">
        <v>428</v>
      </c>
      <c r="D828" s="45" t="s">
        <v>429</v>
      </c>
      <c r="E828" s="32">
        <v>43231</v>
      </c>
      <c r="F828" s="44">
        <v>10000000</v>
      </c>
      <c r="G828" s="44"/>
      <c r="H828" s="44"/>
      <c r="I828" s="174" t="s">
        <v>1606</v>
      </c>
      <c r="J828" s="14"/>
      <c r="K828" s="14"/>
      <c r="L828" s="14"/>
      <c r="M828" s="14"/>
      <c r="N828" s="14"/>
      <c r="O828" s="14"/>
      <c r="P828" s="14"/>
    </row>
    <row r="829" spans="1:16">
      <c r="A829" s="29">
        <f t="shared" si="76"/>
        <v>332</v>
      </c>
      <c r="B829" s="30" t="s">
        <v>594</v>
      </c>
      <c r="C829" s="45" t="s">
        <v>595</v>
      </c>
      <c r="D829" s="45" t="s">
        <v>596</v>
      </c>
      <c r="E829" s="32">
        <v>43236</v>
      </c>
      <c r="F829" s="44">
        <f>33400000</f>
        <v>33400000</v>
      </c>
      <c r="G829" s="44">
        <v>0</v>
      </c>
      <c r="H829" s="44">
        <v>0</v>
      </c>
      <c r="I829" s="174" t="s">
        <v>1607</v>
      </c>
      <c r="J829" s="14"/>
      <c r="K829" s="14"/>
      <c r="L829" s="14"/>
      <c r="M829" s="14"/>
      <c r="N829" s="14"/>
      <c r="O829" s="14"/>
      <c r="P829" s="14"/>
    </row>
    <row r="830" spans="1:16">
      <c r="A830" s="29">
        <f t="shared" si="76"/>
        <v>333</v>
      </c>
      <c r="B830" s="30" t="s">
        <v>707</v>
      </c>
      <c r="C830" s="45" t="s">
        <v>708</v>
      </c>
      <c r="D830" s="45" t="s">
        <v>709</v>
      </c>
      <c r="E830" s="32">
        <v>43236</v>
      </c>
      <c r="F830" s="44">
        <f>25000000</f>
        <v>25000000</v>
      </c>
      <c r="G830" s="44">
        <v>3000000</v>
      </c>
      <c r="H830" s="44">
        <v>3000000</v>
      </c>
      <c r="I830" s="174" t="s">
        <v>1608</v>
      </c>
      <c r="J830" s="14"/>
      <c r="K830" s="14"/>
      <c r="L830" s="14"/>
      <c r="M830" s="14"/>
      <c r="N830" s="14"/>
      <c r="O830" s="14"/>
      <c r="P830" s="14"/>
    </row>
    <row r="831" spans="1:16">
      <c r="A831" s="29">
        <f t="shared" si="76"/>
        <v>334</v>
      </c>
      <c r="B831" s="30" t="s">
        <v>649</v>
      </c>
      <c r="C831" s="45" t="s">
        <v>650</v>
      </c>
      <c r="D831" s="45" t="s">
        <v>651</v>
      </c>
      <c r="E831" s="32">
        <v>43236</v>
      </c>
      <c r="F831" s="44">
        <f>23000000</f>
        <v>23000000</v>
      </c>
      <c r="G831" s="44">
        <v>1500000</v>
      </c>
      <c r="H831" s="44">
        <v>1500000</v>
      </c>
      <c r="I831" s="174" t="s">
        <v>1609</v>
      </c>
      <c r="J831" s="14"/>
      <c r="K831" s="14"/>
      <c r="L831" s="14"/>
      <c r="M831" s="14"/>
      <c r="N831" s="14"/>
      <c r="O831" s="14"/>
      <c r="P831" s="14"/>
    </row>
    <row r="832" spans="1:16">
      <c r="A832" s="29">
        <f t="shared" si="76"/>
        <v>335</v>
      </c>
      <c r="B832" s="30" t="s">
        <v>1097</v>
      </c>
      <c r="C832" s="45" t="s">
        <v>1098</v>
      </c>
      <c r="D832" s="45" t="s">
        <v>1099</v>
      </c>
      <c r="E832" s="32">
        <v>43234</v>
      </c>
      <c r="F832" s="44">
        <f>30000000</f>
        <v>30000000</v>
      </c>
      <c r="G832" s="44">
        <v>3000000</v>
      </c>
      <c r="H832" s="44">
        <v>7000000</v>
      </c>
      <c r="I832" s="174"/>
      <c r="J832" s="14"/>
      <c r="K832" s="14"/>
      <c r="L832" s="14"/>
      <c r="M832" s="14"/>
      <c r="N832" s="14"/>
      <c r="O832" s="14"/>
      <c r="P832" s="14"/>
    </row>
    <row r="833" spans="1:16">
      <c r="A833" s="29">
        <f t="shared" si="76"/>
        <v>336</v>
      </c>
      <c r="B833" s="30" t="s">
        <v>83</v>
      </c>
      <c r="C833" s="45" t="s">
        <v>84</v>
      </c>
      <c r="D833" s="45" t="s">
        <v>85</v>
      </c>
      <c r="E833" s="32">
        <v>43234</v>
      </c>
      <c r="F833" s="44">
        <f>10000000</f>
        <v>10000000</v>
      </c>
      <c r="G833" s="44">
        <v>2500000</v>
      </c>
      <c r="H833" s="44">
        <v>2500000</v>
      </c>
      <c r="I833" s="174" t="s">
        <v>1610</v>
      </c>
      <c r="J833" s="14"/>
      <c r="K833" s="14"/>
      <c r="L833" s="14"/>
      <c r="M833" s="14"/>
      <c r="N833" s="14"/>
      <c r="O833" s="14"/>
      <c r="P833" s="14"/>
    </row>
    <row r="834" spans="1:16">
      <c r="A834" s="29">
        <f t="shared" si="76"/>
        <v>337</v>
      </c>
      <c r="B834" s="30" t="s">
        <v>458</v>
      </c>
      <c r="C834" s="45" t="s">
        <v>459</v>
      </c>
      <c r="D834" s="31" t="s">
        <v>460</v>
      </c>
      <c r="E834" s="43">
        <v>43234</v>
      </c>
      <c r="F834" s="44">
        <f>10000000</f>
        <v>10000000</v>
      </c>
      <c r="G834" s="44">
        <v>0</v>
      </c>
      <c r="H834" s="44">
        <v>0</v>
      </c>
      <c r="I834" s="174"/>
      <c r="J834" s="14"/>
      <c r="K834" s="14"/>
      <c r="L834" s="14"/>
      <c r="M834" s="14"/>
      <c r="N834" s="14"/>
      <c r="O834" s="14"/>
      <c r="P834" s="14"/>
    </row>
    <row r="835" spans="1:16">
      <c r="A835" s="29">
        <f t="shared" si="76"/>
        <v>338</v>
      </c>
      <c r="B835" s="30" t="s">
        <v>831</v>
      </c>
      <c r="C835" s="45" t="s">
        <v>832</v>
      </c>
      <c r="D835" s="45" t="s">
        <v>833</v>
      </c>
      <c r="E835" s="43">
        <v>43234</v>
      </c>
      <c r="F835" s="44">
        <f>20000000</f>
        <v>20000000</v>
      </c>
      <c r="G835" s="44">
        <v>0</v>
      </c>
      <c r="H835" s="44">
        <v>0</v>
      </c>
      <c r="I835" s="174" t="s">
        <v>1611</v>
      </c>
      <c r="J835" s="14"/>
      <c r="K835" s="14"/>
      <c r="L835" s="14"/>
      <c r="M835" s="14"/>
      <c r="N835" s="14"/>
      <c r="O835" s="14"/>
      <c r="P835" s="14"/>
    </row>
    <row r="836" spans="1:16">
      <c r="A836" s="29">
        <f t="shared" si="76"/>
        <v>339</v>
      </c>
      <c r="B836" s="30" t="s">
        <v>1061</v>
      </c>
      <c r="C836" s="45" t="s">
        <v>1062</v>
      </c>
      <c r="D836" s="45" t="s">
        <v>1063</v>
      </c>
      <c r="E836" s="43">
        <v>43237</v>
      </c>
      <c r="F836" s="44">
        <v>8500000</v>
      </c>
      <c r="G836" s="44">
        <v>0</v>
      </c>
      <c r="H836" s="44">
        <v>2500000</v>
      </c>
      <c r="I836" s="174"/>
      <c r="J836" s="14"/>
      <c r="K836" s="14"/>
      <c r="L836" s="14"/>
      <c r="M836" s="14"/>
      <c r="N836" s="14"/>
      <c r="O836" s="14"/>
      <c r="P836" s="14"/>
    </row>
    <row r="837" spans="1:16">
      <c r="A837" s="29">
        <f t="shared" si="76"/>
        <v>340</v>
      </c>
      <c r="B837" s="30" t="s">
        <v>1017</v>
      </c>
      <c r="C837" s="45" t="s">
        <v>1018</v>
      </c>
      <c r="D837" s="45" t="s">
        <v>1019</v>
      </c>
      <c r="E837" s="43">
        <v>43237</v>
      </c>
      <c r="F837" s="44">
        <v>25000000</v>
      </c>
      <c r="G837" s="44">
        <v>2500000</v>
      </c>
      <c r="H837" s="44">
        <v>2500000</v>
      </c>
      <c r="I837" s="174" t="s">
        <v>1612</v>
      </c>
      <c r="J837" s="14"/>
      <c r="K837" s="14"/>
      <c r="L837" s="14"/>
      <c r="M837" s="14"/>
      <c r="N837" s="14"/>
      <c r="O837" s="14"/>
      <c r="P837" s="14"/>
    </row>
    <row r="838" spans="1:16">
      <c r="A838" s="29">
        <f t="shared" si="76"/>
        <v>341</v>
      </c>
      <c r="B838" s="30" t="s">
        <v>394</v>
      </c>
      <c r="C838" s="45" t="s">
        <v>395</v>
      </c>
      <c r="D838" s="45" t="s">
        <v>396</v>
      </c>
      <c r="E838" s="43">
        <v>43238</v>
      </c>
      <c r="F838" s="44">
        <v>50000000</v>
      </c>
      <c r="G838" s="44">
        <v>5000000</v>
      </c>
      <c r="H838" s="44">
        <v>5000000</v>
      </c>
      <c r="I838" s="174"/>
      <c r="J838" s="14"/>
      <c r="K838" s="14"/>
      <c r="L838" s="14"/>
      <c r="M838" s="14"/>
      <c r="N838" s="14"/>
      <c r="O838" s="14"/>
      <c r="P838" s="14"/>
    </row>
    <row r="839" spans="1:16">
      <c r="A839" s="29">
        <f t="shared" si="76"/>
        <v>342</v>
      </c>
      <c r="B839" s="30" t="s">
        <v>891</v>
      </c>
      <c r="C839" s="45" t="s">
        <v>892</v>
      </c>
      <c r="D839" s="45" t="s">
        <v>893</v>
      </c>
      <c r="E839" s="43">
        <v>43238</v>
      </c>
      <c r="F839" s="44">
        <v>15000000</v>
      </c>
      <c r="G839" s="44">
        <v>0</v>
      </c>
      <c r="H839" s="44">
        <v>0</v>
      </c>
      <c r="I839" s="174"/>
      <c r="J839" s="14"/>
      <c r="K839" s="14"/>
      <c r="L839" s="14"/>
      <c r="M839" s="14"/>
      <c r="N839" s="14"/>
      <c r="O839" s="14"/>
      <c r="P839" s="14"/>
    </row>
    <row r="840" spans="1:16">
      <c r="A840" s="29">
        <f t="shared" si="76"/>
        <v>343</v>
      </c>
      <c r="B840" s="30" t="s">
        <v>634</v>
      </c>
      <c r="C840" s="45" t="s">
        <v>635</v>
      </c>
      <c r="D840" s="45" t="s">
        <v>636</v>
      </c>
      <c r="E840" s="43">
        <v>43228</v>
      </c>
      <c r="F840" s="44">
        <f>41742224</f>
        <v>41742224</v>
      </c>
      <c r="G840" s="44">
        <v>10000000</v>
      </c>
      <c r="H840" s="44">
        <v>10000000</v>
      </c>
      <c r="I840" s="174"/>
      <c r="J840" s="14"/>
      <c r="K840" s="14"/>
      <c r="L840" s="14"/>
      <c r="M840" s="14"/>
      <c r="N840" s="14"/>
      <c r="O840" s="14"/>
      <c r="P840" s="14"/>
    </row>
    <row r="841" spans="1:16">
      <c r="A841" s="29">
        <f t="shared" si="76"/>
        <v>344</v>
      </c>
      <c r="B841" s="30" t="s">
        <v>1039</v>
      </c>
      <c r="C841" s="31" t="s">
        <v>1040</v>
      </c>
      <c r="D841" s="31" t="s">
        <v>1041</v>
      </c>
      <c r="E841" s="32">
        <v>43245</v>
      </c>
      <c r="F841" s="44">
        <f>100000000</f>
        <v>100000000</v>
      </c>
      <c r="G841" s="44">
        <f>10000000</f>
        <v>10000000</v>
      </c>
      <c r="H841" s="44">
        <f>9200000</f>
        <v>9200000</v>
      </c>
      <c r="I841" s="174" t="s">
        <v>1613</v>
      </c>
    </row>
    <row r="842" spans="1:16">
      <c r="A842" s="29">
        <f t="shared" si="76"/>
        <v>345</v>
      </c>
      <c r="B842" s="30" t="s">
        <v>271</v>
      </c>
      <c r="C842" s="31" t="s">
        <v>272</v>
      </c>
      <c r="D842" s="31" t="s">
        <v>273</v>
      </c>
      <c r="E842" s="32">
        <v>43248</v>
      </c>
      <c r="F842" s="44">
        <v>7500000</v>
      </c>
      <c r="G842" s="44">
        <v>2500000</v>
      </c>
      <c r="H842" s="44">
        <v>2500000</v>
      </c>
      <c r="I842" s="174" t="s">
        <v>1614</v>
      </c>
    </row>
    <row r="843" spans="1:16">
      <c r="A843" s="29">
        <f t="shared" si="76"/>
        <v>346</v>
      </c>
      <c r="B843" s="30" t="s">
        <v>271</v>
      </c>
      <c r="C843" s="31" t="s">
        <v>272</v>
      </c>
      <c r="D843" s="31" t="s">
        <v>273</v>
      </c>
      <c r="E843" s="32">
        <v>43248</v>
      </c>
      <c r="F843" s="44">
        <v>7500000</v>
      </c>
      <c r="G843" s="44">
        <v>2500000</v>
      </c>
      <c r="H843" s="44">
        <v>2500000</v>
      </c>
      <c r="I843" s="174" t="s">
        <v>1614</v>
      </c>
    </row>
    <row r="844" spans="1:16">
      <c r="A844" s="29">
        <f t="shared" si="76"/>
        <v>347</v>
      </c>
      <c r="B844" s="30" t="s">
        <v>366</v>
      </c>
      <c r="C844" s="45" t="s">
        <v>367</v>
      </c>
      <c r="D844" s="45" t="s">
        <v>368</v>
      </c>
      <c r="E844" s="32">
        <v>43248</v>
      </c>
      <c r="F844" s="44">
        <v>11000000</v>
      </c>
      <c r="G844" s="44">
        <v>1500000</v>
      </c>
      <c r="H844" s="44">
        <v>1500000</v>
      </c>
      <c r="I844" s="174" t="s">
        <v>1615</v>
      </c>
    </row>
    <row r="845" spans="1:16">
      <c r="A845" s="29">
        <f t="shared" si="76"/>
        <v>348</v>
      </c>
      <c r="B845" s="30" t="s">
        <v>366</v>
      </c>
      <c r="C845" s="45" t="s">
        <v>367</v>
      </c>
      <c r="D845" s="45" t="s">
        <v>368</v>
      </c>
      <c r="E845" s="32">
        <v>43248</v>
      </c>
      <c r="F845" s="44">
        <v>11000000</v>
      </c>
      <c r="G845" s="44">
        <v>1500000</v>
      </c>
      <c r="H845" s="44">
        <v>1500000</v>
      </c>
      <c r="I845" s="174" t="s">
        <v>1616</v>
      </c>
    </row>
    <row r="846" spans="1:16">
      <c r="A846" s="29">
        <f t="shared" si="76"/>
        <v>349</v>
      </c>
      <c r="B846" s="30" t="s">
        <v>547</v>
      </c>
      <c r="C846" s="45" t="s">
        <v>548</v>
      </c>
      <c r="D846" s="45" t="s">
        <v>549</v>
      </c>
      <c r="E846" s="32">
        <v>43245</v>
      </c>
      <c r="F846" s="44">
        <v>0</v>
      </c>
      <c r="G846" s="44">
        <v>0</v>
      </c>
      <c r="H846" s="44">
        <v>20000000</v>
      </c>
      <c r="I846" s="174" t="s">
        <v>1617</v>
      </c>
    </row>
    <row r="847" spans="1:16">
      <c r="A847" s="29">
        <f t="shared" si="76"/>
        <v>350</v>
      </c>
      <c r="B847" s="30" t="s">
        <v>411</v>
      </c>
      <c r="C847" s="45" t="s">
        <v>412</v>
      </c>
      <c r="D847" s="45" t="s">
        <v>413</v>
      </c>
      <c r="E847" s="32">
        <v>43245</v>
      </c>
      <c r="F847" s="44">
        <v>30000000</v>
      </c>
      <c r="G847" s="44">
        <v>0</v>
      </c>
      <c r="H847" s="44">
        <v>0</v>
      </c>
      <c r="I847" s="174" t="s">
        <v>1618</v>
      </c>
    </row>
    <row r="848" spans="1:16">
      <c r="A848" s="29">
        <f t="shared" si="76"/>
        <v>351</v>
      </c>
      <c r="B848" s="30" t="s">
        <v>575</v>
      </c>
      <c r="C848" s="45" t="s">
        <v>576</v>
      </c>
      <c r="D848" s="45" t="s">
        <v>577</v>
      </c>
      <c r="E848" s="32">
        <v>43245</v>
      </c>
      <c r="F848" s="44">
        <v>30000000</v>
      </c>
      <c r="G848" s="44">
        <f>3000000</f>
        <v>3000000</v>
      </c>
      <c r="H848" s="44">
        <f>3000000</f>
        <v>3000000</v>
      </c>
      <c r="I848" s="174" t="s">
        <v>1619</v>
      </c>
    </row>
    <row r="849" spans="1:16">
      <c r="A849" s="29">
        <f t="shared" si="76"/>
        <v>352</v>
      </c>
      <c r="B849" s="30" t="s">
        <v>495</v>
      </c>
      <c r="C849" s="45" t="s">
        <v>496</v>
      </c>
      <c r="D849" s="45" t="s">
        <v>103</v>
      </c>
      <c r="E849" s="32">
        <v>43245</v>
      </c>
      <c r="F849" s="44">
        <v>25000000</v>
      </c>
      <c r="G849" s="44">
        <v>0</v>
      </c>
      <c r="H849" s="44">
        <v>0</v>
      </c>
      <c r="I849" s="174" t="s">
        <v>1620</v>
      </c>
    </row>
    <row r="850" spans="1:16">
      <c r="A850" s="29">
        <f t="shared" si="76"/>
        <v>353</v>
      </c>
      <c r="B850" s="30" t="s">
        <v>495</v>
      </c>
      <c r="C850" s="45" t="s">
        <v>496</v>
      </c>
      <c r="D850" s="45" t="s">
        <v>103</v>
      </c>
      <c r="E850" s="32">
        <v>43245</v>
      </c>
      <c r="F850" s="44">
        <v>25000000</v>
      </c>
      <c r="G850" s="44">
        <v>0</v>
      </c>
      <c r="H850" s="44">
        <v>0</v>
      </c>
      <c r="I850" s="174" t="s">
        <v>1621</v>
      </c>
    </row>
    <row r="851" spans="1:16">
      <c r="A851" s="29">
        <f t="shared" si="76"/>
        <v>354</v>
      </c>
      <c r="B851" s="30" t="s">
        <v>1027</v>
      </c>
      <c r="C851" s="45" t="s">
        <v>1028</v>
      </c>
      <c r="D851" s="45" t="s">
        <v>1031</v>
      </c>
      <c r="E851" s="32">
        <v>43251</v>
      </c>
      <c r="F851" s="44">
        <v>17000000</v>
      </c>
      <c r="G851" s="44">
        <v>0</v>
      </c>
      <c r="H851" s="44">
        <v>0</v>
      </c>
      <c r="I851" s="174" t="s">
        <v>1523</v>
      </c>
    </row>
    <row r="852" spans="1:16">
      <c r="A852" s="29">
        <f t="shared" si="76"/>
        <v>355</v>
      </c>
      <c r="B852" s="30" t="s">
        <v>512</v>
      </c>
      <c r="C852" s="45" t="s">
        <v>513</v>
      </c>
      <c r="D852" s="45" t="s">
        <v>514</v>
      </c>
      <c r="E852" s="32">
        <v>43245</v>
      </c>
      <c r="F852" s="44">
        <v>50000000</v>
      </c>
      <c r="G852" s="44">
        <v>10000000</v>
      </c>
      <c r="H852" s="44">
        <v>10000000</v>
      </c>
      <c r="I852" s="174" t="s">
        <v>1622</v>
      </c>
    </row>
    <row r="853" spans="1:16">
      <c r="A853" s="29">
        <f t="shared" si="76"/>
        <v>356</v>
      </c>
      <c r="B853" s="30" t="s">
        <v>215</v>
      </c>
      <c r="C853" s="45" t="s">
        <v>216</v>
      </c>
      <c r="D853" s="45" t="s">
        <v>217</v>
      </c>
      <c r="E853" s="32">
        <v>43248</v>
      </c>
      <c r="F853" s="44">
        <v>15000000</v>
      </c>
      <c r="G853" s="44">
        <v>0</v>
      </c>
      <c r="H853" s="44">
        <v>0</v>
      </c>
      <c r="I853" s="174" t="s">
        <v>1623</v>
      </c>
    </row>
    <row r="854" spans="1:16">
      <c r="A854" s="29">
        <f t="shared" si="76"/>
        <v>357</v>
      </c>
      <c r="B854" s="30" t="s">
        <v>1047</v>
      </c>
      <c r="C854" s="45" t="s">
        <v>1048</v>
      </c>
      <c r="D854" s="45" t="s">
        <v>1049</v>
      </c>
      <c r="E854" s="32">
        <v>43248</v>
      </c>
      <c r="F854" s="44">
        <v>30000000</v>
      </c>
      <c r="G854" s="44">
        <v>0</v>
      </c>
      <c r="H854" s="44">
        <v>0</v>
      </c>
      <c r="I854" s="174" t="s">
        <v>1624</v>
      </c>
    </row>
    <row r="855" spans="1:16">
      <c r="A855" s="29">
        <f t="shared" si="76"/>
        <v>358</v>
      </c>
      <c r="B855" s="30" t="s">
        <v>913</v>
      </c>
      <c r="C855" s="45" t="s">
        <v>914</v>
      </c>
      <c r="D855" s="45" t="s">
        <v>915</v>
      </c>
      <c r="E855" s="32">
        <v>43251</v>
      </c>
      <c r="F855" s="44">
        <v>14000000</v>
      </c>
      <c r="G855" s="44">
        <v>1000000</v>
      </c>
      <c r="H855" s="44">
        <v>1500000</v>
      </c>
      <c r="I855" s="174"/>
    </row>
    <row r="856" spans="1:16">
      <c r="A856" s="29">
        <f t="shared" si="76"/>
        <v>359</v>
      </c>
      <c r="B856" s="30" t="s">
        <v>913</v>
      </c>
      <c r="C856" s="45" t="s">
        <v>914</v>
      </c>
      <c r="D856" s="45" t="s">
        <v>915</v>
      </c>
      <c r="E856" s="32">
        <v>43251</v>
      </c>
      <c r="F856" s="44">
        <v>14000000</v>
      </c>
      <c r="G856" s="44">
        <v>1000000</v>
      </c>
      <c r="H856" s="44">
        <v>1500000</v>
      </c>
      <c r="I856" s="174"/>
      <c r="J856" s="14"/>
      <c r="K856" s="14"/>
      <c r="L856" s="14"/>
      <c r="M856" s="14"/>
      <c r="N856" s="14"/>
      <c r="O856" s="14"/>
      <c r="P856" s="14"/>
    </row>
    <row r="857" spans="1:16">
      <c r="A857" s="29">
        <f t="shared" si="76"/>
        <v>360</v>
      </c>
      <c r="B857" s="30" t="s">
        <v>471</v>
      </c>
      <c r="C857" s="45" t="s">
        <v>472</v>
      </c>
      <c r="D857" s="45" t="s">
        <v>473</v>
      </c>
      <c r="E857" s="32">
        <v>43245</v>
      </c>
      <c r="F857" s="44">
        <v>10000000</v>
      </c>
      <c r="G857" s="44">
        <v>0</v>
      </c>
      <c r="H857" s="44">
        <v>5000000</v>
      </c>
      <c r="I857" s="174"/>
      <c r="J857" s="14"/>
      <c r="K857" s="14"/>
      <c r="L857" s="14"/>
      <c r="M857" s="14"/>
      <c r="N857" s="14"/>
      <c r="O857" s="14"/>
      <c r="P857" s="14"/>
    </row>
    <row r="858" spans="1:16">
      <c r="A858" s="29">
        <f t="shared" si="76"/>
        <v>361</v>
      </c>
      <c r="B858" s="30" t="s">
        <v>290</v>
      </c>
      <c r="C858" s="45" t="s">
        <v>291</v>
      </c>
      <c r="D858" s="45" t="s">
        <v>292</v>
      </c>
      <c r="E858" s="32">
        <v>43245</v>
      </c>
      <c r="F858" s="44">
        <v>75000000</v>
      </c>
      <c r="G858" s="44">
        <v>12500000</v>
      </c>
      <c r="H858" s="44">
        <v>12500000</v>
      </c>
      <c r="I858" s="174"/>
      <c r="J858" s="14"/>
      <c r="K858" s="14"/>
      <c r="L858" s="14"/>
      <c r="M858" s="14"/>
      <c r="N858" s="14"/>
      <c r="O858" s="14"/>
      <c r="P858" s="14"/>
    </row>
    <row r="859" spans="1:16">
      <c r="A859" s="29">
        <f t="shared" si="76"/>
        <v>362</v>
      </c>
      <c r="B859" s="30" t="s">
        <v>845</v>
      </c>
      <c r="C859" s="31" t="s">
        <v>846</v>
      </c>
      <c r="D859" s="31" t="s">
        <v>847</v>
      </c>
      <c r="E859" s="32">
        <v>43250</v>
      </c>
      <c r="F859" s="44">
        <v>15000000</v>
      </c>
      <c r="G859" s="44">
        <v>2500000</v>
      </c>
      <c r="H859" s="44">
        <v>2500000</v>
      </c>
      <c r="I859" s="174" t="s">
        <v>1625</v>
      </c>
      <c r="J859" s="14"/>
      <c r="K859" s="14"/>
      <c r="L859" s="14"/>
      <c r="M859" s="14"/>
      <c r="N859" s="14"/>
      <c r="O859" s="14"/>
      <c r="P859" s="14"/>
    </row>
    <row r="860" spans="1:16">
      <c r="A860" s="29">
        <f t="shared" si="76"/>
        <v>363</v>
      </c>
      <c r="B860" s="30" t="s">
        <v>1083</v>
      </c>
      <c r="C860" s="31" t="s">
        <v>1084</v>
      </c>
      <c r="D860" s="31" t="s">
        <v>1085</v>
      </c>
      <c r="E860" s="32">
        <v>43250</v>
      </c>
      <c r="F860" s="44">
        <v>34300000</v>
      </c>
      <c r="G860" s="44">
        <f>500000</f>
        <v>500000</v>
      </c>
      <c r="H860" s="44">
        <f>1000000</f>
        <v>1000000</v>
      </c>
      <c r="I860" s="174" t="s">
        <v>1626</v>
      </c>
      <c r="J860" s="14"/>
      <c r="K860" s="14"/>
      <c r="L860" s="14"/>
      <c r="M860" s="14"/>
      <c r="N860" s="14"/>
      <c r="O860" s="14"/>
      <c r="P860" s="14"/>
    </row>
    <row r="861" spans="1:16">
      <c r="A861" s="29">
        <f t="shared" si="76"/>
        <v>364</v>
      </c>
      <c r="B861" s="30" t="s">
        <v>1011</v>
      </c>
      <c r="C861" s="45" t="s">
        <v>1012</v>
      </c>
      <c r="D861" s="45" t="s">
        <v>1013</v>
      </c>
      <c r="E861" s="32">
        <v>43250</v>
      </c>
      <c r="F861" s="44">
        <f>60000000</f>
        <v>60000000</v>
      </c>
      <c r="G861" s="44">
        <v>0</v>
      </c>
      <c r="H861" s="44">
        <f>10000000</f>
        <v>10000000</v>
      </c>
      <c r="I861" s="174" t="s">
        <v>1627</v>
      </c>
      <c r="J861" s="14"/>
      <c r="K861" s="14"/>
      <c r="L861" s="14"/>
      <c r="M861" s="14"/>
      <c r="N861" s="14"/>
      <c r="O861" s="14"/>
      <c r="P861" s="14"/>
    </row>
    <row r="862" spans="1:16">
      <c r="A862" s="29">
        <f t="shared" si="76"/>
        <v>365</v>
      </c>
      <c r="B862" s="30" t="s">
        <v>909</v>
      </c>
      <c r="C862" s="45" t="s">
        <v>910</v>
      </c>
      <c r="D862" s="45" t="s">
        <v>911</v>
      </c>
      <c r="E862" s="32">
        <v>43248</v>
      </c>
      <c r="F862" s="44">
        <v>12500000</v>
      </c>
      <c r="G862" s="44">
        <v>0</v>
      </c>
      <c r="H862" s="44">
        <v>0</v>
      </c>
      <c r="I862" s="174" t="s">
        <v>1628</v>
      </c>
      <c r="J862" s="14"/>
      <c r="K862" s="14"/>
      <c r="L862" s="14"/>
      <c r="M862" s="14"/>
      <c r="N862" s="14"/>
      <c r="O862" s="14"/>
      <c r="P862" s="14"/>
    </row>
    <row r="863" spans="1:16">
      <c r="A863" s="29">
        <f t="shared" si="76"/>
        <v>366</v>
      </c>
      <c r="B863" s="30" t="s">
        <v>909</v>
      </c>
      <c r="C863" s="45" t="s">
        <v>910</v>
      </c>
      <c r="D863" s="45" t="s">
        <v>911</v>
      </c>
      <c r="E863" s="32">
        <v>43248</v>
      </c>
      <c r="F863" s="44">
        <v>12500000</v>
      </c>
      <c r="G863" s="44">
        <v>0</v>
      </c>
      <c r="H863" s="44">
        <v>0</v>
      </c>
      <c r="I863" s="174" t="s">
        <v>1629</v>
      </c>
      <c r="J863" s="14"/>
      <c r="K863" s="14"/>
      <c r="L863" s="14"/>
      <c r="M863" s="14"/>
      <c r="N863" s="14"/>
      <c r="O863" s="14"/>
      <c r="P863" s="14"/>
    </row>
    <row r="864" spans="1:16">
      <c r="A864" s="29">
        <f t="shared" si="76"/>
        <v>367</v>
      </c>
      <c r="B864" s="30" t="s">
        <v>444</v>
      </c>
      <c r="C864" s="45" t="s">
        <v>445</v>
      </c>
      <c r="D864" s="45" t="s">
        <v>446</v>
      </c>
      <c r="E864" s="32">
        <v>43248</v>
      </c>
      <c r="F864" s="44">
        <v>15000000</v>
      </c>
      <c r="G864" s="44">
        <v>0</v>
      </c>
      <c r="H864" s="44">
        <v>0</v>
      </c>
      <c r="I864" s="174" t="s">
        <v>1630</v>
      </c>
      <c r="J864" s="14"/>
      <c r="K864" s="14"/>
      <c r="L864" s="14"/>
      <c r="M864" s="14"/>
      <c r="N864" s="14"/>
      <c r="O864" s="14"/>
      <c r="P864" s="14"/>
    </row>
    <row r="865" spans="1:16">
      <c r="A865" s="29">
        <f t="shared" si="76"/>
        <v>368</v>
      </c>
      <c r="B865" s="30" t="s">
        <v>444</v>
      </c>
      <c r="C865" s="45" t="s">
        <v>445</v>
      </c>
      <c r="D865" s="45" t="s">
        <v>446</v>
      </c>
      <c r="E865" s="32">
        <v>43248</v>
      </c>
      <c r="F865" s="44">
        <v>15000000</v>
      </c>
      <c r="G865" s="44">
        <v>0</v>
      </c>
      <c r="H865" s="44">
        <v>0</v>
      </c>
      <c r="I865" s="174" t="s">
        <v>1631</v>
      </c>
      <c r="J865" s="14"/>
      <c r="K865" s="14"/>
      <c r="L865" s="14"/>
      <c r="M865" s="14"/>
      <c r="N865" s="14"/>
      <c r="O865" s="14"/>
      <c r="P865" s="14"/>
    </row>
    <row r="866" spans="1:16">
      <c r="A866" s="29">
        <f t="shared" si="76"/>
        <v>369</v>
      </c>
      <c r="B866" s="30" t="s">
        <v>1122</v>
      </c>
      <c r="C866" s="45" t="s">
        <v>1123</v>
      </c>
      <c r="D866" s="45" t="s">
        <v>1124</v>
      </c>
      <c r="E866" s="32">
        <v>43248</v>
      </c>
      <c r="F866" s="44">
        <v>2000000</v>
      </c>
      <c r="G866" s="44">
        <v>0</v>
      </c>
      <c r="H866" s="44">
        <v>0</v>
      </c>
      <c r="I866" s="174" t="s">
        <v>1632</v>
      </c>
      <c r="J866" s="14"/>
      <c r="K866" s="14"/>
      <c r="L866" s="14"/>
      <c r="M866" s="14"/>
      <c r="N866" s="14"/>
      <c r="O866" s="14"/>
      <c r="P866" s="14"/>
    </row>
    <row r="867" spans="1:16">
      <c r="A867" s="29">
        <f t="shared" si="76"/>
        <v>370</v>
      </c>
      <c r="B867" s="30" t="s">
        <v>1122</v>
      </c>
      <c r="C867" s="45" t="s">
        <v>1123</v>
      </c>
      <c r="D867" s="45" t="s">
        <v>1124</v>
      </c>
      <c r="E867" s="32">
        <v>43248</v>
      </c>
      <c r="F867" s="44">
        <v>2000000</v>
      </c>
      <c r="G867" s="44">
        <v>0</v>
      </c>
      <c r="H867" s="44">
        <v>0</v>
      </c>
      <c r="I867" s="174" t="s">
        <v>1633</v>
      </c>
      <c r="J867" s="14"/>
      <c r="K867" s="14"/>
      <c r="L867" s="14"/>
      <c r="M867" s="14"/>
      <c r="N867" s="14"/>
      <c r="O867" s="14"/>
      <c r="P867" s="14"/>
    </row>
    <row r="868" spans="1:16">
      <c r="A868" s="29">
        <f t="shared" si="76"/>
        <v>371</v>
      </c>
      <c r="B868" s="30" t="s">
        <v>1165</v>
      </c>
      <c r="C868" s="31" t="s">
        <v>1166</v>
      </c>
      <c r="D868" s="31" t="s">
        <v>1167</v>
      </c>
      <c r="E868" s="32">
        <v>43255</v>
      </c>
      <c r="F868" s="44">
        <v>13500000</v>
      </c>
      <c r="G868" s="44">
        <v>0</v>
      </c>
      <c r="H868" s="44">
        <v>4000000</v>
      </c>
      <c r="I868" s="174" t="s">
        <v>1634</v>
      </c>
      <c r="J868" s="14"/>
      <c r="K868" s="14"/>
      <c r="L868" s="14"/>
      <c r="M868" s="14"/>
      <c r="N868" s="14"/>
      <c r="O868" s="14"/>
      <c r="P868" s="14"/>
    </row>
    <row r="869" spans="1:16">
      <c r="A869" s="29">
        <f t="shared" si="76"/>
        <v>372</v>
      </c>
      <c r="B869" s="30" t="s">
        <v>1169</v>
      </c>
      <c r="C869" s="31" t="s">
        <v>1170</v>
      </c>
      <c r="D869" s="31" t="s">
        <v>1171</v>
      </c>
      <c r="E869" s="32">
        <v>43256</v>
      </c>
      <c r="F869" s="44">
        <v>17000000</v>
      </c>
      <c r="G869" s="44">
        <v>2000000</v>
      </c>
      <c r="H869" s="44">
        <v>1000000</v>
      </c>
      <c r="I869" s="174" t="s">
        <v>1635</v>
      </c>
      <c r="J869" s="14"/>
      <c r="K869" s="14"/>
      <c r="L869" s="14"/>
      <c r="M869" s="14"/>
      <c r="N869" s="14"/>
      <c r="O869" s="14"/>
      <c r="P869" s="14"/>
    </row>
    <row r="870" spans="1:16">
      <c r="A870" s="29">
        <f t="shared" si="76"/>
        <v>373</v>
      </c>
      <c r="B870" s="30" t="s">
        <v>1172</v>
      </c>
      <c r="C870" s="31" t="s">
        <v>1173</v>
      </c>
      <c r="D870" s="31" t="s">
        <v>1174</v>
      </c>
      <c r="E870" s="32">
        <v>43256</v>
      </c>
      <c r="F870" s="44">
        <v>6000000</v>
      </c>
      <c r="G870" s="44">
        <v>2000000</v>
      </c>
      <c r="H870" s="44">
        <v>2000000</v>
      </c>
      <c r="I870" s="174" t="s">
        <v>1636</v>
      </c>
      <c r="J870" s="14"/>
      <c r="K870" s="14"/>
      <c r="L870" s="14"/>
      <c r="M870" s="14"/>
      <c r="N870" s="14"/>
      <c r="O870" s="14"/>
      <c r="P870" s="14"/>
    </row>
    <row r="871" spans="1:16">
      <c r="A871" s="29">
        <f t="shared" si="76"/>
        <v>374</v>
      </c>
      <c r="B871" s="30" t="s">
        <v>1175</v>
      </c>
      <c r="C871" s="45" t="s">
        <v>1176</v>
      </c>
      <c r="D871" s="45" t="s">
        <v>1177</v>
      </c>
      <c r="E871" s="32">
        <v>43257</v>
      </c>
      <c r="F871" s="44">
        <v>7500000</v>
      </c>
      <c r="G871" s="44">
        <v>2500000</v>
      </c>
      <c r="H871" s="44">
        <v>2000000</v>
      </c>
      <c r="I871" s="174" t="s">
        <v>1637</v>
      </c>
      <c r="J871" s="14"/>
      <c r="K871" s="14"/>
      <c r="L871" s="14"/>
      <c r="M871" s="14"/>
      <c r="N871" s="14"/>
      <c r="O871" s="14"/>
      <c r="P871" s="14"/>
    </row>
    <row r="872" spans="1:16">
      <c r="A872" s="29">
        <f t="shared" si="76"/>
        <v>375</v>
      </c>
      <c r="B872" s="30" t="s">
        <v>1175</v>
      </c>
      <c r="C872" s="45" t="s">
        <v>1176</v>
      </c>
      <c r="D872" s="45" t="s">
        <v>1177</v>
      </c>
      <c r="E872" s="32">
        <v>43257</v>
      </c>
      <c r="F872" s="44">
        <v>7500000</v>
      </c>
      <c r="G872" s="44">
        <v>2500000</v>
      </c>
      <c r="H872" s="44">
        <v>2000000</v>
      </c>
      <c r="I872" s="174" t="s">
        <v>1638</v>
      </c>
      <c r="J872" s="14"/>
      <c r="K872" s="14"/>
      <c r="L872" s="14"/>
      <c r="M872" s="14"/>
      <c r="N872" s="14"/>
      <c r="O872" s="14"/>
      <c r="P872" s="14"/>
    </row>
    <row r="873" spans="1:16">
      <c r="A873" s="29">
        <f t="shared" si="76"/>
        <v>376</v>
      </c>
      <c r="B873" s="30" t="s">
        <v>1179</v>
      </c>
      <c r="C873" s="45" t="s">
        <v>1180</v>
      </c>
      <c r="D873" s="45" t="s">
        <v>1181</v>
      </c>
      <c r="E873" s="32">
        <v>43257</v>
      </c>
      <c r="F873" s="44">
        <v>25000000</v>
      </c>
      <c r="G873" s="44">
        <v>2500000</v>
      </c>
      <c r="H873" s="44">
        <v>2500000</v>
      </c>
      <c r="I873" s="174" t="s">
        <v>1639</v>
      </c>
      <c r="J873" s="14"/>
      <c r="K873" s="14"/>
      <c r="L873" s="14"/>
      <c r="M873" s="14"/>
      <c r="N873" s="14"/>
      <c r="O873" s="14"/>
      <c r="P873" s="14"/>
    </row>
    <row r="874" spans="1:16">
      <c r="A874" s="29">
        <f t="shared" si="76"/>
        <v>377</v>
      </c>
      <c r="B874" s="30" t="s">
        <v>1183</v>
      </c>
      <c r="C874" s="45" t="s">
        <v>1184</v>
      </c>
      <c r="D874" s="31" t="s">
        <v>1185</v>
      </c>
      <c r="E874" s="32">
        <v>43258</v>
      </c>
      <c r="F874" s="44">
        <v>12500000</v>
      </c>
      <c r="G874" s="44">
        <v>2500000</v>
      </c>
      <c r="H874" s="44">
        <v>0</v>
      </c>
      <c r="I874" s="174" t="s">
        <v>1640</v>
      </c>
      <c r="J874" s="14"/>
      <c r="K874" s="14"/>
      <c r="L874" s="14"/>
      <c r="M874" s="14"/>
      <c r="N874" s="14"/>
      <c r="O874" s="14"/>
      <c r="P874" s="14"/>
    </row>
    <row r="875" spans="1:16">
      <c r="A875" s="29">
        <f t="shared" si="76"/>
        <v>378</v>
      </c>
      <c r="B875" s="30" t="s">
        <v>1183</v>
      </c>
      <c r="C875" s="45" t="s">
        <v>1184</v>
      </c>
      <c r="D875" s="31" t="s">
        <v>1185</v>
      </c>
      <c r="E875" s="32">
        <v>43258</v>
      </c>
      <c r="F875" s="44">
        <v>12500000</v>
      </c>
      <c r="G875" s="44">
        <v>2500000</v>
      </c>
      <c r="H875" s="44">
        <v>0</v>
      </c>
      <c r="I875" s="174" t="s">
        <v>1641</v>
      </c>
      <c r="J875" s="14"/>
      <c r="K875" s="14"/>
      <c r="L875" s="14"/>
      <c r="M875" s="14"/>
      <c r="N875" s="14"/>
      <c r="O875" s="14"/>
      <c r="P875" s="14"/>
    </row>
    <row r="876" spans="1:16">
      <c r="A876" s="29">
        <f t="shared" si="76"/>
        <v>379</v>
      </c>
      <c r="B876" s="46" t="s">
        <v>1215</v>
      </c>
      <c r="C876" s="120" t="s">
        <v>1216</v>
      </c>
      <c r="D876" s="120" t="s">
        <v>1217</v>
      </c>
      <c r="E876" s="32">
        <v>43277</v>
      </c>
      <c r="F876" s="37">
        <f>5000000</f>
        <v>5000000</v>
      </c>
      <c r="G876" s="37">
        <v>0</v>
      </c>
      <c r="H876" s="37">
        <v>0</v>
      </c>
      <c r="I876" s="178" t="s">
        <v>1642</v>
      </c>
    </row>
    <row r="877" spans="1:16">
      <c r="A877" s="29">
        <f t="shared" si="76"/>
        <v>380</v>
      </c>
      <c r="B877" s="46" t="s">
        <v>1215</v>
      </c>
      <c r="C877" s="120" t="s">
        <v>1216</v>
      </c>
      <c r="D877" s="120" t="s">
        <v>1217</v>
      </c>
      <c r="E877" s="32">
        <v>43277</v>
      </c>
      <c r="F877" s="37">
        <f>5000000</f>
        <v>5000000</v>
      </c>
      <c r="G877" s="37">
        <v>0</v>
      </c>
      <c r="H877" s="37">
        <v>0</v>
      </c>
      <c r="I877" s="178" t="s">
        <v>1643</v>
      </c>
    </row>
    <row r="878" spans="1:16">
      <c r="A878" s="29">
        <f t="shared" si="76"/>
        <v>381</v>
      </c>
      <c r="B878" s="46" t="s">
        <v>1218</v>
      </c>
      <c r="C878" s="120" t="s">
        <v>1219</v>
      </c>
      <c r="D878" s="120" t="s">
        <v>1220</v>
      </c>
      <c r="E878" s="32">
        <v>43279</v>
      </c>
      <c r="F878" s="37">
        <f>5000000</f>
        <v>5000000</v>
      </c>
      <c r="G878" s="37">
        <v>0</v>
      </c>
      <c r="H878" s="37">
        <v>0</v>
      </c>
      <c r="I878" s="178" t="s">
        <v>1644</v>
      </c>
    </row>
    <row r="879" spans="1:16">
      <c r="A879" s="29">
        <f t="shared" si="76"/>
        <v>382</v>
      </c>
      <c r="B879" s="46" t="s">
        <v>1218</v>
      </c>
      <c r="C879" s="120" t="s">
        <v>1219</v>
      </c>
      <c r="D879" s="120" t="s">
        <v>1220</v>
      </c>
      <c r="E879" s="32">
        <v>43279</v>
      </c>
      <c r="F879" s="37">
        <f>5000000</f>
        <v>5000000</v>
      </c>
      <c r="G879" s="37">
        <v>0</v>
      </c>
      <c r="H879" s="37">
        <v>0</v>
      </c>
      <c r="I879" s="178" t="s">
        <v>1644</v>
      </c>
    </row>
    <row r="880" spans="1:16">
      <c r="A880" s="29">
        <f t="shared" si="76"/>
        <v>383</v>
      </c>
      <c r="B880" s="46" t="s">
        <v>1225</v>
      </c>
      <c r="C880" s="123" t="s">
        <v>1226</v>
      </c>
      <c r="D880" s="120" t="s">
        <v>1227</v>
      </c>
      <c r="E880" s="32">
        <v>43279</v>
      </c>
      <c r="F880" s="37">
        <v>40000000</v>
      </c>
      <c r="G880" s="37">
        <v>0</v>
      </c>
      <c r="H880" s="37">
        <v>0</v>
      </c>
      <c r="I880" s="178" t="s">
        <v>1645</v>
      </c>
    </row>
    <row r="881" spans="1:16">
      <c r="A881" s="29">
        <f t="shared" si="76"/>
        <v>384</v>
      </c>
      <c r="B881" s="46" t="s">
        <v>1225</v>
      </c>
      <c r="C881" s="123" t="s">
        <v>1226</v>
      </c>
      <c r="D881" s="120" t="s">
        <v>1227</v>
      </c>
      <c r="E881" s="32">
        <v>43279</v>
      </c>
      <c r="F881" s="37">
        <v>40000000</v>
      </c>
      <c r="G881" s="37">
        <v>0</v>
      </c>
      <c r="H881" s="37">
        <v>0</v>
      </c>
      <c r="I881" s="178" t="s">
        <v>1645</v>
      </c>
    </row>
    <row r="882" spans="1:16">
      <c r="A882" s="29">
        <f t="shared" si="76"/>
        <v>385</v>
      </c>
      <c r="B882" s="46" t="s">
        <v>1228</v>
      </c>
      <c r="C882" s="123" t="s">
        <v>1229</v>
      </c>
      <c r="D882" s="120" t="s">
        <v>1230</v>
      </c>
      <c r="E882" s="32">
        <v>43277</v>
      </c>
      <c r="F882" s="37">
        <v>15000000</v>
      </c>
      <c r="G882" s="37">
        <v>7500000</v>
      </c>
      <c r="H882" s="37">
        <v>7500000</v>
      </c>
      <c r="I882" s="178" t="s">
        <v>1646</v>
      </c>
    </row>
    <row r="883" spans="1:16">
      <c r="A883" s="29">
        <f t="shared" si="76"/>
        <v>386</v>
      </c>
      <c r="B883" s="46" t="s">
        <v>1232</v>
      </c>
      <c r="C883" s="123" t="s">
        <v>1233</v>
      </c>
      <c r="D883" s="120" t="s">
        <v>1234</v>
      </c>
      <c r="E883" s="32">
        <v>43277</v>
      </c>
      <c r="F883" s="37">
        <v>10000000</v>
      </c>
      <c r="G883" s="37">
        <v>5000000</v>
      </c>
      <c r="H883" s="37">
        <v>5000000</v>
      </c>
      <c r="I883" s="178" t="s">
        <v>1647</v>
      </c>
    </row>
    <row r="884" spans="1:16">
      <c r="A884" s="29">
        <f t="shared" ref="A884:A902" si="77">+A883+1</f>
        <v>387</v>
      </c>
      <c r="B884" s="46" t="s">
        <v>1235</v>
      </c>
      <c r="C884" s="123" t="s">
        <v>1236</v>
      </c>
      <c r="D884" s="120" t="s">
        <v>1237</v>
      </c>
      <c r="E884" s="32">
        <v>43277</v>
      </c>
      <c r="F884" s="37">
        <v>30000000</v>
      </c>
      <c r="G884" s="37">
        <v>5000000</v>
      </c>
      <c r="H884" s="37">
        <v>5000000</v>
      </c>
      <c r="I884" s="178" t="s">
        <v>1648</v>
      </c>
    </row>
    <row r="885" spans="1:16">
      <c r="A885" s="29">
        <f t="shared" si="77"/>
        <v>388</v>
      </c>
      <c r="B885" s="46" t="s">
        <v>1238</v>
      </c>
      <c r="C885" s="123" t="s">
        <v>1239</v>
      </c>
      <c r="D885" s="123" t="s">
        <v>1240</v>
      </c>
      <c r="E885" s="32">
        <v>43277</v>
      </c>
      <c r="F885" s="37">
        <v>20000000</v>
      </c>
      <c r="G885" s="37">
        <v>5000000</v>
      </c>
      <c r="H885" s="37">
        <v>5000000</v>
      </c>
      <c r="I885" s="178" t="s">
        <v>1649</v>
      </c>
    </row>
    <row r="886" spans="1:16">
      <c r="A886" s="29">
        <f t="shared" si="77"/>
        <v>389</v>
      </c>
      <c r="B886" s="46" t="s">
        <v>1241</v>
      </c>
      <c r="C886" s="123" t="s">
        <v>1242</v>
      </c>
      <c r="D886" s="123" t="s">
        <v>1243</v>
      </c>
      <c r="E886" s="32">
        <v>43277</v>
      </c>
      <c r="F886" s="37">
        <v>20000000</v>
      </c>
      <c r="G886" s="37">
        <v>0</v>
      </c>
      <c r="H886" s="37">
        <v>0</v>
      </c>
      <c r="I886" s="178" t="s">
        <v>1650</v>
      </c>
    </row>
    <row r="887" spans="1:16">
      <c r="A887" s="29">
        <f t="shared" si="77"/>
        <v>390</v>
      </c>
      <c r="B887" s="46" t="s">
        <v>1241</v>
      </c>
      <c r="C887" s="123" t="s">
        <v>1242</v>
      </c>
      <c r="D887" s="123" t="s">
        <v>1243</v>
      </c>
      <c r="E887" s="32">
        <v>43277</v>
      </c>
      <c r="F887" s="37">
        <v>20000000</v>
      </c>
      <c r="G887" s="37">
        <v>0</v>
      </c>
      <c r="H887" s="37">
        <v>0</v>
      </c>
      <c r="I887" s="178" t="s">
        <v>1651</v>
      </c>
      <c r="J887" s="14"/>
      <c r="K887" s="14"/>
      <c r="L887" s="14"/>
      <c r="M887" s="14"/>
      <c r="N887" s="14"/>
      <c r="O887" s="14"/>
      <c r="P887" s="14"/>
    </row>
    <row r="888" spans="1:16">
      <c r="A888" s="29">
        <f t="shared" si="77"/>
        <v>391</v>
      </c>
      <c r="B888" s="46" t="s">
        <v>1244</v>
      </c>
      <c r="C888" s="123" t="s">
        <v>1245</v>
      </c>
      <c r="D888" s="123" t="s">
        <v>1246</v>
      </c>
      <c r="E888" s="32">
        <v>43277</v>
      </c>
      <c r="F888" s="37">
        <v>25000000</v>
      </c>
      <c r="G888" s="37">
        <v>5000000</v>
      </c>
      <c r="H888" s="37">
        <v>5000000</v>
      </c>
      <c r="I888" s="178" t="s">
        <v>1652</v>
      </c>
      <c r="J888" s="14"/>
      <c r="K888" s="14"/>
      <c r="L888" s="14"/>
      <c r="M888" s="14"/>
      <c r="N888" s="14"/>
      <c r="O888" s="14"/>
      <c r="P888" s="14"/>
    </row>
    <row r="889" spans="1:16">
      <c r="A889" s="29">
        <f t="shared" si="77"/>
        <v>392</v>
      </c>
      <c r="B889" s="46" t="s">
        <v>1251</v>
      </c>
      <c r="C889" s="123" t="s">
        <v>1252</v>
      </c>
      <c r="D889" s="120" t="s">
        <v>1253</v>
      </c>
      <c r="E889" s="32">
        <v>43280</v>
      </c>
      <c r="F889" s="37">
        <v>30000000</v>
      </c>
      <c r="G889" s="37">
        <v>5000000</v>
      </c>
      <c r="H889" s="37">
        <v>5000000</v>
      </c>
      <c r="I889" s="178" t="s">
        <v>1653</v>
      </c>
      <c r="J889" s="14"/>
      <c r="K889" s="14"/>
      <c r="L889" s="14"/>
      <c r="M889" s="14"/>
      <c r="N889" s="14"/>
      <c r="O889" s="14"/>
      <c r="P889" s="14"/>
    </row>
    <row r="890" spans="1:16">
      <c r="A890" s="29">
        <f t="shared" si="77"/>
        <v>393</v>
      </c>
      <c r="B890" s="46" t="s">
        <v>1260</v>
      </c>
      <c r="C890" s="120" t="s">
        <v>1261</v>
      </c>
      <c r="D890" s="120" t="s">
        <v>1262</v>
      </c>
      <c r="E890" s="32">
        <v>43283</v>
      </c>
      <c r="F890" s="37">
        <v>10000000</v>
      </c>
      <c r="G890" s="37">
        <v>5000000</v>
      </c>
      <c r="H890" s="37">
        <v>5000000</v>
      </c>
      <c r="I890" s="178" t="s">
        <v>1654</v>
      </c>
    </row>
    <row r="891" spans="1:16">
      <c r="A891" s="29">
        <f t="shared" si="77"/>
        <v>394</v>
      </c>
      <c r="B891" s="46" t="s">
        <v>1264</v>
      </c>
      <c r="C891" s="120" t="s">
        <v>1265</v>
      </c>
      <c r="D891" s="120" t="s">
        <v>1266</v>
      </c>
      <c r="E891" s="32">
        <v>43283</v>
      </c>
      <c r="F891" s="37">
        <v>30000000</v>
      </c>
      <c r="G891" s="37">
        <v>5000000</v>
      </c>
      <c r="H891" s="37">
        <v>0</v>
      </c>
      <c r="I891" s="178" t="s">
        <v>1655</v>
      </c>
    </row>
    <row r="892" spans="1:16">
      <c r="A892" s="29">
        <f t="shared" si="77"/>
        <v>395</v>
      </c>
      <c r="B892" s="46" t="s">
        <v>421</v>
      </c>
      <c r="C892" s="123" t="s">
        <v>422</v>
      </c>
      <c r="D892" s="120" t="s">
        <v>1268</v>
      </c>
      <c r="E892" s="32">
        <v>43283</v>
      </c>
      <c r="F892" s="37">
        <v>15000000</v>
      </c>
      <c r="G892" s="37">
        <v>0</v>
      </c>
      <c r="H892" s="37">
        <v>0</v>
      </c>
      <c r="I892" s="178" t="s">
        <v>1498</v>
      </c>
    </row>
    <row r="893" spans="1:16">
      <c r="A893" s="29">
        <f t="shared" si="77"/>
        <v>396</v>
      </c>
      <c r="B893" s="46" t="s">
        <v>1270</v>
      </c>
      <c r="C893" s="123" t="s">
        <v>1271</v>
      </c>
      <c r="D893" s="120" t="s">
        <v>1272</v>
      </c>
      <c r="E893" s="32">
        <v>43285</v>
      </c>
      <c r="F893" s="37">
        <v>20000000</v>
      </c>
      <c r="G893" s="37">
        <v>0</v>
      </c>
      <c r="H893" s="37">
        <v>0</v>
      </c>
      <c r="I893" s="178" t="s">
        <v>1656</v>
      </c>
    </row>
    <row r="894" spans="1:16">
      <c r="A894" s="29">
        <f t="shared" si="77"/>
        <v>397</v>
      </c>
      <c r="B894" s="46" t="s">
        <v>956</v>
      </c>
      <c r="C894" s="123" t="s">
        <v>957</v>
      </c>
      <c r="D894" s="120" t="s">
        <v>1278</v>
      </c>
      <c r="E894" s="32">
        <v>43285</v>
      </c>
      <c r="F894" s="37">
        <v>15000000</v>
      </c>
      <c r="G894" s="37">
        <v>0</v>
      </c>
      <c r="H894" s="37">
        <v>0</v>
      </c>
      <c r="I894" s="178" t="s">
        <v>1657</v>
      </c>
    </row>
    <row r="895" spans="1:16">
      <c r="A895" s="29">
        <f t="shared" si="77"/>
        <v>398</v>
      </c>
      <c r="B895" s="46" t="s">
        <v>1282</v>
      </c>
      <c r="C895" s="123" t="s">
        <v>1283</v>
      </c>
      <c r="D895" s="120" t="s">
        <v>1284</v>
      </c>
      <c r="E895" s="32">
        <v>43290</v>
      </c>
      <c r="F895" s="37">
        <f>20000000</f>
        <v>20000000</v>
      </c>
      <c r="G895" s="37">
        <f>10000000</f>
        <v>10000000</v>
      </c>
      <c r="H895" s="37">
        <v>0</v>
      </c>
      <c r="I895" s="178" t="s">
        <v>1658</v>
      </c>
    </row>
    <row r="896" spans="1:16">
      <c r="A896" s="29">
        <f t="shared" si="77"/>
        <v>399</v>
      </c>
      <c r="B896" s="46" t="s">
        <v>1292</v>
      </c>
      <c r="C896" s="123" t="s">
        <v>1293</v>
      </c>
      <c r="D896" s="123" t="s">
        <v>1294</v>
      </c>
      <c r="E896" s="32">
        <v>43292</v>
      </c>
      <c r="F896" s="37">
        <v>5000000</v>
      </c>
      <c r="G896" s="37">
        <v>2500000</v>
      </c>
      <c r="H896" s="37">
        <v>2500000</v>
      </c>
      <c r="I896" s="178" t="s">
        <v>1659</v>
      </c>
    </row>
    <row r="897" spans="1:9">
      <c r="A897" s="29">
        <f t="shared" si="77"/>
        <v>400</v>
      </c>
      <c r="B897" s="46" t="s">
        <v>1292</v>
      </c>
      <c r="C897" s="123" t="s">
        <v>1293</v>
      </c>
      <c r="D897" s="123" t="s">
        <v>1294</v>
      </c>
      <c r="E897" s="32">
        <v>43292</v>
      </c>
      <c r="F897" s="37">
        <v>5000000</v>
      </c>
      <c r="G897" s="37">
        <v>2500000</v>
      </c>
      <c r="H897" s="37">
        <v>2500000</v>
      </c>
      <c r="I897" s="178" t="s">
        <v>1660</v>
      </c>
    </row>
    <row r="898" spans="1:9">
      <c r="A898" s="29">
        <f t="shared" si="77"/>
        <v>401</v>
      </c>
      <c r="B898" s="46" t="s">
        <v>1296</v>
      </c>
      <c r="C898" s="123" t="s">
        <v>1297</v>
      </c>
      <c r="D898" s="123" t="s">
        <v>1298</v>
      </c>
      <c r="E898" s="32">
        <v>43292</v>
      </c>
      <c r="F898" s="37">
        <v>10000000</v>
      </c>
      <c r="G898" s="37">
        <v>0</v>
      </c>
      <c r="H898" s="37">
        <v>0</v>
      </c>
      <c r="I898" s="178" t="s">
        <v>1661</v>
      </c>
    </row>
    <row r="899" spans="1:9">
      <c r="A899" s="29">
        <f t="shared" si="77"/>
        <v>402</v>
      </c>
      <c r="B899" s="46" t="s">
        <v>1300</v>
      </c>
      <c r="C899" s="123" t="s">
        <v>1301</v>
      </c>
      <c r="D899" s="123" t="s">
        <v>1302</v>
      </c>
      <c r="E899" s="32">
        <v>43292</v>
      </c>
      <c r="F899" s="37">
        <v>10000000</v>
      </c>
      <c r="G899" s="37">
        <v>0</v>
      </c>
      <c r="H899" s="37">
        <v>0</v>
      </c>
      <c r="I899" s="178" t="s">
        <v>1662</v>
      </c>
    </row>
    <row r="900" spans="1:9">
      <c r="A900" s="29">
        <f t="shared" si="77"/>
        <v>403</v>
      </c>
      <c r="B900" s="46" t="s">
        <v>1304</v>
      </c>
      <c r="C900" s="123" t="s">
        <v>1305</v>
      </c>
      <c r="D900" s="123" t="s">
        <v>1306</v>
      </c>
      <c r="E900" s="32">
        <v>43292</v>
      </c>
      <c r="F900" s="37">
        <v>10000000</v>
      </c>
      <c r="G900" s="37">
        <v>0</v>
      </c>
      <c r="H900" s="37">
        <v>0</v>
      </c>
      <c r="I900" s="178" t="s">
        <v>1663</v>
      </c>
    </row>
    <row r="901" spans="1:9">
      <c r="A901" s="29">
        <f t="shared" si="77"/>
        <v>404</v>
      </c>
      <c r="B901" s="46" t="s">
        <v>1304</v>
      </c>
      <c r="C901" s="123" t="s">
        <v>1305</v>
      </c>
      <c r="D901" s="123" t="s">
        <v>1306</v>
      </c>
      <c r="E901" s="32">
        <v>43292</v>
      </c>
      <c r="F901" s="37">
        <v>10000000</v>
      </c>
      <c r="G901" s="37">
        <v>0</v>
      </c>
      <c r="H901" s="37">
        <v>0</v>
      </c>
      <c r="I901" s="178" t="s">
        <v>1664</v>
      </c>
    </row>
    <row r="902" spans="1:9">
      <c r="A902" s="29">
        <f t="shared" si="77"/>
        <v>405</v>
      </c>
      <c r="B902" s="46" t="s">
        <v>1308</v>
      </c>
      <c r="C902" s="123" t="s">
        <v>1309</v>
      </c>
      <c r="D902" s="123" t="s">
        <v>1310</v>
      </c>
      <c r="E902" s="32">
        <v>43291</v>
      </c>
      <c r="F902" s="37">
        <v>3000000</v>
      </c>
      <c r="G902" s="37">
        <v>2500000</v>
      </c>
      <c r="H902" s="37">
        <v>2500000</v>
      </c>
      <c r="I902" s="17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4"/>
  <sheetViews>
    <sheetView showGridLines="0" view="pageBreakPreview" topLeftCell="C1" zoomScaleSheetLayoutView="100" workbookViewId="0">
      <pane ySplit="4" topLeftCell="A5" activePane="bottomLeft" state="frozen"/>
      <selection pane="bottomLeft" activeCell="G5" sqref="G5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32" bestFit="1" customWidth="1"/>
    <col min="5" max="5" width="18.42578125" style="133" customWidth="1"/>
    <col min="6" max="6" width="20.42578125" style="134" customWidth="1"/>
    <col min="7" max="7" width="15.85546875" style="135" bestFit="1" customWidth="1"/>
    <col min="8" max="8" width="17.140625" style="133" customWidth="1"/>
    <col min="9" max="9" width="8.140625" style="9" bestFit="1" customWidth="1"/>
    <col min="10" max="10" width="10.42578125" style="9" customWidth="1"/>
    <col min="11" max="11" width="18.42578125" style="137" customWidth="1"/>
    <col min="12" max="12" width="20.42578125" style="137" customWidth="1"/>
    <col min="13" max="13" width="20.5703125" style="135" customWidth="1"/>
    <col min="14" max="14" width="10.42578125" style="172" bestFit="1" customWidth="1"/>
    <col min="15" max="15" width="42.85546875" style="173" bestFit="1" customWidth="1"/>
    <col min="16" max="32" width="9.140625" style="14"/>
    <col min="33" max="33" width="10.140625" style="14" customWidth="1"/>
    <col min="34" max="16384" width="9.140625" style="14"/>
  </cols>
  <sheetData>
    <row r="1" spans="1:15" ht="20.25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5" ht="20.25">
      <c r="A2" s="189" t="s">
        <v>1669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5">
      <c r="A3" s="138" t="s">
        <v>2</v>
      </c>
      <c r="B3" s="138" t="s">
        <v>3</v>
      </c>
      <c r="C3" s="138" t="s">
        <v>4</v>
      </c>
      <c r="D3" s="139" t="s">
        <v>5</v>
      </c>
      <c r="E3" s="179" t="s">
        <v>6</v>
      </c>
      <c r="F3" s="179" t="s">
        <v>7</v>
      </c>
      <c r="G3" s="140" t="s">
        <v>8</v>
      </c>
      <c r="H3" s="179" t="s">
        <v>9</v>
      </c>
      <c r="I3" s="138" t="s">
        <v>10</v>
      </c>
      <c r="J3" s="138" t="s">
        <v>11</v>
      </c>
      <c r="K3" s="179" t="s">
        <v>12</v>
      </c>
      <c r="L3" s="179" t="s">
        <v>13</v>
      </c>
      <c r="M3" s="140" t="s">
        <v>14</v>
      </c>
      <c r="N3" s="179" t="s">
        <v>15</v>
      </c>
      <c r="O3" s="138" t="s">
        <v>16</v>
      </c>
    </row>
    <row r="4" spans="1:15">
      <c r="A4" s="143"/>
      <c r="B4" s="143"/>
      <c r="C4" s="143"/>
      <c r="D4" s="144" t="s">
        <v>18</v>
      </c>
      <c r="E4" s="180"/>
      <c r="F4" s="181" t="s">
        <v>6</v>
      </c>
      <c r="G4" s="182"/>
      <c r="H4" s="181"/>
      <c r="I4" s="143"/>
      <c r="J4" s="143" t="s">
        <v>19</v>
      </c>
      <c r="K4" s="181" t="s">
        <v>20</v>
      </c>
      <c r="L4" s="181" t="s">
        <v>9</v>
      </c>
      <c r="M4" s="182"/>
      <c r="N4" s="183"/>
      <c r="O4" s="184"/>
    </row>
    <row r="5" spans="1:15">
      <c r="A5" s="190">
        <v>1</v>
      </c>
      <c r="B5" s="50" t="s">
        <v>110</v>
      </c>
      <c r="C5" s="51" t="s">
        <v>111</v>
      </c>
      <c r="D5" s="52">
        <v>42896</v>
      </c>
      <c r="E5" s="191">
        <v>86448</v>
      </c>
      <c r="F5" s="192">
        <f t="shared" ref="F5:F68" si="0">+I5*K5</f>
        <v>86448</v>
      </c>
      <c r="G5" s="55">
        <f t="shared" ref="G5:G35" si="1">+E5/I5</f>
        <v>86448</v>
      </c>
      <c r="H5" s="61">
        <v>0</v>
      </c>
      <c r="I5" s="56">
        <v>1</v>
      </c>
      <c r="J5" s="56">
        <v>1</v>
      </c>
      <c r="K5" s="33">
        <f t="shared" ref="K5:K68" si="2">+G5+H5</f>
        <v>86448</v>
      </c>
      <c r="L5" s="33">
        <f t="shared" ref="L5:L35" si="3">+J5*K5</f>
        <v>86448</v>
      </c>
      <c r="M5" s="33">
        <f t="shared" ref="M5:M35" si="4">+G5*J5</f>
        <v>86448</v>
      </c>
      <c r="N5" s="129"/>
      <c r="O5" s="193" t="s">
        <v>1670</v>
      </c>
    </row>
    <row r="6" spans="1:15">
      <c r="A6" s="190">
        <f t="shared" ref="A6:A69" si="5">+A5+1</f>
        <v>2</v>
      </c>
      <c r="B6" s="50" t="s">
        <v>110</v>
      </c>
      <c r="C6" s="51" t="s">
        <v>111</v>
      </c>
      <c r="D6" s="52">
        <v>42926</v>
      </c>
      <c r="E6" s="191">
        <v>33780</v>
      </c>
      <c r="F6" s="192">
        <f t="shared" si="0"/>
        <v>33780</v>
      </c>
      <c r="G6" s="55">
        <f t="shared" si="1"/>
        <v>33780</v>
      </c>
      <c r="H6" s="61">
        <v>0</v>
      </c>
      <c r="I6" s="56">
        <v>1</v>
      </c>
      <c r="J6" s="56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9"/>
      <c r="O6" s="193" t="s">
        <v>1671</v>
      </c>
    </row>
    <row r="7" spans="1:15">
      <c r="A7" s="190">
        <f t="shared" si="5"/>
        <v>3</v>
      </c>
      <c r="B7" s="50" t="s">
        <v>110</v>
      </c>
      <c r="C7" s="51" t="s">
        <v>111</v>
      </c>
      <c r="D7" s="52">
        <v>42926</v>
      </c>
      <c r="E7" s="191">
        <v>100000</v>
      </c>
      <c r="F7" s="192">
        <f t="shared" si="0"/>
        <v>100000</v>
      </c>
      <c r="G7" s="55">
        <f t="shared" si="1"/>
        <v>100000</v>
      </c>
      <c r="H7" s="61">
        <v>0</v>
      </c>
      <c r="I7" s="56">
        <v>1</v>
      </c>
      <c r="J7" s="56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9"/>
      <c r="O7" s="193" t="s">
        <v>1671</v>
      </c>
    </row>
    <row r="8" spans="1:15">
      <c r="A8" s="190">
        <f t="shared" si="5"/>
        <v>4</v>
      </c>
      <c r="B8" s="50" t="s">
        <v>110</v>
      </c>
      <c r="C8" s="51" t="s">
        <v>111</v>
      </c>
      <c r="D8" s="52">
        <v>42926</v>
      </c>
      <c r="E8" s="191">
        <v>100000</v>
      </c>
      <c r="F8" s="192">
        <f t="shared" si="0"/>
        <v>100000</v>
      </c>
      <c r="G8" s="55">
        <f t="shared" si="1"/>
        <v>100000</v>
      </c>
      <c r="H8" s="61">
        <v>0</v>
      </c>
      <c r="I8" s="56">
        <v>1</v>
      </c>
      <c r="J8" s="56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9"/>
      <c r="O8" s="193" t="s">
        <v>1671</v>
      </c>
    </row>
    <row r="9" spans="1:15">
      <c r="A9" s="190">
        <f t="shared" si="5"/>
        <v>5</v>
      </c>
      <c r="B9" s="50" t="s">
        <v>110</v>
      </c>
      <c r="C9" s="51" t="s">
        <v>111</v>
      </c>
      <c r="D9" s="52">
        <v>42957</v>
      </c>
      <c r="E9" s="191">
        <v>100000</v>
      </c>
      <c r="F9" s="192">
        <f t="shared" si="0"/>
        <v>100000</v>
      </c>
      <c r="G9" s="55">
        <f t="shared" si="1"/>
        <v>100000</v>
      </c>
      <c r="H9" s="61">
        <v>0</v>
      </c>
      <c r="I9" s="56">
        <v>1</v>
      </c>
      <c r="J9" s="56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9"/>
      <c r="O9" s="193" t="s">
        <v>1672</v>
      </c>
    </row>
    <row r="10" spans="1:15">
      <c r="A10" s="190">
        <f t="shared" si="5"/>
        <v>6</v>
      </c>
      <c r="B10" s="50" t="s">
        <v>110</v>
      </c>
      <c r="C10" s="51" t="s">
        <v>111</v>
      </c>
      <c r="D10" s="52">
        <v>42957</v>
      </c>
      <c r="E10" s="191">
        <v>100000</v>
      </c>
      <c r="F10" s="192">
        <f t="shared" si="0"/>
        <v>100000</v>
      </c>
      <c r="G10" s="55">
        <f t="shared" si="1"/>
        <v>100000</v>
      </c>
      <c r="H10" s="61">
        <v>0</v>
      </c>
      <c r="I10" s="56">
        <v>1</v>
      </c>
      <c r="J10" s="56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9"/>
      <c r="O10" s="193" t="s">
        <v>1672</v>
      </c>
    </row>
    <row r="11" spans="1:15">
      <c r="A11" s="190">
        <f t="shared" si="5"/>
        <v>7</v>
      </c>
      <c r="B11" s="50" t="s">
        <v>110</v>
      </c>
      <c r="C11" s="51" t="s">
        <v>111</v>
      </c>
      <c r="D11" s="52">
        <v>42957</v>
      </c>
      <c r="E11" s="191">
        <v>33780</v>
      </c>
      <c r="F11" s="192">
        <f t="shared" si="0"/>
        <v>33780</v>
      </c>
      <c r="G11" s="55">
        <f t="shared" si="1"/>
        <v>33780</v>
      </c>
      <c r="H11" s="61">
        <v>0</v>
      </c>
      <c r="I11" s="56">
        <v>1</v>
      </c>
      <c r="J11" s="56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9"/>
      <c r="O11" s="193" t="s">
        <v>1672</v>
      </c>
    </row>
    <row r="12" spans="1:15">
      <c r="A12" s="190">
        <f t="shared" si="5"/>
        <v>8</v>
      </c>
      <c r="B12" s="50" t="s">
        <v>110</v>
      </c>
      <c r="C12" s="51" t="s">
        <v>111</v>
      </c>
      <c r="D12" s="52">
        <v>42988</v>
      </c>
      <c r="E12" s="194">
        <v>100000</v>
      </c>
      <c r="F12" s="192">
        <f t="shared" si="0"/>
        <v>100000</v>
      </c>
      <c r="G12" s="55">
        <f t="shared" si="1"/>
        <v>100000</v>
      </c>
      <c r="H12" s="61">
        <v>0</v>
      </c>
      <c r="I12" s="56">
        <v>1</v>
      </c>
      <c r="J12" s="56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9"/>
      <c r="O12" s="193" t="s">
        <v>1673</v>
      </c>
    </row>
    <row r="13" spans="1:15">
      <c r="A13" s="190">
        <f t="shared" si="5"/>
        <v>9</v>
      </c>
      <c r="B13" s="50" t="s">
        <v>110</v>
      </c>
      <c r="C13" s="51" t="s">
        <v>111</v>
      </c>
      <c r="D13" s="52">
        <v>42988</v>
      </c>
      <c r="E13" s="194">
        <v>100000</v>
      </c>
      <c r="F13" s="192">
        <f t="shared" si="0"/>
        <v>100000</v>
      </c>
      <c r="G13" s="55">
        <f t="shared" si="1"/>
        <v>100000</v>
      </c>
      <c r="H13" s="61">
        <v>0</v>
      </c>
      <c r="I13" s="56">
        <v>1</v>
      </c>
      <c r="J13" s="56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9"/>
      <c r="O13" s="193" t="s">
        <v>1673</v>
      </c>
    </row>
    <row r="14" spans="1:15">
      <c r="A14" s="190">
        <f t="shared" si="5"/>
        <v>10</v>
      </c>
      <c r="B14" s="50" t="s">
        <v>110</v>
      </c>
      <c r="C14" s="51" t="s">
        <v>111</v>
      </c>
      <c r="D14" s="52">
        <v>42988</v>
      </c>
      <c r="E14" s="194">
        <v>33780</v>
      </c>
      <c r="F14" s="192">
        <f t="shared" si="0"/>
        <v>33780</v>
      </c>
      <c r="G14" s="55">
        <f t="shared" si="1"/>
        <v>33780</v>
      </c>
      <c r="H14" s="61">
        <v>0</v>
      </c>
      <c r="I14" s="56">
        <v>1</v>
      </c>
      <c r="J14" s="56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9"/>
      <c r="O14" s="193" t="s">
        <v>1673</v>
      </c>
    </row>
    <row r="15" spans="1:15">
      <c r="A15" s="190">
        <f t="shared" si="5"/>
        <v>11</v>
      </c>
      <c r="B15" s="50" t="s">
        <v>110</v>
      </c>
      <c r="C15" s="51" t="s">
        <v>111</v>
      </c>
      <c r="D15" s="52">
        <v>43018</v>
      </c>
      <c r="E15" s="194">
        <v>100000</v>
      </c>
      <c r="F15" s="192">
        <f t="shared" si="0"/>
        <v>100000</v>
      </c>
      <c r="G15" s="55">
        <f t="shared" si="1"/>
        <v>100000</v>
      </c>
      <c r="H15" s="61">
        <v>0</v>
      </c>
      <c r="I15" s="56">
        <v>1</v>
      </c>
      <c r="J15" s="56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9"/>
      <c r="O15" s="193" t="s">
        <v>1674</v>
      </c>
    </row>
    <row r="16" spans="1:15">
      <c r="A16" s="190">
        <f t="shared" si="5"/>
        <v>12</v>
      </c>
      <c r="B16" s="50" t="s">
        <v>110</v>
      </c>
      <c r="C16" s="51" t="s">
        <v>111</v>
      </c>
      <c r="D16" s="52">
        <v>43018</v>
      </c>
      <c r="E16" s="194">
        <v>100000</v>
      </c>
      <c r="F16" s="192">
        <f t="shared" si="0"/>
        <v>100000</v>
      </c>
      <c r="G16" s="55">
        <f t="shared" si="1"/>
        <v>100000</v>
      </c>
      <c r="H16" s="61">
        <v>0</v>
      </c>
      <c r="I16" s="56">
        <v>1</v>
      </c>
      <c r="J16" s="56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9"/>
      <c r="O16" s="193" t="s">
        <v>1674</v>
      </c>
    </row>
    <row r="17" spans="1:15">
      <c r="A17" s="190">
        <f t="shared" si="5"/>
        <v>13</v>
      </c>
      <c r="B17" s="50" t="s">
        <v>110</v>
      </c>
      <c r="C17" s="51" t="s">
        <v>111</v>
      </c>
      <c r="D17" s="52">
        <v>43018</v>
      </c>
      <c r="E17" s="194">
        <v>33780</v>
      </c>
      <c r="F17" s="192">
        <f t="shared" si="0"/>
        <v>33780</v>
      </c>
      <c r="G17" s="55">
        <f t="shared" si="1"/>
        <v>33780</v>
      </c>
      <c r="H17" s="61">
        <v>0</v>
      </c>
      <c r="I17" s="56">
        <v>1</v>
      </c>
      <c r="J17" s="56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9"/>
      <c r="O17" s="193" t="s">
        <v>1674</v>
      </c>
    </row>
    <row r="18" spans="1:15">
      <c r="A18" s="190">
        <f t="shared" si="5"/>
        <v>14</v>
      </c>
      <c r="B18" s="50" t="s">
        <v>110</v>
      </c>
      <c r="C18" s="51" t="s">
        <v>111</v>
      </c>
      <c r="D18" s="52">
        <v>43049</v>
      </c>
      <c r="E18" s="194">
        <v>100000</v>
      </c>
      <c r="F18" s="192">
        <f t="shared" si="0"/>
        <v>100000</v>
      </c>
      <c r="G18" s="55">
        <f t="shared" si="1"/>
        <v>100000</v>
      </c>
      <c r="H18" s="61">
        <v>0</v>
      </c>
      <c r="I18" s="56">
        <v>1</v>
      </c>
      <c r="J18" s="56">
        <v>1</v>
      </c>
      <c r="K18" s="33">
        <f t="shared" si="2"/>
        <v>100000</v>
      </c>
      <c r="L18" s="33">
        <f t="shared" si="3"/>
        <v>100000</v>
      </c>
      <c r="M18" s="185">
        <f t="shared" si="4"/>
        <v>100000</v>
      </c>
      <c r="N18" s="129"/>
      <c r="O18" s="193" t="s">
        <v>1675</v>
      </c>
    </row>
    <row r="19" spans="1:15">
      <c r="A19" s="190">
        <f t="shared" si="5"/>
        <v>15</v>
      </c>
      <c r="B19" s="50" t="s">
        <v>110</v>
      </c>
      <c r="C19" s="51" t="s">
        <v>111</v>
      </c>
      <c r="D19" s="52">
        <v>43049</v>
      </c>
      <c r="E19" s="194">
        <v>100000</v>
      </c>
      <c r="F19" s="192">
        <f t="shared" si="0"/>
        <v>100000</v>
      </c>
      <c r="G19" s="55">
        <f t="shared" si="1"/>
        <v>100000</v>
      </c>
      <c r="H19" s="61">
        <v>0</v>
      </c>
      <c r="I19" s="56">
        <v>1</v>
      </c>
      <c r="J19" s="56">
        <v>1</v>
      </c>
      <c r="K19" s="33">
        <f t="shared" si="2"/>
        <v>100000</v>
      </c>
      <c r="L19" s="33">
        <f t="shared" si="3"/>
        <v>100000</v>
      </c>
      <c r="M19" s="185">
        <f t="shared" si="4"/>
        <v>100000</v>
      </c>
      <c r="N19" s="129"/>
      <c r="O19" s="193" t="s">
        <v>1675</v>
      </c>
    </row>
    <row r="20" spans="1:15">
      <c r="A20" s="190">
        <f t="shared" si="5"/>
        <v>16</v>
      </c>
      <c r="B20" s="50" t="s">
        <v>110</v>
      </c>
      <c r="C20" s="51" t="s">
        <v>111</v>
      </c>
      <c r="D20" s="52">
        <v>43049</v>
      </c>
      <c r="E20" s="194">
        <v>33780</v>
      </c>
      <c r="F20" s="192">
        <f t="shared" si="0"/>
        <v>33780</v>
      </c>
      <c r="G20" s="55">
        <f t="shared" si="1"/>
        <v>33780</v>
      </c>
      <c r="H20" s="61">
        <v>0</v>
      </c>
      <c r="I20" s="56">
        <v>1</v>
      </c>
      <c r="J20" s="56">
        <v>1</v>
      </c>
      <c r="K20" s="33">
        <f t="shared" si="2"/>
        <v>33780</v>
      </c>
      <c r="L20" s="33">
        <f t="shared" si="3"/>
        <v>33780</v>
      </c>
      <c r="M20" s="185">
        <f t="shared" si="4"/>
        <v>33780</v>
      </c>
      <c r="N20" s="129"/>
      <c r="O20" s="193" t="s">
        <v>1675</v>
      </c>
    </row>
    <row r="21" spans="1:15">
      <c r="A21" s="190">
        <f t="shared" si="5"/>
        <v>17</v>
      </c>
      <c r="B21" s="50" t="s">
        <v>110</v>
      </c>
      <c r="C21" s="51" t="s">
        <v>111</v>
      </c>
      <c r="D21" s="52">
        <v>43079</v>
      </c>
      <c r="E21" s="194">
        <v>100000</v>
      </c>
      <c r="F21" s="192">
        <f t="shared" si="0"/>
        <v>100000</v>
      </c>
      <c r="G21" s="55">
        <f t="shared" si="1"/>
        <v>100000</v>
      </c>
      <c r="H21" s="61">
        <v>0</v>
      </c>
      <c r="I21" s="56">
        <v>1</v>
      </c>
      <c r="J21" s="56">
        <v>1</v>
      </c>
      <c r="K21" s="33">
        <f t="shared" si="2"/>
        <v>100000</v>
      </c>
      <c r="L21" s="33">
        <f t="shared" si="3"/>
        <v>100000</v>
      </c>
      <c r="M21" s="185">
        <f t="shared" si="4"/>
        <v>100000</v>
      </c>
      <c r="N21" s="129"/>
      <c r="O21" s="193" t="s">
        <v>1676</v>
      </c>
    </row>
    <row r="22" spans="1:15">
      <c r="A22" s="190">
        <f t="shared" si="5"/>
        <v>18</v>
      </c>
      <c r="B22" s="50" t="s">
        <v>110</v>
      </c>
      <c r="C22" s="51" t="s">
        <v>111</v>
      </c>
      <c r="D22" s="52">
        <v>43079</v>
      </c>
      <c r="E22" s="194">
        <v>100000</v>
      </c>
      <c r="F22" s="192">
        <f t="shared" si="0"/>
        <v>100000</v>
      </c>
      <c r="G22" s="55">
        <f t="shared" si="1"/>
        <v>100000</v>
      </c>
      <c r="H22" s="61">
        <v>0</v>
      </c>
      <c r="I22" s="56">
        <v>1</v>
      </c>
      <c r="J22" s="56">
        <v>1</v>
      </c>
      <c r="K22" s="33">
        <f t="shared" si="2"/>
        <v>100000</v>
      </c>
      <c r="L22" s="33">
        <f t="shared" si="3"/>
        <v>100000</v>
      </c>
      <c r="M22" s="185">
        <f t="shared" si="4"/>
        <v>100000</v>
      </c>
      <c r="N22" s="129"/>
      <c r="O22" s="193" t="s">
        <v>1676</v>
      </c>
    </row>
    <row r="23" spans="1:15">
      <c r="A23" s="190">
        <f t="shared" si="5"/>
        <v>19</v>
      </c>
      <c r="B23" s="50" t="s">
        <v>110</v>
      </c>
      <c r="C23" s="51" t="s">
        <v>111</v>
      </c>
      <c r="D23" s="52">
        <v>43079</v>
      </c>
      <c r="E23" s="194">
        <v>33780</v>
      </c>
      <c r="F23" s="192">
        <f t="shared" si="0"/>
        <v>33780</v>
      </c>
      <c r="G23" s="55">
        <f t="shared" si="1"/>
        <v>33780</v>
      </c>
      <c r="H23" s="61">
        <v>0</v>
      </c>
      <c r="I23" s="56">
        <v>1</v>
      </c>
      <c r="J23" s="56">
        <v>1</v>
      </c>
      <c r="K23" s="33">
        <f t="shared" si="2"/>
        <v>33780</v>
      </c>
      <c r="L23" s="33">
        <f t="shared" si="3"/>
        <v>33780</v>
      </c>
      <c r="M23" s="185">
        <f t="shared" si="4"/>
        <v>33780</v>
      </c>
      <c r="N23" s="129"/>
      <c r="O23" s="193" t="s">
        <v>1676</v>
      </c>
    </row>
    <row r="24" spans="1:15">
      <c r="A24" s="190">
        <f t="shared" si="5"/>
        <v>20</v>
      </c>
      <c r="B24" s="50" t="s">
        <v>110</v>
      </c>
      <c r="C24" s="51" t="s">
        <v>111</v>
      </c>
      <c r="D24" s="52">
        <v>43110</v>
      </c>
      <c r="E24" s="191">
        <v>100000</v>
      </c>
      <c r="F24" s="192">
        <f t="shared" si="0"/>
        <v>100000</v>
      </c>
      <c r="G24" s="55">
        <f t="shared" si="1"/>
        <v>100000</v>
      </c>
      <c r="H24" s="61">
        <v>0</v>
      </c>
      <c r="I24" s="56">
        <v>1</v>
      </c>
      <c r="J24" s="56">
        <v>1</v>
      </c>
      <c r="K24" s="33">
        <f t="shared" si="2"/>
        <v>100000</v>
      </c>
      <c r="L24" s="33">
        <f t="shared" si="3"/>
        <v>100000</v>
      </c>
      <c r="M24" s="185">
        <f t="shared" si="4"/>
        <v>100000</v>
      </c>
      <c r="N24" s="129"/>
      <c r="O24" s="193" t="s">
        <v>1677</v>
      </c>
    </row>
    <row r="25" spans="1:15">
      <c r="A25" s="190">
        <f t="shared" si="5"/>
        <v>21</v>
      </c>
      <c r="B25" s="50" t="s">
        <v>110</v>
      </c>
      <c r="C25" s="51" t="s">
        <v>111</v>
      </c>
      <c r="D25" s="52">
        <v>43110</v>
      </c>
      <c r="E25" s="191">
        <v>100000</v>
      </c>
      <c r="F25" s="192">
        <f t="shared" si="0"/>
        <v>100000</v>
      </c>
      <c r="G25" s="55">
        <f t="shared" si="1"/>
        <v>100000</v>
      </c>
      <c r="H25" s="61">
        <v>0</v>
      </c>
      <c r="I25" s="56">
        <v>1</v>
      </c>
      <c r="J25" s="56">
        <v>1</v>
      </c>
      <c r="K25" s="33">
        <f t="shared" si="2"/>
        <v>100000</v>
      </c>
      <c r="L25" s="33">
        <f t="shared" si="3"/>
        <v>100000</v>
      </c>
      <c r="M25" s="185">
        <f t="shared" si="4"/>
        <v>100000</v>
      </c>
      <c r="N25" s="129"/>
      <c r="O25" s="193" t="s">
        <v>1677</v>
      </c>
    </row>
    <row r="26" spans="1:15">
      <c r="A26" s="190">
        <f t="shared" si="5"/>
        <v>22</v>
      </c>
      <c r="B26" s="50" t="s">
        <v>110</v>
      </c>
      <c r="C26" s="51" t="s">
        <v>111</v>
      </c>
      <c r="D26" s="52">
        <v>43110</v>
      </c>
      <c r="E26" s="191">
        <v>33780</v>
      </c>
      <c r="F26" s="192">
        <f t="shared" si="0"/>
        <v>33780</v>
      </c>
      <c r="G26" s="55">
        <f t="shared" si="1"/>
        <v>33780</v>
      </c>
      <c r="H26" s="61">
        <v>0</v>
      </c>
      <c r="I26" s="56">
        <v>1</v>
      </c>
      <c r="J26" s="56">
        <v>1</v>
      </c>
      <c r="K26" s="33">
        <f t="shared" si="2"/>
        <v>33780</v>
      </c>
      <c r="L26" s="33">
        <f t="shared" si="3"/>
        <v>33780</v>
      </c>
      <c r="M26" s="185">
        <f t="shared" si="4"/>
        <v>33780</v>
      </c>
      <c r="N26" s="129"/>
      <c r="O26" s="193" t="s">
        <v>1677</v>
      </c>
    </row>
    <row r="27" spans="1:15">
      <c r="A27" s="190">
        <f t="shared" si="5"/>
        <v>23</v>
      </c>
      <c r="B27" s="50" t="s">
        <v>110</v>
      </c>
      <c r="C27" s="51" t="s">
        <v>111</v>
      </c>
      <c r="D27" s="52">
        <v>43141</v>
      </c>
      <c r="E27" s="191">
        <v>100000</v>
      </c>
      <c r="F27" s="192">
        <f t="shared" si="0"/>
        <v>100000</v>
      </c>
      <c r="G27" s="55">
        <f t="shared" si="1"/>
        <v>100000</v>
      </c>
      <c r="H27" s="61">
        <v>0</v>
      </c>
      <c r="I27" s="56">
        <v>1</v>
      </c>
      <c r="J27" s="56">
        <v>1</v>
      </c>
      <c r="K27" s="33">
        <f t="shared" si="2"/>
        <v>100000</v>
      </c>
      <c r="L27" s="33">
        <f t="shared" si="3"/>
        <v>100000</v>
      </c>
      <c r="M27" s="185">
        <f t="shared" si="4"/>
        <v>100000</v>
      </c>
      <c r="N27" s="129"/>
      <c r="O27" s="193" t="s">
        <v>1677</v>
      </c>
    </row>
    <row r="28" spans="1:15">
      <c r="A28" s="190">
        <f t="shared" si="5"/>
        <v>24</v>
      </c>
      <c r="B28" s="50" t="s">
        <v>110</v>
      </c>
      <c r="C28" s="51" t="s">
        <v>111</v>
      </c>
      <c r="D28" s="52">
        <v>43141</v>
      </c>
      <c r="E28" s="191">
        <v>100000</v>
      </c>
      <c r="F28" s="192">
        <f t="shared" si="0"/>
        <v>100000</v>
      </c>
      <c r="G28" s="55">
        <f t="shared" si="1"/>
        <v>100000</v>
      </c>
      <c r="H28" s="61">
        <v>0</v>
      </c>
      <c r="I28" s="56">
        <v>1</v>
      </c>
      <c r="J28" s="56">
        <v>1</v>
      </c>
      <c r="K28" s="33">
        <f t="shared" si="2"/>
        <v>100000</v>
      </c>
      <c r="L28" s="33">
        <f t="shared" si="3"/>
        <v>100000</v>
      </c>
      <c r="M28" s="185">
        <f t="shared" si="4"/>
        <v>100000</v>
      </c>
      <c r="N28" s="129"/>
      <c r="O28" s="193" t="s">
        <v>1677</v>
      </c>
    </row>
    <row r="29" spans="1:15">
      <c r="A29" s="190">
        <f t="shared" si="5"/>
        <v>25</v>
      </c>
      <c r="B29" s="50" t="s">
        <v>110</v>
      </c>
      <c r="C29" s="51" t="s">
        <v>111</v>
      </c>
      <c r="D29" s="52">
        <v>43141</v>
      </c>
      <c r="E29" s="191">
        <v>33780</v>
      </c>
      <c r="F29" s="192">
        <f t="shared" si="0"/>
        <v>33780</v>
      </c>
      <c r="G29" s="55">
        <f t="shared" si="1"/>
        <v>33780</v>
      </c>
      <c r="H29" s="61">
        <v>0</v>
      </c>
      <c r="I29" s="56">
        <v>1</v>
      </c>
      <c r="J29" s="56">
        <v>1</v>
      </c>
      <c r="K29" s="33">
        <f t="shared" si="2"/>
        <v>33780</v>
      </c>
      <c r="L29" s="33">
        <f t="shared" si="3"/>
        <v>33780</v>
      </c>
      <c r="M29" s="185">
        <f t="shared" si="4"/>
        <v>33780</v>
      </c>
      <c r="N29" s="129"/>
      <c r="O29" s="193" t="s">
        <v>1677</v>
      </c>
    </row>
    <row r="30" spans="1:15">
      <c r="A30" s="190">
        <f t="shared" si="5"/>
        <v>26</v>
      </c>
      <c r="B30" s="50" t="s">
        <v>110</v>
      </c>
      <c r="C30" s="51" t="s">
        <v>111</v>
      </c>
      <c r="D30" s="52">
        <v>43169</v>
      </c>
      <c r="E30" s="194">
        <v>100000</v>
      </c>
      <c r="F30" s="192">
        <f t="shared" si="0"/>
        <v>100000</v>
      </c>
      <c r="G30" s="55">
        <f t="shared" si="1"/>
        <v>100000</v>
      </c>
      <c r="H30" s="61">
        <v>0</v>
      </c>
      <c r="I30" s="56">
        <v>1</v>
      </c>
      <c r="J30" s="56">
        <v>1</v>
      </c>
      <c r="K30" s="33">
        <f t="shared" si="2"/>
        <v>100000</v>
      </c>
      <c r="L30" s="33">
        <f t="shared" si="3"/>
        <v>100000</v>
      </c>
      <c r="M30" s="185">
        <f t="shared" si="4"/>
        <v>100000</v>
      </c>
      <c r="N30" s="129"/>
      <c r="O30" s="193" t="s">
        <v>1678</v>
      </c>
    </row>
    <row r="31" spans="1:15">
      <c r="A31" s="190">
        <f t="shared" si="5"/>
        <v>27</v>
      </c>
      <c r="B31" s="50" t="s">
        <v>110</v>
      </c>
      <c r="C31" s="51" t="s">
        <v>111</v>
      </c>
      <c r="D31" s="52">
        <v>43169</v>
      </c>
      <c r="E31" s="194">
        <v>100000</v>
      </c>
      <c r="F31" s="192">
        <f t="shared" si="0"/>
        <v>100000</v>
      </c>
      <c r="G31" s="55">
        <f t="shared" si="1"/>
        <v>100000</v>
      </c>
      <c r="H31" s="61">
        <v>0</v>
      </c>
      <c r="I31" s="56">
        <v>1</v>
      </c>
      <c r="J31" s="56">
        <v>1</v>
      </c>
      <c r="K31" s="33">
        <f t="shared" si="2"/>
        <v>100000</v>
      </c>
      <c r="L31" s="33">
        <f t="shared" si="3"/>
        <v>100000</v>
      </c>
      <c r="M31" s="185">
        <f t="shared" si="4"/>
        <v>100000</v>
      </c>
      <c r="N31" s="129"/>
      <c r="O31" s="193" t="s">
        <v>1678</v>
      </c>
    </row>
    <row r="32" spans="1:15">
      <c r="A32" s="190">
        <f t="shared" si="5"/>
        <v>28</v>
      </c>
      <c r="B32" s="50" t="s">
        <v>110</v>
      </c>
      <c r="C32" s="51" t="s">
        <v>111</v>
      </c>
      <c r="D32" s="52">
        <v>43169</v>
      </c>
      <c r="E32" s="194">
        <v>33780</v>
      </c>
      <c r="F32" s="192">
        <f t="shared" si="0"/>
        <v>33780</v>
      </c>
      <c r="G32" s="55">
        <f t="shared" si="1"/>
        <v>33780</v>
      </c>
      <c r="H32" s="61">
        <v>0</v>
      </c>
      <c r="I32" s="56">
        <v>1</v>
      </c>
      <c r="J32" s="56">
        <v>1</v>
      </c>
      <c r="K32" s="33">
        <f t="shared" si="2"/>
        <v>33780</v>
      </c>
      <c r="L32" s="33">
        <f t="shared" si="3"/>
        <v>33780</v>
      </c>
      <c r="M32" s="185">
        <f t="shared" si="4"/>
        <v>33780</v>
      </c>
      <c r="N32" s="129"/>
      <c r="O32" s="193" t="s">
        <v>1678</v>
      </c>
    </row>
    <row r="33" spans="1:15">
      <c r="A33" s="190">
        <f t="shared" si="5"/>
        <v>29</v>
      </c>
      <c r="B33" s="50" t="s">
        <v>110</v>
      </c>
      <c r="C33" s="51" t="s">
        <v>111</v>
      </c>
      <c r="D33" s="52">
        <v>43200</v>
      </c>
      <c r="E33" s="191">
        <v>100000</v>
      </c>
      <c r="F33" s="192">
        <f t="shared" si="0"/>
        <v>100000</v>
      </c>
      <c r="G33" s="55">
        <f t="shared" si="1"/>
        <v>100000</v>
      </c>
      <c r="H33" s="61">
        <v>0</v>
      </c>
      <c r="I33" s="56">
        <v>1</v>
      </c>
      <c r="J33" s="56">
        <v>1</v>
      </c>
      <c r="K33" s="33">
        <f t="shared" si="2"/>
        <v>100000</v>
      </c>
      <c r="L33" s="33">
        <f t="shared" si="3"/>
        <v>100000</v>
      </c>
      <c r="M33" s="185">
        <f t="shared" si="4"/>
        <v>100000</v>
      </c>
      <c r="N33" s="129"/>
      <c r="O33" s="193" t="s">
        <v>1679</v>
      </c>
    </row>
    <row r="34" spans="1:15">
      <c r="A34" s="190">
        <f t="shared" si="5"/>
        <v>30</v>
      </c>
      <c r="B34" s="50" t="s">
        <v>110</v>
      </c>
      <c r="C34" s="51" t="s">
        <v>111</v>
      </c>
      <c r="D34" s="52">
        <v>43200</v>
      </c>
      <c r="E34" s="191">
        <v>100000</v>
      </c>
      <c r="F34" s="192">
        <f t="shared" si="0"/>
        <v>100000</v>
      </c>
      <c r="G34" s="55">
        <f t="shared" si="1"/>
        <v>100000</v>
      </c>
      <c r="H34" s="61">
        <v>0</v>
      </c>
      <c r="I34" s="56">
        <v>1</v>
      </c>
      <c r="J34" s="56">
        <v>1</v>
      </c>
      <c r="K34" s="33">
        <f t="shared" si="2"/>
        <v>100000</v>
      </c>
      <c r="L34" s="33">
        <f t="shared" si="3"/>
        <v>100000</v>
      </c>
      <c r="M34" s="185">
        <f t="shared" si="4"/>
        <v>100000</v>
      </c>
      <c r="N34" s="129"/>
      <c r="O34" s="193" t="s">
        <v>1679</v>
      </c>
    </row>
    <row r="35" spans="1:15">
      <c r="A35" s="190">
        <f t="shared" si="5"/>
        <v>31</v>
      </c>
      <c r="B35" s="50" t="s">
        <v>110</v>
      </c>
      <c r="C35" s="51" t="s">
        <v>111</v>
      </c>
      <c r="D35" s="52">
        <v>43200</v>
      </c>
      <c r="E35" s="191">
        <v>33780</v>
      </c>
      <c r="F35" s="192">
        <f t="shared" si="0"/>
        <v>33780</v>
      </c>
      <c r="G35" s="55">
        <f t="shared" si="1"/>
        <v>33780</v>
      </c>
      <c r="H35" s="61">
        <v>0</v>
      </c>
      <c r="I35" s="56">
        <v>1</v>
      </c>
      <c r="J35" s="56">
        <v>1</v>
      </c>
      <c r="K35" s="33">
        <f t="shared" si="2"/>
        <v>33780</v>
      </c>
      <c r="L35" s="33">
        <f t="shared" si="3"/>
        <v>33780</v>
      </c>
      <c r="M35" s="185">
        <f t="shared" si="4"/>
        <v>33780</v>
      </c>
      <c r="N35" s="129"/>
      <c r="O35" s="193" t="s">
        <v>1679</v>
      </c>
    </row>
    <row r="36" spans="1:15">
      <c r="A36" s="190">
        <f t="shared" si="5"/>
        <v>32</v>
      </c>
      <c r="B36" s="50" t="s">
        <v>110</v>
      </c>
      <c r="C36" s="51" t="s">
        <v>111</v>
      </c>
      <c r="D36" s="102">
        <v>43230</v>
      </c>
      <c r="E36" s="195">
        <v>33780</v>
      </c>
      <c r="F36" s="196">
        <f t="shared" si="0"/>
        <v>33780</v>
      </c>
      <c r="G36" s="196">
        <f>E36/I36</f>
        <v>33780</v>
      </c>
      <c r="H36" s="196">
        <v>0</v>
      </c>
      <c r="I36" s="197">
        <v>1</v>
      </c>
      <c r="J36" s="56">
        <v>1</v>
      </c>
      <c r="K36" s="198">
        <f t="shared" si="2"/>
        <v>33780</v>
      </c>
      <c r="L36" s="198">
        <f>G36*J36</f>
        <v>33780</v>
      </c>
      <c r="M36" s="199">
        <f>J36*K36</f>
        <v>33780</v>
      </c>
      <c r="N36" s="200"/>
      <c r="O36" s="200" t="s">
        <v>1680</v>
      </c>
    </row>
    <row r="37" spans="1:15">
      <c r="A37" s="190">
        <f t="shared" si="5"/>
        <v>33</v>
      </c>
      <c r="B37" s="50" t="s">
        <v>110</v>
      </c>
      <c r="C37" s="51" t="s">
        <v>111</v>
      </c>
      <c r="D37" s="102">
        <v>43230</v>
      </c>
      <c r="E37" s="201">
        <v>100000</v>
      </c>
      <c r="F37" s="196">
        <f t="shared" si="0"/>
        <v>100000</v>
      </c>
      <c r="G37" s="196">
        <f>E37/I37</f>
        <v>100000</v>
      </c>
      <c r="H37" s="196">
        <v>0</v>
      </c>
      <c r="I37" s="197">
        <v>1</v>
      </c>
      <c r="J37" s="56">
        <v>1</v>
      </c>
      <c r="K37" s="198">
        <f t="shared" si="2"/>
        <v>100000</v>
      </c>
      <c r="L37" s="198">
        <f>G37*J37</f>
        <v>100000</v>
      </c>
      <c r="M37" s="199">
        <f>J37*K37</f>
        <v>100000</v>
      </c>
      <c r="N37" s="187"/>
      <c r="O37" s="200" t="s">
        <v>1680</v>
      </c>
    </row>
    <row r="38" spans="1:15">
      <c r="A38" s="190">
        <f t="shared" si="5"/>
        <v>34</v>
      </c>
      <c r="B38" s="50" t="s">
        <v>110</v>
      </c>
      <c r="C38" s="51" t="s">
        <v>111</v>
      </c>
      <c r="D38" s="102">
        <v>43230</v>
      </c>
      <c r="E38" s="201">
        <v>100000</v>
      </c>
      <c r="F38" s="196">
        <f t="shared" si="0"/>
        <v>100000</v>
      </c>
      <c r="G38" s="196">
        <f>E38/I38</f>
        <v>100000</v>
      </c>
      <c r="H38" s="196">
        <v>0</v>
      </c>
      <c r="I38" s="197">
        <v>1</v>
      </c>
      <c r="J38" s="56">
        <v>1</v>
      </c>
      <c r="K38" s="198">
        <f t="shared" si="2"/>
        <v>100000</v>
      </c>
      <c r="L38" s="198">
        <f>G38*J38</f>
        <v>100000</v>
      </c>
      <c r="M38" s="199">
        <f>J38*K38</f>
        <v>100000</v>
      </c>
      <c r="N38" s="187"/>
      <c r="O38" s="200" t="s">
        <v>1680</v>
      </c>
    </row>
    <row r="39" spans="1:15">
      <c r="A39" s="190">
        <f t="shared" si="5"/>
        <v>35</v>
      </c>
      <c r="B39" s="50" t="s">
        <v>359</v>
      </c>
      <c r="C39" s="51" t="s">
        <v>360</v>
      </c>
      <c r="D39" s="52">
        <v>42714</v>
      </c>
      <c r="E39" s="202">
        <v>187866</v>
      </c>
      <c r="F39" s="192">
        <f t="shared" si="0"/>
        <v>187866</v>
      </c>
      <c r="G39" s="55">
        <f t="shared" ref="G39:G65" si="6">+E39/I39</f>
        <v>187866</v>
      </c>
      <c r="H39" s="61">
        <v>0</v>
      </c>
      <c r="I39" s="56">
        <v>1</v>
      </c>
      <c r="J39" s="56">
        <v>1</v>
      </c>
      <c r="K39" s="33">
        <f t="shared" si="2"/>
        <v>187866</v>
      </c>
      <c r="L39" s="33">
        <f t="shared" ref="L39:L65" si="7">+J39*K39</f>
        <v>187866</v>
      </c>
      <c r="M39" s="33">
        <f t="shared" ref="M39:M65" si="8">+G39*J39</f>
        <v>187866</v>
      </c>
      <c r="N39" s="129"/>
      <c r="O39" s="30" t="s">
        <v>1681</v>
      </c>
    </row>
    <row r="40" spans="1:15">
      <c r="A40" s="190">
        <f t="shared" si="5"/>
        <v>36</v>
      </c>
      <c r="B40" s="50" t="s">
        <v>359</v>
      </c>
      <c r="C40" s="51" t="s">
        <v>360</v>
      </c>
      <c r="D40" s="52">
        <v>42745</v>
      </c>
      <c r="E40" s="203">
        <v>187866</v>
      </c>
      <c r="F40" s="192">
        <f t="shared" si="0"/>
        <v>187866</v>
      </c>
      <c r="G40" s="55">
        <f t="shared" si="6"/>
        <v>187866</v>
      </c>
      <c r="H40" s="61">
        <v>0</v>
      </c>
      <c r="I40" s="56">
        <v>1</v>
      </c>
      <c r="J40" s="56">
        <v>1</v>
      </c>
      <c r="K40" s="33">
        <f t="shared" si="2"/>
        <v>187866</v>
      </c>
      <c r="L40" s="33">
        <f t="shared" si="7"/>
        <v>187866</v>
      </c>
      <c r="M40" s="33">
        <f t="shared" si="8"/>
        <v>187866</v>
      </c>
      <c r="N40" s="129"/>
      <c r="O40" s="30" t="s">
        <v>1682</v>
      </c>
    </row>
    <row r="41" spans="1:15">
      <c r="A41" s="190">
        <f t="shared" si="5"/>
        <v>37</v>
      </c>
      <c r="B41" s="50" t="s">
        <v>359</v>
      </c>
      <c r="C41" s="51" t="s">
        <v>360</v>
      </c>
      <c r="D41" s="52">
        <v>42776</v>
      </c>
      <c r="E41" s="202">
        <v>187866</v>
      </c>
      <c r="F41" s="192">
        <f t="shared" si="0"/>
        <v>187866</v>
      </c>
      <c r="G41" s="55">
        <f t="shared" si="6"/>
        <v>187866</v>
      </c>
      <c r="H41" s="61">
        <v>0</v>
      </c>
      <c r="I41" s="56">
        <v>1</v>
      </c>
      <c r="J41" s="56">
        <v>1</v>
      </c>
      <c r="K41" s="33">
        <f t="shared" si="2"/>
        <v>187866</v>
      </c>
      <c r="L41" s="33">
        <f t="shared" si="7"/>
        <v>187866</v>
      </c>
      <c r="M41" s="33">
        <f t="shared" si="8"/>
        <v>187866</v>
      </c>
      <c r="N41" s="129"/>
      <c r="O41" s="193" t="s">
        <v>1683</v>
      </c>
    </row>
    <row r="42" spans="1:15">
      <c r="A42" s="190">
        <f t="shared" si="5"/>
        <v>38</v>
      </c>
      <c r="B42" s="50" t="s">
        <v>359</v>
      </c>
      <c r="C42" s="51" t="s">
        <v>360</v>
      </c>
      <c r="D42" s="52">
        <v>42804</v>
      </c>
      <c r="E42" s="202">
        <v>187866</v>
      </c>
      <c r="F42" s="192">
        <f t="shared" si="0"/>
        <v>187866</v>
      </c>
      <c r="G42" s="55">
        <f t="shared" si="6"/>
        <v>187866</v>
      </c>
      <c r="H42" s="61">
        <v>0</v>
      </c>
      <c r="I42" s="56">
        <v>1</v>
      </c>
      <c r="J42" s="56">
        <v>1</v>
      </c>
      <c r="K42" s="33">
        <f t="shared" si="2"/>
        <v>187866</v>
      </c>
      <c r="L42" s="33">
        <f t="shared" si="7"/>
        <v>187866</v>
      </c>
      <c r="M42" s="33">
        <f t="shared" si="8"/>
        <v>187866</v>
      </c>
      <c r="N42" s="129"/>
      <c r="O42" s="193" t="s">
        <v>1684</v>
      </c>
    </row>
    <row r="43" spans="1:15">
      <c r="A43" s="190">
        <f t="shared" si="5"/>
        <v>39</v>
      </c>
      <c r="B43" s="50" t="s">
        <v>359</v>
      </c>
      <c r="C43" s="51" t="s">
        <v>360</v>
      </c>
      <c r="D43" s="52">
        <v>42835</v>
      </c>
      <c r="E43" s="202">
        <v>187866</v>
      </c>
      <c r="F43" s="192">
        <f t="shared" si="0"/>
        <v>187866</v>
      </c>
      <c r="G43" s="55">
        <f t="shared" si="6"/>
        <v>187866</v>
      </c>
      <c r="H43" s="61">
        <v>0</v>
      </c>
      <c r="I43" s="56">
        <v>1</v>
      </c>
      <c r="J43" s="56">
        <v>1</v>
      </c>
      <c r="K43" s="33">
        <f t="shared" si="2"/>
        <v>187866</v>
      </c>
      <c r="L43" s="33">
        <f t="shared" si="7"/>
        <v>187866</v>
      </c>
      <c r="M43" s="33">
        <f t="shared" si="8"/>
        <v>187866</v>
      </c>
      <c r="N43" s="129"/>
      <c r="O43" s="193" t="s">
        <v>1684</v>
      </c>
    </row>
    <row r="44" spans="1:15">
      <c r="A44" s="190">
        <f t="shared" si="5"/>
        <v>40</v>
      </c>
      <c r="B44" s="50" t="s">
        <v>359</v>
      </c>
      <c r="C44" s="51" t="s">
        <v>360</v>
      </c>
      <c r="D44" s="52">
        <v>42865</v>
      </c>
      <c r="E44" s="191">
        <v>187866</v>
      </c>
      <c r="F44" s="192">
        <f t="shared" si="0"/>
        <v>187866</v>
      </c>
      <c r="G44" s="55">
        <f t="shared" si="6"/>
        <v>187866</v>
      </c>
      <c r="H44" s="61">
        <v>0</v>
      </c>
      <c r="I44" s="56">
        <v>1</v>
      </c>
      <c r="J44" s="56">
        <v>1</v>
      </c>
      <c r="K44" s="33">
        <f t="shared" si="2"/>
        <v>187866</v>
      </c>
      <c r="L44" s="33">
        <f t="shared" si="7"/>
        <v>187866</v>
      </c>
      <c r="M44" s="33">
        <f t="shared" si="8"/>
        <v>187866</v>
      </c>
      <c r="N44" s="129"/>
      <c r="O44" s="193" t="s">
        <v>1685</v>
      </c>
    </row>
    <row r="45" spans="1:15">
      <c r="A45" s="190">
        <f t="shared" si="5"/>
        <v>41</v>
      </c>
      <c r="B45" s="50" t="s">
        <v>359</v>
      </c>
      <c r="C45" s="51" t="s">
        <v>360</v>
      </c>
      <c r="D45" s="52">
        <v>42896</v>
      </c>
      <c r="E45" s="191">
        <v>187866</v>
      </c>
      <c r="F45" s="192">
        <f t="shared" si="0"/>
        <v>187866</v>
      </c>
      <c r="G45" s="55">
        <f t="shared" si="6"/>
        <v>187866</v>
      </c>
      <c r="H45" s="61">
        <v>0</v>
      </c>
      <c r="I45" s="56">
        <v>1</v>
      </c>
      <c r="J45" s="56">
        <v>1</v>
      </c>
      <c r="K45" s="33">
        <f t="shared" si="2"/>
        <v>187866</v>
      </c>
      <c r="L45" s="33">
        <f t="shared" si="7"/>
        <v>187866</v>
      </c>
      <c r="M45" s="33">
        <f t="shared" si="8"/>
        <v>187866</v>
      </c>
      <c r="N45" s="129"/>
      <c r="O45" s="193" t="s">
        <v>1670</v>
      </c>
    </row>
    <row r="46" spans="1:15">
      <c r="A46" s="190">
        <f t="shared" si="5"/>
        <v>42</v>
      </c>
      <c r="B46" s="50" t="s">
        <v>359</v>
      </c>
      <c r="C46" s="51" t="s">
        <v>360</v>
      </c>
      <c r="D46" s="52">
        <v>42926</v>
      </c>
      <c r="E46" s="191">
        <v>62134</v>
      </c>
      <c r="F46" s="192">
        <f t="shared" si="0"/>
        <v>62134</v>
      </c>
      <c r="G46" s="55">
        <f t="shared" si="6"/>
        <v>62134</v>
      </c>
      <c r="H46" s="61">
        <v>0</v>
      </c>
      <c r="I46" s="56">
        <v>1</v>
      </c>
      <c r="J46" s="56">
        <v>1</v>
      </c>
      <c r="K46" s="33">
        <f t="shared" si="2"/>
        <v>62134</v>
      </c>
      <c r="L46" s="33">
        <f t="shared" si="7"/>
        <v>62134</v>
      </c>
      <c r="M46" s="33">
        <f t="shared" si="8"/>
        <v>62134</v>
      </c>
      <c r="N46" s="129"/>
      <c r="O46" s="193" t="s">
        <v>1671</v>
      </c>
    </row>
    <row r="47" spans="1:15">
      <c r="A47" s="190">
        <f t="shared" si="5"/>
        <v>43</v>
      </c>
      <c r="B47" s="50" t="s">
        <v>359</v>
      </c>
      <c r="C47" s="51" t="s">
        <v>360</v>
      </c>
      <c r="D47" s="52">
        <v>42926</v>
      </c>
      <c r="E47" s="191">
        <v>187866</v>
      </c>
      <c r="F47" s="192">
        <f t="shared" si="0"/>
        <v>187866</v>
      </c>
      <c r="G47" s="55">
        <f t="shared" si="6"/>
        <v>187866</v>
      </c>
      <c r="H47" s="61">
        <v>0</v>
      </c>
      <c r="I47" s="56">
        <v>1</v>
      </c>
      <c r="J47" s="56">
        <v>1</v>
      </c>
      <c r="K47" s="33">
        <f t="shared" si="2"/>
        <v>187866</v>
      </c>
      <c r="L47" s="33">
        <f t="shared" si="7"/>
        <v>187866</v>
      </c>
      <c r="M47" s="33">
        <f t="shared" si="8"/>
        <v>187866</v>
      </c>
      <c r="N47" s="129"/>
      <c r="O47" s="193" t="s">
        <v>1671</v>
      </c>
    </row>
    <row r="48" spans="1:15">
      <c r="A48" s="190">
        <f t="shared" si="5"/>
        <v>44</v>
      </c>
      <c r="B48" s="50" t="s">
        <v>359</v>
      </c>
      <c r="C48" s="51" t="s">
        <v>360</v>
      </c>
      <c r="D48" s="52">
        <v>42957</v>
      </c>
      <c r="E48" s="191">
        <v>187866</v>
      </c>
      <c r="F48" s="192">
        <f t="shared" si="0"/>
        <v>187866</v>
      </c>
      <c r="G48" s="55">
        <f t="shared" si="6"/>
        <v>187866</v>
      </c>
      <c r="H48" s="61">
        <v>0</v>
      </c>
      <c r="I48" s="56">
        <v>1</v>
      </c>
      <c r="J48" s="56">
        <v>1</v>
      </c>
      <c r="K48" s="33">
        <f t="shared" si="2"/>
        <v>187866</v>
      </c>
      <c r="L48" s="33">
        <f t="shared" si="7"/>
        <v>187866</v>
      </c>
      <c r="M48" s="33">
        <f t="shared" si="8"/>
        <v>187866</v>
      </c>
      <c r="N48" s="129"/>
      <c r="O48" s="193" t="s">
        <v>1672</v>
      </c>
    </row>
    <row r="49" spans="1:15">
      <c r="A49" s="190">
        <f t="shared" si="5"/>
        <v>45</v>
      </c>
      <c r="B49" s="50" t="s">
        <v>359</v>
      </c>
      <c r="C49" s="51" t="s">
        <v>360</v>
      </c>
      <c r="D49" s="52">
        <v>42957</v>
      </c>
      <c r="E49" s="191">
        <v>62134</v>
      </c>
      <c r="F49" s="192">
        <f t="shared" si="0"/>
        <v>62134</v>
      </c>
      <c r="G49" s="55">
        <f t="shared" si="6"/>
        <v>62134</v>
      </c>
      <c r="H49" s="61">
        <v>0</v>
      </c>
      <c r="I49" s="56">
        <v>1</v>
      </c>
      <c r="J49" s="56">
        <v>1</v>
      </c>
      <c r="K49" s="33">
        <f t="shared" si="2"/>
        <v>62134</v>
      </c>
      <c r="L49" s="33">
        <f t="shared" si="7"/>
        <v>62134</v>
      </c>
      <c r="M49" s="33">
        <f t="shared" si="8"/>
        <v>62134</v>
      </c>
      <c r="N49" s="129"/>
      <c r="O49" s="193" t="s">
        <v>1672</v>
      </c>
    </row>
    <row r="50" spans="1:15">
      <c r="A50" s="190">
        <f t="shared" si="5"/>
        <v>46</v>
      </c>
      <c r="B50" s="50" t="s">
        <v>359</v>
      </c>
      <c r="C50" s="51" t="s">
        <v>360</v>
      </c>
      <c r="D50" s="52">
        <v>42988</v>
      </c>
      <c r="E50" s="194">
        <v>187866</v>
      </c>
      <c r="F50" s="192">
        <f t="shared" si="0"/>
        <v>187866</v>
      </c>
      <c r="G50" s="55">
        <f t="shared" si="6"/>
        <v>187866</v>
      </c>
      <c r="H50" s="61">
        <v>0</v>
      </c>
      <c r="I50" s="56">
        <v>1</v>
      </c>
      <c r="J50" s="56">
        <v>1</v>
      </c>
      <c r="K50" s="33">
        <f t="shared" si="2"/>
        <v>187866</v>
      </c>
      <c r="L50" s="33">
        <f t="shared" si="7"/>
        <v>187866</v>
      </c>
      <c r="M50" s="33">
        <f t="shared" si="8"/>
        <v>187866</v>
      </c>
      <c r="N50" s="129"/>
      <c r="O50" s="193" t="s">
        <v>1673</v>
      </c>
    </row>
    <row r="51" spans="1:15">
      <c r="A51" s="190">
        <f t="shared" si="5"/>
        <v>47</v>
      </c>
      <c r="B51" s="50" t="s">
        <v>359</v>
      </c>
      <c r="C51" s="51" t="s">
        <v>360</v>
      </c>
      <c r="D51" s="52">
        <v>42988</v>
      </c>
      <c r="E51" s="194">
        <v>62134</v>
      </c>
      <c r="F51" s="192">
        <f t="shared" si="0"/>
        <v>62134</v>
      </c>
      <c r="G51" s="55">
        <f t="shared" si="6"/>
        <v>62134</v>
      </c>
      <c r="H51" s="61">
        <v>0</v>
      </c>
      <c r="I51" s="56">
        <v>1</v>
      </c>
      <c r="J51" s="56">
        <v>1</v>
      </c>
      <c r="K51" s="33">
        <f t="shared" si="2"/>
        <v>62134</v>
      </c>
      <c r="L51" s="33">
        <f t="shared" si="7"/>
        <v>62134</v>
      </c>
      <c r="M51" s="33">
        <f t="shared" si="8"/>
        <v>62134</v>
      </c>
      <c r="N51" s="129"/>
      <c r="O51" s="193" t="s">
        <v>1673</v>
      </c>
    </row>
    <row r="52" spans="1:15">
      <c r="A52" s="190">
        <f t="shared" si="5"/>
        <v>48</v>
      </c>
      <c r="B52" s="50" t="s">
        <v>359</v>
      </c>
      <c r="C52" s="51" t="s">
        <v>360</v>
      </c>
      <c r="D52" s="52">
        <v>43018</v>
      </c>
      <c r="E52" s="194">
        <v>187866</v>
      </c>
      <c r="F52" s="192">
        <f t="shared" si="0"/>
        <v>187866</v>
      </c>
      <c r="G52" s="55">
        <f t="shared" si="6"/>
        <v>187866</v>
      </c>
      <c r="H52" s="61">
        <v>0</v>
      </c>
      <c r="I52" s="56">
        <v>1</v>
      </c>
      <c r="J52" s="56">
        <v>1</v>
      </c>
      <c r="K52" s="33">
        <f t="shared" si="2"/>
        <v>187866</v>
      </c>
      <c r="L52" s="33">
        <f t="shared" si="7"/>
        <v>187866</v>
      </c>
      <c r="M52" s="33">
        <f t="shared" si="8"/>
        <v>187866</v>
      </c>
      <c r="N52" s="129"/>
      <c r="O52" s="193" t="s">
        <v>1674</v>
      </c>
    </row>
    <row r="53" spans="1:15">
      <c r="A53" s="190">
        <f t="shared" si="5"/>
        <v>49</v>
      </c>
      <c r="B53" s="50" t="s">
        <v>359</v>
      </c>
      <c r="C53" s="51" t="s">
        <v>360</v>
      </c>
      <c r="D53" s="52">
        <v>43018</v>
      </c>
      <c r="E53" s="194">
        <v>62134</v>
      </c>
      <c r="F53" s="192">
        <f t="shared" si="0"/>
        <v>62134</v>
      </c>
      <c r="G53" s="55">
        <f t="shared" si="6"/>
        <v>62134</v>
      </c>
      <c r="H53" s="61">
        <v>0</v>
      </c>
      <c r="I53" s="56">
        <v>1</v>
      </c>
      <c r="J53" s="56">
        <v>1</v>
      </c>
      <c r="K53" s="33">
        <f t="shared" si="2"/>
        <v>62134</v>
      </c>
      <c r="L53" s="33">
        <f t="shared" si="7"/>
        <v>62134</v>
      </c>
      <c r="M53" s="33">
        <f t="shared" si="8"/>
        <v>62134</v>
      </c>
      <c r="N53" s="129"/>
      <c r="O53" s="193" t="s">
        <v>1674</v>
      </c>
    </row>
    <row r="54" spans="1:15">
      <c r="A54" s="190">
        <f t="shared" si="5"/>
        <v>50</v>
      </c>
      <c r="B54" s="50" t="s">
        <v>359</v>
      </c>
      <c r="C54" s="51" t="s">
        <v>360</v>
      </c>
      <c r="D54" s="52">
        <v>43049</v>
      </c>
      <c r="E54" s="194">
        <v>187866</v>
      </c>
      <c r="F54" s="192">
        <f t="shared" si="0"/>
        <v>187866</v>
      </c>
      <c r="G54" s="55">
        <f t="shared" si="6"/>
        <v>187866</v>
      </c>
      <c r="H54" s="61">
        <v>0</v>
      </c>
      <c r="I54" s="56">
        <v>1</v>
      </c>
      <c r="J54" s="56">
        <v>1</v>
      </c>
      <c r="K54" s="33">
        <f t="shared" si="2"/>
        <v>187866</v>
      </c>
      <c r="L54" s="33">
        <f t="shared" si="7"/>
        <v>187866</v>
      </c>
      <c r="M54" s="185">
        <f t="shared" si="8"/>
        <v>187866</v>
      </c>
      <c r="N54" s="129"/>
      <c r="O54" s="193" t="s">
        <v>1675</v>
      </c>
    </row>
    <row r="55" spans="1:15">
      <c r="A55" s="190">
        <f t="shared" si="5"/>
        <v>51</v>
      </c>
      <c r="B55" s="50" t="s">
        <v>359</v>
      </c>
      <c r="C55" s="51" t="s">
        <v>360</v>
      </c>
      <c r="D55" s="52">
        <v>43049</v>
      </c>
      <c r="E55" s="194">
        <v>62134</v>
      </c>
      <c r="F55" s="192">
        <f t="shared" si="0"/>
        <v>62134</v>
      </c>
      <c r="G55" s="55">
        <f t="shared" si="6"/>
        <v>62134</v>
      </c>
      <c r="H55" s="61">
        <v>0</v>
      </c>
      <c r="I55" s="56">
        <v>1</v>
      </c>
      <c r="J55" s="56">
        <v>1</v>
      </c>
      <c r="K55" s="33">
        <f t="shared" si="2"/>
        <v>62134</v>
      </c>
      <c r="L55" s="33">
        <f t="shared" si="7"/>
        <v>62134</v>
      </c>
      <c r="M55" s="185">
        <f t="shared" si="8"/>
        <v>62134</v>
      </c>
      <c r="N55" s="129"/>
      <c r="O55" s="193" t="s">
        <v>1675</v>
      </c>
    </row>
    <row r="56" spans="1:15">
      <c r="A56" s="190">
        <f t="shared" si="5"/>
        <v>52</v>
      </c>
      <c r="B56" s="50" t="s">
        <v>359</v>
      </c>
      <c r="C56" s="51" t="s">
        <v>360</v>
      </c>
      <c r="D56" s="52">
        <v>43079</v>
      </c>
      <c r="E56" s="194">
        <v>187866</v>
      </c>
      <c r="F56" s="192">
        <f t="shared" si="0"/>
        <v>187866</v>
      </c>
      <c r="G56" s="55">
        <f t="shared" si="6"/>
        <v>187866</v>
      </c>
      <c r="H56" s="61">
        <v>0</v>
      </c>
      <c r="I56" s="56">
        <v>1</v>
      </c>
      <c r="J56" s="56">
        <v>1</v>
      </c>
      <c r="K56" s="33">
        <f t="shared" si="2"/>
        <v>187866</v>
      </c>
      <c r="L56" s="33">
        <f t="shared" si="7"/>
        <v>187866</v>
      </c>
      <c r="M56" s="185">
        <f t="shared" si="8"/>
        <v>187866</v>
      </c>
      <c r="N56" s="129"/>
      <c r="O56" s="193" t="s">
        <v>1676</v>
      </c>
    </row>
    <row r="57" spans="1:15">
      <c r="A57" s="190">
        <f t="shared" si="5"/>
        <v>53</v>
      </c>
      <c r="B57" s="50" t="s">
        <v>359</v>
      </c>
      <c r="C57" s="51" t="s">
        <v>360</v>
      </c>
      <c r="D57" s="52">
        <v>43079</v>
      </c>
      <c r="E57" s="194">
        <v>62134</v>
      </c>
      <c r="F57" s="192">
        <f t="shared" si="0"/>
        <v>62134</v>
      </c>
      <c r="G57" s="55">
        <f t="shared" si="6"/>
        <v>62134</v>
      </c>
      <c r="H57" s="61">
        <v>0</v>
      </c>
      <c r="I57" s="56">
        <v>1</v>
      </c>
      <c r="J57" s="56">
        <v>1</v>
      </c>
      <c r="K57" s="33">
        <f t="shared" si="2"/>
        <v>62134</v>
      </c>
      <c r="L57" s="33">
        <f t="shared" si="7"/>
        <v>62134</v>
      </c>
      <c r="M57" s="185">
        <f t="shared" si="8"/>
        <v>62134</v>
      </c>
      <c r="N57" s="129"/>
      <c r="O57" s="193" t="s">
        <v>1676</v>
      </c>
    </row>
    <row r="58" spans="1:15">
      <c r="A58" s="190">
        <f t="shared" si="5"/>
        <v>54</v>
      </c>
      <c r="B58" s="50" t="s">
        <v>359</v>
      </c>
      <c r="C58" s="51" t="s">
        <v>360</v>
      </c>
      <c r="D58" s="52">
        <v>43110</v>
      </c>
      <c r="E58" s="191">
        <v>187866</v>
      </c>
      <c r="F58" s="192">
        <f t="shared" si="0"/>
        <v>187866</v>
      </c>
      <c r="G58" s="55">
        <f t="shared" si="6"/>
        <v>187866</v>
      </c>
      <c r="H58" s="61">
        <v>0</v>
      </c>
      <c r="I58" s="56">
        <v>1</v>
      </c>
      <c r="J58" s="56">
        <v>1</v>
      </c>
      <c r="K58" s="33">
        <f t="shared" si="2"/>
        <v>187866</v>
      </c>
      <c r="L58" s="33">
        <f t="shared" si="7"/>
        <v>187866</v>
      </c>
      <c r="M58" s="185">
        <f t="shared" si="8"/>
        <v>187866</v>
      </c>
      <c r="N58" s="129"/>
      <c r="O58" s="193" t="s">
        <v>1677</v>
      </c>
    </row>
    <row r="59" spans="1:15">
      <c r="A59" s="190">
        <f t="shared" si="5"/>
        <v>55</v>
      </c>
      <c r="B59" s="50" t="s">
        <v>359</v>
      </c>
      <c r="C59" s="51" t="s">
        <v>360</v>
      </c>
      <c r="D59" s="52">
        <v>43110</v>
      </c>
      <c r="E59" s="191">
        <v>62134</v>
      </c>
      <c r="F59" s="192">
        <f t="shared" si="0"/>
        <v>62134</v>
      </c>
      <c r="G59" s="55">
        <f t="shared" si="6"/>
        <v>62134</v>
      </c>
      <c r="H59" s="61">
        <v>0</v>
      </c>
      <c r="I59" s="56">
        <v>1</v>
      </c>
      <c r="J59" s="56">
        <v>1</v>
      </c>
      <c r="K59" s="33">
        <f t="shared" si="2"/>
        <v>62134</v>
      </c>
      <c r="L59" s="33">
        <f t="shared" si="7"/>
        <v>62134</v>
      </c>
      <c r="M59" s="185">
        <f t="shared" si="8"/>
        <v>62134</v>
      </c>
      <c r="N59" s="129"/>
      <c r="O59" s="193" t="s">
        <v>1677</v>
      </c>
    </row>
    <row r="60" spans="1:15">
      <c r="A60" s="190">
        <f t="shared" si="5"/>
        <v>56</v>
      </c>
      <c r="B60" s="50" t="s">
        <v>359</v>
      </c>
      <c r="C60" s="51" t="s">
        <v>360</v>
      </c>
      <c r="D60" s="52">
        <v>43141</v>
      </c>
      <c r="E60" s="191">
        <v>187866</v>
      </c>
      <c r="F60" s="192">
        <f t="shared" si="0"/>
        <v>187866</v>
      </c>
      <c r="G60" s="55">
        <f t="shared" si="6"/>
        <v>187866</v>
      </c>
      <c r="H60" s="61">
        <v>0</v>
      </c>
      <c r="I60" s="56">
        <v>1</v>
      </c>
      <c r="J60" s="56">
        <v>1</v>
      </c>
      <c r="K60" s="33">
        <f t="shared" si="2"/>
        <v>187866</v>
      </c>
      <c r="L60" s="33">
        <f t="shared" si="7"/>
        <v>187866</v>
      </c>
      <c r="M60" s="185">
        <f t="shared" si="8"/>
        <v>187866</v>
      </c>
      <c r="N60" s="129"/>
      <c r="O60" s="193" t="s">
        <v>1677</v>
      </c>
    </row>
    <row r="61" spans="1:15">
      <c r="A61" s="190">
        <f t="shared" si="5"/>
        <v>57</v>
      </c>
      <c r="B61" s="50" t="s">
        <v>359</v>
      </c>
      <c r="C61" s="51" t="s">
        <v>360</v>
      </c>
      <c r="D61" s="52">
        <v>43141</v>
      </c>
      <c r="E61" s="191">
        <v>62134</v>
      </c>
      <c r="F61" s="192">
        <f t="shared" si="0"/>
        <v>62134</v>
      </c>
      <c r="G61" s="55">
        <f t="shared" si="6"/>
        <v>62134</v>
      </c>
      <c r="H61" s="61">
        <v>0</v>
      </c>
      <c r="I61" s="56">
        <v>1</v>
      </c>
      <c r="J61" s="56">
        <v>1</v>
      </c>
      <c r="K61" s="33">
        <f t="shared" si="2"/>
        <v>62134</v>
      </c>
      <c r="L61" s="33">
        <f t="shared" si="7"/>
        <v>62134</v>
      </c>
      <c r="M61" s="185">
        <f t="shared" si="8"/>
        <v>62134</v>
      </c>
      <c r="N61" s="129"/>
      <c r="O61" s="193" t="s">
        <v>1677</v>
      </c>
    </row>
    <row r="62" spans="1:15">
      <c r="A62" s="190">
        <f t="shared" si="5"/>
        <v>58</v>
      </c>
      <c r="B62" s="50" t="s">
        <v>359</v>
      </c>
      <c r="C62" s="51" t="s">
        <v>360</v>
      </c>
      <c r="D62" s="52">
        <v>43169</v>
      </c>
      <c r="E62" s="194">
        <v>187866</v>
      </c>
      <c r="F62" s="192">
        <f t="shared" si="0"/>
        <v>187866</v>
      </c>
      <c r="G62" s="55">
        <f t="shared" si="6"/>
        <v>187866</v>
      </c>
      <c r="H62" s="61">
        <v>0</v>
      </c>
      <c r="I62" s="56">
        <v>1</v>
      </c>
      <c r="J62" s="56">
        <v>1</v>
      </c>
      <c r="K62" s="33">
        <f t="shared" si="2"/>
        <v>187866</v>
      </c>
      <c r="L62" s="33">
        <f t="shared" si="7"/>
        <v>187866</v>
      </c>
      <c r="M62" s="185">
        <f t="shared" si="8"/>
        <v>187866</v>
      </c>
      <c r="N62" s="129"/>
      <c r="O62" s="193" t="s">
        <v>1678</v>
      </c>
    </row>
    <row r="63" spans="1:15">
      <c r="A63" s="190">
        <f t="shared" si="5"/>
        <v>59</v>
      </c>
      <c r="B63" s="50" t="s">
        <v>359</v>
      </c>
      <c r="C63" s="51" t="s">
        <v>360</v>
      </c>
      <c r="D63" s="52">
        <v>43169</v>
      </c>
      <c r="E63" s="194">
        <v>62134</v>
      </c>
      <c r="F63" s="192">
        <f t="shared" si="0"/>
        <v>62134</v>
      </c>
      <c r="G63" s="55">
        <f t="shared" si="6"/>
        <v>62134</v>
      </c>
      <c r="H63" s="61">
        <v>0</v>
      </c>
      <c r="I63" s="56">
        <v>1</v>
      </c>
      <c r="J63" s="56">
        <v>1</v>
      </c>
      <c r="K63" s="33">
        <f t="shared" si="2"/>
        <v>62134</v>
      </c>
      <c r="L63" s="33">
        <f t="shared" si="7"/>
        <v>62134</v>
      </c>
      <c r="M63" s="185">
        <f t="shared" si="8"/>
        <v>62134</v>
      </c>
      <c r="N63" s="129"/>
      <c r="O63" s="193" t="s">
        <v>1678</v>
      </c>
    </row>
    <row r="64" spans="1:15">
      <c r="A64" s="190">
        <f t="shared" si="5"/>
        <v>60</v>
      </c>
      <c r="B64" s="50" t="s">
        <v>359</v>
      </c>
      <c r="C64" s="51" t="s">
        <v>360</v>
      </c>
      <c r="D64" s="52">
        <v>43200</v>
      </c>
      <c r="E64" s="191">
        <v>187866</v>
      </c>
      <c r="F64" s="192">
        <f t="shared" si="0"/>
        <v>187866</v>
      </c>
      <c r="G64" s="55">
        <f t="shared" si="6"/>
        <v>187866</v>
      </c>
      <c r="H64" s="61">
        <v>0</v>
      </c>
      <c r="I64" s="56">
        <v>1</v>
      </c>
      <c r="J64" s="56">
        <v>1</v>
      </c>
      <c r="K64" s="33">
        <f t="shared" si="2"/>
        <v>187866</v>
      </c>
      <c r="L64" s="33">
        <f t="shared" si="7"/>
        <v>187866</v>
      </c>
      <c r="M64" s="185">
        <f t="shared" si="8"/>
        <v>187866</v>
      </c>
      <c r="N64" s="129"/>
      <c r="O64" s="193" t="s">
        <v>1679</v>
      </c>
    </row>
    <row r="65" spans="1:15">
      <c r="A65" s="190">
        <f t="shared" si="5"/>
        <v>61</v>
      </c>
      <c r="B65" s="50" t="s">
        <v>359</v>
      </c>
      <c r="C65" s="51" t="s">
        <v>360</v>
      </c>
      <c r="D65" s="52">
        <v>43200</v>
      </c>
      <c r="E65" s="191">
        <v>62134</v>
      </c>
      <c r="F65" s="192">
        <f t="shared" si="0"/>
        <v>62134</v>
      </c>
      <c r="G65" s="55">
        <f t="shared" si="6"/>
        <v>62134</v>
      </c>
      <c r="H65" s="61">
        <v>0</v>
      </c>
      <c r="I65" s="56">
        <v>1</v>
      </c>
      <c r="J65" s="56">
        <v>1</v>
      </c>
      <c r="K65" s="33">
        <f t="shared" si="2"/>
        <v>62134</v>
      </c>
      <c r="L65" s="33">
        <f t="shared" si="7"/>
        <v>62134</v>
      </c>
      <c r="M65" s="185">
        <f t="shared" si="8"/>
        <v>62134</v>
      </c>
      <c r="N65" s="129"/>
      <c r="O65" s="193" t="s">
        <v>1679</v>
      </c>
    </row>
    <row r="66" spans="1:15">
      <c r="A66" s="190">
        <f t="shared" si="5"/>
        <v>62</v>
      </c>
      <c r="B66" s="50" t="s">
        <v>359</v>
      </c>
      <c r="C66" s="51" t="s">
        <v>360</v>
      </c>
      <c r="D66" s="102">
        <v>43230</v>
      </c>
      <c r="E66" s="201">
        <v>187866</v>
      </c>
      <c r="F66" s="196">
        <f t="shared" si="0"/>
        <v>187866</v>
      </c>
      <c r="G66" s="196">
        <f>E66/I66</f>
        <v>187866</v>
      </c>
      <c r="H66" s="196">
        <v>0</v>
      </c>
      <c r="I66" s="197">
        <v>1</v>
      </c>
      <c r="J66" s="56">
        <v>1</v>
      </c>
      <c r="K66" s="198">
        <f t="shared" si="2"/>
        <v>187866</v>
      </c>
      <c r="L66" s="198">
        <f>G66*J66</f>
        <v>187866</v>
      </c>
      <c r="M66" s="199">
        <f>J66*K66</f>
        <v>187866</v>
      </c>
      <c r="N66" s="187"/>
      <c r="O66" s="200" t="s">
        <v>1680</v>
      </c>
    </row>
    <row r="67" spans="1:15">
      <c r="A67" s="190">
        <f t="shared" si="5"/>
        <v>63</v>
      </c>
      <c r="B67" s="50" t="s">
        <v>404</v>
      </c>
      <c r="C67" s="51">
        <v>901781</v>
      </c>
      <c r="D67" s="112">
        <v>42531</v>
      </c>
      <c r="E67" s="202">
        <v>40000</v>
      </c>
      <c r="F67" s="192">
        <f t="shared" si="0"/>
        <v>40000</v>
      </c>
      <c r="G67" s="55">
        <f t="shared" ref="G67:G89" si="9">+E67/I67</f>
        <v>40000</v>
      </c>
      <c r="H67" s="61">
        <v>0</v>
      </c>
      <c r="I67" s="56">
        <v>1</v>
      </c>
      <c r="J67" s="56">
        <v>1</v>
      </c>
      <c r="K67" s="33">
        <f t="shared" si="2"/>
        <v>40000</v>
      </c>
      <c r="L67" s="33">
        <f t="shared" ref="L67:L89" si="10">+J67*K67</f>
        <v>40000</v>
      </c>
      <c r="M67" s="33">
        <f t="shared" ref="M67:M89" si="11">+G67*J67</f>
        <v>40000</v>
      </c>
      <c r="N67" s="129"/>
      <c r="O67" s="30" t="s">
        <v>1686</v>
      </c>
    </row>
    <row r="68" spans="1:15">
      <c r="A68" s="190">
        <f t="shared" si="5"/>
        <v>64</v>
      </c>
      <c r="B68" s="50" t="s">
        <v>404</v>
      </c>
      <c r="C68" s="51">
        <v>901781</v>
      </c>
      <c r="D68" s="112">
        <v>42561</v>
      </c>
      <c r="E68" s="202">
        <v>40000</v>
      </c>
      <c r="F68" s="192">
        <f t="shared" si="0"/>
        <v>40000</v>
      </c>
      <c r="G68" s="55">
        <f t="shared" si="9"/>
        <v>40000</v>
      </c>
      <c r="H68" s="61">
        <v>0</v>
      </c>
      <c r="I68" s="56">
        <v>1</v>
      </c>
      <c r="J68" s="56">
        <v>1</v>
      </c>
      <c r="K68" s="33">
        <f t="shared" si="2"/>
        <v>40000</v>
      </c>
      <c r="L68" s="33">
        <f t="shared" si="10"/>
        <v>40000</v>
      </c>
      <c r="M68" s="33">
        <f t="shared" si="11"/>
        <v>40000</v>
      </c>
      <c r="N68" s="129"/>
      <c r="O68" s="30" t="s">
        <v>1687</v>
      </c>
    </row>
    <row r="69" spans="1:15">
      <c r="A69" s="190">
        <f t="shared" si="5"/>
        <v>65</v>
      </c>
      <c r="B69" s="50" t="s">
        <v>404</v>
      </c>
      <c r="C69" s="51">
        <v>901781</v>
      </c>
      <c r="D69" s="112">
        <v>42592</v>
      </c>
      <c r="E69" s="203">
        <v>40000</v>
      </c>
      <c r="F69" s="192">
        <f t="shared" ref="F69:F132" si="12">+I69*K69</f>
        <v>40000</v>
      </c>
      <c r="G69" s="55">
        <f t="shared" si="9"/>
        <v>40000</v>
      </c>
      <c r="H69" s="61">
        <v>0</v>
      </c>
      <c r="I69" s="56">
        <v>1</v>
      </c>
      <c r="J69" s="56">
        <v>1</v>
      </c>
      <c r="K69" s="33">
        <f t="shared" ref="K69:K132" si="13">+G69+H69</f>
        <v>40000</v>
      </c>
      <c r="L69" s="33">
        <f t="shared" si="10"/>
        <v>40000</v>
      </c>
      <c r="M69" s="33">
        <f t="shared" si="11"/>
        <v>40000</v>
      </c>
      <c r="N69" s="129"/>
      <c r="O69" s="30" t="s">
        <v>1688</v>
      </c>
    </row>
    <row r="70" spans="1:15">
      <c r="A70" s="190">
        <f t="shared" ref="A70:A133" si="14">+A69+1</f>
        <v>66</v>
      </c>
      <c r="B70" s="50" t="s">
        <v>404</v>
      </c>
      <c r="C70" s="51">
        <v>901781</v>
      </c>
      <c r="D70" s="112">
        <v>42623</v>
      </c>
      <c r="E70" s="203">
        <v>40000</v>
      </c>
      <c r="F70" s="192">
        <f t="shared" si="12"/>
        <v>40000</v>
      </c>
      <c r="G70" s="55">
        <f t="shared" si="9"/>
        <v>40000</v>
      </c>
      <c r="H70" s="61">
        <v>0</v>
      </c>
      <c r="I70" s="56">
        <v>1</v>
      </c>
      <c r="J70" s="56">
        <v>1</v>
      </c>
      <c r="K70" s="33">
        <f t="shared" si="13"/>
        <v>40000</v>
      </c>
      <c r="L70" s="33">
        <f t="shared" si="10"/>
        <v>40000</v>
      </c>
      <c r="M70" s="33">
        <f t="shared" si="11"/>
        <v>40000</v>
      </c>
      <c r="N70" s="129"/>
      <c r="O70" s="30" t="s">
        <v>1689</v>
      </c>
    </row>
    <row r="71" spans="1:15">
      <c r="A71" s="190">
        <f t="shared" si="14"/>
        <v>67</v>
      </c>
      <c r="B71" s="50" t="s">
        <v>404</v>
      </c>
      <c r="C71" s="51">
        <v>901781</v>
      </c>
      <c r="D71" s="112">
        <v>42653</v>
      </c>
      <c r="E71" s="202">
        <v>40000</v>
      </c>
      <c r="F71" s="192">
        <f t="shared" si="12"/>
        <v>40000</v>
      </c>
      <c r="G71" s="55">
        <f t="shared" si="9"/>
        <v>40000</v>
      </c>
      <c r="H71" s="61">
        <v>0</v>
      </c>
      <c r="I71" s="56">
        <v>1</v>
      </c>
      <c r="J71" s="56">
        <v>1</v>
      </c>
      <c r="K71" s="33">
        <f t="shared" si="13"/>
        <v>40000</v>
      </c>
      <c r="L71" s="33">
        <f t="shared" si="10"/>
        <v>40000</v>
      </c>
      <c r="M71" s="33">
        <f t="shared" si="11"/>
        <v>40000</v>
      </c>
      <c r="N71" s="129"/>
      <c r="O71" s="30" t="s">
        <v>1690</v>
      </c>
    </row>
    <row r="72" spans="1:15">
      <c r="A72" s="190">
        <f t="shared" si="14"/>
        <v>68</v>
      </c>
      <c r="B72" s="50" t="s">
        <v>404</v>
      </c>
      <c r="C72" s="51">
        <v>901781</v>
      </c>
      <c r="D72" s="112">
        <v>42684</v>
      </c>
      <c r="E72" s="203">
        <v>40000</v>
      </c>
      <c r="F72" s="192">
        <f t="shared" si="12"/>
        <v>40000</v>
      </c>
      <c r="G72" s="55">
        <f t="shared" si="9"/>
        <v>40000</v>
      </c>
      <c r="H72" s="61">
        <v>0</v>
      </c>
      <c r="I72" s="56">
        <v>1</v>
      </c>
      <c r="J72" s="56">
        <v>1</v>
      </c>
      <c r="K72" s="33">
        <f t="shared" si="13"/>
        <v>40000</v>
      </c>
      <c r="L72" s="33">
        <f t="shared" si="10"/>
        <v>40000</v>
      </c>
      <c r="M72" s="33">
        <f t="shared" si="11"/>
        <v>40000</v>
      </c>
      <c r="N72" s="129"/>
      <c r="O72" s="30" t="s">
        <v>1691</v>
      </c>
    </row>
    <row r="73" spans="1:15">
      <c r="A73" s="190">
        <f t="shared" si="14"/>
        <v>69</v>
      </c>
      <c r="B73" s="50" t="s">
        <v>404</v>
      </c>
      <c r="C73" s="51">
        <v>901781</v>
      </c>
      <c r="D73" s="52">
        <v>42714</v>
      </c>
      <c r="E73" s="202">
        <v>40000</v>
      </c>
      <c r="F73" s="192">
        <f t="shared" si="12"/>
        <v>40000</v>
      </c>
      <c r="G73" s="55">
        <f t="shared" si="9"/>
        <v>40000</v>
      </c>
      <c r="H73" s="61">
        <v>0</v>
      </c>
      <c r="I73" s="56">
        <v>1</v>
      </c>
      <c r="J73" s="56">
        <v>1</v>
      </c>
      <c r="K73" s="33">
        <f t="shared" si="13"/>
        <v>40000</v>
      </c>
      <c r="L73" s="33">
        <f t="shared" si="10"/>
        <v>40000</v>
      </c>
      <c r="M73" s="33">
        <f t="shared" si="11"/>
        <v>40000</v>
      </c>
      <c r="N73" s="129"/>
      <c r="O73" s="30" t="s">
        <v>1681</v>
      </c>
    </row>
    <row r="74" spans="1:15">
      <c r="A74" s="190">
        <f t="shared" si="14"/>
        <v>70</v>
      </c>
      <c r="B74" s="50" t="s">
        <v>404</v>
      </c>
      <c r="C74" s="51">
        <v>901781</v>
      </c>
      <c r="D74" s="52">
        <v>42745</v>
      </c>
      <c r="E74" s="203">
        <v>40000</v>
      </c>
      <c r="F74" s="192">
        <f t="shared" si="12"/>
        <v>40000</v>
      </c>
      <c r="G74" s="55">
        <f t="shared" si="9"/>
        <v>40000</v>
      </c>
      <c r="H74" s="61">
        <v>0</v>
      </c>
      <c r="I74" s="56">
        <v>1</v>
      </c>
      <c r="J74" s="56">
        <v>1</v>
      </c>
      <c r="K74" s="33">
        <f t="shared" si="13"/>
        <v>40000</v>
      </c>
      <c r="L74" s="33">
        <f t="shared" si="10"/>
        <v>40000</v>
      </c>
      <c r="M74" s="33">
        <f t="shared" si="11"/>
        <v>40000</v>
      </c>
      <c r="N74" s="129"/>
      <c r="O74" s="30" t="s">
        <v>1682</v>
      </c>
    </row>
    <row r="75" spans="1:15">
      <c r="A75" s="190">
        <f t="shared" si="14"/>
        <v>71</v>
      </c>
      <c r="B75" s="50" t="s">
        <v>404</v>
      </c>
      <c r="C75" s="51">
        <v>901781</v>
      </c>
      <c r="D75" s="52">
        <v>42776</v>
      </c>
      <c r="E75" s="202">
        <v>40000</v>
      </c>
      <c r="F75" s="192">
        <f t="shared" si="12"/>
        <v>40000</v>
      </c>
      <c r="G75" s="55">
        <f t="shared" si="9"/>
        <v>40000</v>
      </c>
      <c r="H75" s="61">
        <v>0</v>
      </c>
      <c r="I75" s="56">
        <v>1</v>
      </c>
      <c r="J75" s="56">
        <v>1</v>
      </c>
      <c r="K75" s="33">
        <f t="shared" si="13"/>
        <v>40000</v>
      </c>
      <c r="L75" s="33">
        <f t="shared" si="10"/>
        <v>40000</v>
      </c>
      <c r="M75" s="33">
        <f t="shared" si="11"/>
        <v>40000</v>
      </c>
      <c r="N75" s="129"/>
      <c r="O75" s="193" t="s">
        <v>1683</v>
      </c>
    </row>
    <row r="76" spans="1:15">
      <c r="A76" s="190">
        <f t="shared" si="14"/>
        <v>72</v>
      </c>
      <c r="B76" s="50" t="s">
        <v>404</v>
      </c>
      <c r="C76" s="51">
        <v>901781</v>
      </c>
      <c r="D76" s="52">
        <v>42804</v>
      </c>
      <c r="E76" s="202">
        <v>40000</v>
      </c>
      <c r="F76" s="192">
        <f t="shared" si="12"/>
        <v>40000</v>
      </c>
      <c r="G76" s="55">
        <f t="shared" si="9"/>
        <v>40000</v>
      </c>
      <c r="H76" s="61">
        <v>0</v>
      </c>
      <c r="I76" s="56">
        <v>1</v>
      </c>
      <c r="J76" s="56">
        <v>1</v>
      </c>
      <c r="K76" s="33">
        <f t="shared" si="13"/>
        <v>40000</v>
      </c>
      <c r="L76" s="33">
        <f t="shared" si="10"/>
        <v>40000</v>
      </c>
      <c r="M76" s="33">
        <f t="shared" si="11"/>
        <v>40000</v>
      </c>
      <c r="N76" s="129"/>
      <c r="O76" s="193" t="s">
        <v>1684</v>
      </c>
    </row>
    <row r="77" spans="1:15">
      <c r="A77" s="190">
        <f t="shared" si="14"/>
        <v>73</v>
      </c>
      <c r="B77" s="50" t="s">
        <v>404</v>
      </c>
      <c r="C77" s="51">
        <v>901781</v>
      </c>
      <c r="D77" s="52">
        <v>42835</v>
      </c>
      <c r="E77" s="202">
        <v>40000</v>
      </c>
      <c r="F77" s="192">
        <f t="shared" si="12"/>
        <v>40000</v>
      </c>
      <c r="G77" s="55">
        <f t="shared" si="9"/>
        <v>40000</v>
      </c>
      <c r="H77" s="61">
        <v>0</v>
      </c>
      <c r="I77" s="56">
        <v>1</v>
      </c>
      <c r="J77" s="56">
        <v>1</v>
      </c>
      <c r="K77" s="33">
        <f t="shared" si="13"/>
        <v>40000</v>
      </c>
      <c r="L77" s="33">
        <f t="shared" si="10"/>
        <v>40000</v>
      </c>
      <c r="M77" s="33">
        <f t="shared" si="11"/>
        <v>40000</v>
      </c>
      <c r="N77" s="129"/>
      <c r="O77" s="193" t="s">
        <v>1684</v>
      </c>
    </row>
    <row r="78" spans="1:15">
      <c r="A78" s="190">
        <f t="shared" si="14"/>
        <v>74</v>
      </c>
      <c r="B78" s="50" t="s">
        <v>404</v>
      </c>
      <c r="C78" s="51">
        <v>901781</v>
      </c>
      <c r="D78" s="52">
        <v>42865</v>
      </c>
      <c r="E78" s="191">
        <v>40000</v>
      </c>
      <c r="F78" s="192">
        <f t="shared" si="12"/>
        <v>40000</v>
      </c>
      <c r="G78" s="55">
        <f t="shared" si="9"/>
        <v>40000</v>
      </c>
      <c r="H78" s="61">
        <v>0</v>
      </c>
      <c r="I78" s="56">
        <v>1</v>
      </c>
      <c r="J78" s="56">
        <v>1</v>
      </c>
      <c r="K78" s="33">
        <f t="shared" si="13"/>
        <v>40000</v>
      </c>
      <c r="L78" s="33">
        <f t="shared" si="10"/>
        <v>40000</v>
      </c>
      <c r="M78" s="33">
        <f t="shared" si="11"/>
        <v>40000</v>
      </c>
      <c r="N78" s="129"/>
      <c r="O78" s="193" t="s">
        <v>1685</v>
      </c>
    </row>
    <row r="79" spans="1:15">
      <c r="A79" s="190">
        <f t="shared" si="14"/>
        <v>75</v>
      </c>
      <c r="B79" s="50" t="s">
        <v>404</v>
      </c>
      <c r="C79" s="51">
        <v>901781</v>
      </c>
      <c r="D79" s="52">
        <v>42896</v>
      </c>
      <c r="E79" s="191">
        <v>40000</v>
      </c>
      <c r="F79" s="192">
        <f t="shared" si="12"/>
        <v>40000</v>
      </c>
      <c r="G79" s="55">
        <f t="shared" si="9"/>
        <v>40000</v>
      </c>
      <c r="H79" s="61">
        <v>0</v>
      </c>
      <c r="I79" s="56">
        <v>1</v>
      </c>
      <c r="J79" s="56">
        <v>1</v>
      </c>
      <c r="K79" s="33">
        <f t="shared" si="13"/>
        <v>40000</v>
      </c>
      <c r="L79" s="33">
        <f t="shared" si="10"/>
        <v>40000</v>
      </c>
      <c r="M79" s="33">
        <f t="shared" si="11"/>
        <v>40000</v>
      </c>
      <c r="N79" s="129"/>
      <c r="O79" s="193" t="s">
        <v>1670</v>
      </c>
    </row>
    <row r="80" spans="1:15">
      <c r="A80" s="190">
        <f t="shared" si="14"/>
        <v>76</v>
      </c>
      <c r="B80" s="50" t="s">
        <v>404</v>
      </c>
      <c r="C80" s="51">
        <v>901781</v>
      </c>
      <c r="D80" s="52">
        <v>42926</v>
      </c>
      <c r="E80" s="191">
        <v>40000</v>
      </c>
      <c r="F80" s="192">
        <f t="shared" si="12"/>
        <v>40000</v>
      </c>
      <c r="G80" s="55">
        <f t="shared" si="9"/>
        <v>40000</v>
      </c>
      <c r="H80" s="61">
        <v>0</v>
      </c>
      <c r="I80" s="56">
        <v>1</v>
      </c>
      <c r="J80" s="56">
        <v>1</v>
      </c>
      <c r="K80" s="33">
        <f t="shared" si="13"/>
        <v>40000</v>
      </c>
      <c r="L80" s="33">
        <f t="shared" si="10"/>
        <v>40000</v>
      </c>
      <c r="M80" s="33">
        <f t="shared" si="11"/>
        <v>40000</v>
      </c>
      <c r="N80" s="129"/>
      <c r="O80" s="193" t="s">
        <v>1671</v>
      </c>
    </row>
    <row r="81" spans="1:15">
      <c r="A81" s="190">
        <f t="shared" si="14"/>
        <v>77</v>
      </c>
      <c r="B81" s="50" t="s">
        <v>404</v>
      </c>
      <c r="C81" s="51">
        <v>901781</v>
      </c>
      <c r="D81" s="52">
        <v>42957</v>
      </c>
      <c r="E81" s="191">
        <v>40000</v>
      </c>
      <c r="F81" s="192">
        <f t="shared" si="12"/>
        <v>40000</v>
      </c>
      <c r="G81" s="55">
        <f t="shared" si="9"/>
        <v>40000</v>
      </c>
      <c r="H81" s="61">
        <v>0</v>
      </c>
      <c r="I81" s="56">
        <v>1</v>
      </c>
      <c r="J81" s="56">
        <v>1</v>
      </c>
      <c r="K81" s="33">
        <f t="shared" si="13"/>
        <v>40000</v>
      </c>
      <c r="L81" s="33">
        <f t="shared" si="10"/>
        <v>40000</v>
      </c>
      <c r="M81" s="33">
        <f t="shared" si="11"/>
        <v>40000</v>
      </c>
      <c r="N81" s="129"/>
      <c r="O81" s="193" t="s">
        <v>1672</v>
      </c>
    </row>
    <row r="82" spans="1:15">
      <c r="A82" s="190">
        <f t="shared" si="14"/>
        <v>78</v>
      </c>
      <c r="B82" s="50" t="s">
        <v>404</v>
      </c>
      <c r="C82" s="51">
        <v>901781</v>
      </c>
      <c r="D82" s="52">
        <v>42988</v>
      </c>
      <c r="E82" s="194">
        <v>40000</v>
      </c>
      <c r="F82" s="192">
        <f t="shared" si="12"/>
        <v>40000</v>
      </c>
      <c r="G82" s="55">
        <f t="shared" si="9"/>
        <v>40000</v>
      </c>
      <c r="H82" s="61">
        <v>0</v>
      </c>
      <c r="I82" s="56">
        <v>1</v>
      </c>
      <c r="J82" s="56">
        <v>1</v>
      </c>
      <c r="K82" s="33">
        <f t="shared" si="13"/>
        <v>40000</v>
      </c>
      <c r="L82" s="33">
        <f t="shared" si="10"/>
        <v>40000</v>
      </c>
      <c r="M82" s="33">
        <f t="shared" si="11"/>
        <v>40000</v>
      </c>
      <c r="N82" s="129"/>
      <c r="O82" s="193" t="s">
        <v>1673</v>
      </c>
    </row>
    <row r="83" spans="1:15">
      <c r="A83" s="190">
        <f t="shared" si="14"/>
        <v>79</v>
      </c>
      <c r="B83" s="50" t="s">
        <v>404</v>
      </c>
      <c r="C83" s="51">
        <v>901781</v>
      </c>
      <c r="D83" s="52">
        <v>43018</v>
      </c>
      <c r="E83" s="194">
        <v>40000</v>
      </c>
      <c r="F83" s="192">
        <f t="shared" si="12"/>
        <v>40000</v>
      </c>
      <c r="G83" s="55">
        <f t="shared" si="9"/>
        <v>40000</v>
      </c>
      <c r="H83" s="61">
        <v>0</v>
      </c>
      <c r="I83" s="56">
        <v>1</v>
      </c>
      <c r="J83" s="56">
        <v>1</v>
      </c>
      <c r="K83" s="33">
        <f t="shared" si="13"/>
        <v>40000</v>
      </c>
      <c r="L83" s="33">
        <f t="shared" si="10"/>
        <v>40000</v>
      </c>
      <c r="M83" s="33">
        <f t="shared" si="11"/>
        <v>40000</v>
      </c>
      <c r="N83" s="129"/>
      <c r="O83" s="193" t="s">
        <v>1674</v>
      </c>
    </row>
    <row r="84" spans="1:15">
      <c r="A84" s="29">
        <f t="shared" si="14"/>
        <v>80</v>
      </c>
      <c r="B84" s="50" t="s">
        <v>404</v>
      </c>
      <c r="C84" s="51">
        <v>901781</v>
      </c>
      <c r="D84" s="52">
        <v>43049</v>
      </c>
      <c r="E84" s="194">
        <v>40000</v>
      </c>
      <c r="F84" s="192">
        <f t="shared" si="12"/>
        <v>40000</v>
      </c>
      <c r="G84" s="55">
        <f t="shared" si="9"/>
        <v>40000</v>
      </c>
      <c r="H84" s="61">
        <v>0</v>
      </c>
      <c r="I84" s="56">
        <v>1</v>
      </c>
      <c r="J84" s="56">
        <v>1</v>
      </c>
      <c r="K84" s="33">
        <f t="shared" si="13"/>
        <v>40000</v>
      </c>
      <c r="L84" s="33">
        <f t="shared" si="10"/>
        <v>40000</v>
      </c>
      <c r="M84" s="185">
        <f t="shared" si="11"/>
        <v>40000</v>
      </c>
      <c r="N84" s="129"/>
      <c r="O84" s="193" t="s">
        <v>1675</v>
      </c>
    </row>
    <row r="85" spans="1:15">
      <c r="A85" s="29">
        <f t="shared" si="14"/>
        <v>81</v>
      </c>
      <c r="B85" s="50" t="s">
        <v>404</v>
      </c>
      <c r="C85" s="51">
        <v>901781</v>
      </c>
      <c r="D85" s="52">
        <v>43079</v>
      </c>
      <c r="E85" s="194">
        <v>40000</v>
      </c>
      <c r="F85" s="192">
        <f t="shared" si="12"/>
        <v>40000</v>
      </c>
      <c r="G85" s="55">
        <f t="shared" si="9"/>
        <v>40000</v>
      </c>
      <c r="H85" s="61">
        <v>0</v>
      </c>
      <c r="I85" s="56">
        <v>1</v>
      </c>
      <c r="J85" s="56">
        <v>1</v>
      </c>
      <c r="K85" s="33">
        <f t="shared" si="13"/>
        <v>40000</v>
      </c>
      <c r="L85" s="33">
        <f t="shared" si="10"/>
        <v>40000</v>
      </c>
      <c r="M85" s="185">
        <f t="shared" si="11"/>
        <v>40000</v>
      </c>
      <c r="N85" s="129"/>
      <c r="O85" s="193" t="s">
        <v>1676</v>
      </c>
    </row>
    <row r="86" spans="1:15">
      <c r="A86" s="29">
        <f t="shared" si="14"/>
        <v>82</v>
      </c>
      <c r="B86" s="50" t="s">
        <v>404</v>
      </c>
      <c r="C86" s="51">
        <v>901781</v>
      </c>
      <c r="D86" s="52">
        <v>43110</v>
      </c>
      <c r="E86" s="191">
        <v>40000</v>
      </c>
      <c r="F86" s="192">
        <f t="shared" si="12"/>
        <v>40000</v>
      </c>
      <c r="G86" s="55">
        <f t="shared" si="9"/>
        <v>40000</v>
      </c>
      <c r="H86" s="61">
        <v>0</v>
      </c>
      <c r="I86" s="56">
        <v>1</v>
      </c>
      <c r="J86" s="56">
        <v>1</v>
      </c>
      <c r="K86" s="33">
        <f t="shared" si="13"/>
        <v>40000</v>
      </c>
      <c r="L86" s="33">
        <f t="shared" si="10"/>
        <v>40000</v>
      </c>
      <c r="M86" s="185">
        <f t="shared" si="11"/>
        <v>40000</v>
      </c>
      <c r="N86" s="129"/>
      <c r="O86" s="193" t="s">
        <v>1677</v>
      </c>
    </row>
    <row r="87" spans="1:15">
      <c r="A87" s="29">
        <f t="shared" si="14"/>
        <v>83</v>
      </c>
      <c r="B87" s="50" t="s">
        <v>404</v>
      </c>
      <c r="C87" s="51">
        <v>901781</v>
      </c>
      <c r="D87" s="52">
        <v>43141</v>
      </c>
      <c r="E87" s="191">
        <v>40000</v>
      </c>
      <c r="F87" s="192">
        <f t="shared" si="12"/>
        <v>40000</v>
      </c>
      <c r="G87" s="55">
        <f t="shared" si="9"/>
        <v>40000</v>
      </c>
      <c r="H87" s="61">
        <v>0</v>
      </c>
      <c r="I87" s="56">
        <v>1</v>
      </c>
      <c r="J87" s="56">
        <v>1</v>
      </c>
      <c r="K87" s="33">
        <f t="shared" si="13"/>
        <v>40000</v>
      </c>
      <c r="L87" s="33">
        <f t="shared" si="10"/>
        <v>40000</v>
      </c>
      <c r="M87" s="185">
        <f t="shared" si="11"/>
        <v>40000</v>
      </c>
      <c r="N87" s="129"/>
      <c r="O87" s="193" t="s">
        <v>1677</v>
      </c>
    </row>
    <row r="88" spans="1:15">
      <c r="A88" s="29">
        <f t="shared" si="14"/>
        <v>84</v>
      </c>
      <c r="B88" s="50" t="s">
        <v>404</v>
      </c>
      <c r="C88" s="51">
        <v>901781</v>
      </c>
      <c r="D88" s="52">
        <v>43169</v>
      </c>
      <c r="E88" s="194">
        <v>40000</v>
      </c>
      <c r="F88" s="192">
        <f t="shared" si="12"/>
        <v>40000</v>
      </c>
      <c r="G88" s="55">
        <f t="shared" si="9"/>
        <v>40000</v>
      </c>
      <c r="H88" s="61">
        <v>0</v>
      </c>
      <c r="I88" s="56">
        <v>1</v>
      </c>
      <c r="J88" s="56">
        <v>1</v>
      </c>
      <c r="K88" s="33">
        <f t="shared" si="13"/>
        <v>40000</v>
      </c>
      <c r="L88" s="33">
        <f t="shared" si="10"/>
        <v>40000</v>
      </c>
      <c r="M88" s="185">
        <f t="shared" si="11"/>
        <v>40000</v>
      </c>
      <c r="N88" s="129"/>
      <c r="O88" s="193" t="s">
        <v>1678</v>
      </c>
    </row>
    <row r="89" spans="1:15">
      <c r="A89" s="29">
        <f t="shared" si="14"/>
        <v>85</v>
      </c>
      <c r="B89" s="50" t="s">
        <v>404</v>
      </c>
      <c r="C89" s="51">
        <v>901781</v>
      </c>
      <c r="D89" s="52">
        <v>43200</v>
      </c>
      <c r="E89" s="191">
        <v>40000</v>
      </c>
      <c r="F89" s="192">
        <f t="shared" si="12"/>
        <v>40000</v>
      </c>
      <c r="G89" s="55">
        <f t="shared" si="9"/>
        <v>40000</v>
      </c>
      <c r="H89" s="61">
        <v>0</v>
      </c>
      <c r="I89" s="56">
        <v>1</v>
      </c>
      <c r="J89" s="56">
        <v>1</v>
      </c>
      <c r="K89" s="33">
        <f t="shared" si="13"/>
        <v>40000</v>
      </c>
      <c r="L89" s="33">
        <f t="shared" si="10"/>
        <v>40000</v>
      </c>
      <c r="M89" s="185">
        <f t="shared" si="11"/>
        <v>40000</v>
      </c>
      <c r="N89" s="129"/>
      <c r="O89" s="193" t="s">
        <v>1679</v>
      </c>
    </row>
    <row r="90" spans="1:15">
      <c r="A90" s="29">
        <f t="shared" si="14"/>
        <v>86</v>
      </c>
      <c r="B90" s="50" t="s">
        <v>404</v>
      </c>
      <c r="C90" s="51">
        <v>901781</v>
      </c>
      <c r="D90" s="102">
        <v>43230</v>
      </c>
      <c r="E90" s="201">
        <v>40000</v>
      </c>
      <c r="F90" s="196">
        <f t="shared" si="12"/>
        <v>40000</v>
      </c>
      <c r="G90" s="196">
        <f>E90/I90</f>
        <v>40000</v>
      </c>
      <c r="H90" s="196">
        <v>0</v>
      </c>
      <c r="I90" s="197">
        <v>1</v>
      </c>
      <c r="J90" s="56">
        <v>1</v>
      </c>
      <c r="K90" s="198">
        <f t="shared" si="13"/>
        <v>40000</v>
      </c>
      <c r="L90" s="198">
        <f>G90*J90</f>
        <v>40000</v>
      </c>
      <c r="M90" s="199">
        <f>J90*K90</f>
        <v>40000</v>
      </c>
      <c r="N90" s="187"/>
      <c r="O90" s="200" t="s">
        <v>1680</v>
      </c>
    </row>
    <row r="91" spans="1:15">
      <c r="A91" s="29">
        <f t="shared" si="14"/>
        <v>87</v>
      </c>
      <c r="B91" s="50" t="s">
        <v>498</v>
      </c>
      <c r="C91" s="51" t="s">
        <v>499</v>
      </c>
      <c r="D91" s="52">
        <v>43169</v>
      </c>
      <c r="E91" s="194">
        <v>100000</v>
      </c>
      <c r="F91" s="192">
        <f t="shared" si="12"/>
        <v>100000</v>
      </c>
      <c r="G91" s="55">
        <f>+E91/I91</f>
        <v>100000</v>
      </c>
      <c r="H91" s="196">
        <v>0</v>
      </c>
      <c r="I91" s="56">
        <v>1</v>
      </c>
      <c r="J91" s="56">
        <v>1</v>
      </c>
      <c r="K91" s="33">
        <f t="shared" si="13"/>
        <v>100000</v>
      </c>
      <c r="L91" s="33">
        <f>+J91*K91</f>
        <v>100000</v>
      </c>
      <c r="M91" s="185">
        <f>+G91*J91</f>
        <v>100000</v>
      </c>
      <c r="N91" s="129"/>
      <c r="O91" s="193" t="s">
        <v>1678</v>
      </c>
    </row>
    <row r="92" spans="1:15">
      <c r="A92" s="29">
        <f t="shared" si="14"/>
        <v>88</v>
      </c>
      <c r="B92" s="50" t="s">
        <v>498</v>
      </c>
      <c r="C92" s="51" t="s">
        <v>499</v>
      </c>
      <c r="D92" s="52">
        <v>43200</v>
      </c>
      <c r="E92" s="191">
        <v>100000</v>
      </c>
      <c r="F92" s="192">
        <f t="shared" si="12"/>
        <v>100000</v>
      </c>
      <c r="G92" s="55">
        <f>+E92/I92</f>
        <v>100000</v>
      </c>
      <c r="H92" s="196">
        <v>0</v>
      </c>
      <c r="I92" s="56">
        <v>1</v>
      </c>
      <c r="J92" s="56">
        <v>1</v>
      </c>
      <c r="K92" s="33">
        <f t="shared" si="13"/>
        <v>100000</v>
      </c>
      <c r="L92" s="33">
        <f>+J92*K92</f>
        <v>100000</v>
      </c>
      <c r="M92" s="185">
        <f>+G92*J92</f>
        <v>100000</v>
      </c>
      <c r="N92" s="129"/>
      <c r="O92" s="193" t="s">
        <v>1679</v>
      </c>
    </row>
    <row r="93" spans="1:15">
      <c r="A93" s="29">
        <f t="shared" si="14"/>
        <v>89</v>
      </c>
      <c r="B93" s="50" t="s">
        <v>498</v>
      </c>
      <c r="C93" s="51" t="s">
        <v>499</v>
      </c>
      <c r="D93" s="52">
        <v>43200</v>
      </c>
      <c r="E93" s="191">
        <v>100000</v>
      </c>
      <c r="F93" s="192">
        <f t="shared" si="12"/>
        <v>100000</v>
      </c>
      <c r="G93" s="55">
        <f>+E93/I93</f>
        <v>100000</v>
      </c>
      <c r="H93" s="196">
        <v>0</v>
      </c>
      <c r="I93" s="56">
        <v>1</v>
      </c>
      <c r="J93" s="56">
        <v>1</v>
      </c>
      <c r="K93" s="33">
        <f t="shared" si="13"/>
        <v>100000</v>
      </c>
      <c r="L93" s="33">
        <f>+J93*K93</f>
        <v>100000</v>
      </c>
      <c r="M93" s="185">
        <f>+G93*J93</f>
        <v>100000</v>
      </c>
      <c r="N93" s="129"/>
      <c r="O93" s="193" t="s">
        <v>1679</v>
      </c>
    </row>
    <row r="94" spans="1:15">
      <c r="A94" s="29">
        <f t="shared" si="14"/>
        <v>90</v>
      </c>
      <c r="B94" s="50" t="s">
        <v>498</v>
      </c>
      <c r="C94" s="51" t="s">
        <v>499</v>
      </c>
      <c r="D94" s="102">
        <v>43230</v>
      </c>
      <c r="E94" s="201">
        <v>100000</v>
      </c>
      <c r="F94" s="196">
        <f t="shared" si="12"/>
        <v>100000</v>
      </c>
      <c r="G94" s="196">
        <f>E94/I94</f>
        <v>100000</v>
      </c>
      <c r="H94" s="196">
        <v>0</v>
      </c>
      <c r="I94" s="197">
        <v>1</v>
      </c>
      <c r="J94" s="56">
        <v>1</v>
      </c>
      <c r="K94" s="198">
        <f t="shared" si="13"/>
        <v>100000</v>
      </c>
      <c r="L94" s="198">
        <f>G94*J94</f>
        <v>100000</v>
      </c>
      <c r="M94" s="199">
        <f>J94*K94</f>
        <v>100000</v>
      </c>
      <c r="N94" s="187"/>
      <c r="O94" s="200" t="s">
        <v>1680</v>
      </c>
    </row>
    <row r="95" spans="1:15">
      <c r="A95" s="29">
        <f t="shared" si="14"/>
        <v>91</v>
      </c>
      <c r="B95" s="50" t="s">
        <v>498</v>
      </c>
      <c r="C95" s="51" t="s">
        <v>499</v>
      </c>
      <c r="D95" s="102">
        <v>43230</v>
      </c>
      <c r="E95" s="201">
        <v>100000</v>
      </c>
      <c r="F95" s="196">
        <f t="shared" si="12"/>
        <v>100000</v>
      </c>
      <c r="G95" s="196">
        <f>E95/I95</f>
        <v>100000</v>
      </c>
      <c r="H95" s="196">
        <v>0</v>
      </c>
      <c r="I95" s="197">
        <v>1</v>
      </c>
      <c r="J95" s="56">
        <v>1</v>
      </c>
      <c r="K95" s="198">
        <f t="shared" si="13"/>
        <v>100000</v>
      </c>
      <c r="L95" s="198">
        <f>G95*J95</f>
        <v>100000</v>
      </c>
      <c r="M95" s="199">
        <f>J95*K95</f>
        <v>100000</v>
      </c>
      <c r="N95" s="187"/>
      <c r="O95" s="200" t="s">
        <v>1680</v>
      </c>
    </row>
    <row r="96" spans="1:15">
      <c r="A96" s="29">
        <f t="shared" si="14"/>
        <v>92</v>
      </c>
      <c r="B96" s="50" t="s">
        <v>718</v>
      </c>
      <c r="C96" s="51">
        <v>921578</v>
      </c>
      <c r="D96" s="52">
        <v>42439</v>
      </c>
      <c r="E96" s="202">
        <v>65000</v>
      </c>
      <c r="F96" s="192">
        <f t="shared" si="12"/>
        <v>65000</v>
      </c>
      <c r="G96" s="55">
        <f t="shared" ref="G96:G115" si="15">+E96/I96</f>
        <v>65000</v>
      </c>
      <c r="H96" s="61">
        <v>0</v>
      </c>
      <c r="I96" s="56">
        <v>1</v>
      </c>
      <c r="J96" s="56">
        <v>1</v>
      </c>
      <c r="K96" s="33">
        <f t="shared" si="13"/>
        <v>65000</v>
      </c>
      <c r="L96" s="33">
        <f t="shared" ref="L96:L115" si="16">+J96*K96</f>
        <v>65000</v>
      </c>
      <c r="M96" s="33">
        <f t="shared" ref="M96:M115" si="17">+G96*J96</f>
        <v>65000</v>
      </c>
      <c r="N96" s="129"/>
      <c r="O96" s="30" t="s">
        <v>1692</v>
      </c>
    </row>
    <row r="97" spans="1:15">
      <c r="A97" s="29">
        <f t="shared" si="14"/>
        <v>93</v>
      </c>
      <c r="B97" s="50" t="s">
        <v>718</v>
      </c>
      <c r="C97" s="51">
        <v>921578</v>
      </c>
      <c r="D97" s="52">
        <v>42470</v>
      </c>
      <c r="E97" s="203">
        <v>65000</v>
      </c>
      <c r="F97" s="192">
        <f t="shared" si="12"/>
        <v>65000</v>
      </c>
      <c r="G97" s="55">
        <f t="shared" si="15"/>
        <v>65000</v>
      </c>
      <c r="H97" s="61">
        <v>0</v>
      </c>
      <c r="I97" s="56">
        <v>1</v>
      </c>
      <c r="J97" s="56">
        <v>1</v>
      </c>
      <c r="K97" s="33">
        <f t="shared" si="13"/>
        <v>65000</v>
      </c>
      <c r="L97" s="33">
        <f t="shared" si="16"/>
        <v>65000</v>
      </c>
      <c r="M97" s="33">
        <f t="shared" si="17"/>
        <v>65000</v>
      </c>
      <c r="N97" s="129"/>
      <c r="O97" s="30" t="s">
        <v>1693</v>
      </c>
    </row>
    <row r="98" spans="1:15">
      <c r="A98" s="29">
        <f t="shared" si="14"/>
        <v>94</v>
      </c>
      <c r="B98" s="50" t="s">
        <v>718</v>
      </c>
      <c r="C98" s="51">
        <v>921578</v>
      </c>
      <c r="D98" s="112">
        <v>42531</v>
      </c>
      <c r="E98" s="202">
        <v>65000</v>
      </c>
      <c r="F98" s="192">
        <f t="shared" si="12"/>
        <v>65000</v>
      </c>
      <c r="G98" s="55">
        <f t="shared" si="15"/>
        <v>65000</v>
      </c>
      <c r="H98" s="61">
        <v>0</v>
      </c>
      <c r="I98" s="56">
        <v>1</v>
      </c>
      <c r="J98" s="56">
        <v>1</v>
      </c>
      <c r="K98" s="33">
        <f t="shared" si="13"/>
        <v>65000</v>
      </c>
      <c r="L98" s="33">
        <f t="shared" si="16"/>
        <v>65000</v>
      </c>
      <c r="M98" s="33">
        <f t="shared" si="17"/>
        <v>65000</v>
      </c>
      <c r="N98" s="129"/>
      <c r="O98" s="30" t="s">
        <v>1686</v>
      </c>
    </row>
    <row r="99" spans="1:15">
      <c r="A99" s="29">
        <f t="shared" si="14"/>
        <v>95</v>
      </c>
      <c r="B99" s="50" t="s">
        <v>718</v>
      </c>
      <c r="C99" s="51">
        <v>921578</v>
      </c>
      <c r="D99" s="112">
        <v>42561</v>
      </c>
      <c r="E99" s="202">
        <v>65000</v>
      </c>
      <c r="F99" s="192">
        <f t="shared" si="12"/>
        <v>65000</v>
      </c>
      <c r="G99" s="55">
        <f t="shared" si="15"/>
        <v>65000</v>
      </c>
      <c r="H99" s="61">
        <v>0</v>
      </c>
      <c r="I99" s="56">
        <v>1</v>
      </c>
      <c r="J99" s="56">
        <v>1</v>
      </c>
      <c r="K99" s="33">
        <f t="shared" si="13"/>
        <v>65000</v>
      </c>
      <c r="L99" s="33">
        <f t="shared" si="16"/>
        <v>65000</v>
      </c>
      <c r="M99" s="33">
        <f t="shared" si="17"/>
        <v>65000</v>
      </c>
      <c r="N99" s="129"/>
      <c r="O99" s="30" t="s">
        <v>1687</v>
      </c>
    </row>
    <row r="100" spans="1:15">
      <c r="A100" s="29">
        <f t="shared" si="14"/>
        <v>96</v>
      </c>
      <c r="B100" s="50" t="s">
        <v>718</v>
      </c>
      <c r="C100" s="51">
        <v>921578</v>
      </c>
      <c r="D100" s="112">
        <v>42592</v>
      </c>
      <c r="E100" s="203">
        <v>65000</v>
      </c>
      <c r="F100" s="192">
        <f t="shared" si="12"/>
        <v>65000</v>
      </c>
      <c r="G100" s="55">
        <f t="shared" si="15"/>
        <v>65000</v>
      </c>
      <c r="H100" s="61">
        <v>0</v>
      </c>
      <c r="I100" s="56">
        <v>1</v>
      </c>
      <c r="J100" s="56">
        <v>1</v>
      </c>
      <c r="K100" s="33">
        <f t="shared" si="13"/>
        <v>65000</v>
      </c>
      <c r="L100" s="33">
        <f t="shared" si="16"/>
        <v>65000</v>
      </c>
      <c r="M100" s="33">
        <f t="shared" si="17"/>
        <v>65000</v>
      </c>
      <c r="N100" s="129"/>
      <c r="O100" s="30" t="s">
        <v>1688</v>
      </c>
    </row>
    <row r="101" spans="1:15">
      <c r="A101" s="29">
        <f t="shared" si="14"/>
        <v>97</v>
      </c>
      <c r="B101" s="50" t="s">
        <v>718</v>
      </c>
      <c r="C101" s="51">
        <v>921578</v>
      </c>
      <c r="D101" s="112">
        <v>42623</v>
      </c>
      <c r="E101" s="203">
        <v>65000</v>
      </c>
      <c r="F101" s="192">
        <f t="shared" si="12"/>
        <v>65000</v>
      </c>
      <c r="G101" s="55">
        <f t="shared" si="15"/>
        <v>65000</v>
      </c>
      <c r="H101" s="61">
        <v>0</v>
      </c>
      <c r="I101" s="56">
        <v>1</v>
      </c>
      <c r="J101" s="56">
        <v>1</v>
      </c>
      <c r="K101" s="33">
        <f t="shared" si="13"/>
        <v>65000</v>
      </c>
      <c r="L101" s="33">
        <f t="shared" si="16"/>
        <v>65000</v>
      </c>
      <c r="M101" s="33">
        <f t="shared" si="17"/>
        <v>65000</v>
      </c>
      <c r="N101" s="129"/>
      <c r="O101" s="30" t="s">
        <v>1689</v>
      </c>
    </row>
    <row r="102" spans="1:15">
      <c r="A102" s="29">
        <f t="shared" si="14"/>
        <v>98</v>
      </c>
      <c r="B102" s="50" t="s">
        <v>718</v>
      </c>
      <c r="C102" s="51">
        <v>921578</v>
      </c>
      <c r="D102" s="112">
        <v>42653</v>
      </c>
      <c r="E102" s="202">
        <v>65000</v>
      </c>
      <c r="F102" s="192">
        <f t="shared" si="12"/>
        <v>65000</v>
      </c>
      <c r="G102" s="55">
        <f t="shared" si="15"/>
        <v>65000</v>
      </c>
      <c r="H102" s="61">
        <v>0</v>
      </c>
      <c r="I102" s="56">
        <v>1</v>
      </c>
      <c r="J102" s="56">
        <v>1</v>
      </c>
      <c r="K102" s="33">
        <f t="shared" si="13"/>
        <v>65000</v>
      </c>
      <c r="L102" s="33">
        <f t="shared" si="16"/>
        <v>65000</v>
      </c>
      <c r="M102" s="33">
        <f t="shared" si="17"/>
        <v>65000</v>
      </c>
      <c r="N102" s="129"/>
      <c r="O102" s="30" t="s">
        <v>1690</v>
      </c>
    </row>
    <row r="103" spans="1:15">
      <c r="A103" s="29">
        <f t="shared" si="14"/>
        <v>99</v>
      </c>
      <c r="B103" s="50" t="s">
        <v>718</v>
      </c>
      <c r="C103" s="51">
        <v>921578</v>
      </c>
      <c r="D103" s="112">
        <v>42684</v>
      </c>
      <c r="E103" s="203">
        <v>65000</v>
      </c>
      <c r="F103" s="192">
        <f t="shared" si="12"/>
        <v>65000</v>
      </c>
      <c r="G103" s="55">
        <f t="shared" si="15"/>
        <v>65000</v>
      </c>
      <c r="H103" s="61">
        <v>0</v>
      </c>
      <c r="I103" s="56">
        <v>1</v>
      </c>
      <c r="J103" s="56">
        <v>1</v>
      </c>
      <c r="K103" s="33">
        <f t="shared" si="13"/>
        <v>65000</v>
      </c>
      <c r="L103" s="33">
        <f t="shared" si="16"/>
        <v>65000</v>
      </c>
      <c r="M103" s="33">
        <f t="shared" si="17"/>
        <v>65000</v>
      </c>
      <c r="N103" s="129"/>
      <c r="O103" s="30" t="s">
        <v>1691</v>
      </c>
    </row>
    <row r="104" spans="1:15">
      <c r="A104" s="29">
        <f t="shared" si="14"/>
        <v>100</v>
      </c>
      <c r="B104" s="50" t="s">
        <v>718</v>
      </c>
      <c r="C104" s="51">
        <v>921578</v>
      </c>
      <c r="D104" s="52">
        <v>42745</v>
      </c>
      <c r="E104" s="203">
        <v>65000</v>
      </c>
      <c r="F104" s="192">
        <f t="shared" si="12"/>
        <v>65000</v>
      </c>
      <c r="G104" s="55">
        <f t="shared" si="15"/>
        <v>65000</v>
      </c>
      <c r="H104" s="61">
        <v>0</v>
      </c>
      <c r="I104" s="56">
        <v>1</v>
      </c>
      <c r="J104" s="56">
        <v>1</v>
      </c>
      <c r="K104" s="33">
        <f t="shared" si="13"/>
        <v>65000</v>
      </c>
      <c r="L104" s="33">
        <f t="shared" si="16"/>
        <v>65000</v>
      </c>
      <c r="M104" s="33">
        <f t="shared" si="17"/>
        <v>65000</v>
      </c>
      <c r="N104" s="129"/>
      <c r="O104" s="30" t="s">
        <v>1682</v>
      </c>
    </row>
    <row r="105" spans="1:15">
      <c r="A105" s="29">
        <f t="shared" si="14"/>
        <v>101</v>
      </c>
      <c r="B105" s="50" t="s">
        <v>718</v>
      </c>
      <c r="C105" s="51">
        <v>921578</v>
      </c>
      <c r="D105" s="52">
        <v>42776</v>
      </c>
      <c r="E105" s="202">
        <v>65000</v>
      </c>
      <c r="F105" s="192">
        <f t="shared" si="12"/>
        <v>65000</v>
      </c>
      <c r="G105" s="55">
        <f t="shared" si="15"/>
        <v>65000</v>
      </c>
      <c r="H105" s="61">
        <v>0</v>
      </c>
      <c r="I105" s="56">
        <v>1</v>
      </c>
      <c r="J105" s="56">
        <v>1</v>
      </c>
      <c r="K105" s="33">
        <f t="shared" si="13"/>
        <v>65000</v>
      </c>
      <c r="L105" s="33">
        <f t="shared" si="16"/>
        <v>65000</v>
      </c>
      <c r="M105" s="33">
        <f t="shared" si="17"/>
        <v>65000</v>
      </c>
      <c r="N105" s="129"/>
      <c r="O105" s="193" t="s">
        <v>1683</v>
      </c>
    </row>
    <row r="106" spans="1:15">
      <c r="A106" s="29">
        <f t="shared" si="14"/>
        <v>102</v>
      </c>
      <c r="B106" s="50" t="s">
        <v>718</v>
      </c>
      <c r="C106" s="51">
        <v>921578</v>
      </c>
      <c r="D106" s="52">
        <v>42804</v>
      </c>
      <c r="E106" s="202">
        <v>65000</v>
      </c>
      <c r="F106" s="192">
        <f t="shared" si="12"/>
        <v>65000</v>
      </c>
      <c r="G106" s="55">
        <f t="shared" si="15"/>
        <v>65000</v>
      </c>
      <c r="H106" s="61">
        <v>0</v>
      </c>
      <c r="I106" s="56">
        <v>1</v>
      </c>
      <c r="J106" s="56">
        <v>1</v>
      </c>
      <c r="K106" s="33">
        <f t="shared" si="13"/>
        <v>65000</v>
      </c>
      <c r="L106" s="33">
        <f t="shared" si="16"/>
        <v>65000</v>
      </c>
      <c r="M106" s="33">
        <f t="shared" si="17"/>
        <v>65000</v>
      </c>
      <c r="N106" s="129"/>
      <c r="O106" s="193" t="s">
        <v>1684</v>
      </c>
    </row>
    <row r="107" spans="1:15">
      <c r="A107" s="29">
        <f t="shared" si="14"/>
        <v>103</v>
      </c>
      <c r="B107" s="50" t="s">
        <v>718</v>
      </c>
      <c r="C107" s="51">
        <v>921578</v>
      </c>
      <c r="D107" s="52">
        <v>42835</v>
      </c>
      <c r="E107" s="202">
        <v>65000</v>
      </c>
      <c r="F107" s="192">
        <f t="shared" si="12"/>
        <v>65000</v>
      </c>
      <c r="G107" s="55">
        <f t="shared" si="15"/>
        <v>65000</v>
      </c>
      <c r="H107" s="61">
        <v>0</v>
      </c>
      <c r="I107" s="56">
        <v>1</v>
      </c>
      <c r="J107" s="56">
        <v>1</v>
      </c>
      <c r="K107" s="33">
        <f t="shared" si="13"/>
        <v>65000</v>
      </c>
      <c r="L107" s="33">
        <f t="shared" si="16"/>
        <v>65000</v>
      </c>
      <c r="M107" s="33">
        <f t="shared" si="17"/>
        <v>65000</v>
      </c>
      <c r="N107" s="129"/>
      <c r="O107" s="193" t="s">
        <v>1684</v>
      </c>
    </row>
    <row r="108" spans="1:15">
      <c r="A108" s="29">
        <f t="shared" si="14"/>
        <v>104</v>
      </c>
      <c r="B108" s="50" t="s">
        <v>718</v>
      </c>
      <c r="C108" s="51">
        <v>921578</v>
      </c>
      <c r="D108" s="52">
        <v>42865</v>
      </c>
      <c r="E108" s="191">
        <v>65000</v>
      </c>
      <c r="F108" s="192">
        <f t="shared" si="12"/>
        <v>65000</v>
      </c>
      <c r="G108" s="55">
        <f t="shared" si="15"/>
        <v>65000</v>
      </c>
      <c r="H108" s="61">
        <v>0</v>
      </c>
      <c r="I108" s="56">
        <v>1</v>
      </c>
      <c r="J108" s="56">
        <v>1</v>
      </c>
      <c r="K108" s="33">
        <f t="shared" si="13"/>
        <v>65000</v>
      </c>
      <c r="L108" s="33">
        <f t="shared" si="16"/>
        <v>65000</v>
      </c>
      <c r="M108" s="33">
        <f t="shared" si="17"/>
        <v>65000</v>
      </c>
      <c r="N108" s="129"/>
      <c r="O108" s="193" t="s">
        <v>1685</v>
      </c>
    </row>
    <row r="109" spans="1:15">
      <c r="A109" s="29">
        <f t="shared" si="14"/>
        <v>105</v>
      </c>
      <c r="B109" s="50" t="s">
        <v>718</v>
      </c>
      <c r="C109" s="51">
        <v>921578</v>
      </c>
      <c r="D109" s="52">
        <v>42896</v>
      </c>
      <c r="E109" s="191">
        <v>65000</v>
      </c>
      <c r="F109" s="192">
        <f t="shared" si="12"/>
        <v>65000</v>
      </c>
      <c r="G109" s="55">
        <f t="shared" si="15"/>
        <v>65000</v>
      </c>
      <c r="H109" s="61">
        <v>0</v>
      </c>
      <c r="I109" s="56">
        <v>1</v>
      </c>
      <c r="J109" s="56">
        <v>1</v>
      </c>
      <c r="K109" s="33">
        <f t="shared" si="13"/>
        <v>65000</v>
      </c>
      <c r="L109" s="33">
        <f t="shared" si="16"/>
        <v>65000</v>
      </c>
      <c r="M109" s="33">
        <f t="shared" si="17"/>
        <v>65000</v>
      </c>
      <c r="N109" s="129"/>
      <c r="O109" s="193" t="s">
        <v>1670</v>
      </c>
    </row>
    <row r="110" spans="1:15">
      <c r="A110" s="29">
        <f t="shared" si="14"/>
        <v>106</v>
      </c>
      <c r="B110" s="50" t="s">
        <v>718</v>
      </c>
      <c r="C110" s="51">
        <v>921578</v>
      </c>
      <c r="D110" s="52">
        <v>42926</v>
      </c>
      <c r="E110" s="191">
        <v>65000</v>
      </c>
      <c r="F110" s="192">
        <f t="shared" si="12"/>
        <v>65000</v>
      </c>
      <c r="G110" s="55">
        <f t="shared" si="15"/>
        <v>65000</v>
      </c>
      <c r="H110" s="61">
        <v>0</v>
      </c>
      <c r="I110" s="56">
        <v>1</v>
      </c>
      <c r="J110" s="56">
        <v>1</v>
      </c>
      <c r="K110" s="33">
        <f t="shared" si="13"/>
        <v>65000</v>
      </c>
      <c r="L110" s="33">
        <f t="shared" si="16"/>
        <v>65000</v>
      </c>
      <c r="M110" s="33">
        <f t="shared" si="17"/>
        <v>65000</v>
      </c>
      <c r="N110" s="129"/>
      <c r="O110" s="193" t="s">
        <v>1671</v>
      </c>
    </row>
    <row r="111" spans="1:15">
      <c r="A111" s="29">
        <f t="shared" si="14"/>
        <v>107</v>
      </c>
      <c r="B111" s="50" t="s">
        <v>718</v>
      </c>
      <c r="C111" s="51">
        <v>921578</v>
      </c>
      <c r="D111" s="52">
        <v>42957</v>
      </c>
      <c r="E111" s="191">
        <v>65000</v>
      </c>
      <c r="F111" s="192">
        <f t="shared" si="12"/>
        <v>65000</v>
      </c>
      <c r="G111" s="55">
        <f t="shared" si="15"/>
        <v>65000</v>
      </c>
      <c r="H111" s="61">
        <v>0</v>
      </c>
      <c r="I111" s="56">
        <v>1</v>
      </c>
      <c r="J111" s="56">
        <v>1</v>
      </c>
      <c r="K111" s="33">
        <f t="shared" si="13"/>
        <v>65000</v>
      </c>
      <c r="L111" s="33">
        <f t="shared" si="16"/>
        <v>65000</v>
      </c>
      <c r="M111" s="33">
        <f t="shared" si="17"/>
        <v>65000</v>
      </c>
      <c r="N111" s="129"/>
      <c r="O111" s="193" t="s">
        <v>1672</v>
      </c>
    </row>
    <row r="112" spans="1:15">
      <c r="A112" s="29">
        <f t="shared" si="14"/>
        <v>108</v>
      </c>
      <c r="B112" s="50" t="s">
        <v>718</v>
      </c>
      <c r="C112" s="51">
        <v>921578</v>
      </c>
      <c r="D112" s="52">
        <v>43018</v>
      </c>
      <c r="E112" s="194">
        <v>65000</v>
      </c>
      <c r="F112" s="192">
        <f t="shared" si="12"/>
        <v>65000</v>
      </c>
      <c r="G112" s="55">
        <f t="shared" si="15"/>
        <v>65000</v>
      </c>
      <c r="H112" s="61">
        <v>0</v>
      </c>
      <c r="I112" s="56">
        <v>1</v>
      </c>
      <c r="J112" s="56">
        <v>1</v>
      </c>
      <c r="K112" s="33">
        <f t="shared" si="13"/>
        <v>65000</v>
      </c>
      <c r="L112" s="33">
        <f t="shared" si="16"/>
        <v>65000</v>
      </c>
      <c r="M112" s="33">
        <f t="shared" si="17"/>
        <v>65000</v>
      </c>
      <c r="N112" s="129"/>
      <c r="O112" s="193" t="s">
        <v>1674</v>
      </c>
    </row>
    <row r="113" spans="1:15">
      <c r="A113" s="29">
        <f t="shared" si="14"/>
        <v>109</v>
      </c>
      <c r="B113" s="50" t="s">
        <v>718</v>
      </c>
      <c r="C113" s="51">
        <v>921578</v>
      </c>
      <c r="D113" s="52">
        <v>43110</v>
      </c>
      <c r="E113" s="191">
        <v>65000</v>
      </c>
      <c r="F113" s="192">
        <f t="shared" si="12"/>
        <v>65000</v>
      </c>
      <c r="G113" s="55">
        <f t="shared" si="15"/>
        <v>65000</v>
      </c>
      <c r="H113" s="61">
        <v>0</v>
      </c>
      <c r="I113" s="56">
        <v>1</v>
      </c>
      <c r="J113" s="56">
        <v>1</v>
      </c>
      <c r="K113" s="33">
        <f t="shared" si="13"/>
        <v>65000</v>
      </c>
      <c r="L113" s="33">
        <f t="shared" si="16"/>
        <v>65000</v>
      </c>
      <c r="M113" s="185">
        <f t="shared" si="17"/>
        <v>65000</v>
      </c>
      <c r="N113" s="129"/>
      <c r="O113" s="193" t="s">
        <v>1677</v>
      </c>
    </row>
    <row r="114" spans="1:15">
      <c r="A114" s="29">
        <f t="shared" si="14"/>
        <v>110</v>
      </c>
      <c r="B114" s="50" t="s">
        <v>718</v>
      </c>
      <c r="C114" s="51">
        <v>921578</v>
      </c>
      <c r="D114" s="52">
        <v>43141</v>
      </c>
      <c r="E114" s="191">
        <v>65000</v>
      </c>
      <c r="F114" s="192">
        <f t="shared" si="12"/>
        <v>65000</v>
      </c>
      <c r="G114" s="55">
        <f t="shared" si="15"/>
        <v>65000</v>
      </c>
      <c r="H114" s="61">
        <v>0</v>
      </c>
      <c r="I114" s="56">
        <v>1</v>
      </c>
      <c r="J114" s="56">
        <v>1</v>
      </c>
      <c r="K114" s="33">
        <f t="shared" si="13"/>
        <v>65000</v>
      </c>
      <c r="L114" s="33">
        <f t="shared" si="16"/>
        <v>65000</v>
      </c>
      <c r="M114" s="185">
        <f t="shared" si="17"/>
        <v>65000</v>
      </c>
      <c r="N114" s="129"/>
      <c r="O114" s="193" t="s">
        <v>1677</v>
      </c>
    </row>
    <row r="115" spans="1:15">
      <c r="A115" s="29">
        <f t="shared" si="14"/>
        <v>111</v>
      </c>
      <c r="B115" s="50" t="s">
        <v>718</v>
      </c>
      <c r="C115" s="51">
        <v>921578</v>
      </c>
      <c r="D115" s="52">
        <v>43200</v>
      </c>
      <c r="E115" s="191">
        <v>65000</v>
      </c>
      <c r="F115" s="192">
        <f t="shared" si="12"/>
        <v>65000</v>
      </c>
      <c r="G115" s="55">
        <f t="shared" si="15"/>
        <v>65000</v>
      </c>
      <c r="H115" s="61">
        <v>0</v>
      </c>
      <c r="I115" s="56">
        <v>1</v>
      </c>
      <c r="J115" s="56">
        <v>1</v>
      </c>
      <c r="K115" s="33">
        <f t="shared" si="13"/>
        <v>65000</v>
      </c>
      <c r="L115" s="33">
        <f t="shared" si="16"/>
        <v>65000</v>
      </c>
      <c r="M115" s="185">
        <f t="shared" si="17"/>
        <v>65000</v>
      </c>
      <c r="N115" s="129"/>
      <c r="O115" s="193" t="s">
        <v>1679</v>
      </c>
    </row>
    <row r="116" spans="1:15">
      <c r="A116" s="29">
        <f t="shared" si="14"/>
        <v>112</v>
      </c>
      <c r="B116" s="50" t="s">
        <v>718</v>
      </c>
      <c r="C116" s="51">
        <v>921578</v>
      </c>
      <c r="D116" s="102">
        <v>43230</v>
      </c>
      <c r="E116" s="201">
        <v>65000</v>
      </c>
      <c r="F116" s="196">
        <f t="shared" si="12"/>
        <v>65000</v>
      </c>
      <c r="G116" s="196">
        <f>E116/I116</f>
        <v>65000</v>
      </c>
      <c r="H116" s="196">
        <v>0</v>
      </c>
      <c r="I116" s="197">
        <v>1</v>
      </c>
      <c r="J116" s="56">
        <v>1</v>
      </c>
      <c r="K116" s="198">
        <f t="shared" si="13"/>
        <v>65000</v>
      </c>
      <c r="L116" s="198">
        <f>G116*J116</f>
        <v>65000</v>
      </c>
      <c r="M116" s="199">
        <f>J116*K116</f>
        <v>65000</v>
      </c>
      <c r="N116" s="187"/>
      <c r="O116" s="200" t="s">
        <v>1680</v>
      </c>
    </row>
    <row r="117" spans="1:15">
      <c r="A117" s="29">
        <f t="shared" si="14"/>
        <v>113</v>
      </c>
      <c r="B117" s="50" t="s">
        <v>835</v>
      </c>
      <c r="C117" s="51" t="s">
        <v>836</v>
      </c>
      <c r="D117" s="52">
        <v>42957</v>
      </c>
      <c r="E117" s="191">
        <v>67500</v>
      </c>
      <c r="F117" s="192">
        <f t="shared" si="12"/>
        <v>67500</v>
      </c>
      <c r="G117" s="55">
        <f t="shared" ref="G117:G134" si="18">+E117/I117</f>
        <v>67500</v>
      </c>
      <c r="H117" s="61">
        <v>0</v>
      </c>
      <c r="I117" s="56">
        <v>1</v>
      </c>
      <c r="J117" s="56">
        <v>1</v>
      </c>
      <c r="K117" s="33">
        <f t="shared" si="13"/>
        <v>67500</v>
      </c>
      <c r="L117" s="33">
        <f t="shared" ref="L117:L134" si="19">+J117*K117</f>
        <v>67500</v>
      </c>
      <c r="M117" s="33">
        <f t="shared" ref="M117:M134" si="20">+G117*J117</f>
        <v>67500</v>
      </c>
      <c r="N117" s="129"/>
      <c r="O117" s="193" t="s">
        <v>1672</v>
      </c>
    </row>
    <row r="118" spans="1:15">
      <c r="A118" s="29">
        <f t="shared" si="14"/>
        <v>114</v>
      </c>
      <c r="B118" s="50" t="s">
        <v>835</v>
      </c>
      <c r="C118" s="51" t="s">
        <v>836</v>
      </c>
      <c r="D118" s="52">
        <v>42957</v>
      </c>
      <c r="E118" s="191">
        <v>67500</v>
      </c>
      <c r="F118" s="192">
        <f t="shared" si="12"/>
        <v>67500</v>
      </c>
      <c r="G118" s="55">
        <f t="shared" si="18"/>
        <v>67500</v>
      </c>
      <c r="H118" s="61">
        <v>0</v>
      </c>
      <c r="I118" s="56">
        <v>1</v>
      </c>
      <c r="J118" s="56">
        <v>1</v>
      </c>
      <c r="K118" s="33">
        <f t="shared" si="13"/>
        <v>67500</v>
      </c>
      <c r="L118" s="33">
        <f t="shared" si="19"/>
        <v>67500</v>
      </c>
      <c r="M118" s="33">
        <f t="shared" si="20"/>
        <v>67500</v>
      </c>
      <c r="N118" s="129"/>
      <c r="O118" s="193" t="s">
        <v>1672</v>
      </c>
    </row>
    <row r="119" spans="1:15">
      <c r="A119" s="29">
        <f t="shared" si="14"/>
        <v>115</v>
      </c>
      <c r="B119" s="50" t="s">
        <v>835</v>
      </c>
      <c r="C119" s="51" t="s">
        <v>836</v>
      </c>
      <c r="D119" s="52">
        <v>42988</v>
      </c>
      <c r="E119" s="194">
        <v>67500</v>
      </c>
      <c r="F119" s="192">
        <f t="shared" si="12"/>
        <v>67500</v>
      </c>
      <c r="G119" s="55">
        <f t="shared" si="18"/>
        <v>67500</v>
      </c>
      <c r="H119" s="61">
        <v>0</v>
      </c>
      <c r="I119" s="56">
        <v>1</v>
      </c>
      <c r="J119" s="56">
        <v>1</v>
      </c>
      <c r="K119" s="33">
        <f t="shared" si="13"/>
        <v>67500</v>
      </c>
      <c r="L119" s="33">
        <f t="shared" si="19"/>
        <v>67500</v>
      </c>
      <c r="M119" s="33">
        <f t="shared" si="20"/>
        <v>67500</v>
      </c>
      <c r="N119" s="129"/>
      <c r="O119" s="193" t="s">
        <v>1673</v>
      </c>
    </row>
    <row r="120" spans="1:15">
      <c r="A120" s="29">
        <f t="shared" si="14"/>
        <v>116</v>
      </c>
      <c r="B120" s="50" t="s">
        <v>835</v>
      </c>
      <c r="C120" s="51" t="s">
        <v>836</v>
      </c>
      <c r="D120" s="52">
        <v>42988</v>
      </c>
      <c r="E120" s="194">
        <v>67500</v>
      </c>
      <c r="F120" s="192">
        <f t="shared" si="12"/>
        <v>67500</v>
      </c>
      <c r="G120" s="55">
        <f t="shared" si="18"/>
        <v>67500</v>
      </c>
      <c r="H120" s="61">
        <v>0</v>
      </c>
      <c r="I120" s="56">
        <v>1</v>
      </c>
      <c r="J120" s="56">
        <v>1</v>
      </c>
      <c r="K120" s="33">
        <f t="shared" si="13"/>
        <v>67500</v>
      </c>
      <c r="L120" s="33">
        <f t="shared" si="19"/>
        <v>67500</v>
      </c>
      <c r="M120" s="33">
        <f t="shared" si="20"/>
        <v>67500</v>
      </c>
      <c r="N120" s="129"/>
      <c r="O120" s="193" t="s">
        <v>1673</v>
      </c>
    </row>
    <row r="121" spans="1:15">
      <c r="A121" s="29">
        <f t="shared" si="14"/>
        <v>117</v>
      </c>
      <c r="B121" s="50" t="s">
        <v>835</v>
      </c>
      <c r="C121" s="51" t="s">
        <v>836</v>
      </c>
      <c r="D121" s="52">
        <v>43018</v>
      </c>
      <c r="E121" s="194">
        <v>67500</v>
      </c>
      <c r="F121" s="192">
        <f t="shared" si="12"/>
        <v>67500</v>
      </c>
      <c r="G121" s="55">
        <f t="shared" si="18"/>
        <v>67500</v>
      </c>
      <c r="H121" s="61">
        <v>0</v>
      </c>
      <c r="I121" s="56">
        <v>1</v>
      </c>
      <c r="J121" s="56">
        <v>1</v>
      </c>
      <c r="K121" s="33">
        <f t="shared" si="13"/>
        <v>67500</v>
      </c>
      <c r="L121" s="33">
        <f t="shared" si="19"/>
        <v>67500</v>
      </c>
      <c r="M121" s="33">
        <f t="shared" si="20"/>
        <v>67500</v>
      </c>
      <c r="N121" s="129"/>
      <c r="O121" s="193" t="s">
        <v>1674</v>
      </c>
    </row>
    <row r="122" spans="1:15">
      <c r="A122" s="29">
        <f t="shared" si="14"/>
        <v>118</v>
      </c>
      <c r="B122" s="50" t="s">
        <v>835</v>
      </c>
      <c r="C122" s="51" t="s">
        <v>836</v>
      </c>
      <c r="D122" s="52">
        <v>43018</v>
      </c>
      <c r="E122" s="194">
        <v>67500</v>
      </c>
      <c r="F122" s="192">
        <f t="shared" si="12"/>
        <v>67500</v>
      </c>
      <c r="G122" s="55">
        <f t="shared" si="18"/>
        <v>67500</v>
      </c>
      <c r="H122" s="61">
        <v>0</v>
      </c>
      <c r="I122" s="56">
        <v>1</v>
      </c>
      <c r="J122" s="56">
        <v>1</v>
      </c>
      <c r="K122" s="33">
        <f t="shared" si="13"/>
        <v>67500</v>
      </c>
      <c r="L122" s="33">
        <f t="shared" si="19"/>
        <v>67500</v>
      </c>
      <c r="M122" s="33">
        <f t="shared" si="20"/>
        <v>67500</v>
      </c>
      <c r="N122" s="129"/>
      <c r="O122" s="193" t="s">
        <v>1674</v>
      </c>
    </row>
    <row r="123" spans="1:15">
      <c r="A123" s="29">
        <f t="shared" si="14"/>
        <v>119</v>
      </c>
      <c r="B123" s="50" t="s">
        <v>835</v>
      </c>
      <c r="C123" s="51" t="s">
        <v>836</v>
      </c>
      <c r="D123" s="52">
        <v>43049</v>
      </c>
      <c r="E123" s="194">
        <v>67500</v>
      </c>
      <c r="F123" s="192">
        <f t="shared" si="12"/>
        <v>67500</v>
      </c>
      <c r="G123" s="55">
        <f t="shared" si="18"/>
        <v>67500</v>
      </c>
      <c r="H123" s="61">
        <v>0</v>
      </c>
      <c r="I123" s="56">
        <v>1</v>
      </c>
      <c r="J123" s="56">
        <v>1</v>
      </c>
      <c r="K123" s="33">
        <f t="shared" si="13"/>
        <v>67500</v>
      </c>
      <c r="L123" s="33">
        <f t="shared" si="19"/>
        <v>67500</v>
      </c>
      <c r="M123" s="185">
        <f t="shared" si="20"/>
        <v>67500</v>
      </c>
      <c r="N123" s="129"/>
      <c r="O123" s="193" t="s">
        <v>1675</v>
      </c>
    </row>
    <row r="124" spans="1:15">
      <c r="A124" s="29">
        <f t="shared" si="14"/>
        <v>120</v>
      </c>
      <c r="B124" s="50" t="s">
        <v>835</v>
      </c>
      <c r="C124" s="51" t="s">
        <v>836</v>
      </c>
      <c r="D124" s="52">
        <v>43049</v>
      </c>
      <c r="E124" s="194">
        <v>67500</v>
      </c>
      <c r="F124" s="192">
        <f t="shared" si="12"/>
        <v>67500</v>
      </c>
      <c r="G124" s="55">
        <f t="shared" si="18"/>
        <v>67500</v>
      </c>
      <c r="H124" s="61">
        <v>0</v>
      </c>
      <c r="I124" s="56">
        <v>1</v>
      </c>
      <c r="J124" s="56">
        <v>1</v>
      </c>
      <c r="K124" s="33">
        <f t="shared" si="13"/>
        <v>67500</v>
      </c>
      <c r="L124" s="33">
        <f t="shared" si="19"/>
        <v>67500</v>
      </c>
      <c r="M124" s="185">
        <f t="shared" si="20"/>
        <v>67500</v>
      </c>
      <c r="N124" s="129"/>
      <c r="O124" s="193" t="s">
        <v>1675</v>
      </c>
    </row>
    <row r="125" spans="1:15">
      <c r="A125" s="29">
        <f t="shared" si="14"/>
        <v>121</v>
      </c>
      <c r="B125" s="50" t="s">
        <v>835</v>
      </c>
      <c r="C125" s="51" t="s">
        <v>836</v>
      </c>
      <c r="D125" s="52">
        <v>43079</v>
      </c>
      <c r="E125" s="194">
        <v>67500</v>
      </c>
      <c r="F125" s="192">
        <f t="shared" si="12"/>
        <v>67500</v>
      </c>
      <c r="G125" s="55">
        <f t="shared" si="18"/>
        <v>67500</v>
      </c>
      <c r="H125" s="61">
        <v>0</v>
      </c>
      <c r="I125" s="56">
        <v>1</v>
      </c>
      <c r="J125" s="56">
        <v>1</v>
      </c>
      <c r="K125" s="33">
        <f t="shared" si="13"/>
        <v>67500</v>
      </c>
      <c r="L125" s="33">
        <f t="shared" si="19"/>
        <v>67500</v>
      </c>
      <c r="M125" s="185">
        <f t="shared" si="20"/>
        <v>67500</v>
      </c>
      <c r="N125" s="129"/>
      <c r="O125" s="193" t="s">
        <v>1676</v>
      </c>
    </row>
    <row r="126" spans="1:15">
      <c r="A126" s="29">
        <f t="shared" si="14"/>
        <v>122</v>
      </c>
      <c r="B126" s="50" t="s">
        <v>835</v>
      </c>
      <c r="C126" s="51" t="s">
        <v>836</v>
      </c>
      <c r="D126" s="52">
        <v>43079</v>
      </c>
      <c r="E126" s="194">
        <v>67500</v>
      </c>
      <c r="F126" s="192">
        <f t="shared" si="12"/>
        <v>67500</v>
      </c>
      <c r="G126" s="55">
        <f t="shared" si="18"/>
        <v>67500</v>
      </c>
      <c r="H126" s="61">
        <v>0</v>
      </c>
      <c r="I126" s="56">
        <v>1</v>
      </c>
      <c r="J126" s="56">
        <v>1</v>
      </c>
      <c r="K126" s="33">
        <f t="shared" si="13"/>
        <v>67500</v>
      </c>
      <c r="L126" s="33">
        <f t="shared" si="19"/>
        <v>67500</v>
      </c>
      <c r="M126" s="185">
        <f t="shared" si="20"/>
        <v>67500</v>
      </c>
      <c r="N126" s="129"/>
      <c r="O126" s="193" t="s">
        <v>1676</v>
      </c>
    </row>
    <row r="127" spans="1:15">
      <c r="A127" s="29">
        <f t="shared" si="14"/>
        <v>123</v>
      </c>
      <c r="B127" s="50" t="s">
        <v>835</v>
      </c>
      <c r="C127" s="51" t="s">
        <v>836</v>
      </c>
      <c r="D127" s="52">
        <v>43110</v>
      </c>
      <c r="E127" s="191">
        <v>67500</v>
      </c>
      <c r="F127" s="192">
        <f t="shared" si="12"/>
        <v>67500</v>
      </c>
      <c r="G127" s="55">
        <f t="shared" si="18"/>
        <v>67500</v>
      </c>
      <c r="H127" s="61">
        <v>0</v>
      </c>
      <c r="I127" s="56">
        <v>1</v>
      </c>
      <c r="J127" s="56">
        <v>1</v>
      </c>
      <c r="K127" s="33">
        <f t="shared" si="13"/>
        <v>67500</v>
      </c>
      <c r="L127" s="33">
        <f t="shared" si="19"/>
        <v>67500</v>
      </c>
      <c r="M127" s="185">
        <f t="shared" si="20"/>
        <v>67500</v>
      </c>
      <c r="N127" s="129"/>
      <c r="O127" s="193" t="s">
        <v>1677</v>
      </c>
    </row>
    <row r="128" spans="1:15">
      <c r="A128" s="29">
        <f t="shared" si="14"/>
        <v>124</v>
      </c>
      <c r="B128" s="50" t="s">
        <v>835</v>
      </c>
      <c r="C128" s="51" t="s">
        <v>836</v>
      </c>
      <c r="D128" s="52">
        <v>43110</v>
      </c>
      <c r="E128" s="191">
        <v>67500</v>
      </c>
      <c r="F128" s="192">
        <f t="shared" si="12"/>
        <v>67500</v>
      </c>
      <c r="G128" s="55">
        <f t="shared" si="18"/>
        <v>67500</v>
      </c>
      <c r="H128" s="61">
        <v>0</v>
      </c>
      <c r="I128" s="56">
        <v>1</v>
      </c>
      <c r="J128" s="56">
        <v>1</v>
      </c>
      <c r="K128" s="33">
        <f t="shared" si="13"/>
        <v>67500</v>
      </c>
      <c r="L128" s="33">
        <f t="shared" si="19"/>
        <v>67500</v>
      </c>
      <c r="M128" s="185">
        <f t="shared" si="20"/>
        <v>67500</v>
      </c>
      <c r="N128" s="129"/>
      <c r="O128" s="193" t="s">
        <v>1677</v>
      </c>
    </row>
    <row r="129" spans="1:15">
      <c r="A129" s="29">
        <f t="shared" si="14"/>
        <v>125</v>
      </c>
      <c r="B129" s="50" t="s">
        <v>835</v>
      </c>
      <c r="C129" s="51" t="s">
        <v>836</v>
      </c>
      <c r="D129" s="52">
        <v>43141</v>
      </c>
      <c r="E129" s="191">
        <v>67500</v>
      </c>
      <c r="F129" s="192">
        <f t="shared" si="12"/>
        <v>67500</v>
      </c>
      <c r="G129" s="55">
        <f t="shared" si="18"/>
        <v>67500</v>
      </c>
      <c r="H129" s="61">
        <v>0</v>
      </c>
      <c r="I129" s="56">
        <v>1</v>
      </c>
      <c r="J129" s="56">
        <v>1</v>
      </c>
      <c r="K129" s="33">
        <f t="shared" si="13"/>
        <v>67500</v>
      </c>
      <c r="L129" s="33">
        <f t="shared" si="19"/>
        <v>67500</v>
      </c>
      <c r="M129" s="185">
        <f t="shared" si="20"/>
        <v>67500</v>
      </c>
      <c r="N129" s="129"/>
      <c r="O129" s="193" t="s">
        <v>1677</v>
      </c>
    </row>
    <row r="130" spans="1:15">
      <c r="A130" s="29">
        <f t="shared" si="14"/>
        <v>126</v>
      </c>
      <c r="B130" s="50" t="s">
        <v>835</v>
      </c>
      <c r="C130" s="51" t="s">
        <v>836</v>
      </c>
      <c r="D130" s="52">
        <v>43141</v>
      </c>
      <c r="E130" s="191">
        <v>67500</v>
      </c>
      <c r="F130" s="192">
        <f t="shared" si="12"/>
        <v>67500</v>
      </c>
      <c r="G130" s="55">
        <f t="shared" si="18"/>
        <v>67500</v>
      </c>
      <c r="H130" s="61">
        <v>0</v>
      </c>
      <c r="I130" s="56">
        <v>1</v>
      </c>
      <c r="J130" s="56">
        <v>1</v>
      </c>
      <c r="K130" s="33">
        <f t="shared" si="13"/>
        <v>67500</v>
      </c>
      <c r="L130" s="33">
        <f t="shared" si="19"/>
        <v>67500</v>
      </c>
      <c r="M130" s="185">
        <f t="shared" si="20"/>
        <v>67500</v>
      </c>
      <c r="N130" s="129"/>
      <c r="O130" s="193" t="s">
        <v>1677</v>
      </c>
    </row>
    <row r="131" spans="1:15">
      <c r="A131" s="29">
        <f t="shared" si="14"/>
        <v>127</v>
      </c>
      <c r="B131" s="50" t="s">
        <v>835</v>
      </c>
      <c r="C131" s="51" t="s">
        <v>836</v>
      </c>
      <c r="D131" s="52">
        <v>43169</v>
      </c>
      <c r="E131" s="194">
        <v>67500</v>
      </c>
      <c r="F131" s="192">
        <f t="shared" si="12"/>
        <v>67500</v>
      </c>
      <c r="G131" s="55">
        <f t="shared" si="18"/>
        <v>67500</v>
      </c>
      <c r="H131" s="61">
        <v>0</v>
      </c>
      <c r="I131" s="56">
        <v>1</v>
      </c>
      <c r="J131" s="56">
        <v>1</v>
      </c>
      <c r="K131" s="33">
        <f t="shared" si="13"/>
        <v>67500</v>
      </c>
      <c r="L131" s="33">
        <f t="shared" si="19"/>
        <v>67500</v>
      </c>
      <c r="M131" s="185">
        <f t="shared" si="20"/>
        <v>67500</v>
      </c>
      <c r="N131" s="129"/>
      <c r="O131" s="193" t="s">
        <v>1678</v>
      </c>
    </row>
    <row r="132" spans="1:15">
      <c r="A132" s="29">
        <f t="shared" si="14"/>
        <v>128</v>
      </c>
      <c r="B132" s="50" t="s">
        <v>835</v>
      </c>
      <c r="C132" s="51" t="s">
        <v>836</v>
      </c>
      <c r="D132" s="52">
        <v>43169</v>
      </c>
      <c r="E132" s="194">
        <v>67500</v>
      </c>
      <c r="F132" s="192">
        <f t="shared" si="12"/>
        <v>67500</v>
      </c>
      <c r="G132" s="55">
        <f t="shared" si="18"/>
        <v>67500</v>
      </c>
      <c r="H132" s="61">
        <v>0</v>
      </c>
      <c r="I132" s="56">
        <v>1</v>
      </c>
      <c r="J132" s="56">
        <v>1</v>
      </c>
      <c r="K132" s="33">
        <f t="shared" si="13"/>
        <v>67500</v>
      </c>
      <c r="L132" s="33">
        <f t="shared" si="19"/>
        <v>67500</v>
      </c>
      <c r="M132" s="185">
        <f t="shared" si="20"/>
        <v>67500</v>
      </c>
      <c r="N132" s="129"/>
      <c r="O132" s="193" t="s">
        <v>1678</v>
      </c>
    </row>
    <row r="133" spans="1:15">
      <c r="A133" s="29">
        <f t="shared" si="14"/>
        <v>129</v>
      </c>
      <c r="B133" s="50" t="s">
        <v>835</v>
      </c>
      <c r="C133" s="51" t="s">
        <v>836</v>
      </c>
      <c r="D133" s="52">
        <v>43200</v>
      </c>
      <c r="E133" s="191">
        <v>67500</v>
      </c>
      <c r="F133" s="192">
        <f t="shared" ref="F133:F196" si="21">+I133*K133</f>
        <v>67500</v>
      </c>
      <c r="G133" s="55">
        <f t="shared" si="18"/>
        <v>67500</v>
      </c>
      <c r="H133" s="61">
        <v>0</v>
      </c>
      <c r="I133" s="56">
        <v>1</v>
      </c>
      <c r="J133" s="56">
        <v>1</v>
      </c>
      <c r="K133" s="33">
        <f t="shared" ref="K133:K196" si="22">+G133+H133</f>
        <v>67500</v>
      </c>
      <c r="L133" s="33">
        <f t="shared" si="19"/>
        <v>67500</v>
      </c>
      <c r="M133" s="185">
        <f t="shared" si="20"/>
        <v>67500</v>
      </c>
      <c r="N133" s="129"/>
      <c r="O133" s="193" t="s">
        <v>1679</v>
      </c>
    </row>
    <row r="134" spans="1:15">
      <c r="A134" s="29">
        <f t="shared" ref="A134:A197" si="23">+A133+1</f>
        <v>130</v>
      </c>
      <c r="B134" s="50" t="s">
        <v>835</v>
      </c>
      <c r="C134" s="51" t="s">
        <v>836</v>
      </c>
      <c r="D134" s="52">
        <v>43200</v>
      </c>
      <c r="E134" s="191">
        <v>67500</v>
      </c>
      <c r="F134" s="192">
        <f t="shared" si="21"/>
        <v>67500</v>
      </c>
      <c r="G134" s="55">
        <f t="shared" si="18"/>
        <v>67500</v>
      </c>
      <c r="H134" s="61">
        <v>0</v>
      </c>
      <c r="I134" s="56">
        <v>1</v>
      </c>
      <c r="J134" s="56">
        <v>1</v>
      </c>
      <c r="K134" s="33">
        <f t="shared" si="22"/>
        <v>67500</v>
      </c>
      <c r="L134" s="33">
        <f t="shared" si="19"/>
        <v>67500</v>
      </c>
      <c r="M134" s="185">
        <f t="shared" si="20"/>
        <v>67500</v>
      </c>
      <c r="N134" s="129"/>
      <c r="O134" s="193" t="s">
        <v>1679</v>
      </c>
    </row>
    <row r="135" spans="1:15">
      <c r="A135" s="29">
        <f t="shared" si="23"/>
        <v>131</v>
      </c>
      <c r="B135" s="50" t="s">
        <v>835</v>
      </c>
      <c r="C135" s="51" t="s">
        <v>836</v>
      </c>
      <c r="D135" s="102">
        <v>43230</v>
      </c>
      <c r="E135" s="201">
        <v>67500</v>
      </c>
      <c r="F135" s="196">
        <f t="shared" si="21"/>
        <v>67500</v>
      </c>
      <c r="G135" s="196">
        <f>E135/I135</f>
        <v>67500</v>
      </c>
      <c r="H135" s="196">
        <v>0</v>
      </c>
      <c r="I135" s="197">
        <v>1</v>
      </c>
      <c r="J135" s="56">
        <v>1</v>
      </c>
      <c r="K135" s="198">
        <f t="shared" si="22"/>
        <v>67500</v>
      </c>
      <c r="L135" s="198">
        <f>G135*J135</f>
        <v>67500</v>
      </c>
      <c r="M135" s="199">
        <f>J135*K135</f>
        <v>67500</v>
      </c>
      <c r="N135" s="187"/>
      <c r="O135" s="200" t="s">
        <v>1680</v>
      </c>
    </row>
    <row r="136" spans="1:15">
      <c r="A136" s="29">
        <f t="shared" si="23"/>
        <v>132</v>
      </c>
      <c r="B136" s="50" t="s">
        <v>835</v>
      </c>
      <c r="C136" s="51" t="s">
        <v>836</v>
      </c>
      <c r="D136" s="102">
        <v>43230</v>
      </c>
      <c r="E136" s="202">
        <v>67500</v>
      </c>
      <c r="F136" s="196">
        <f t="shared" si="21"/>
        <v>67500</v>
      </c>
      <c r="G136" s="196">
        <f>E136/I136</f>
        <v>67500</v>
      </c>
      <c r="H136" s="196">
        <v>0</v>
      </c>
      <c r="I136" s="197">
        <v>1</v>
      </c>
      <c r="J136" s="56">
        <v>1</v>
      </c>
      <c r="K136" s="198">
        <f t="shared" si="22"/>
        <v>67500</v>
      </c>
      <c r="L136" s="198">
        <f>G136*J136</f>
        <v>67500</v>
      </c>
      <c r="M136" s="199">
        <f>J136*K136</f>
        <v>67500</v>
      </c>
      <c r="N136" s="187"/>
      <c r="O136" s="200" t="s">
        <v>1680</v>
      </c>
    </row>
    <row r="137" spans="1:15">
      <c r="A137" s="29">
        <f t="shared" si="23"/>
        <v>133</v>
      </c>
      <c r="B137" s="50" t="s">
        <v>1078</v>
      </c>
      <c r="C137" s="51" t="s">
        <v>1079</v>
      </c>
      <c r="D137" s="52">
        <v>43169</v>
      </c>
      <c r="E137" s="194">
        <v>125000</v>
      </c>
      <c r="F137" s="192">
        <f t="shared" si="21"/>
        <v>125000</v>
      </c>
      <c r="G137" s="55">
        <f>+E137/I137</f>
        <v>125000</v>
      </c>
      <c r="H137" s="61">
        <v>0</v>
      </c>
      <c r="I137" s="56">
        <v>1</v>
      </c>
      <c r="J137" s="56">
        <v>1</v>
      </c>
      <c r="K137" s="33">
        <f t="shared" si="22"/>
        <v>125000</v>
      </c>
      <c r="L137" s="33">
        <f>+J137*K137</f>
        <v>125000</v>
      </c>
      <c r="M137" s="185">
        <f>+G137*J137</f>
        <v>125000</v>
      </c>
      <c r="N137" s="129"/>
      <c r="O137" s="193" t="s">
        <v>1678</v>
      </c>
    </row>
    <row r="138" spans="1:15">
      <c r="A138" s="29">
        <f t="shared" si="23"/>
        <v>134</v>
      </c>
      <c r="B138" s="50" t="s">
        <v>1078</v>
      </c>
      <c r="C138" s="51" t="s">
        <v>1079</v>
      </c>
      <c r="D138" s="52">
        <v>43169</v>
      </c>
      <c r="E138" s="194">
        <v>125000</v>
      </c>
      <c r="F138" s="192">
        <f t="shared" si="21"/>
        <v>125000</v>
      </c>
      <c r="G138" s="55">
        <f>+E138/I138</f>
        <v>125000</v>
      </c>
      <c r="H138" s="61">
        <v>0</v>
      </c>
      <c r="I138" s="56">
        <v>1</v>
      </c>
      <c r="J138" s="56">
        <v>1</v>
      </c>
      <c r="K138" s="33">
        <f t="shared" si="22"/>
        <v>125000</v>
      </c>
      <c r="L138" s="33">
        <f>+J138*K138</f>
        <v>125000</v>
      </c>
      <c r="M138" s="185">
        <f>+G138*J138</f>
        <v>125000</v>
      </c>
      <c r="N138" s="129"/>
      <c r="O138" s="193" t="s">
        <v>1678</v>
      </c>
    </row>
    <row r="139" spans="1:15">
      <c r="A139" s="29">
        <f t="shared" si="23"/>
        <v>135</v>
      </c>
      <c r="B139" s="50" t="s">
        <v>1078</v>
      </c>
      <c r="C139" s="51" t="s">
        <v>1079</v>
      </c>
      <c r="D139" s="52">
        <v>43200</v>
      </c>
      <c r="E139" s="191">
        <v>125000</v>
      </c>
      <c r="F139" s="192">
        <f t="shared" si="21"/>
        <v>125000</v>
      </c>
      <c r="G139" s="55">
        <f>+E139/I139</f>
        <v>125000</v>
      </c>
      <c r="H139" s="61">
        <v>0</v>
      </c>
      <c r="I139" s="56">
        <v>1</v>
      </c>
      <c r="J139" s="56">
        <v>1</v>
      </c>
      <c r="K139" s="33">
        <f t="shared" si="22"/>
        <v>125000</v>
      </c>
      <c r="L139" s="33">
        <f>+J139*K139</f>
        <v>125000</v>
      </c>
      <c r="M139" s="185">
        <f>+G139*J139</f>
        <v>125000</v>
      </c>
      <c r="N139" s="129"/>
      <c r="O139" s="193" t="s">
        <v>1679</v>
      </c>
    </row>
    <row r="140" spans="1:15">
      <c r="A140" s="29">
        <f t="shared" si="23"/>
        <v>136</v>
      </c>
      <c r="B140" s="50" t="s">
        <v>1078</v>
      </c>
      <c r="C140" s="51" t="s">
        <v>1079</v>
      </c>
      <c r="D140" s="52">
        <v>43200</v>
      </c>
      <c r="E140" s="191">
        <v>125000</v>
      </c>
      <c r="F140" s="192">
        <f t="shared" si="21"/>
        <v>125000</v>
      </c>
      <c r="G140" s="55">
        <f>+E140/I140</f>
        <v>125000</v>
      </c>
      <c r="H140" s="61">
        <v>0</v>
      </c>
      <c r="I140" s="56">
        <v>1</v>
      </c>
      <c r="J140" s="56">
        <v>1</v>
      </c>
      <c r="K140" s="33">
        <f t="shared" si="22"/>
        <v>125000</v>
      </c>
      <c r="L140" s="33">
        <f>+J140*K140</f>
        <v>125000</v>
      </c>
      <c r="M140" s="185">
        <f>+G140*J140</f>
        <v>125000</v>
      </c>
      <c r="N140" s="129"/>
      <c r="O140" s="193" t="s">
        <v>1679</v>
      </c>
    </row>
    <row r="141" spans="1:15">
      <c r="A141" s="29">
        <f t="shared" si="23"/>
        <v>137</v>
      </c>
      <c r="B141" s="50" t="s">
        <v>1078</v>
      </c>
      <c r="C141" s="51" t="s">
        <v>1079</v>
      </c>
      <c r="D141" s="102">
        <v>43230</v>
      </c>
      <c r="E141" s="202">
        <v>125000</v>
      </c>
      <c r="F141" s="196">
        <f t="shared" si="21"/>
        <v>125000</v>
      </c>
      <c r="G141" s="196">
        <f>E141/I141</f>
        <v>125000</v>
      </c>
      <c r="H141" s="196">
        <v>0</v>
      </c>
      <c r="I141" s="197">
        <v>1</v>
      </c>
      <c r="J141" s="56">
        <v>1</v>
      </c>
      <c r="K141" s="198">
        <f t="shared" si="22"/>
        <v>125000</v>
      </c>
      <c r="L141" s="198">
        <f>G141*J141</f>
        <v>125000</v>
      </c>
      <c r="M141" s="199">
        <f>J141*K141</f>
        <v>125000</v>
      </c>
      <c r="N141" s="187"/>
      <c r="O141" s="200" t="s">
        <v>1680</v>
      </c>
    </row>
    <row r="142" spans="1:15">
      <c r="A142" s="29">
        <f t="shared" si="23"/>
        <v>138</v>
      </c>
      <c r="B142" s="50" t="s">
        <v>1133</v>
      </c>
      <c r="C142" s="51" t="s">
        <v>1134</v>
      </c>
      <c r="D142" s="52">
        <v>42988</v>
      </c>
      <c r="E142" s="194">
        <v>129450</v>
      </c>
      <c r="F142" s="192">
        <f t="shared" si="21"/>
        <v>129450</v>
      </c>
      <c r="G142" s="55">
        <f t="shared" ref="G142:G154" si="24">+E142/I142</f>
        <v>129450</v>
      </c>
      <c r="H142" s="61">
        <v>0</v>
      </c>
      <c r="I142" s="56">
        <v>1</v>
      </c>
      <c r="J142" s="56">
        <v>1</v>
      </c>
      <c r="K142" s="33">
        <f t="shared" si="22"/>
        <v>129450</v>
      </c>
      <c r="L142" s="33">
        <f t="shared" ref="L142:L154" si="25">+J142*K142</f>
        <v>129450</v>
      </c>
      <c r="M142" s="33">
        <f t="shared" ref="M142:M154" si="26">+G142*J142</f>
        <v>129450</v>
      </c>
      <c r="N142" s="129"/>
      <c r="O142" s="193" t="s">
        <v>1673</v>
      </c>
    </row>
    <row r="143" spans="1:15">
      <c r="A143" s="29">
        <f t="shared" si="23"/>
        <v>139</v>
      </c>
      <c r="B143" s="50" t="s">
        <v>1133</v>
      </c>
      <c r="C143" s="51" t="s">
        <v>1134</v>
      </c>
      <c r="D143" s="52">
        <v>43018</v>
      </c>
      <c r="E143" s="194">
        <v>129450</v>
      </c>
      <c r="F143" s="192">
        <f t="shared" si="21"/>
        <v>129450</v>
      </c>
      <c r="G143" s="55">
        <f t="shared" si="24"/>
        <v>129450</v>
      </c>
      <c r="H143" s="61">
        <v>0</v>
      </c>
      <c r="I143" s="56">
        <v>1</v>
      </c>
      <c r="J143" s="56">
        <v>1</v>
      </c>
      <c r="K143" s="33">
        <f t="shared" si="22"/>
        <v>129450</v>
      </c>
      <c r="L143" s="33">
        <f t="shared" si="25"/>
        <v>129450</v>
      </c>
      <c r="M143" s="33">
        <f t="shared" si="26"/>
        <v>129450</v>
      </c>
      <c r="N143" s="129"/>
      <c r="O143" s="193" t="s">
        <v>1674</v>
      </c>
    </row>
    <row r="144" spans="1:15">
      <c r="A144" s="29">
        <f t="shared" si="23"/>
        <v>140</v>
      </c>
      <c r="B144" s="50" t="s">
        <v>1133</v>
      </c>
      <c r="C144" s="51" t="s">
        <v>1134</v>
      </c>
      <c r="D144" s="52">
        <v>43049</v>
      </c>
      <c r="E144" s="194">
        <v>129450</v>
      </c>
      <c r="F144" s="192">
        <f t="shared" si="21"/>
        <v>129450</v>
      </c>
      <c r="G144" s="55">
        <f t="shared" si="24"/>
        <v>129450</v>
      </c>
      <c r="H144" s="61">
        <v>0</v>
      </c>
      <c r="I144" s="56">
        <v>1</v>
      </c>
      <c r="J144" s="56">
        <v>1</v>
      </c>
      <c r="K144" s="33">
        <f t="shared" si="22"/>
        <v>129450</v>
      </c>
      <c r="L144" s="33">
        <f t="shared" si="25"/>
        <v>129450</v>
      </c>
      <c r="M144" s="185">
        <f t="shared" si="26"/>
        <v>129450</v>
      </c>
      <c r="N144" s="129"/>
      <c r="O144" s="193" t="s">
        <v>1675</v>
      </c>
    </row>
    <row r="145" spans="1:15">
      <c r="A145" s="29">
        <f t="shared" si="23"/>
        <v>141</v>
      </c>
      <c r="B145" s="50" t="s">
        <v>1133</v>
      </c>
      <c r="C145" s="51" t="s">
        <v>1134</v>
      </c>
      <c r="D145" s="52">
        <v>43079</v>
      </c>
      <c r="E145" s="194">
        <v>129450</v>
      </c>
      <c r="F145" s="192">
        <f t="shared" si="21"/>
        <v>129450</v>
      </c>
      <c r="G145" s="55">
        <f t="shared" si="24"/>
        <v>129450</v>
      </c>
      <c r="H145" s="61">
        <v>0</v>
      </c>
      <c r="I145" s="56">
        <v>1</v>
      </c>
      <c r="J145" s="56">
        <v>1</v>
      </c>
      <c r="K145" s="33">
        <f t="shared" si="22"/>
        <v>129450</v>
      </c>
      <c r="L145" s="33">
        <f t="shared" si="25"/>
        <v>129450</v>
      </c>
      <c r="M145" s="185">
        <f t="shared" si="26"/>
        <v>129450</v>
      </c>
      <c r="N145" s="129"/>
      <c r="O145" s="193" t="s">
        <v>1676</v>
      </c>
    </row>
    <row r="146" spans="1:15">
      <c r="A146" s="29">
        <f t="shared" si="23"/>
        <v>142</v>
      </c>
      <c r="B146" s="50" t="s">
        <v>1133</v>
      </c>
      <c r="C146" s="51" t="s">
        <v>1134</v>
      </c>
      <c r="D146" s="52">
        <v>43079</v>
      </c>
      <c r="E146" s="194">
        <v>129450</v>
      </c>
      <c r="F146" s="192">
        <f t="shared" si="21"/>
        <v>129450</v>
      </c>
      <c r="G146" s="55">
        <f t="shared" si="24"/>
        <v>129450</v>
      </c>
      <c r="H146" s="61">
        <v>0</v>
      </c>
      <c r="I146" s="56">
        <v>1</v>
      </c>
      <c r="J146" s="56">
        <v>1</v>
      </c>
      <c r="K146" s="33">
        <f t="shared" si="22"/>
        <v>129450</v>
      </c>
      <c r="L146" s="33">
        <f t="shared" si="25"/>
        <v>129450</v>
      </c>
      <c r="M146" s="185">
        <f t="shared" si="26"/>
        <v>129450</v>
      </c>
      <c r="N146" s="129"/>
      <c r="O146" s="193" t="s">
        <v>1676</v>
      </c>
    </row>
    <row r="147" spans="1:15">
      <c r="A147" s="29">
        <f t="shared" si="23"/>
        <v>143</v>
      </c>
      <c r="B147" s="50" t="s">
        <v>1133</v>
      </c>
      <c r="C147" s="51" t="s">
        <v>1134</v>
      </c>
      <c r="D147" s="52">
        <v>43110</v>
      </c>
      <c r="E147" s="191">
        <v>129450</v>
      </c>
      <c r="F147" s="192">
        <f t="shared" si="21"/>
        <v>129450</v>
      </c>
      <c r="G147" s="55">
        <f t="shared" si="24"/>
        <v>129450</v>
      </c>
      <c r="H147" s="61">
        <v>0</v>
      </c>
      <c r="I147" s="56">
        <v>1</v>
      </c>
      <c r="J147" s="56">
        <v>1</v>
      </c>
      <c r="K147" s="33">
        <f t="shared" si="22"/>
        <v>129450</v>
      </c>
      <c r="L147" s="33">
        <f t="shared" si="25"/>
        <v>129450</v>
      </c>
      <c r="M147" s="185">
        <f t="shared" si="26"/>
        <v>129450</v>
      </c>
      <c r="N147" s="129"/>
      <c r="O147" s="193" t="s">
        <v>1677</v>
      </c>
    </row>
    <row r="148" spans="1:15">
      <c r="A148" s="29">
        <f t="shared" si="23"/>
        <v>144</v>
      </c>
      <c r="B148" s="50" t="s">
        <v>1133</v>
      </c>
      <c r="C148" s="51" t="s">
        <v>1134</v>
      </c>
      <c r="D148" s="52">
        <v>43110</v>
      </c>
      <c r="E148" s="191">
        <v>129450</v>
      </c>
      <c r="F148" s="192">
        <f t="shared" si="21"/>
        <v>129450</v>
      </c>
      <c r="G148" s="55">
        <f t="shared" si="24"/>
        <v>129450</v>
      </c>
      <c r="H148" s="61">
        <v>0</v>
      </c>
      <c r="I148" s="56">
        <v>1</v>
      </c>
      <c r="J148" s="56">
        <v>1</v>
      </c>
      <c r="K148" s="33">
        <f t="shared" si="22"/>
        <v>129450</v>
      </c>
      <c r="L148" s="33">
        <f t="shared" si="25"/>
        <v>129450</v>
      </c>
      <c r="M148" s="185">
        <f t="shared" si="26"/>
        <v>129450</v>
      </c>
      <c r="N148" s="129"/>
      <c r="O148" s="193" t="s">
        <v>1677</v>
      </c>
    </row>
    <row r="149" spans="1:15">
      <c r="A149" s="29">
        <f t="shared" si="23"/>
        <v>145</v>
      </c>
      <c r="B149" s="50" t="s">
        <v>1133</v>
      </c>
      <c r="C149" s="51" t="s">
        <v>1134</v>
      </c>
      <c r="D149" s="52">
        <v>43141</v>
      </c>
      <c r="E149" s="191">
        <v>129450</v>
      </c>
      <c r="F149" s="192">
        <f t="shared" si="21"/>
        <v>129450</v>
      </c>
      <c r="G149" s="55">
        <f t="shared" si="24"/>
        <v>129450</v>
      </c>
      <c r="H149" s="61">
        <v>0</v>
      </c>
      <c r="I149" s="56">
        <v>1</v>
      </c>
      <c r="J149" s="56">
        <v>1</v>
      </c>
      <c r="K149" s="33">
        <f t="shared" si="22"/>
        <v>129450</v>
      </c>
      <c r="L149" s="33">
        <f t="shared" si="25"/>
        <v>129450</v>
      </c>
      <c r="M149" s="185">
        <f t="shared" si="26"/>
        <v>129450</v>
      </c>
      <c r="N149" s="129"/>
      <c r="O149" s="193" t="s">
        <v>1677</v>
      </c>
    </row>
    <row r="150" spans="1:15">
      <c r="A150" s="29">
        <f t="shared" si="23"/>
        <v>146</v>
      </c>
      <c r="B150" s="50" t="s">
        <v>1133</v>
      </c>
      <c r="C150" s="51" t="s">
        <v>1134</v>
      </c>
      <c r="D150" s="52">
        <v>43141</v>
      </c>
      <c r="E150" s="191">
        <v>129450</v>
      </c>
      <c r="F150" s="192">
        <f t="shared" si="21"/>
        <v>129450</v>
      </c>
      <c r="G150" s="55">
        <f t="shared" si="24"/>
        <v>129450</v>
      </c>
      <c r="H150" s="61">
        <v>0</v>
      </c>
      <c r="I150" s="56">
        <v>1</v>
      </c>
      <c r="J150" s="56">
        <v>1</v>
      </c>
      <c r="K150" s="33">
        <f t="shared" si="22"/>
        <v>129450</v>
      </c>
      <c r="L150" s="33">
        <f t="shared" si="25"/>
        <v>129450</v>
      </c>
      <c r="M150" s="185">
        <f t="shared" si="26"/>
        <v>129450</v>
      </c>
      <c r="N150" s="129"/>
      <c r="O150" s="193" t="s">
        <v>1677</v>
      </c>
    </row>
    <row r="151" spans="1:15">
      <c r="A151" s="29">
        <f t="shared" si="23"/>
        <v>147</v>
      </c>
      <c r="B151" s="50" t="s">
        <v>1133</v>
      </c>
      <c r="C151" s="51" t="s">
        <v>1134</v>
      </c>
      <c r="D151" s="52">
        <v>43169</v>
      </c>
      <c r="E151" s="194">
        <v>129450</v>
      </c>
      <c r="F151" s="192">
        <f t="shared" si="21"/>
        <v>129450</v>
      </c>
      <c r="G151" s="55">
        <f t="shared" si="24"/>
        <v>129450</v>
      </c>
      <c r="H151" s="61">
        <v>0</v>
      </c>
      <c r="I151" s="56">
        <v>1</v>
      </c>
      <c r="J151" s="56">
        <v>1</v>
      </c>
      <c r="K151" s="33">
        <f t="shared" si="22"/>
        <v>129450</v>
      </c>
      <c r="L151" s="33">
        <f t="shared" si="25"/>
        <v>129450</v>
      </c>
      <c r="M151" s="185">
        <f t="shared" si="26"/>
        <v>129450</v>
      </c>
      <c r="N151" s="129"/>
      <c r="O151" s="193" t="s">
        <v>1678</v>
      </c>
    </row>
    <row r="152" spans="1:15">
      <c r="A152" s="29">
        <f t="shared" si="23"/>
        <v>148</v>
      </c>
      <c r="B152" s="50" t="s">
        <v>1133</v>
      </c>
      <c r="C152" s="51" t="s">
        <v>1134</v>
      </c>
      <c r="D152" s="52">
        <v>43169</v>
      </c>
      <c r="E152" s="194">
        <v>129450</v>
      </c>
      <c r="F152" s="192">
        <f t="shared" si="21"/>
        <v>129450</v>
      </c>
      <c r="G152" s="55">
        <f t="shared" si="24"/>
        <v>129450</v>
      </c>
      <c r="H152" s="61">
        <v>0</v>
      </c>
      <c r="I152" s="56">
        <v>1</v>
      </c>
      <c r="J152" s="56">
        <v>1</v>
      </c>
      <c r="K152" s="33">
        <f t="shared" si="22"/>
        <v>129450</v>
      </c>
      <c r="L152" s="33">
        <f t="shared" si="25"/>
        <v>129450</v>
      </c>
      <c r="M152" s="185">
        <f t="shared" si="26"/>
        <v>129450</v>
      </c>
      <c r="N152" s="129"/>
      <c r="O152" s="193" t="s">
        <v>1678</v>
      </c>
    </row>
    <row r="153" spans="1:15">
      <c r="A153" s="29">
        <f t="shared" si="23"/>
        <v>149</v>
      </c>
      <c r="B153" s="50" t="s">
        <v>1133</v>
      </c>
      <c r="C153" s="51" t="s">
        <v>1134</v>
      </c>
      <c r="D153" s="52">
        <v>43200</v>
      </c>
      <c r="E153" s="191">
        <v>129450</v>
      </c>
      <c r="F153" s="192">
        <f t="shared" si="21"/>
        <v>129450</v>
      </c>
      <c r="G153" s="55">
        <f t="shared" si="24"/>
        <v>129450</v>
      </c>
      <c r="H153" s="61">
        <v>0</v>
      </c>
      <c r="I153" s="56">
        <v>1</v>
      </c>
      <c r="J153" s="56">
        <v>1</v>
      </c>
      <c r="K153" s="33">
        <f t="shared" si="22"/>
        <v>129450</v>
      </c>
      <c r="L153" s="33">
        <f t="shared" si="25"/>
        <v>129450</v>
      </c>
      <c r="M153" s="185">
        <f t="shared" si="26"/>
        <v>129450</v>
      </c>
      <c r="N153" s="129"/>
      <c r="O153" s="193" t="s">
        <v>1679</v>
      </c>
    </row>
    <row r="154" spans="1:15">
      <c r="A154" s="29">
        <f t="shared" si="23"/>
        <v>150</v>
      </c>
      <c r="B154" s="50" t="s">
        <v>1133</v>
      </c>
      <c r="C154" s="51" t="s">
        <v>1134</v>
      </c>
      <c r="D154" s="52">
        <v>43200</v>
      </c>
      <c r="E154" s="191">
        <v>129450</v>
      </c>
      <c r="F154" s="192">
        <f t="shared" si="21"/>
        <v>129450</v>
      </c>
      <c r="G154" s="55">
        <f t="shared" si="24"/>
        <v>129450</v>
      </c>
      <c r="H154" s="61">
        <v>0</v>
      </c>
      <c r="I154" s="56">
        <v>1</v>
      </c>
      <c r="J154" s="56">
        <v>1</v>
      </c>
      <c r="K154" s="33">
        <f t="shared" si="22"/>
        <v>129450</v>
      </c>
      <c r="L154" s="33">
        <f t="shared" si="25"/>
        <v>129450</v>
      </c>
      <c r="M154" s="185">
        <f t="shared" si="26"/>
        <v>129450</v>
      </c>
      <c r="N154" s="129"/>
      <c r="O154" s="193" t="s">
        <v>1679</v>
      </c>
    </row>
    <row r="155" spans="1:15">
      <c r="A155" s="29">
        <f t="shared" si="23"/>
        <v>151</v>
      </c>
      <c r="B155" s="50" t="s">
        <v>1133</v>
      </c>
      <c r="C155" s="51" t="s">
        <v>1134</v>
      </c>
      <c r="D155" s="102">
        <v>43230</v>
      </c>
      <c r="E155" s="202">
        <v>129450</v>
      </c>
      <c r="F155" s="196">
        <f t="shared" si="21"/>
        <v>129450</v>
      </c>
      <c r="G155" s="196">
        <f>E155/I155</f>
        <v>129450</v>
      </c>
      <c r="H155" s="196">
        <v>0</v>
      </c>
      <c r="I155" s="197">
        <v>1</v>
      </c>
      <c r="J155" s="56">
        <v>1</v>
      </c>
      <c r="K155" s="198">
        <f t="shared" si="22"/>
        <v>129450</v>
      </c>
      <c r="L155" s="198">
        <f>G155*J155</f>
        <v>129450</v>
      </c>
      <c r="M155" s="199">
        <f>J155*K155</f>
        <v>129450</v>
      </c>
      <c r="N155" s="187"/>
      <c r="O155" s="200" t="s">
        <v>1680</v>
      </c>
    </row>
    <row r="156" spans="1:15">
      <c r="A156" s="29">
        <f t="shared" si="23"/>
        <v>152</v>
      </c>
      <c r="B156" s="55" t="s">
        <v>1139</v>
      </c>
      <c r="C156" s="64" t="s">
        <v>1140</v>
      </c>
      <c r="D156" s="52">
        <v>42865</v>
      </c>
      <c r="E156" s="191">
        <v>170000</v>
      </c>
      <c r="F156" s="192">
        <f t="shared" si="21"/>
        <v>170000</v>
      </c>
      <c r="G156" s="55">
        <f t="shared" ref="G156:G167" si="27">+E156/I156</f>
        <v>170000</v>
      </c>
      <c r="H156" s="61">
        <v>0</v>
      </c>
      <c r="I156" s="56">
        <v>1</v>
      </c>
      <c r="J156" s="56">
        <v>1</v>
      </c>
      <c r="K156" s="33">
        <f t="shared" si="22"/>
        <v>170000</v>
      </c>
      <c r="L156" s="33">
        <f t="shared" ref="L156:L167" si="28">+J156*K156</f>
        <v>170000</v>
      </c>
      <c r="M156" s="33">
        <f t="shared" ref="M156:M167" si="29">+G156*J156</f>
        <v>170000</v>
      </c>
      <c r="N156" s="129"/>
      <c r="O156" s="193" t="s">
        <v>1685</v>
      </c>
    </row>
    <row r="157" spans="1:15">
      <c r="A157" s="29">
        <f t="shared" si="23"/>
        <v>153</v>
      </c>
      <c r="B157" s="55" t="s">
        <v>1139</v>
      </c>
      <c r="C157" s="64" t="s">
        <v>1140</v>
      </c>
      <c r="D157" s="52">
        <v>42896</v>
      </c>
      <c r="E157" s="191">
        <v>170000</v>
      </c>
      <c r="F157" s="192">
        <f t="shared" si="21"/>
        <v>170000</v>
      </c>
      <c r="G157" s="55">
        <f t="shared" si="27"/>
        <v>170000</v>
      </c>
      <c r="H157" s="61">
        <v>0</v>
      </c>
      <c r="I157" s="56">
        <v>1</v>
      </c>
      <c r="J157" s="56">
        <v>1</v>
      </c>
      <c r="K157" s="33">
        <f t="shared" si="22"/>
        <v>170000</v>
      </c>
      <c r="L157" s="33">
        <f t="shared" si="28"/>
        <v>170000</v>
      </c>
      <c r="M157" s="33">
        <f t="shared" si="29"/>
        <v>170000</v>
      </c>
      <c r="N157" s="129"/>
      <c r="O157" s="193" t="s">
        <v>1670</v>
      </c>
    </row>
    <row r="158" spans="1:15">
      <c r="A158" s="29">
        <f t="shared" si="23"/>
        <v>154</v>
      </c>
      <c r="B158" s="55" t="s">
        <v>1139</v>
      </c>
      <c r="C158" s="64" t="s">
        <v>1140</v>
      </c>
      <c r="D158" s="52">
        <v>42926</v>
      </c>
      <c r="E158" s="191">
        <v>170000</v>
      </c>
      <c r="F158" s="192">
        <f t="shared" si="21"/>
        <v>170000</v>
      </c>
      <c r="G158" s="55">
        <f t="shared" si="27"/>
        <v>170000</v>
      </c>
      <c r="H158" s="61">
        <v>0</v>
      </c>
      <c r="I158" s="56">
        <v>1</v>
      </c>
      <c r="J158" s="56">
        <v>1</v>
      </c>
      <c r="K158" s="33">
        <f t="shared" si="22"/>
        <v>170000</v>
      </c>
      <c r="L158" s="33">
        <f t="shared" si="28"/>
        <v>170000</v>
      </c>
      <c r="M158" s="33">
        <f t="shared" si="29"/>
        <v>170000</v>
      </c>
      <c r="N158" s="129"/>
      <c r="O158" s="193" t="s">
        <v>1671</v>
      </c>
    </row>
    <row r="159" spans="1:15">
      <c r="A159" s="29">
        <f t="shared" si="23"/>
        <v>155</v>
      </c>
      <c r="B159" s="55" t="s">
        <v>1139</v>
      </c>
      <c r="C159" s="64" t="s">
        <v>1140</v>
      </c>
      <c r="D159" s="52">
        <v>42957</v>
      </c>
      <c r="E159" s="191">
        <v>170000</v>
      </c>
      <c r="F159" s="192">
        <f t="shared" si="21"/>
        <v>170000</v>
      </c>
      <c r="G159" s="55">
        <f t="shared" si="27"/>
        <v>170000</v>
      </c>
      <c r="H159" s="61">
        <v>0</v>
      </c>
      <c r="I159" s="56">
        <v>1</v>
      </c>
      <c r="J159" s="56">
        <v>1</v>
      </c>
      <c r="K159" s="33">
        <f t="shared" si="22"/>
        <v>170000</v>
      </c>
      <c r="L159" s="33">
        <f t="shared" si="28"/>
        <v>170000</v>
      </c>
      <c r="M159" s="33">
        <f t="shared" si="29"/>
        <v>170000</v>
      </c>
      <c r="N159" s="129"/>
      <c r="O159" s="193" t="s">
        <v>1672</v>
      </c>
    </row>
    <row r="160" spans="1:15">
      <c r="A160" s="29">
        <f t="shared" si="23"/>
        <v>156</v>
      </c>
      <c r="B160" s="55" t="s">
        <v>1139</v>
      </c>
      <c r="C160" s="64" t="s">
        <v>1140</v>
      </c>
      <c r="D160" s="52">
        <v>42988</v>
      </c>
      <c r="E160" s="194">
        <v>170000</v>
      </c>
      <c r="F160" s="192">
        <f t="shared" si="21"/>
        <v>170000</v>
      </c>
      <c r="G160" s="55">
        <f t="shared" si="27"/>
        <v>170000</v>
      </c>
      <c r="H160" s="61">
        <v>0</v>
      </c>
      <c r="I160" s="56">
        <v>1</v>
      </c>
      <c r="J160" s="56">
        <v>1</v>
      </c>
      <c r="K160" s="33">
        <f t="shared" si="22"/>
        <v>170000</v>
      </c>
      <c r="L160" s="33">
        <f t="shared" si="28"/>
        <v>170000</v>
      </c>
      <c r="M160" s="33">
        <f t="shared" si="29"/>
        <v>170000</v>
      </c>
      <c r="N160" s="129"/>
      <c r="O160" s="193" t="s">
        <v>1673</v>
      </c>
    </row>
    <row r="161" spans="1:15">
      <c r="A161" s="29">
        <f t="shared" si="23"/>
        <v>157</v>
      </c>
      <c r="B161" s="55" t="s">
        <v>1139</v>
      </c>
      <c r="C161" s="64" t="s">
        <v>1140</v>
      </c>
      <c r="D161" s="52">
        <v>43018</v>
      </c>
      <c r="E161" s="194">
        <v>170000</v>
      </c>
      <c r="F161" s="192">
        <f t="shared" si="21"/>
        <v>170000</v>
      </c>
      <c r="G161" s="55">
        <f t="shared" si="27"/>
        <v>170000</v>
      </c>
      <c r="H161" s="61">
        <v>0</v>
      </c>
      <c r="I161" s="56">
        <v>1</v>
      </c>
      <c r="J161" s="56">
        <v>1</v>
      </c>
      <c r="K161" s="33">
        <f t="shared" si="22"/>
        <v>170000</v>
      </c>
      <c r="L161" s="33">
        <f t="shared" si="28"/>
        <v>170000</v>
      </c>
      <c r="M161" s="33">
        <f t="shared" si="29"/>
        <v>170000</v>
      </c>
      <c r="N161" s="129"/>
      <c r="O161" s="193" t="s">
        <v>1674</v>
      </c>
    </row>
    <row r="162" spans="1:15">
      <c r="A162" s="29">
        <f t="shared" si="23"/>
        <v>158</v>
      </c>
      <c r="B162" s="55" t="s">
        <v>1139</v>
      </c>
      <c r="C162" s="64" t="s">
        <v>1140</v>
      </c>
      <c r="D162" s="52">
        <v>43049</v>
      </c>
      <c r="E162" s="194">
        <v>170000</v>
      </c>
      <c r="F162" s="192">
        <f t="shared" si="21"/>
        <v>170000</v>
      </c>
      <c r="G162" s="55">
        <f t="shared" si="27"/>
        <v>170000</v>
      </c>
      <c r="H162" s="61">
        <v>0</v>
      </c>
      <c r="I162" s="56">
        <v>1</v>
      </c>
      <c r="J162" s="56">
        <v>1</v>
      </c>
      <c r="K162" s="33">
        <f t="shared" si="22"/>
        <v>170000</v>
      </c>
      <c r="L162" s="33">
        <f t="shared" si="28"/>
        <v>170000</v>
      </c>
      <c r="M162" s="185">
        <f t="shared" si="29"/>
        <v>170000</v>
      </c>
      <c r="N162" s="129"/>
      <c r="O162" s="193" t="s">
        <v>1675</v>
      </c>
    </row>
    <row r="163" spans="1:15">
      <c r="A163" s="29">
        <f t="shared" si="23"/>
        <v>159</v>
      </c>
      <c r="B163" s="55" t="s">
        <v>1139</v>
      </c>
      <c r="C163" s="64" t="s">
        <v>1140</v>
      </c>
      <c r="D163" s="52">
        <v>43079</v>
      </c>
      <c r="E163" s="194">
        <v>170000</v>
      </c>
      <c r="F163" s="192">
        <f t="shared" si="21"/>
        <v>170000</v>
      </c>
      <c r="G163" s="55">
        <f t="shared" si="27"/>
        <v>170000</v>
      </c>
      <c r="H163" s="61">
        <v>0</v>
      </c>
      <c r="I163" s="56">
        <v>1</v>
      </c>
      <c r="J163" s="56">
        <v>1</v>
      </c>
      <c r="K163" s="33">
        <f t="shared" si="22"/>
        <v>170000</v>
      </c>
      <c r="L163" s="33">
        <f t="shared" si="28"/>
        <v>170000</v>
      </c>
      <c r="M163" s="185">
        <f t="shared" si="29"/>
        <v>170000</v>
      </c>
      <c r="N163" s="129"/>
      <c r="O163" s="193" t="s">
        <v>1676</v>
      </c>
    </row>
    <row r="164" spans="1:15">
      <c r="A164" s="29">
        <f t="shared" si="23"/>
        <v>160</v>
      </c>
      <c r="B164" s="55" t="s">
        <v>1139</v>
      </c>
      <c r="C164" s="64" t="s">
        <v>1140</v>
      </c>
      <c r="D164" s="52">
        <v>43110</v>
      </c>
      <c r="E164" s="191">
        <v>170000</v>
      </c>
      <c r="F164" s="192">
        <f t="shared" si="21"/>
        <v>170000</v>
      </c>
      <c r="G164" s="55">
        <f t="shared" si="27"/>
        <v>170000</v>
      </c>
      <c r="H164" s="61">
        <v>0</v>
      </c>
      <c r="I164" s="56">
        <v>1</v>
      </c>
      <c r="J164" s="56">
        <v>1</v>
      </c>
      <c r="K164" s="33">
        <f t="shared" si="22"/>
        <v>170000</v>
      </c>
      <c r="L164" s="33">
        <f t="shared" si="28"/>
        <v>170000</v>
      </c>
      <c r="M164" s="185">
        <f t="shared" si="29"/>
        <v>170000</v>
      </c>
      <c r="N164" s="129"/>
      <c r="O164" s="193" t="s">
        <v>1677</v>
      </c>
    </row>
    <row r="165" spans="1:15">
      <c r="A165" s="29">
        <f t="shared" si="23"/>
        <v>161</v>
      </c>
      <c r="B165" s="55" t="s">
        <v>1139</v>
      </c>
      <c r="C165" s="64" t="s">
        <v>1140</v>
      </c>
      <c r="D165" s="52">
        <v>43141</v>
      </c>
      <c r="E165" s="191">
        <v>170000</v>
      </c>
      <c r="F165" s="192">
        <f t="shared" si="21"/>
        <v>170000</v>
      </c>
      <c r="G165" s="55">
        <f t="shared" si="27"/>
        <v>170000</v>
      </c>
      <c r="H165" s="61">
        <v>0</v>
      </c>
      <c r="I165" s="56">
        <v>1</v>
      </c>
      <c r="J165" s="56">
        <v>1</v>
      </c>
      <c r="K165" s="33">
        <f t="shared" si="22"/>
        <v>170000</v>
      </c>
      <c r="L165" s="33">
        <f t="shared" si="28"/>
        <v>170000</v>
      </c>
      <c r="M165" s="185">
        <f t="shared" si="29"/>
        <v>170000</v>
      </c>
      <c r="N165" s="129"/>
      <c r="O165" s="193" t="s">
        <v>1677</v>
      </c>
    </row>
    <row r="166" spans="1:15">
      <c r="A166" s="29">
        <f t="shared" si="23"/>
        <v>162</v>
      </c>
      <c r="B166" s="55" t="s">
        <v>1139</v>
      </c>
      <c r="C166" s="64" t="s">
        <v>1140</v>
      </c>
      <c r="D166" s="52">
        <v>43169</v>
      </c>
      <c r="E166" s="194">
        <v>170000</v>
      </c>
      <c r="F166" s="192">
        <f t="shared" si="21"/>
        <v>170000</v>
      </c>
      <c r="G166" s="55">
        <f t="shared" si="27"/>
        <v>170000</v>
      </c>
      <c r="H166" s="61">
        <v>0</v>
      </c>
      <c r="I166" s="56">
        <v>1</v>
      </c>
      <c r="J166" s="56">
        <v>1</v>
      </c>
      <c r="K166" s="33">
        <f t="shared" si="22"/>
        <v>170000</v>
      </c>
      <c r="L166" s="33">
        <f t="shared" si="28"/>
        <v>170000</v>
      </c>
      <c r="M166" s="185">
        <f t="shared" si="29"/>
        <v>170000</v>
      </c>
      <c r="N166" s="129"/>
      <c r="O166" s="193" t="s">
        <v>1678</v>
      </c>
    </row>
    <row r="167" spans="1:15">
      <c r="A167" s="29">
        <f t="shared" si="23"/>
        <v>163</v>
      </c>
      <c r="B167" s="55" t="s">
        <v>1139</v>
      </c>
      <c r="C167" s="64" t="s">
        <v>1140</v>
      </c>
      <c r="D167" s="52">
        <v>43200</v>
      </c>
      <c r="E167" s="191">
        <v>170000</v>
      </c>
      <c r="F167" s="192">
        <f t="shared" si="21"/>
        <v>170000</v>
      </c>
      <c r="G167" s="55">
        <f t="shared" si="27"/>
        <v>170000</v>
      </c>
      <c r="H167" s="61">
        <v>0</v>
      </c>
      <c r="I167" s="56">
        <v>1</v>
      </c>
      <c r="J167" s="56">
        <v>1</v>
      </c>
      <c r="K167" s="33">
        <f t="shared" si="22"/>
        <v>170000</v>
      </c>
      <c r="L167" s="33">
        <f t="shared" si="28"/>
        <v>170000</v>
      </c>
      <c r="M167" s="185">
        <f t="shared" si="29"/>
        <v>170000</v>
      </c>
      <c r="N167" s="129"/>
      <c r="O167" s="193" t="s">
        <v>1679</v>
      </c>
    </row>
    <row r="168" spans="1:15">
      <c r="A168" s="29">
        <f t="shared" si="23"/>
        <v>164</v>
      </c>
      <c r="B168" s="55" t="s">
        <v>1139</v>
      </c>
      <c r="C168" s="64" t="s">
        <v>1140</v>
      </c>
      <c r="D168" s="102">
        <v>43230</v>
      </c>
      <c r="E168" s="202">
        <v>170000</v>
      </c>
      <c r="F168" s="196">
        <f t="shared" si="21"/>
        <v>170000</v>
      </c>
      <c r="G168" s="196">
        <f t="shared" ref="G168:G231" si="30">E168/I168</f>
        <v>170000</v>
      </c>
      <c r="H168" s="196">
        <v>0</v>
      </c>
      <c r="I168" s="197">
        <v>1</v>
      </c>
      <c r="J168" s="56">
        <v>1</v>
      </c>
      <c r="K168" s="198">
        <f t="shared" si="22"/>
        <v>170000</v>
      </c>
      <c r="L168" s="198">
        <f t="shared" ref="L168:L231" si="31">G168*J168</f>
        <v>170000</v>
      </c>
      <c r="M168" s="199">
        <f t="shared" ref="M168:M231" si="32">J168*K168</f>
        <v>170000</v>
      </c>
      <c r="N168" s="187"/>
      <c r="O168" s="200" t="s">
        <v>1680</v>
      </c>
    </row>
    <row r="169" spans="1:15">
      <c r="A169" s="29">
        <f t="shared" si="23"/>
        <v>165</v>
      </c>
      <c r="B169" s="50" t="s">
        <v>110</v>
      </c>
      <c r="C169" s="51" t="s">
        <v>111</v>
      </c>
      <c r="D169" s="52">
        <v>43261</v>
      </c>
      <c r="E169" s="195">
        <v>33780</v>
      </c>
      <c r="F169" s="196">
        <f t="shared" si="21"/>
        <v>33780</v>
      </c>
      <c r="G169" s="196">
        <f t="shared" si="30"/>
        <v>33780</v>
      </c>
      <c r="H169" s="196">
        <v>0</v>
      </c>
      <c r="I169" s="197">
        <v>1</v>
      </c>
      <c r="J169" s="197">
        <v>1</v>
      </c>
      <c r="K169" s="198">
        <f t="shared" si="22"/>
        <v>33780</v>
      </c>
      <c r="L169" s="198">
        <f t="shared" si="31"/>
        <v>33780</v>
      </c>
      <c r="M169" s="199">
        <f t="shared" si="32"/>
        <v>33780</v>
      </c>
      <c r="N169" s="200"/>
      <c r="O169" s="200" t="s">
        <v>1694</v>
      </c>
    </row>
    <row r="170" spans="1:15">
      <c r="A170" s="29">
        <f t="shared" si="23"/>
        <v>166</v>
      </c>
      <c r="B170" s="50" t="s">
        <v>110</v>
      </c>
      <c r="C170" s="51" t="s">
        <v>111</v>
      </c>
      <c r="D170" s="52">
        <v>43261</v>
      </c>
      <c r="E170" s="201">
        <v>100000</v>
      </c>
      <c r="F170" s="196">
        <f t="shared" si="21"/>
        <v>100000</v>
      </c>
      <c r="G170" s="196">
        <f t="shared" si="30"/>
        <v>100000</v>
      </c>
      <c r="H170" s="196">
        <v>0</v>
      </c>
      <c r="I170" s="197">
        <v>1</v>
      </c>
      <c r="J170" s="197">
        <v>1</v>
      </c>
      <c r="K170" s="198">
        <f t="shared" si="22"/>
        <v>100000</v>
      </c>
      <c r="L170" s="198">
        <f t="shared" si="31"/>
        <v>100000</v>
      </c>
      <c r="M170" s="199">
        <f t="shared" si="32"/>
        <v>100000</v>
      </c>
      <c r="N170" s="187"/>
      <c r="O170" s="200" t="s">
        <v>1694</v>
      </c>
    </row>
    <row r="171" spans="1:15">
      <c r="A171" s="29">
        <f t="shared" si="23"/>
        <v>167</v>
      </c>
      <c r="B171" s="50" t="s">
        <v>110</v>
      </c>
      <c r="C171" s="51" t="s">
        <v>111</v>
      </c>
      <c r="D171" s="52">
        <v>43261</v>
      </c>
      <c r="E171" s="201">
        <v>100000</v>
      </c>
      <c r="F171" s="196">
        <f t="shared" si="21"/>
        <v>100000</v>
      </c>
      <c r="G171" s="196">
        <f t="shared" si="30"/>
        <v>100000</v>
      </c>
      <c r="H171" s="196">
        <v>0</v>
      </c>
      <c r="I171" s="197">
        <v>1</v>
      </c>
      <c r="J171" s="197">
        <v>1</v>
      </c>
      <c r="K171" s="198">
        <f t="shared" si="22"/>
        <v>100000</v>
      </c>
      <c r="L171" s="198">
        <f t="shared" si="31"/>
        <v>100000</v>
      </c>
      <c r="M171" s="199">
        <f t="shared" si="32"/>
        <v>100000</v>
      </c>
      <c r="N171" s="187"/>
      <c r="O171" s="200" t="s">
        <v>1694</v>
      </c>
    </row>
    <row r="172" spans="1:15">
      <c r="A172" s="29">
        <f t="shared" si="23"/>
        <v>168</v>
      </c>
      <c r="B172" s="55" t="s">
        <v>140</v>
      </c>
      <c r="C172" s="64" t="s">
        <v>141</v>
      </c>
      <c r="D172" s="52">
        <v>43261</v>
      </c>
      <c r="E172" s="201">
        <v>119350</v>
      </c>
      <c r="F172" s="196">
        <f t="shared" si="21"/>
        <v>119350</v>
      </c>
      <c r="G172" s="196">
        <f t="shared" si="30"/>
        <v>119350</v>
      </c>
      <c r="H172" s="196">
        <v>0</v>
      </c>
      <c r="I172" s="197">
        <v>1</v>
      </c>
      <c r="J172" s="197">
        <v>1</v>
      </c>
      <c r="K172" s="198">
        <f t="shared" si="22"/>
        <v>119350</v>
      </c>
      <c r="L172" s="198">
        <f t="shared" si="31"/>
        <v>119350</v>
      </c>
      <c r="M172" s="199">
        <f t="shared" si="32"/>
        <v>119350</v>
      </c>
      <c r="N172" s="187"/>
      <c r="O172" s="200" t="s">
        <v>1694</v>
      </c>
    </row>
    <row r="173" spans="1:15">
      <c r="A173" s="29">
        <f t="shared" si="23"/>
        <v>169</v>
      </c>
      <c r="B173" s="50" t="s">
        <v>342</v>
      </c>
      <c r="C173" s="51" t="s">
        <v>343</v>
      </c>
      <c r="D173" s="52">
        <v>43261</v>
      </c>
      <c r="E173" s="201">
        <v>65000</v>
      </c>
      <c r="F173" s="196">
        <f t="shared" si="21"/>
        <v>65000</v>
      </c>
      <c r="G173" s="196">
        <f t="shared" si="30"/>
        <v>65000</v>
      </c>
      <c r="H173" s="196">
        <v>0</v>
      </c>
      <c r="I173" s="197">
        <v>1</v>
      </c>
      <c r="J173" s="197">
        <v>1</v>
      </c>
      <c r="K173" s="198">
        <f t="shared" si="22"/>
        <v>65000</v>
      </c>
      <c r="L173" s="198">
        <f t="shared" si="31"/>
        <v>65000</v>
      </c>
      <c r="M173" s="199">
        <f t="shared" si="32"/>
        <v>65000</v>
      </c>
      <c r="N173" s="187"/>
      <c r="O173" s="200" t="s">
        <v>1694</v>
      </c>
    </row>
    <row r="174" spans="1:15">
      <c r="A174" s="29">
        <f t="shared" si="23"/>
        <v>170</v>
      </c>
      <c r="B174" s="50" t="s">
        <v>359</v>
      </c>
      <c r="C174" s="51" t="s">
        <v>360</v>
      </c>
      <c r="D174" s="52">
        <v>43261</v>
      </c>
      <c r="E174" s="201">
        <v>62134</v>
      </c>
      <c r="F174" s="196">
        <f t="shared" si="21"/>
        <v>62134</v>
      </c>
      <c r="G174" s="196">
        <f t="shared" si="30"/>
        <v>62134</v>
      </c>
      <c r="H174" s="196">
        <v>0</v>
      </c>
      <c r="I174" s="197">
        <v>1</v>
      </c>
      <c r="J174" s="197">
        <v>1</v>
      </c>
      <c r="K174" s="198">
        <f t="shared" si="22"/>
        <v>62134</v>
      </c>
      <c r="L174" s="198">
        <f t="shared" si="31"/>
        <v>62134</v>
      </c>
      <c r="M174" s="199">
        <f t="shared" si="32"/>
        <v>62134</v>
      </c>
      <c r="N174" s="187"/>
      <c r="O174" s="200" t="s">
        <v>1694</v>
      </c>
    </row>
    <row r="175" spans="1:15">
      <c r="A175" s="29">
        <f t="shared" si="23"/>
        <v>171</v>
      </c>
      <c r="B175" s="50" t="s">
        <v>359</v>
      </c>
      <c r="C175" s="51" t="s">
        <v>360</v>
      </c>
      <c r="D175" s="52">
        <v>43261</v>
      </c>
      <c r="E175" s="201">
        <v>187866</v>
      </c>
      <c r="F175" s="196">
        <f t="shared" si="21"/>
        <v>187866</v>
      </c>
      <c r="G175" s="196">
        <f t="shared" si="30"/>
        <v>187866</v>
      </c>
      <c r="H175" s="196">
        <v>0</v>
      </c>
      <c r="I175" s="197">
        <v>1</v>
      </c>
      <c r="J175" s="197">
        <v>1</v>
      </c>
      <c r="K175" s="198">
        <f t="shared" si="22"/>
        <v>187866</v>
      </c>
      <c r="L175" s="198">
        <f t="shared" si="31"/>
        <v>187866</v>
      </c>
      <c r="M175" s="199">
        <f t="shared" si="32"/>
        <v>187866</v>
      </c>
      <c r="N175" s="187"/>
      <c r="O175" s="200" t="s">
        <v>1694</v>
      </c>
    </row>
    <row r="176" spans="1:15">
      <c r="A176" s="29">
        <f t="shared" si="23"/>
        <v>172</v>
      </c>
      <c r="B176" s="50" t="s">
        <v>404</v>
      </c>
      <c r="C176" s="51">
        <v>901781</v>
      </c>
      <c r="D176" s="52">
        <v>43261</v>
      </c>
      <c r="E176" s="201">
        <v>40000</v>
      </c>
      <c r="F176" s="196">
        <f t="shared" si="21"/>
        <v>40000</v>
      </c>
      <c r="G176" s="196">
        <f t="shared" si="30"/>
        <v>40000</v>
      </c>
      <c r="H176" s="196">
        <v>0</v>
      </c>
      <c r="I176" s="197">
        <v>1</v>
      </c>
      <c r="J176" s="197">
        <v>1</v>
      </c>
      <c r="K176" s="198">
        <f t="shared" si="22"/>
        <v>40000</v>
      </c>
      <c r="L176" s="198">
        <f t="shared" si="31"/>
        <v>40000</v>
      </c>
      <c r="M176" s="199">
        <f t="shared" si="32"/>
        <v>40000</v>
      </c>
      <c r="N176" s="187"/>
      <c r="O176" s="200" t="s">
        <v>1694</v>
      </c>
    </row>
    <row r="177" spans="1:15">
      <c r="A177" s="29">
        <f t="shared" si="23"/>
        <v>173</v>
      </c>
      <c r="B177" s="50" t="s">
        <v>498</v>
      </c>
      <c r="C177" s="51" t="s">
        <v>499</v>
      </c>
      <c r="D177" s="52">
        <v>43261</v>
      </c>
      <c r="E177" s="202">
        <v>100000</v>
      </c>
      <c r="F177" s="196">
        <f t="shared" si="21"/>
        <v>100000</v>
      </c>
      <c r="G177" s="196">
        <f t="shared" si="30"/>
        <v>100000</v>
      </c>
      <c r="H177" s="196">
        <v>0</v>
      </c>
      <c r="I177" s="197">
        <v>1</v>
      </c>
      <c r="J177" s="197">
        <v>1</v>
      </c>
      <c r="K177" s="198">
        <f t="shared" si="22"/>
        <v>100000</v>
      </c>
      <c r="L177" s="198">
        <f t="shared" si="31"/>
        <v>100000</v>
      </c>
      <c r="M177" s="199">
        <f t="shared" si="32"/>
        <v>100000</v>
      </c>
      <c r="N177" s="187"/>
      <c r="O177" s="200" t="s">
        <v>1694</v>
      </c>
    </row>
    <row r="178" spans="1:15">
      <c r="A178" s="29">
        <f t="shared" si="23"/>
        <v>174</v>
      </c>
      <c r="B178" s="50" t="s">
        <v>680</v>
      </c>
      <c r="C178" s="51" t="s">
        <v>681</v>
      </c>
      <c r="D178" s="52">
        <v>43261</v>
      </c>
      <c r="E178" s="202">
        <v>125000</v>
      </c>
      <c r="F178" s="196">
        <f t="shared" si="21"/>
        <v>125000</v>
      </c>
      <c r="G178" s="196">
        <f t="shared" si="30"/>
        <v>125000</v>
      </c>
      <c r="H178" s="196">
        <v>0</v>
      </c>
      <c r="I178" s="197">
        <v>1</v>
      </c>
      <c r="J178" s="197">
        <v>1</v>
      </c>
      <c r="K178" s="198">
        <f t="shared" si="22"/>
        <v>125000</v>
      </c>
      <c r="L178" s="198">
        <f t="shared" si="31"/>
        <v>125000</v>
      </c>
      <c r="M178" s="199">
        <f t="shared" si="32"/>
        <v>125000</v>
      </c>
      <c r="N178" s="187"/>
      <c r="O178" s="200" t="s">
        <v>1694</v>
      </c>
    </row>
    <row r="179" spans="1:15">
      <c r="A179" s="29">
        <f t="shared" si="23"/>
        <v>175</v>
      </c>
      <c r="B179" s="50" t="s">
        <v>680</v>
      </c>
      <c r="C179" s="51" t="s">
        <v>681</v>
      </c>
      <c r="D179" s="52">
        <v>43261</v>
      </c>
      <c r="E179" s="202">
        <v>125000</v>
      </c>
      <c r="F179" s="196">
        <f t="shared" si="21"/>
        <v>125000</v>
      </c>
      <c r="G179" s="196">
        <f t="shared" si="30"/>
        <v>125000</v>
      </c>
      <c r="H179" s="196">
        <v>0</v>
      </c>
      <c r="I179" s="197">
        <v>1</v>
      </c>
      <c r="J179" s="197">
        <v>1</v>
      </c>
      <c r="K179" s="198">
        <f t="shared" si="22"/>
        <v>125000</v>
      </c>
      <c r="L179" s="198">
        <f t="shared" si="31"/>
        <v>125000</v>
      </c>
      <c r="M179" s="199">
        <f t="shared" si="32"/>
        <v>125000</v>
      </c>
      <c r="N179" s="187"/>
      <c r="O179" s="200" t="s">
        <v>1694</v>
      </c>
    </row>
    <row r="180" spans="1:15">
      <c r="A180" s="29">
        <f t="shared" si="23"/>
        <v>176</v>
      </c>
      <c r="B180" s="50" t="s">
        <v>718</v>
      </c>
      <c r="C180" s="51">
        <v>921578</v>
      </c>
      <c r="D180" s="52">
        <v>43261</v>
      </c>
      <c r="E180" s="202">
        <v>65000</v>
      </c>
      <c r="F180" s="196">
        <f t="shared" si="21"/>
        <v>65000</v>
      </c>
      <c r="G180" s="196">
        <f t="shared" si="30"/>
        <v>65000</v>
      </c>
      <c r="H180" s="196">
        <v>0</v>
      </c>
      <c r="I180" s="197">
        <v>1</v>
      </c>
      <c r="J180" s="197">
        <v>1</v>
      </c>
      <c r="K180" s="198">
        <f t="shared" si="22"/>
        <v>65000</v>
      </c>
      <c r="L180" s="198">
        <f t="shared" si="31"/>
        <v>65000</v>
      </c>
      <c r="M180" s="199">
        <f t="shared" si="32"/>
        <v>65000</v>
      </c>
      <c r="N180" s="187"/>
      <c r="O180" s="200" t="s">
        <v>1694</v>
      </c>
    </row>
    <row r="181" spans="1:15">
      <c r="A181" s="29">
        <f t="shared" si="23"/>
        <v>177</v>
      </c>
      <c r="B181" s="50" t="s">
        <v>737</v>
      </c>
      <c r="C181" s="51" t="s">
        <v>738</v>
      </c>
      <c r="D181" s="52">
        <v>43261</v>
      </c>
      <c r="E181" s="202">
        <v>585000</v>
      </c>
      <c r="F181" s="196">
        <f t="shared" si="21"/>
        <v>585000</v>
      </c>
      <c r="G181" s="196">
        <f t="shared" si="30"/>
        <v>585000</v>
      </c>
      <c r="H181" s="196">
        <v>0</v>
      </c>
      <c r="I181" s="197">
        <v>1</v>
      </c>
      <c r="J181" s="197">
        <v>1</v>
      </c>
      <c r="K181" s="198">
        <f t="shared" si="22"/>
        <v>585000</v>
      </c>
      <c r="L181" s="198">
        <f t="shared" si="31"/>
        <v>585000</v>
      </c>
      <c r="M181" s="199">
        <f t="shared" si="32"/>
        <v>585000</v>
      </c>
      <c r="N181" s="187"/>
      <c r="O181" s="200" t="s">
        <v>1694</v>
      </c>
    </row>
    <row r="182" spans="1:15">
      <c r="A182" s="29">
        <f t="shared" si="23"/>
        <v>178</v>
      </c>
      <c r="B182" s="50" t="s">
        <v>737</v>
      </c>
      <c r="C182" s="86" t="s">
        <v>738</v>
      </c>
      <c r="D182" s="52">
        <v>43261</v>
      </c>
      <c r="E182" s="202">
        <v>63700</v>
      </c>
      <c r="F182" s="196">
        <f t="shared" si="21"/>
        <v>63700</v>
      </c>
      <c r="G182" s="196">
        <f t="shared" si="30"/>
        <v>63700</v>
      </c>
      <c r="H182" s="196">
        <v>0</v>
      </c>
      <c r="I182" s="197">
        <v>1</v>
      </c>
      <c r="J182" s="197">
        <v>1</v>
      </c>
      <c r="K182" s="198">
        <f t="shared" si="22"/>
        <v>63700</v>
      </c>
      <c r="L182" s="198">
        <f t="shared" si="31"/>
        <v>63700</v>
      </c>
      <c r="M182" s="199">
        <f t="shared" si="32"/>
        <v>63700</v>
      </c>
      <c r="N182" s="187"/>
      <c r="O182" s="200" t="s">
        <v>1694</v>
      </c>
    </row>
    <row r="183" spans="1:15">
      <c r="A183" s="29">
        <f t="shared" si="23"/>
        <v>179</v>
      </c>
      <c r="B183" s="50" t="s">
        <v>806</v>
      </c>
      <c r="C183" s="51">
        <v>960616</v>
      </c>
      <c r="D183" s="52">
        <v>43261</v>
      </c>
      <c r="E183" s="202">
        <v>70000</v>
      </c>
      <c r="F183" s="196">
        <f t="shared" si="21"/>
        <v>70000</v>
      </c>
      <c r="G183" s="196">
        <f t="shared" si="30"/>
        <v>70000</v>
      </c>
      <c r="H183" s="196">
        <v>0</v>
      </c>
      <c r="I183" s="197">
        <v>1</v>
      </c>
      <c r="J183" s="197">
        <v>1</v>
      </c>
      <c r="K183" s="198">
        <f t="shared" si="22"/>
        <v>70000</v>
      </c>
      <c r="L183" s="198">
        <f t="shared" si="31"/>
        <v>70000</v>
      </c>
      <c r="M183" s="199">
        <f t="shared" si="32"/>
        <v>70000</v>
      </c>
      <c r="N183" s="187"/>
      <c r="O183" s="200" t="s">
        <v>1694</v>
      </c>
    </row>
    <row r="184" spans="1:15">
      <c r="A184" s="29">
        <f t="shared" si="23"/>
        <v>180</v>
      </c>
      <c r="B184" s="50" t="s">
        <v>835</v>
      </c>
      <c r="C184" s="51" t="s">
        <v>836</v>
      </c>
      <c r="D184" s="52">
        <v>43261</v>
      </c>
      <c r="E184" s="202">
        <v>67500</v>
      </c>
      <c r="F184" s="196">
        <f t="shared" si="21"/>
        <v>67500</v>
      </c>
      <c r="G184" s="196">
        <f t="shared" si="30"/>
        <v>67500</v>
      </c>
      <c r="H184" s="196">
        <v>0</v>
      </c>
      <c r="I184" s="197">
        <v>1</v>
      </c>
      <c r="J184" s="197">
        <v>1</v>
      </c>
      <c r="K184" s="198">
        <f t="shared" si="22"/>
        <v>67500</v>
      </c>
      <c r="L184" s="198">
        <f t="shared" si="31"/>
        <v>67500</v>
      </c>
      <c r="M184" s="199">
        <f t="shared" si="32"/>
        <v>67500</v>
      </c>
      <c r="N184" s="187"/>
      <c r="O184" s="200" t="s">
        <v>1694</v>
      </c>
    </row>
    <row r="185" spans="1:15">
      <c r="A185" s="29">
        <f t="shared" si="23"/>
        <v>181</v>
      </c>
      <c r="B185" s="50" t="s">
        <v>835</v>
      </c>
      <c r="C185" s="51" t="s">
        <v>836</v>
      </c>
      <c r="D185" s="52">
        <v>43261</v>
      </c>
      <c r="E185" s="202">
        <v>67500</v>
      </c>
      <c r="F185" s="196">
        <f t="shared" si="21"/>
        <v>67500</v>
      </c>
      <c r="G185" s="196">
        <f t="shared" si="30"/>
        <v>67500</v>
      </c>
      <c r="H185" s="196">
        <v>0</v>
      </c>
      <c r="I185" s="197">
        <v>1</v>
      </c>
      <c r="J185" s="197">
        <v>1</v>
      </c>
      <c r="K185" s="198">
        <f t="shared" si="22"/>
        <v>67500</v>
      </c>
      <c r="L185" s="198">
        <f t="shared" si="31"/>
        <v>67500</v>
      </c>
      <c r="M185" s="199">
        <f t="shared" si="32"/>
        <v>67500</v>
      </c>
      <c r="N185" s="187"/>
      <c r="O185" s="200" t="s">
        <v>1694</v>
      </c>
    </row>
    <row r="186" spans="1:15">
      <c r="A186" s="29">
        <f t="shared" si="23"/>
        <v>182</v>
      </c>
      <c r="B186" s="50" t="s">
        <v>1021</v>
      </c>
      <c r="C186" s="51" t="s">
        <v>1022</v>
      </c>
      <c r="D186" s="52">
        <v>43261</v>
      </c>
      <c r="E186" s="202">
        <v>55000</v>
      </c>
      <c r="F186" s="196">
        <f t="shared" si="21"/>
        <v>55000</v>
      </c>
      <c r="G186" s="196">
        <f t="shared" si="30"/>
        <v>55000</v>
      </c>
      <c r="H186" s="196">
        <v>0</v>
      </c>
      <c r="I186" s="197">
        <v>1</v>
      </c>
      <c r="J186" s="197">
        <v>1</v>
      </c>
      <c r="K186" s="198">
        <f t="shared" si="22"/>
        <v>55000</v>
      </c>
      <c r="L186" s="198">
        <f t="shared" si="31"/>
        <v>55000</v>
      </c>
      <c r="M186" s="199">
        <f t="shared" si="32"/>
        <v>55000</v>
      </c>
      <c r="N186" s="187"/>
      <c r="O186" s="200" t="s">
        <v>1694</v>
      </c>
    </row>
    <row r="187" spans="1:15">
      <c r="A187" s="29">
        <f t="shared" si="23"/>
        <v>183</v>
      </c>
      <c r="B187" s="50" t="s">
        <v>1021</v>
      </c>
      <c r="C187" s="51" t="s">
        <v>1022</v>
      </c>
      <c r="D187" s="52">
        <v>43261</v>
      </c>
      <c r="E187" s="202">
        <v>55000</v>
      </c>
      <c r="F187" s="196">
        <f t="shared" si="21"/>
        <v>55000</v>
      </c>
      <c r="G187" s="196">
        <f t="shared" si="30"/>
        <v>55000</v>
      </c>
      <c r="H187" s="196">
        <v>0</v>
      </c>
      <c r="I187" s="197">
        <v>1</v>
      </c>
      <c r="J187" s="197">
        <v>1</v>
      </c>
      <c r="K187" s="198">
        <f t="shared" si="22"/>
        <v>55000</v>
      </c>
      <c r="L187" s="198">
        <f t="shared" si="31"/>
        <v>55000</v>
      </c>
      <c r="M187" s="199">
        <f t="shared" si="32"/>
        <v>55000</v>
      </c>
      <c r="N187" s="187"/>
      <c r="O187" s="200" t="s">
        <v>1694</v>
      </c>
    </row>
    <row r="188" spans="1:15">
      <c r="A188" s="29">
        <f t="shared" si="23"/>
        <v>184</v>
      </c>
      <c r="B188" s="50" t="s">
        <v>1078</v>
      </c>
      <c r="C188" s="51" t="s">
        <v>1079</v>
      </c>
      <c r="D188" s="52">
        <v>43261</v>
      </c>
      <c r="E188" s="202">
        <v>13550</v>
      </c>
      <c r="F188" s="196">
        <f t="shared" si="21"/>
        <v>13550</v>
      </c>
      <c r="G188" s="196">
        <f t="shared" si="30"/>
        <v>13550</v>
      </c>
      <c r="H188" s="196">
        <v>0</v>
      </c>
      <c r="I188" s="197">
        <v>1</v>
      </c>
      <c r="J188" s="197">
        <v>1</v>
      </c>
      <c r="K188" s="198">
        <f t="shared" si="22"/>
        <v>13550</v>
      </c>
      <c r="L188" s="198">
        <f t="shared" si="31"/>
        <v>13550</v>
      </c>
      <c r="M188" s="199">
        <f t="shared" si="32"/>
        <v>13550</v>
      </c>
      <c r="N188" s="187"/>
      <c r="O188" s="200" t="s">
        <v>1694</v>
      </c>
    </row>
    <row r="189" spans="1:15">
      <c r="A189" s="29">
        <f t="shared" si="23"/>
        <v>185</v>
      </c>
      <c r="B189" s="50" t="s">
        <v>1078</v>
      </c>
      <c r="C189" s="51" t="s">
        <v>1079</v>
      </c>
      <c r="D189" s="52">
        <v>43261</v>
      </c>
      <c r="E189" s="202">
        <v>125000</v>
      </c>
      <c r="F189" s="196">
        <f t="shared" si="21"/>
        <v>125000</v>
      </c>
      <c r="G189" s="196">
        <f t="shared" si="30"/>
        <v>125000</v>
      </c>
      <c r="H189" s="196">
        <v>0</v>
      </c>
      <c r="I189" s="197">
        <v>1</v>
      </c>
      <c r="J189" s="197">
        <v>1</v>
      </c>
      <c r="K189" s="198">
        <f t="shared" si="22"/>
        <v>125000</v>
      </c>
      <c r="L189" s="198">
        <f t="shared" si="31"/>
        <v>125000</v>
      </c>
      <c r="M189" s="199">
        <f t="shared" si="32"/>
        <v>125000</v>
      </c>
      <c r="N189" s="187"/>
      <c r="O189" s="200" t="s">
        <v>1694</v>
      </c>
    </row>
    <row r="190" spans="1:15">
      <c r="A190" s="29">
        <f t="shared" si="23"/>
        <v>186</v>
      </c>
      <c r="B190" s="50" t="s">
        <v>1078</v>
      </c>
      <c r="C190" s="51" t="s">
        <v>1079</v>
      </c>
      <c r="D190" s="52">
        <v>43261</v>
      </c>
      <c r="E190" s="202">
        <v>125000</v>
      </c>
      <c r="F190" s="196">
        <f t="shared" si="21"/>
        <v>125000</v>
      </c>
      <c r="G190" s="196">
        <f t="shared" si="30"/>
        <v>125000</v>
      </c>
      <c r="H190" s="196">
        <v>0</v>
      </c>
      <c r="I190" s="197">
        <v>1</v>
      </c>
      <c r="J190" s="197">
        <v>1</v>
      </c>
      <c r="K190" s="198">
        <f t="shared" si="22"/>
        <v>125000</v>
      </c>
      <c r="L190" s="198">
        <f t="shared" si="31"/>
        <v>125000</v>
      </c>
      <c r="M190" s="199">
        <f t="shared" si="32"/>
        <v>125000</v>
      </c>
      <c r="N190" s="187"/>
      <c r="O190" s="200" t="s">
        <v>1694</v>
      </c>
    </row>
    <row r="191" spans="1:15">
      <c r="A191" s="29">
        <f t="shared" si="23"/>
        <v>187</v>
      </c>
      <c r="B191" s="50" t="s">
        <v>1133</v>
      </c>
      <c r="C191" s="51" t="s">
        <v>1134</v>
      </c>
      <c r="D191" s="52">
        <v>43261</v>
      </c>
      <c r="E191" s="202">
        <v>129450</v>
      </c>
      <c r="F191" s="196">
        <f t="shared" si="21"/>
        <v>129450</v>
      </c>
      <c r="G191" s="196">
        <f t="shared" si="30"/>
        <v>129450</v>
      </c>
      <c r="H191" s="196">
        <v>0</v>
      </c>
      <c r="I191" s="197">
        <v>1</v>
      </c>
      <c r="J191" s="197">
        <v>1</v>
      </c>
      <c r="K191" s="198">
        <f t="shared" si="22"/>
        <v>129450</v>
      </c>
      <c r="L191" s="198">
        <f t="shared" si="31"/>
        <v>129450</v>
      </c>
      <c r="M191" s="199">
        <f t="shared" si="32"/>
        <v>129450</v>
      </c>
      <c r="N191" s="187"/>
      <c r="O191" s="200" t="s">
        <v>1694</v>
      </c>
    </row>
    <row r="192" spans="1:15">
      <c r="A192" s="29">
        <f t="shared" si="23"/>
        <v>188</v>
      </c>
      <c r="B192" s="50" t="s">
        <v>1133</v>
      </c>
      <c r="C192" s="51" t="s">
        <v>1134</v>
      </c>
      <c r="D192" s="52">
        <v>43261</v>
      </c>
      <c r="E192" s="202">
        <v>129450</v>
      </c>
      <c r="F192" s="196">
        <f t="shared" si="21"/>
        <v>129450</v>
      </c>
      <c r="G192" s="196">
        <f t="shared" si="30"/>
        <v>129450</v>
      </c>
      <c r="H192" s="196">
        <v>0</v>
      </c>
      <c r="I192" s="197">
        <v>1</v>
      </c>
      <c r="J192" s="197">
        <v>1</v>
      </c>
      <c r="K192" s="198">
        <f t="shared" si="22"/>
        <v>129450</v>
      </c>
      <c r="L192" s="198">
        <f t="shared" si="31"/>
        <v>129450</v>
      </c>
      <c r="M192" s="199">
        <f t="shared" si="32"/>
        <v>129450</v>
      </c>
      <c r="N192" s="187"/>
      <c r="O192" s="200" t="s">
        <v>1694</v>
      </c>
    </row>
    <row r="193" spans="1:15">
      <c r="A193" s="29">
        <f t="shared" si="23"/>
        <v>189</v>
      </c>
      <c r="B193" s="55" t="s">
        <v>1139</v>
      </c>
      <c r="C193" s="64" t="s">
        <v>1140</v>
      </c>
      <c r="D193" s="52">
        <v>43261</v>
      </c>
      <c r="E193" s="202">
        <v>170000</v>
      </c>
      <c r="F193" s="196">
        <f t="shared" si="21"/>
        <v>170000</v>
      </c>
      <c r="G193" s="196">
        <f t="shared" si="30"/>
        <v>170000</v>
      </c>
      <c r="H193" s="196">
        <v>0</v>
      </c>
      <c r="I193" s="197">
        <v>1</v>
      </c>
      <c r="J193" s="197">
        <v>1</v>
      </c>
      <c r="K193" s="198">
        <f t="shared" si="22"/>
        <v>170000</v>
      </c>
      <c r="L193" s="198">
        <f t="shared" si="31"/>
        <v>170000</v>
      </c>
      <c r="M193" s="199">
        <f t="shared" si="32"/>
        <v>170000</v>
      </c>
      <c r="N193" s="187"/>
      <c r="O193" s="200" t="s">
        <v>1694</v>
      </c>
    </row>
    <row r="194" spans="1:15">
      <c r="A194" s="29">
        <f t="shared" si="23"/>
        <v>190</v>
      </c>
      <c r="B194" s="30" t="s">
        <v>110</v>
      </c>
      <c r="C194" s="31" t="s">
        <v>111</v>
      </c>
      <c r="D194" s="32">
        <v>43291</v>
      </c>
      <c r="E194" s="204">
        <v>33780</v>
      </c>
      <c r="F194" s="199">
        <f t="shared" si="21"/>
        <v>33780</v>
      </c>
      <c r="G194" s="199">
        <f t="shared" si="30"/>
        <v>33780</v>
      </c>
      <c r="H194" s="199">
        <v>0</v>
      </c>
      <c r="I194" s="205">
        <v>1</v>
      </c>
      <c r="J194" s="205">
        <v>1</v>
      </c>
      <c r="K194" s="198">
        <f t="shared" si="22"/>
        <v>33780</v>
      </c>
      <c r="L194" s="198">
        <f t="shared" si="31"/>
        <v>33780</v>
      </c>
      <c r="M194" s="199">
        <f t="shared" si="32"/>
        <v>33780</v>
      </c>
      <c r="N194" s="200"/>
      <c r="O194" s="200" t="s">
        <v>1695</v>
      </c>
    </row>
    <row r="195" spans="1:15">
      <c r="A195" s="29">
        <f t="shared" si="23"/>
        <v>191</v>
      </c>
      <c r="B195" s="30" t="s">
        <v>110</v>
      </c>
      <c r="C195" s="31" t="s">
        <v>111</v>
      </c>
      <c r="D195" s="32">
        <v>43291</v>
      </c>
      <c r="E195" s="206">
        <v>100000</v>
      </c>
      <c r="F195" s="199">
        <f t="shared" si="21"/>
        <v>100000</v>
      </c>
      <c r="G195" s="199">
        <f t="shared" si="30"/>
        <v>100000</v>
      </c>
      <c r="H195" s="199">
        <v>0</v>
      </c>
      <c r="I195" s="205">
        <v>1</v>
      </c>
      <c r="J195" s="205">
        <v>1</v>
      </c>
      <c r="K195" s="198">
        <f t="shared" si="22"/>
        <v>100000</v>
      </c>
      <c r="L195" s="198">
        <f t="shared" si="31"/>
        <v>100000</v>
      </c>
      <c r="M195" s="199">
        <f t="shared" si="32"/>
        <v>100000</v>
      </c>
      <c r="N195" s="187"/>
      <c r="O195" s="200" t="s">
        <v>1695</v>
      </c>
    </row>
    <row r="196" spans="1:15">
      <c r="A196" s="29">
        <f t="shared" si="23"/>
        <v>192</v>
      </c>
      <c r="B196" s="30" t="s">
        <v>110</v>
      </c>
      <c r="C196" s="31" t="s">
        <v>111</v>
      </c>
      <c r="D196" s="32">
        <v>43291</v>
      </c>
      <c r="E196" s="206">
        <v>100000</v>
      </c>
      <c r="F196" s="199">
        <f t="shared" si="21"/>
        <v>100000</v>
      </c>
      <c r="G196" s="199">
        <f t="shared" si="30"/>
        <v>100000</v>
      </c>
      <c r="H196" s="199">
        <v>0</v>
      </c>
      <c r="I196" s="205">
        <v>1</v>
      </c>
      <c r="J196" s="205">
        <v>1</v>
      </c>
      <c r="K196" s="198">
        <f t="shared" si="22"/>
        <v>100000</v>
      </c>
      <c r="L196" s="198">
        <f t="shared" si="31"/>
        <v>100000</v>
      </c>
      <c r="M196" s="199">
        <f t="shared" si="32"/>
        <v>100000</v>
      </c>
      <c r="N196" s="187"/>
      <c r="O196" s="200" t="s">
        <v>1695</v>
      </c>
    </row>
    <row r="197" spans="1:15">
      <c r="A197" s="29">
        <f t="shared" si="23"/>
        <v>193</v>
      </c>
      <c r="B197" s="33" t="s">
        <v>140</v>
      </c>
      <c r="C197" s="84" t="s">
        <v>141</v>
      </c>
      <c r="D197" s="32">
        <v>43291</v>
      </c>
      <c r="E197" s="206">
        <v>119350</v>
      </c>
      <c r="F197" s="199">
        <f t="shared" ref="F197:F260" si="33">+I197*K197</f>
        <v>119350</v>
      </c>
      <c r="G197" s="199">
        <f t="shared" si="30"/>
        <v>119350</v>
      </c>
      <c r="H197" s="199">
        <v>0</v>
      </c>
      <c r="I197" s="205">
        <v>1</v>
      </c>
      <c r="J197" s="205">
        <v>1</v>
      </c>
      <c r="K197" s="198">
        <f t="shared" ref="K197:K260" si="34">+G197+H197</f>
        <v>119350</v>
      </c>
      <c r="L197" s="198">
        <f t="shared" si="31"/>
        <v>119350</v>
      </c>
      <c r="M197" s="199">
        <f t="shared" si="32"/>
        <v>119350</v>
      </c>
      <c r="N197" s="187"/>
      <c r="O197" s="200" t="s">
        <v>1695</v>
      </c>
    </row>
    <row r="198" spans="1:15">
      <c r="A198" s="29">
        <f t="shared" ref="A198:A240" si="35">+A197+1</f>
        <v>194</v>
      </c>
      <c r="B198" s="30" t="s">
        <v>290</v>
      </c>
      <c r="C198" s="45" t="s">
        <v>291</v>
      </c>
      <c r="D198" s="32">
        <v>43291</v>
      </c>
      <c r="E198" s="206">
        <v>680000</v>
      </c>
      <c r="F198" s="199">
        <f t="shared" si="33"/>
        <v>680000</v>
      </c>
      <c r="G198" s="199">
        <f t="shared" si="30"/>
        <v>680000</v>
      </c>
      <c r="H198" s="199">
        <v>0</v>
      </c>
      <c r="I198" s="205">
        <v>1</v>
      </c>
      <c r="J198" s="205">
        <v>1</v>
      </c>
      <c r="K198" s="198">
        <f t="shared" si="34"/>
        <v>680000</v>
      </c>
      <c r="L198" s="198">
        <f t="shared" si="31"/>
        <v>680000</v>
      </c>
      <c r="M198" s="199">
        <f t="shared" si="32"/>
        <v>680000</v>
      </c>
      <c r="N198" s="187"/>
      <c r="O198" s="200" t="s">
        <v>1695</v>
      </c>
    </row>
    <row r="199" spans="1:15">
      <c r="A199" s="29">
        <f t="shared" si="35"/>
        <v>195</v>
      </c>
      <c r="B199" s="30" t="s">
        <v>322</v>
      </c>
      <c r="C199" s="45" t="s">
        <v>323</v>
      </c>
      <c r="D199" s="32">
        <v>43291</v>
      </c>
      <c r="E199" s="206">
        <v>53670</v>
      </c>
      <c r="F199" s="199">
        <f t="shared" si="33"/>
        <v>53670</v>
      </c>
      <c r="G199" s="199">
        <f t="shared" si="30"/>
        <v>53670</v>
      </c>
      <c r="H199" s="199">
        <v>0</v>
      </c>
      <c r="I199" s="205">
        <v>1</v>
      </c>
      <c r="J199" s="205">
        <v>1</v>
      </c>
      <c r="K199" s="198">
        <f t="shared" si="34"/>
        <v>53670</v>
      </c>
      <c r="L199" s="198">
        <f t="shared" si="31"/>
        <v>53670</v>
      </c>
      <c r="M199" s="199">
        <f t="shared" si="32"/>
        <v>53670</v>
      </c>
      <c r="N199" s="187"/>
      <c r="O199" s="200" t="s">
        <v>1695</v>
      </c>
    </row>
    <row r="200" spans="1:15">
      <c r="A200" s="29">
        <f t="shared" si="35"/>
        <v>196</v>
      </c>
      <c r="B200" s="30" t="s">
        <v>322</v>
      </c>
      <c r="C200" s="31" t="s">
        <v>323</v>
      </c>
      <c r="D200" s="32">
        <v>43291</v>
      </c>
      <c r="E200" s="206">
        <v>61375</v>
      </c>
      <c r="F200" s="199">
        <f t="shared" si="33"/>
        <v>61375</v>
      </c>
      <c r="G200" s="199">
        <f t="shared" si="30"/>
        <v>61375</v>
      </c>
      <c r="H200" s="199">
        <v>0</v>
      </c>
      <c r="I200" s="205">
        <v>1</v>
      </c>
      <c r="J200" s="205">
        <v>1</v>
      </c>
      <c r="K200" s="198">
        <f t="shared" si="34"/>
        <v>61375</v>
      </c>
      <c r="L200" s="198">
        <f t="shared" si="31"/>
        <v>61375</v>
      </c>
      <c r="M200" s="199">
        <f t="shared" si="32"/>
        <v>61375</v>
      </c>
      <c r="N200" s="187"/>
      <c r="O200" s="200" t="s">
        <v>1695</v>
      </c>
    </row>
    <row r="201" spans="1:15">
      <c r="A201" s="29">
        <f t="shared" si="35"/>
        <v>197</v>
      </c>
      <c r="B201" s="30" t="s">
        <v>322</v>
      </c>
      <c r="C201" s="31" t="s">
        <v>323</v>
      </c>
      <c r="D201" s="32">
        <v>43291</v>
      </c>
      <c r="E201" s="207">
        <v>61375</v>
      </c>
      <c r="F201" s="199">
        <f t="shared" si="33"/>
        <v>61375</v>
      </c>
      <c r="G201" s="199">
        <f t="shared" si="30"/>
        <v>61375</v>
      </c>
      <c r="H201" s="199">
        <v>0</v>
      </c>
      <c r="I201" s="205">
        <v>1</v>
      </c>
      <c r="J201" s="205">
        <v>1</v>
      </c>
      <c r="K201" s="198">
        <f t="shared" si="34"/>
        <v>61375</v>
      </c>
      <c r="L201" s="198">
        <f t="shared" si="31"/>
        <v>61375</v>
      </c>
      <c r="M201" s="199">
        <f t="shared" si="32"/>
        <v>61375</v>
      </c>
      <c r="N201" s="187"/>
      <c r="O201" s="200" t="s">
        <v>1695</v>
      </c>
    </row>
    <row r="202" spans="1:15">
      <c r="A202" s="29">
        <f t="shared" si="35"/>
        <v>198</v>
      </c>
      <c r="B202" s="30" t="s">
        <v>342</v>
      </c>
      <c r="C202" s="31" t="s">
        <v>343</v>
      </c>
      <c r="D202" s="32">
        <v>43291</v>
      </c>
      <c r="E202" s="207">
        <v>13550</v>
      </c>
      <c r="F202" s="199">
        <f t="shared" si="33"/>
        <v>13550</v>
      </c>
      <c r="G202" s="199">
        <f t="shared" si="30"/>
        <v>13550</v>
      </c>
      <c r="H202" s="199">
        <v>0</v>
      </c>
      <c r="I202" s="205">
        <v>1</v>
      </c>
      <c r="J202" s="205">
        <v>1</v>
      </c>
      <c r="K202" s="198">
        <f t="shared" si="34"/>
        <v>13550</v>
      </c>
      <c r="L202" s="198">
        <f t="shared" si="31"/>
        <v>13550</v>
      </c>
      <c r="M202" s="199">
        <f t="shared" si="32"/>
        <v>13550</v>
      </c>
      <c r="N202" s="187"/>
      <c r="O202" s="200" t="s">
        <v>1695</v>
      </c>
    </row>
    <row r="203" spans="1:15">
      <c r="A203" s="29">
        <f t="shared" si="35"/>
        <v>199</v>
      </c>
      <c r="B203" s="30" t="s">
        <v>342</v>
      </c>
      <c r="C203" s="31" t="s">
        <v>343</v>
      </c>
      <c r="D203" s="32">
        <v>43291</v>
      </c>
      <c r="E203" s="207">
        <v>65000</v>
      </c>
      <c r="F203" s="199">
        <f t="shared" si="33"/>
        <v>65000</v>
      </c>
      <c r="G203" s="199">
        <f t="shared" si="30"/>
        <v>65000</v>
      </c>
      <c r="H203" s="199">
        <v>0</v>
      </c>
      <c r="I203" s="205">
        <v>1</v>
      </c>
      <c r="J203" s="205">
        <v>1</v>
      </c>
      <c r="K203" s="198">
        <f t="shared" si="34"/>
        <v>65000</v>
      </c>
      <c r="L203" s="198">
        <f t="shared" si="31"/>
        <v>65000</v>
      </c>
      <c r="M203" s="199">
        <f t="shared" si="32"/>
        <v>65000</v>
      </c>
      <c r="N203" s="187"/>
      <c r="O203" s="200" t="s">
        <v>1695</v>
      </c>
    </row>
    <row r="204" spans="1:15">
      <c r="A204" s="29">
        <f t="shared" si="35"/>
        <v>200</v>
      </c>
      <c r="B204" s="30" t="s">
        <v>342</v>
      </c>
      <c r="C204" s="31" t="s">
        <v>343</v>
      </c>
      <c r="D204" s="32">
        <v>43291</v>
      </c>
      <c r="E204" s="207">
        <v>65000</v>
      </c>
      <c r="F204" s="199">
        <f t="shared" si="33"/>
        <v>65000</v>
      </c>
      <c r="G204" s="199">
        <f t="shared" si="30"/>
        <v>65000</v>
      </c>
      <c r="H204" s="199">
        <v>0</v>
      </c>
      <c r="I204" s="205">
        <v>1</v>
      </c>
      <c r="J204" s="205">
        <v>1</v>
      </c>
      <c r="K204" s="198">
        <f t="shared" si="34"/>
        <v>65000</v>
      </c>
      <c r="L204" s="198">
        <f t="shared" si="31"/>
        <v>65000</v>
      </c>
      <c r="M204" s="199">
        <f t="shared" si="32"/>
        <v>65000</v>
      </c>
      <c r="N204" s="187"/>
      <c r="O204" s="200" t="s">
        <v>1695</v>
      </c>
    </row>
    <row r="205" spans="1:15">
      <c r="A205" s="29">
        <f t="shared" si="35"/>
        <v>201</v>
      </c>
      <c r="B205" s="30" t="s">
        <v>359</v>
      </c>
      <c r="C205" s="31" t="s">
        <v>360</v>
      </c>
      <c r="D205" s="32">
        <v>43291</v>
      </c>
      <c r="E205" s="207">
        <v>62134</v>
      </c>
      <c r="F205" s="199">
        <f t="shared" si="33"/>
        <v>62134</v>
      </c>
      <c r="G205" s="199">
        <f t="shared" si="30"/>
        <v>62134</v>
      </c>
      <c r="H205" s="199">
        <v>0</v>
      </c>
      <c r="I205" s="205">
        <v>1</v>
      </c>
      <c r="J205" s="205">
        <v>1</v>
      </c>
      <c r="K205" s="198">
        <f t="shared" si="34"/>
        <v>62134</v>
      </c>
      <c r="L205" s="198">
        <f t="shared" si="31"/>
        <v>62134</v>
      </c>
      <c r="M205" s="199">
        <f t="shared" si="32"/>
        <v>62134</v>
      </c>
      <c r="N205" s="187"/>
      <c r="O205" s="200" t="s">
        <v>1695</v>
      </c>
    </row>
    <row r="206" spans="1:15">
      <c r="A206" s="29">
        <f t="shared" si="35"/>
        <v>202</v>
      </c>
      <c r="B206" s="30" t="s">
        <v>359</v>
      </c>
      <c r="C206" s="31" t="s">
        <v>360</v>
      </c>
      <c r="D206" s="32">
        <v>43291</v>
      </c>
      <c r="E206" s="207">
        <v>187866</v>
      </c>
      <c r="F206" s="199">
        <f t="shared" si="33"/>
        <v>187866</v>
      </c>
      <c r="G206" s="199">
        <f t="shared" si="30"/>
        <v>187866</v>
      </c>
      <c r="H206" s="199">
        <v>0</v>
      </c>
      <c r="I206" s="205">
        <v>1</v>
      </c>
      <c r="J206" s="205">
        <v>1</v>
      </c>
      <c r="K206" s="198">
        <f t="shared" si="34"/>
        <v>187866</v>
      </c>
      <c r="L206" s="198">
        <f t="shared" si="31"/>
        <v>187866</v>
      </c>
      <c r="M206" s="199">
        <f t="shared" si="32"/>
        <v>187866</v>
      </c>
      <c r="N206" s="187"/>
      <c r="O206" s="200" t="s">
        <v>1695</v>
      </c>
    </row>
    <row r="207" spans="1:15">
      <c r="A207" s="29">
        <f t="shared" si="35"/>
        <v>203</v>
      </c>
      <c r="B207" s="30" t="s">
        <v>404</v>
      </c>
      <c r="C207" s="31">
        <v>901781</v>
      </c>
      <c r="D207" s="32">
        <v>43291</v>
      </c>
      <c r="E207" s="207">
        <v>40000</v>
      </c>
      <c r="F207" s="199">
        <f t="shared" si="33"/>
        <v>40000</v>
      </c>
      <c r="G207" s="199">
        <f t="shared" si="30"/>
        <v>40000</v>
      </c>
      <c r="H207" s="199">
        <v>0</v>
      </c>
      <c r="I207" s="205">
        <v>1</v>
      </c>
      <c r="J207" s="205">
        <v>1</v>
      </c>
      <c r="K207" s="198">
        <f t="shared" si="34"/>
        <v>40000</v>
      </c>
      <c r="L207" s="198">
        <f t="shared" si="31"/>
        <v>40000</v>
      </c>
      <c r="M207" s="199">
        <f t="shared" si="32"/>
        <v>40000</v>
      </c>
      <c r="N207" s="187"/>
      <c r="O207" s="200" t="s">
        <v>1695</v>
      </c>
    </row>
    <row r="208" spans="1:15">
      <c r="A208" s="29">
        <f t="shared" si="35"/>
        <v>204</v>
      </c>
      <c r="B208" s="30" t="s">
        <v>466</v>
      </c>
      <c r="C208" s="31" t="s">
        <v>467</v>
      </c>
      <c r="D208" s="32">
        <v>43291</v>
      </c>
      <c r="E208" s="207">
        <v>300000</v>
      </c>
      <c r="F208" s="199">
        <f t="shared" si="33"/>
        <v>300000</v>
      </c>
      <c r="G208" s="199">
        <f t="shared" si="30"/>
        <v>300000</v>
      </c>
      <c r="H208" s="199">
        <v>0</v>
      </c>
      <c r="I208" s="205">
        <v>1</v>
      </c>
      <c r="J208" s="205">
        <v>1</v>
      </c>
      <c r="K208" s="198">
        <f t="shared" si="34"/>
        <v>300000</v>
      </c>
      <c r="L208" s="198">
        <f t="shared" si="31"/>
        <v>300000</v>
      </c>
      <c r="M208" s="199">
        <f t="shared" si="32"/>
        <v>300000</v>
      </c>
      <c r="N208" s="187"/>
      <c r="O208" s="200" t="s">
        <v>1695</v>
      </c>
    </row>
    <row r="209" spans="1:15">
      <c r="A209" s="29">
        <f t="shared" si="35"/>
        <v>205</v>
      </c>
      <c r="B209" s="30" t="s">
        <v>498</v>
      </c>
      <c r="C209" s="31" t="s">
        <v>499</v>
      </c>
      <c r="D209" s="32">
        <v>43291</v>
      </c>
      <c r="E209" s="207">
        <v>100000</v>
      </c>
      <c r="F209" s="199">
        <f t="shared" si="33"/>
        <v>100000</v>
      </c>
      <c r="G209" s="199">
        <f t="shared" si="30"/>
        <v>100000</v>
      </c>
      <c r="H209" s="199">
        <v>0</v>
      </c>
      <c r="I209" s="205">
        <v>1</v>
      </c>
      <c r="J209" s="205">
        <v>1</v>
      </c>
      <c r="K209" s="198">
        <f t="shared" si="34"/>
        <v>100000</v>
      </c>
      <c r="L209" s="198">
        <f t="shared" si="31"/>
        <v>100000</v>
      </c>
      <c r="M209" s="199">
        <f t="shared" si="32"/>
        <v>100000</v>
      </c>
      <c r="N209" s="187"/>
      <c r="O209" s="200" t="s">
        <v>1695</v>
      </c>
    </row>
    <row r="210" spans="1:15">
      <c r="A210" s="29">
        <f t="shared" si="35"/>
        <v>206</v>
      </c>
      <c r="B210" s="30" t="s">
        <v>498</v>
      </c>
      <c r="C210" s="31" t="s">
        <v>499</v>
      </c>
      <c r="D210" s="32">
        <v>43291</v>
      </c>
      <c r="E210" s="207">
        <v>100000</v>
      </c>
      <c r="F210" s="199">
        <f t="shared" si="33"/>
        <v>100000</v>
      </c>
      <c r="G210" s="199">
        <f t="shared" si="30"/>
        <v>100000</v>
      </c>
      <c r="H210" s="199">
        <v>0</v>
      </c>
      <c r="I210" s="205">
        <v>1</v>
      </c>
      <c r="J210" s="205">
        <v>1</v>
      </c>
      <c r="K210" s="198">
        <f t="shared" si="34"/>
        <v>100000</v>
      </c>
      <c r="L210" s="198">
        <f t="shared" si="31"/>
        <v>100000</v>
      </c>
      <c r="M210" s="199">
        <f t="shared" si="32"/>
        <v>100000</v>
      </c>
      <c r="N210" s="187"/>
      <c r="O210" s="200" t="s">
        <v>1695</v>
      </c>
    </row>
    <row r="211" spans="1:15">
      <c r="A211" s="29">
        <f t="shared" si="35"/>
        <v>207</v>
      </c>
      <c r="B211" s="30" t="s">
        <v>520</v>
      </c>
      <c r="C211" s="31" t="s">
        <v>521</v>
      </c>
      <c r="D211" s="32">
        <v>43291</v>
      </c>
      <c r="E211" s="207">
        <v>79550</v>
      </c>
      <c r="F211" s="199">
        <f t="shared" si="33"/>
        <v>79550</v>
      </c>
      <c r="G211" s="199">
        <f t="shared" si="30"/>
        <v>79550</v>
      </c>
      <c r="H211" s="199">
        <v>0</v>
      </c>
      <c r="I211" s="205">
        <v>1</v>
      </c>
      <c r="J211" s="205">
        <v>1</v>
      </c>
      <c r="K211" s="198">
        <f t="shared" si="34"/>
        <v>79550</v>
      </c>
      <c r="L211" s="198">
        <f t="shared" si="31"/>
        <v>79550</v>
      </c>
      <c r="M211" s="199">
        <f t="shared" si="32"/>
        <v>79550</v>
      </c>
      <c r="N211" s="187"/>
      <c r="O211" s="200" t="s">
        <v>1695</v>
      </c>
    </row>
    <row r="212" spans="1:15">
      <c r="A212" s="29">
        <f t="shared" si="35"/>
        <v>208</v>
      </c>
      <c r="B212" s="30" t="s">
        <v>544</v>
      </c>
      <c r="C212" s="31" t="s">
        <v>545</v>
      </c>
      <c r="D212" s="32">
        <v>43291</v>
      </c>
      <c r="E212" s="207">
        <v>220000</v>
      </c>
      <c r="F212" s="199">
        <f t="shared" si="33"/>
        <v>220000</v>
      </c>
      <c r="G212" s="199">
        <f t="shared" si="30"/>
        <v>220000</v>
      </c>
      <c r="H212" s="199">
        <v>0</v>
      </c>
      <c r="I212" s="205">
        <v>1</v>
      </c>
      <c r="J212" s="205">
        <v>1</v>
      </c>
      <c r="K212" s="198">
        <f t="shared" si="34"/>
        <v>220000</v>
      </c>
      <c r="L212" s="198">
        <f t="shared" si="31"/>
        <v>220000</v>
      </c>
      <c r="M212" s="199">
        <f t="shared" si="32"/>
        <v>220000</v>
      </c>
      <c r="N212" s="187"/>
      <c r="O212" s="200" t="s">
        <v>1695</v>
      </c>
    </row>
    <row r="213" spans="1:15">
      <c r="A213" s="29">
        <f t="shared" si="35"/>
        <v>209</v>
      </c>
      <c r="B213" s="30" t="s">
        <v>617</v>
      </c>
      <c r="C213" s="31" t="s">
        <v>618</v>
      </c>
      <c r="D213" s="32">
        <v>43291</v>
      </c>
      <c r="E213" s="207">
        <v>135475</v>
      </c>
      <c r="F213" s="199">
        <f t="shared" si="33"/>
        <v>135475</v>
      </c>
      <c r="G213" s="199">
        <f t="shared" si="30"/>
        <v>135475</v>
      </c>
      <c r="H213" s="199">
        <v>0</v>
      </c>
      <c r="I213" s="205">
        <v>1</v>
      </c>
      <c r="J213" s="205">
        <v>1</v>
      </c>
      <c r="K213" s="198">
        <f t="shared" si="34"/>
        <v>135475</v>
      </c>
      <c r="L213" s="198">
        <f t="shared" si="31"/>
        <v>135475</v>
      </c>
      <c r="M213" s="199">
        <f t="shared" si="32"/>
        <v>135475</v>
      </c>
      <c r="N213" s="187"/>
      <c r="O213" s="200" t="s">
        <v>1695</v>
      </c>
    </row>
    <row r="214" spans="1:15">
      <c r="A214" s="29">
        <f t="shared" si="35"/>
        <v>210</v>
      </c>
      <c r="B214" s="30" t="s">
        <v>680</v>
      </c>
      <c r="C214" s="31" t="s">
        <v>681</v>
      </c>
      <c r="D214" s="32">
        <v>43291</v>
      </c>
      <c r="E214" s="207">
        <v>125000</v>
      </c>
      <c r="F214" s="199">
        <f t="shared" si="33"/>
        <v>125000</v>
      </c>
      <c r="G214" s="199">
        <f t="shared" si="30"/>
        <v>125000</v>
      </c>
      <c r="H214" s="199">
        <v>0</v>
      </c>
      <c r="I214" s="205">
        <v>1</v>
      </c>
      <c r="J214" s="205">
        <v>1</v>
      </c>
      <c r="K214" s="198">
        <f t="shared" si="34"/>
        <v>125000</v>
      </c>
      <c r="L214" s="198">
        <f t="shared" si="31"/>
        <v>125000</v>
      </c>
      <c r="M214" s="199">
        <f t="shared" si="32"/>
        <v>125000</v>
      </c>
      <c r="N214" s="187"/>
      <c r="O214" s="200" t="s">
        <v>1695</v>
      </c>
    </row>
    <row r="215" spans="1:15">
      <c r="A215" s="29">
        <f t="shared" si="35"/>
        <v>211</v>
      </c>
      <c r="B215" s="30" t="s">
        <v>680</v>
      </c>
      <c r="C215" s="31" t="s">
        <v>681</v>
      </c>
      <c r="D215" s="32">
        <v>43291</v>
      </c>
      <c r="E215" s="207">
        <v>125000</v>
      </c>
      <c r="F215" s="199">
        <f t="shared" si="33"/>
        <v>125000</v>
      </c>
      <c r="G215" s="199">
        <f t="shared" si="30"/>
        <v>125000</v>
      </c>
      <c r="H215" s="199">
        <v>0</v>
      </c>
      <c r="I215" s="205">
        <v>1</v>
      </c>
      <c r="J215" s="205">
        <v>1</v>
      </c>
      <c r="K215" s="198">
        <f t="shared" si="34"/>
        <v>125000</v>
      </c>
      <c r="L215" s="198">
        <f t="shared" si="31"/>
        <v>125000</v>
      </c>
      <c r="M215" s="199">
        <f t="shared" si="32"/>
        <v>125000</v>
      </c>
      <c r="N215" s="187"/>
      <c r="O215" s="200" t="s">
        <v>1695</v>
      </c>
    </row>
    <row r="216" spans="1:15">
      <c r="A216" s="29">
        <f t="shared" si="35"/>
        <v>212</v>
      </c>
      <c r="B216" s="30" t="s">
        <v>714</v>
      </c>
      <c r="C216" s="45" t="s">
        <v>715</v>
      </c>
      <c r="D216" s="32">
        <v>43291</v>
      </c>
      <c r="E216" s="207">
        <v>133400</v>
      </c>
      <c r="F216" s="199">
        <f t="shared" si="33"/>
        <v>133400</v>
      </c>
      <c r="G216" s="199">
        <f t="shared" si="30"/>
        <v>133400</v>
      </c>
      <c r="H216" s="199">
        <v>0</v>
      </c>
      <c r="I216" s="205">
        <v>1</v>
      </c>
      <c r="J216" s="205">
        <v>1</v>
      </c>
      <c r="K216" s="198">
        <f t="shared" si="34"/>
        <v>133400</v>
      </c>
      <c r="L216" s="198">
        <f t="shared" si="31"/>
        <v>133400</v>
      </c>
      <c r="M216" s="199">
        <f t="shared" si="32"/>
        <v>133400</v>
      </c>
      <c r="N216" s="187"/>
      <c r="O216" s="200" t="s">
        <v>1695</v>
      </c>
    </row>
    <row r="217" spans="1:15">
      <c r="A217" s="29">
        <f t="shared" si="35"/>
        <v>213</v>
      </c>
      <c r="B217" s="30" t="s">
        <v>718</v>
      </c>
      <c r="C217" s="31">
        <v>921578</v>
      </c>
      <c r="D217" s="32">
        <v>43291</v>
      </c>
      <c r="E217" s="207">
        <v>65000</v>
      </c>
      <c r="F217" s="199">
        <f t="shared" si="33"/>
        <v>65000</v>
      </c>
      <c r="G217" s="199">
        <f t="shared" si="30"/>
        <v>65000</v>
      </c>
      <c r="H217" s="199">
        <v>0</v>
      </c>
      <c r="I217" s="205">
        <v>1</v>
      </c>
      <c r="J217" s="205">
        <v>1</v>
      </c>
      <c r="K217" s="198">
        <f t="shared" si="34"/>
        <v>65000</v>
      </c>
      <c r="L217" s="198">
        <f t="shared" si="31"/>
        <v>65000</v>
      </c>
      <c r="M217" s="199">
        <f t="shared" si="32"/>
        <v>65000</v>
      </c>
      <c r="N217" s="187"/>
      <c r="O217" s="200" t="s">
        <v>1695</v>
      </c>
    </row>
    <row r="218" spans="1:15">
      <c r="A218" s="29">
        <f t="shared" si="35"/>
        <v>214</v>
      </c>
      <c r="B218" s="30" t="s">
        <v>725</v>
      </c>
      <c r="C218" s="31" t="s">
        <v>726</v>
      </c>
      <c r="D218" s="32">
        <v>43291</v>
      </c>
      <c r="E218" s="207">
        <v>20100</v>
      </c>
      <c r="F218" s="199">
        <f t="shared" si="33"/>
        <v>20100</v>
      </c>
      <c r="G218" s="199">
        <f t="shared" si="30"/>
        <v>20100</v>
      </c>
      <c r="H218" s="199">
        <v>0</v>
      </c>
      <c r="I218" s="205">
        <v>1</v>
      </c>
      <c r="J218" s="205">
        <v>1</v>
      </c>
      <c r="K218" s="198">
        <f t="shared" si="34"/>
        <v>20100</v>
      </c>
      <c r="L218" s="198">
        <f t="shared" si="31"/>
        <v>20100</v>
      </c>
      <c r="M218" s="199">
        <f t="shared" si="32"/>
        <v>20100</v>
      </c>
      <c r="N218" s="187"/>
      <c r="O218" s="200" t="s">
        <v>1695</v>
      </c>
    </row>
    <row r="219" spans="1:15">
      <c r="A219" s="29">
        <f t="shared" si="35"/>
        <v>215</v>
      </c>
      <c r="B219" s="30" t="s">
        <v>725</v>
      </c>
      <c r="C219" s="31" t="s">
        <v>726</v>
      </c>
      <c r="D219" s="32">
        <v>43291</v>
      </c>
      <c r="E219" s="207">
        <v>140770</v>
      </c>
      <c r="F219" s="199">
        <f t="shared" si="33"/>
        <v>140770</v>
      </c>
      <c r="G219" s="199">
        <f t="shared" si="30"/>
        <v>140770</v>
      </c>
      <c r="H219" s="199">
        <v>0</v>
      </c>
      <c r="I219" s="205">
        <v>1</v>
      </c>
      <c r="J219" s="205">
        <v>1</v>
      </c>
      <c r="K219" s="198">
        <f t="shared" si="34"/>
        <v>140770</v>
      </c>
      <c r="L219" s="198">
        <f t="shared" si="31"/>
        <v>140770</v>
      </c>
      <c r="M219" s="199">
        <f t="shared" si="32"/>
        <v>140770</v>
      </c>
      <c r="N219" s="187"/>
      <c r="O219" s="200" t="s">
        <v>1695</v>
      </c>
    </row>
    <row r="220" spans="1:15">
      <c r="A220" s="29">
        <f t="shared" si="35"/>
        <v>216</v>
      </c>
      <c r="B220" s="30" t="s">
        <v>737</v>
      </c>
      <c r="C220" s="31" t="s">
        <v>738</v>
      </c>
      <c r="D220" s="32">
        <v>43291</v>
      </c>
      <c r="E220" s="208">
        <v>585000</v>
      </c>
      <c r="F220" s="199">
        <f t="shared" si="33"/>
        <v>585000</v>
      </c>
      <c r="G220" s="199">
        <f t="shared" si="30"/>
        <v>585000</v>
      </c>
      <c r="H220" s="199">
        <v>0</v>
      </c>
      <c r="I220" s="205">
        <v>1</v>
      </c>
      <c r="J220" s="205">
        <v>1</v>
      </c>
      <c r="K220" s="198">
        <f t="shared" si="34"/>
        <v>585000</v>
      </c>
      <c r="L220" s="198">
        <f t="shared" si="31"/>
        <v>585000</v>
      </c>
      <c r="M220" s="199">
        <f t="shared" si="32"/>
        <v>585000</v>
      </c>
      <c r="N220" s="187"/>
      <c r="O220" s="200" t="s">
        <v>1695</v>
      </c>
    </row>
    <row r="221" spans="1:15">
      <c r="A221" s="29">
        <f t="shared" si="35"/>
        <v>217</v>
      </c>
      <c r="B221" s="30" t="s">
        <v>737</v>
      </c>
      <c r="C221" s="45" t="s">
        <v>738</v>
      </c>
      <c r="D221" s="32">
        <v>43291</v>
      </c>
      <c r="E221" s="208">
        <v>63700</v>
      </c>
      <c r="F221" s="199">
        <f t="shared" si="33"/>
        <v>63700</v>
      </c>
      <c r="G221" s="199">
        <f t="shared" si="30"/>
        <v>63700</v>
      </c>
      <c r="H221" s="199">
        <v>0</v>
      </c>
      <c r="I221" s="205">
        <v>1</v>
      </c>
      <c r="J221" s="205">
        <v>1</v>
      </c>
      <c r="K221" s="198">
        <f t="shared" si="34"/>
        <v>63700</v>
      </c>
      <c r="L221" s="198">
        <f t="shared" si="31"/>
        <v>63700</v>
      </c>
      <c r="M221" s="199">
        <f t="shared" si="32"/>
        <v>63700</v>
      </c>
      <c r="N221" s="187"/>
      <c r="O221" s="200" t="s">
        <v>1695</v>
      </c>
    </row>
    <row r="222" spans="1:15">
      <c r="A222" s="29">
        <f t="shared" si="35"/>
        <v>218</v>
      </c>
      <c r="B222" s="30" t="s">
        <v>806</v>
      </c>
      <c r="C222" s="31">
        <v>960616</v>
      </c>
      <c r="D222" s="32">
        <v>43291</v>
      </c>
      <c r="E222" s="208">
        <v>70000</v>
      </c>
      <c r="F222" s="199">
        <f t="shared" si="33"/>
        <v>70000</v>
      </c>
      <c r="G222" s="199">
        <f t="shared" si="30"/>
        <v>70000</v>
      </c>
      <c r="H222" s="199">
        <v>0</v>
      </c>
      <c r="I222" s="205">
        <v>1</v>
      </c>
      <c r="J222" s="205">
        <v>1</v>
      </c>
      <c r="K222" s="198">
        <f t="shared" si="34"/>
        <v>70000</v>
      </c>
      <c r="L222" s="198">
        <f t="shared" si="31"/>
        <v>70000</v>
      </c>
      <c r="M222" s="199">
        <f t="shared" si="32"/>
        <v>70000</v>
      </c>
      <c r="N222" s="187"/>
      <c r="O222" s="200" t="s">
        <v>1695</v>
      </c>
    </row>
    <row r="223" spans="1:15">
      <c r="A223" s="29">
        <f t="shared" si="35"/>
        <v>219</v>
      </c>
      <c r="B223" s="30" t="s">
        <v>835</v>
      </c>
      <c r="C223" s="31" t="s">
        <v>836</v>
      </c>
      <c r="D223" s="32">
        <v>43291</v>
      </c>
      <c r="E223" s="208">
        <v>67500</v>
      </c>
      <c r="F223" s="199">
        <f t="shared" si="33"/>
        <v>67500</v>
      </c>
      <c r="G223" s="199">
        <f t="shared" si="30"/>
        <v>67500</v>
      </c>
      <c r="H223" s="199">
        <v>0</v>
      </c>
      <c r="I223" s="205">
        <v>1</v>
      </c>
      <c r="J223" s="205">
        <v>1</v>
      </c>
      <c r="K223" s="198">
        <f t="shared" si="34"/>
        <v>67500</v>
      </c>
      <c r="L223" s="198">
        <f t="shared" si="31"/>
        <v>67500</v>
      </c>
      <c r="M223" s="199">
        <f t="shared" si="32"/>
        <v>67500</v>
      </c>
      <c r="N223" s="187"/>
      <c r="O223" s="200" t="s">
        <v>1695</v>
      </c>
    </row>
    <row r="224" spans="1:15">
      <c r="A224" s="29">
        <f t="shared" si="35"/>
        <v>220</v>
      </c>
      <c r="B224" s="30" t="s">
        <v>835</v>
      </c>
      <c r="C224" s="31" t="s">
        <v>836</v>
      </c>
      <c r="D224" s="32">
        <v>43291</v>
      </c>
      <c r="E224" s="208">
        <v>67500</v>
      </c>
      <c r="F224" s="199">
        <f t="shared" si="33"/>
        <v>67500</v>
      </c>
      <c r="G224" s="199">
        <f t="shared" si="30"/>
        <v>67500</v>
      </c>
      <c r="H224" s="199">
        <v>0</v>
      </c>
      <c r="I224" s="205">
        <v>1</v>
      </c>
      <c r="J224" s="205">
        <v>1</v>
      </c>
      <c r="K224" s="198">
        <f t="shared" si="34"/>
        <v>67500</v>
      </c>
      <c r="L224" s="198">
        <f t="shared" si="31"/>
        <v>67500</v>
      </c>
      <c r="M224" s="199">
        <f t="shared" si="32"/>
        <v>67500</v>
      </c>
      <c r="N224" s="187"/>
      <c r="O224" s="200" t="s">
        <v>1695</v>
      </c>
    </row>
    <row r="225" spans="1:15">
      <c r="A225" s="29">
        <f t="shared" si="35"/>
        <v>221</v>
      </c>
      <c r="B225" s="30" t="s">
        <v>978</v>
      </c>
      <c r="C225" s="31" t="s">
        <v>979</v>
      </c>
      <c r="D225" s="32">
        <v>43291</v>
      </c>
      <c r="E225" s="208">
        <v>198900</v>
      </c>
      <c r="F225" s="199">
        <f t="shared" si="33"/>
        <v>198900</v>
      </c>
      <c r="G225" s="199">
        <f t="shared" si="30"/>
        <v>198900</v>
      </c>
      <c r="H225" s="199">
        <v>0</v>
      </c>
      <c r="I225" s="205">
        <v>1</v>
      </c>
      <c r="J225" s="205">
        <v>1</v>
      </c>
      <c r="K225" s="198">
        <f t="shared" si="34"/>
        <v>198900</v>
      </c>
      <c r="L225" s="198">
        <f t="shared" si="31"/>
        <v>198900</v>
      </c>
      <c r="M225" s="199">
        <f t="shared" si="32"/>
        <v>198900</v>
      </c>
      <c r="N225" s="187"/>
      <c r="O225" s="200" t="s">
        <v>1695</v>
      </c>
    </row>
    <row r="226" spans="1:15">
      <c r="A226" s="29">
        <f t="shared" si="35"/>
        <v>222</v>
      </c>
      <c r="B226" s="30" t="s">
        <v>1021</v>
      </c>
      <c r="C226" s="31" t="s">
        <v>1022</v>
      </c>
      <c r="D226" s="32">
        <v>43291</v>
      </c>
      <c r="E226" s="208">
        <v>55000</v>
      </c>
      <c r="F226" s="199">
        <f t="shared" si="33"/>
        <v>55000</v>
      </c>
      <c r="G226" s="199">
        <f t="shared" si="30"/>
        <v>55000</v>
      </c>
      <c r="H226" s="199">
        <v>0</v>
      </c>
      <c r="I226" s="205">
        <v>1</v>
      </c>
      <c r="J226" s="205">
        <v>1</v>
      </c>
      <c r="K226" s="198">
        <f t="shared" si="34"/>
        <v>55000</v>
      </c>
      <c r="L226" s="198">
        <f t="shared" si="31"/>
        <v>55000</v>
      </c>
      <c r="M226" s="199">
        <f t="shared" si="32"/>
        <v>55000</v>
      </c>
      <c r="N226" s="187"/>
      <c r="O226" s="200" t="s">
        <v>1695</v>
      </c>
    </row>
    <row r="227" spans="1:15">
      <c r="A227" s="29">
        <f t="shared" si="35"/>
        <v>223</v>
      </c>
      <c r="B227" s="30" t="s">
        <v>1021</v>
      </c>
      <c r="C227" s="31" t="s">
        <v>1022</v>
      </c>
      <c r="D227" s="32">
        <v>43291</v>
      </c>
      <c r="E227" s="208">
        <v>55000</v>
      </c>
      <c r="F227" s="199">
        <f t="shared" si="33"/>
        <v>55000</v>
      </c>
      <c r="G227" s="199">
        <f t="shared" si="30"/>
        <v>55000</v>
      </c>
      <c r="H227" s="199">
        <v>0</v>
      </c>
      <c r="I227" s="205">
        <v>1</v>
      </c>
      <c r="J227" s="205">
        <v>1</v>
      </c>
      <c r="K227" s="198">
        <f t="shared" si="34"/>
        <v>55000</v>
      </c>
      <c r="L227" s="198">
        <f t="shared" si="31"/>
        <v>55000</v>
      </c>
      <c r="M227" s="199">
        <f t="shared" si="32"/>
        <v>55000</v>
      </c>
      <c r="N227" s="187"/>
      <c r="O227" s="200" t="s">
        <v>1695</v>
      </c>
    </row>
    <row r="228" spans="1:15">
      <c r="A228" s="29">
        <f t="shared" si="35"/>
        <v>224</v>
      </c>
      <c r="B228" s="30" t="s">
        <v>1036</v>
      </c>
      <c r="C228" s="31" t="s">
        <v>1037</v>
      </c>
      <c r="D228" s="32">
        <v>43291</v>
      </c>
      <c r="E228" s="208">
        <v>251200</v>
      </c>
      <c r="F228" s="199">
        <f t="shared" si="33"/>
        <v>251200</v>
      </c>
      <c r="G228" s="199">
        <f t="shared" si="30"/>
        <v>251200</v>
      </c>
      <c r="H228" s="199">
        <v>0</v>
      </c>
      <c r="I228" s="205">
        <v>1</v>
      </c>
      <c r="J228" s="205">
        <v>1</v>
      </c>
      <c r="K228" s="198">
        <f t="shared" si="34"/>
        <v>251200</v>
      </c>
      <c r="L228" s="198">
        <f t="shared" si="31"/>
        <v>251200</v>
      </c>
      <c r="M228" s="199">
        <f t="shared" si="32"/>
        <v>251200</v>
      </c>
      <c r="N228" s="187"/>
      <c r="O228" s="200" t="s">
        <v>1695</v>
      </c>
    </row>
    <row r="229" spans="1:15">
      <c r="A229" s="29">
        <f t="shared" si="35"/>
        <v>225</v>
      </c>
      <c r="B229" s="30" t="s">
        <v>1065</v>
      </c>
      <c r="C229" s="45" t="s">
        <v>1066</v>
      </c>
      <c r="D229" s="32">
        <v>43291</v>
      </c>
      <c r="E229" s="208">
        <v>200000</v>
      </c>
      <c r="F229" s="199">
        <f t="shared" si="33"/>
        <v>200000</v>
      </c>
      <c r="G229" s="199">
        <f t="shared" si="30"/>
        <v>200000</v>
      </c>
      <c r="H229" s="199">
        <v>0</v>
      </c>
      <c r="I229" s="205">
        <v>1</v>
      </c>
      <c r="J229" s="205">
        <v>1</v>
      </c>
      <c r="K229" s="198">
        <f t="shared" si="34"/>
        <v>200000</v>
      </c>
      <c r="L229" s="198">
        <f t="shared" si="31"/>
        <v>200000</v>
      </c>
      <c r="M229" s="199">
        <f t="shared" si="32"/>
        <v>200000</v>
      </c>
      <c r="N229" s="187"/>
      <c r="O229" s="200" t="s">
        <v>1695</v>
      </c>
    </row>
    <row r="230" spans="1:15">
      <c r="A230" s="29">
        <f t="shared" si="35"/>
        <v>226</v>
      </c>
      <c r="B230" s="30" t="s">
        <v>1078</v>
      </c>
      <c r="C230" s="31" t="s">
        <v>1079</v>
      </c>
      <c r="D230" s="32">
        <v>43291</v>
      </c>
      <c r="E230" s="208">
        <v>13550</v>
      </c>
      <c r="F230" s="199">
        <f t="shared" si="33"/>
        <v>13550</v>
      </c>
      <c r="G230" s="199">
        <f t="shared" si="30"/>
        <v>13550</v>
      </c>
      <c r="H230" s="199">
        <v>0</v>
      </c>
      <c r="I230" s="205">
        <v>1</v>
      </c>
      <c r="J230" s="205">
        <v>1</v>
      </c>
      <c r="K230" s="198">
        <f t="shared" si="34"/>
        <v>13550</v>
      </c>
      <c r="L230" s="198">
        <f t="shared" si="31"/>
        <v>13550</v>
      </c>
      <c r="M230" s="199">
        <f t="shared" si="32"/>
        <v>13550</v>
      </c>
      <c r="N230" s="187"/>
      <c r="O230" s="200" t="s">
        <v>1695</v>
      </c>
    </row>
    <row r="231" spans="1:15">
      <c r="A231" s="29">
        <f t="shared" si="35"/>
        <v>227</v>
      </c>
      <c r="B231" s="30" t="s">
        <v>1078</v>
      </c>
      <c r="C231" s="31" t="s">
        <v>1079</v>
      </c>
      <c r="D231" s="32">
        <v>43291</v>
      </c>
      <c r="E231" s="208">
        <v>125000</v>
      </c>
      <c r="F231" s="199">
        <f t="shared" si="33"/>
        <v>125000</v>
      </c>
      <c r="G231" s="199">
        <f t="shared" si="30"/>
        <v>125000</v>
      </c>
      <c r="H231" s="199">
        <v>0</v>
      </c>
      <c r="I231" s="205">
        <v>1</v>
      </c>
      <c r="J231" s="205">
        <v>1</v>
      </c>
      <c r="K231" s="198">
        <f t="shared" si="34"/>
        <v>125000</v>
      </c>
      <c r="L231" s="198">
        <f t="shared" si="31"/>
        <v>125000</v>
      </c>
      <c r="M231" s="199">
        <f t="shared" si="32"/>
        <v>125000</v>
      </c>
      <c r="N231" s="187"/>
      <c r="O231" s="200" t="s">
        <v>1695</v>
      </c>
    </row>
    <row r="232" spans="1:15">
      <c r="A232" s="29">
        <f t="shared" si="35"/>
        <v>228</v>
      </c>
      <c r="B232" s="30" t="s">
        <v>1078</v>
      </c>
      <c r="C232" s="31" t="s">
        <v>1079</v>
      </c>
      <c r="D232" s="32">
        <v>43291</v>
      </c>
      <c r="E232" s="208">
        <v>125000</v>
      </c>
      <c r="F232" s="199">
        <f t="shared" si="33"/>
        <v>125000</v>
      </c>
      <c r="G232" s="199">
        <f t="shared" ref="G232:G240" si="36">E232/I232</f>
        <v>125000</v>
      </c>
      <c r="H232" s="199">
        <v>0</v>
      </c>
      <c r="I232" s="205">
        <v>1</v>
      </c>
      <c r="J232" s="205">
        <v>1</v>
      </c>
      <c r="K232" s="198">
        <f t="shared" si="34"/>
        <v>125000</v>
      </c>
      <c r="L232" s="198">
        <f t="shared" ref="L232:L240" si="37">G232*J232</f>
        <v>125000</v>
      </c>
      <c r="M232" s="199">
        <f t="shared" ref="M232:M240" si="38">J232*K232</f>
        <v>125000</v>
      </c>
      <c r="N232" s="187"/>
      <c r="O232" s="200" t="s">
        <v>1695</v>
      </c>
    </row>
    <row r="233" spans="1:15">
      <c r="A233" s="29">
        <f t="shared" si="35"/>
        <v>229</v>
      </c>
      <c r="B233" s="30" t="s">
        <v>1115</v>
      </c>
      <c r="C233" s="31" t="s">
        <v>1116</v>
      </c>
      <c r="D233" s="32">
        <v>43291</v>
      </c>
      <c r="E233" s="208">
        <v>129475</v>
      </c>
      <c r="F233" s="199">
        <f t="shared" si="33"/>
        <v>129475</v>
      </c>
      <c r="G233" s="199">
        <f t="shared" si="36"/>
        <v>129475</v>
      </c>
      <c r="H233" s="199">
        <v>0</v>
      </c>
      <c r="I233" s="205">
        <v>1</v>
      </c>
      <c r="J233" s="205">
        <v>1</v>
      </c>
      <c r="K233" s="198">
        <f t="shared" si="34"/>
        <v>129475</v>
      </c>
      <c r="L233" s="198">
        <f t="shared" si="37"/>
        <v>129475</v>
      </c>
      <c r="M233" s="199">
        <f t="shared" si="38"/>
        <v>129475</v>
      </c>
      <c r="N233" s="187"/>
      <c r="O233" s="200" t="s">
        <v>1695</v>
      </c>
    </row>
    <row r="234" spans="1:15">
      <c r="A234" s="29">
        <f t="shared" si="35"/>
        <v>230</v>
      </c>
      <c r="B234" s="30" t="s">
        <v>1115</v>
      </c>
      <c r="C234" s="31" t="s">
        <v>1116</v>
      </c>
      <c r="D234" s="32">
        <v>43291</v>
      </c>
      <c r="E234" s="208">
        <v>129475</v>
      </c>
      <c r="F234" s="199">
        <f t="shared" si="33"/>
        <v>129475</v>
      </c>
      <c r="G234" s="199">
        <f t="shared" si="36"/>
        <v>129475</v>
      </c>
      <c r="H234" s="199">
        <v>0</v>
      </c>
      <c r="I234" s="205">
        <v>1</v>
      </c>
      <c r="J234" s="205">
        <v>1</v>
      </c>
      <c r="K234" s="198">
        <f t="shared" si="34"/>
        <v>129475</v>
      </c>
      <c r="L234" s="198">
        <f t="shared" si="37"/>
        <v>129475</v>
      </c>
      <c r="M234" s="199">
        <f t="shared" si="38"/>
        <v>129475</v>
      </c>
      <c r="N234" s="187"/>
      <c r="O234" s="200" t="s">
        <v>1695</v>
      </c>
    </row>
    <row r="235" spans="1:15">
      <c r="A235" s="29">
        <f t="shared" si="35"/>
        <v>231</v>
      </c>
      <c r="B235" s="30" t="s">
        <v>1133</v>
      </c>
      <c r="C235" s="31" t="s">
        <v>1134</v>
      </c>
      <c r="D235" s="32">
        <v>43291</v>
      </c>
      <c r="E235" s="208">
        <v>129450</v>
      </c>
      <c r="F235" s="199">
        <f t="shared" si="33"/>
        <v>129450</v>
      </c>
      <c r="G235" s="199">
        <f t="shared" si="36"/>
        <v>129450</v>
      </c>
      <c r="H235" s="199">
        <v>0</v>
      </c>
      <c r="I235" s="205">
        <v>1</v>
      </c>
      <c r="J235" s="205">
        <v>1</v>
      </c>
      <c r="K235" s="198">
        <f t="shared" si="34"/>
        <v>129450</v>
      </c>
      <c r="L235" s="198">
        <f t="shared" si="37"/>
        <v>129450</v>
      </c>
      <c r="M235" s="199">
        <f t="shared" si="38"/>
        <v>129450</v>
      </c>
      <c r="N235" s="187"/>
      <c r="O235" s="200" t="s">
        <v>1695</v>
      </c>
    </row>
    <row r="236" spans="1:15">
      <c r="A236" s="29">
        <f t="shared" si="35"/>
        <v>232</v>
      </c>
      <c r="B236" s="30" t="s">
        <v>1133</v>
      </c>
      <c r="C236" s="31" t="s">
        <v>1134</v>
      </c>
      <c r="D236" s="32">
        <v>43291</v>
      </c>
      <c r="E236" s="208">
        <v>129450</v>
      </c>
      <c r="F236" s="199">
        <f t="shared" si="33"/>
        <v>129450</v>
      </c>
      <c r="G236" s="199">
        <f t="shared" si="36"/>
        <v>129450</v>
      </c>
      <c r="H236" s="199">
        <v>0</v>
      </c>
      <c r="I236" s="205">
        <v>1</v>
      </c>
      <c r="J236" s="205">
        <v>1</v>
      </c>
      <c r="K236" s="198">
        <f t="shared" si="34"/>
        <v>129450</v>
      </c>
      <c r="L236" s="198">
        <f t="shared" si="37"/>
        <v>129450</v>
      </c>
      <c r="M236" s="199">
        <f t="shared" si="38"/>
        <v>129450</v>
      </c>
      <c r="N236" s="187"/>
      <c r="O236" s="200" t="s">
        <v>1695</v>
      </c>
    </row>
    <row r="237" spans="1:15">
      <c r="A237" s="29">
        <f t="shared" si="35"/>
        <v>233</v>
      </c>
      <c r="B237" s="33" t="s">
        <v>1139</v>
      </c>
      <c r="C237" s="84" t="s">
        <v>1140</v>
      </c>
      <c r="D237" s="32">
        <v>43291</v>
      </c>
      <c r="E237" s="208">
        <v>170000</v>
      </c>
      <c r="F237" s="199">
        <f t="shared" si="33"/>
        <v>170000</v>
      </c>
      <c r="G237" s="199">
        <f t="shared" si="36"/>
        <v>170000</v>
      </c>
      <c r="H237" s="199">
        <v>0</v>
      </c>
      <c r="I237" s="205">
        <v>1</v>
      </c>
      <c r="J237" s="205">
        <v>1</v>
      </c>
      <c r="K237" s="198">
        <f t="shared" si="34"/>
        <v>170000</v>
      </c>
      <c r="L237" s="198">
        <f t="shared" si="37"/>
        <v>170000</v>
      </c>
      <c r="M237" s="199">
        <f t="shared" si="38"/>
        <v>170000</v>
      </c>
      <c r="N237" s="187"/>
      <c r="O237" s="200" t="s">
        <v>1695</v>
      </c>
    </row>
    <row r="238" spans="1:15">
      <c r="A238" s="29">
        <f t="shared" si="35"/>
        <v>234</v>
      </c>
      <c r="B238" s="30" t="s">
        <v>1179</v>
      </c>
      <c r="C238" s="45" t="s">
        <v>1180</v>
      </c>
      <c r="D238" s="32">
        <v>43291</v>
      </c>
      <c r="E238" s="208">
        <v>287000</v>
      </c>
      <c r="F238" s="199">
        <f t="shared" si="33"/>
        <v>287000</v>
      </c>
      <c r="G238" s="199">
        <f t="shared" si="36"/>
        <v>287000</v>
      </c>
      <c r="H238" s="199">
        <v>0</v>
      </c>
      <c r="I238" s="205">
        <v>1</v>
      </c>
      <c r="J238" s="205">
        <v>1</v>
      </c>
      <c r="K238" s="198">
        <f t="shared" si="34"/>
        <v>287000</v>
      </c>
      <c r="L238" s="198">
        <f t="shared" si="37"/>
        <v>287000</v>
      </c>
      <c r="M238" s="199">
        <f t="shared" si="38"/>
        <v>287000</v>
      </c>
      <c r="N238" s="187"/>
      <c r="O238" s="200" t="s">
        <v>1695</v>
      </c>
    </row>
    <row r="239" spans="1:15">
      <c r="A239" s="29">
        <f t="shared" si="35"/>
        <v>235</v>
      </c>
      <c r="B239" s="30" t="s">
        <v>1183</v>
      </c>
      <c r="C239" s="45" t="s">
        <v>1184</v>
      </c>
      <c r="D239" s="32">
        <v>43291</v>
      </c>
      <c r="E239" s="208">
        <v>185000</v>
      </c>
      <c r="F239" s="199">
        <f t="shared" si="33"/>
        <v>185000</v>
      </c>
      <c r="G239" s="199">
        <f t="shared" si="36"/>
        <v>185000</v>
      </c>
      <c r="H239" s="199">
        <v>0</v>
      </c>
      <c r="I239" s="205">
        <v>1</v>
      </c>
      <c r="J239" s="205">
        <v>1</v>
      </c>
      <c r="K239" s="198">
        <f t="shared" si="34"/>
        <v>185000</v>
      </c>
      <c r="L239" s="198">
        <f t="shared" si="37"/>
        <v>185000</v>
      </c>
      <c r="M239" s="199">
        <f t="shared" si="38"/>
        <v>185000</v>
      </c>
      <c r="N239" s="187"/>
      <c r="O239" s="200" t="s">
        <v>1695</v>
      </c>
    </row>
    <row r="240" spans="1:15">
      <c r="A240" s="29">
        <f t="shared" si="35"/>
        <v>236</v>
      </c>
      <c r="B240" s="30" t="s">
        <v>1183</v>
      </c>
      <c r="C240" s="45" t="s">
        <v>1184</v>
      </c>
      <c r="D240" s="32">
        <v>43291</v>
      </c>
      <c r="E240" s="208">
        <v>185000</v>
      </c>
      <c r="F240" s="199">
        <f t="shared" si="33"/>
        <v>185000</v>
      </c>
      <c r="G240" s="199">
        <f t="shared" si="36"/>
        <v>185000</v>
      </c>
      <c r="H240" s="199">
        <v>0</v>
      </c>
      <c r="I240" s="205">
        <v>1</v>
      </c>
      <c r="J240" s="205">
        <v>1</v>
      </c>
      <c r="K240" s="198">
        <f t="shared" si="34"/>
        <v>185000</v>
      </c>
      <c r="L240" s="198">
        <f t="shared" si="37"/>
        <v>185000</v>
      </c>
      <c r="M240" s="199">
        <f t="shared" si="38"/>
        <v>185000</v>
      </c>
      <c r="N240" s="187"/>
      <c r="O240" s="200" t="s">
        <v>1695</v>
      </c>
    </row>
    <row r="241" spans="1:15">
      <c r="A241" s="30"/>
      <c r="B241" s="30"/>
      <c r="C241" s="29"/>
      <c r="D241" s="90"/>
      <c r="E241" s="47"/>
      <c r="F241" s="91"/>
      <c r="G241" s="33"/>
      <c r="H241" s="47"/>
      <c r="I241" s="29"/>
      <c r="J241" s="29"/>
      <c r="K241" s="128"/>
      <c r="L241" s="128"/>
      <c r="M241" s="33"/>
      <c r="N241" s="129"/>
      <c r="O241" s="130"/>
    </row>
    <row r="242" spans="1:15">
      <c r="A242" s="30"/>
      <c r="B242" s="30" t="s">
        <v>7</v>
      </c>
      <c r="C242" s="29"/>
      <c r="D242" s="90"/>
      <c r="E242" s="47">
        <f>SUM(E5:E241)</f>
        <v>24672131</v>
      </c>
      <c r="F242" s="47">
        <f t="shared" ref="F242:M242" si="39">SUM(F5:F241)</f>
        <v>24672131</v>
      </c>
      <c r="G242" s="47">
        <f t="shared" si="39"/>
        <v>24672131</v>
      </c>
      <c r="H242" s="47">
        <f t="shared" si="39"/>
        <v>0</v>
      </c>
      <c r="I242" s="47">
        <f t="shared" si="39"/>
        <v>236</v>
      </c>
      <c r="J242" s="47">
        <f t="shared" si="39"/>
        <v>236</v>
      </c>
      <c r="K242" s="47">
        <f t="shared" si="39"/>
        <v>24672131</v>
      </c>
      <c r="L242" s="47">
        <f t="shared" si="39"/>
        <v>24672131</v>
      </c>
      <c r="M242" s="47">
        <f t="shared" si="39"/>
        <v>24672131</v>
      </c>
      <c r="N242" s="129"/>
      <c r="O242" s="130"/>
    </row>
    <row r="243" spans="1:1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3:1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3:1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3:1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3:1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3:1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3:1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3:1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3:1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3:1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3:1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3:1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3:1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3:1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3:1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3:1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3:1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3:1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3:1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3:1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3:1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3:1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3:1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3:1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3:1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3:1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3:1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3:1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3:1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3:1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3:1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3:1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3:1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3:1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3:1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3:1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3:1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3:1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3:1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3:1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3:1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3:1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3:1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3:1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3:1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3:1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3:1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3:1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3:1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3:1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3:1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3:1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3:1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3:1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3:1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3:1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3:1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3:1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3:1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3:1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3:1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3:1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3:1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3:1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3:1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3:1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3:1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3:1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3:1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3:1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3:1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3:1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3:1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3:1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3:1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3:1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3:1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3:1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3:1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3:1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3:1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3:1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3:1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3:1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3:1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3:1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3:1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3:1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3:1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3:1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3:1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3:1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3:1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3:15"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3:15"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3:15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3:15"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3:15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3:15"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3:15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3:15"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3:15"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3:15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3:15"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3:15"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3:15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3:15"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3:15"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3:15"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3:15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3:15"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3:15"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3:15"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3:15"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3:15"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3:15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3:15"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3:15"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3:15"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3:15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3:15"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3:15"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3:15"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3:15"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3:15"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3:15"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3:15"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3:15"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3:15"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47"/>
  <sheetViews>
    <sheetView showGridLines="0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32" bestFit="1" customWidth="1"/>
    <col min="5" max="5" width="17.7109375" style="133" bestFit="1" customWidth="1"/>
    <col min="6" max="6" width="18.140625" style="134" bestFit="1" customWidth="1"/>
    <col min="7" max="7" width="18.140625" style="135" bestFit="1" customWidth="1"/>
    <col min="8" max="8" width="9.140625" style="133" bestFit="1" customWidth="1"/>
    <col min="9" max="10" width="8.7109375" style="9" bestFit="1" customWidth="1"/>
    <col min="11" max="11" width="18.140625" style="137" bestFit="1" customWidth="1"/>
    <col min="12" max="12" width="17.5703125" style="137" bestFit="1" customWidth="1"/>
    <col min="13" max="13" width="20.42578125" style="135" bestFit="1" customWidth="1"/>
    <col min="14" max="14" width="31.42578125" style="172" bestFit="1" customWidth="1"/>
    <col min="15" max="15" width="34.42578125" style="173" bestFit="1" customWidth="1"/>
    <col min="16" max="28" width="9.140625" style="14"/>
    <col min="29" max="29" width="10.140625" style="14" customWidth="1"/>
    <col min="30" max="16384" width="9.140625" style="14"/>
  </cols>
  <sheetData>
    <row r="1" spans="1:16" ht="20.25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6" ht="20.25">
      <c r="A2" s="189" t="s">
        <v>1696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6">
      <c r="A3" s="138" t="s">
        <v>2</v>
      </c>
      <c r="B3" s="138" t="s">
        <v>3</v>
      </c>
      <c r="C3" s="138" t="s">
        <v>4</v>
      </c>
      <c r="D3" s="139" t="s">
        <v>5</v>
      </c>
      <c r="E3" s="179" t="s">
        <v>6</v>
      </c>
      <c r="F3" s="179" t="s">
        <v>7</v>
      </c>
      <c r="G3" s="140" t="s">
        <v>8</v>
      </c>
      <c r="H3" s="179" t="s">
        <v>9</v>
      </c>
      <c r="I3" s="138" t="s">
        <v>10</v>
      </c>
      <c r="J3" s="138" t="s">
        <v>11</v>
      </c>
      <c r="K3" s="179" t="s">
        <v>12</v>
      </c>
      <c r="L3" s="179" t="s">
        <v>13</v>
      </c>
      <c r="M3" s="140" t="s">
        <v>14</v>
      </c>
      <c r="N3" s="179" t="s">
        <v>15</v>
      </c>
      <c r="O3" s="138" t="s">
        <v>16</v>
      </c>
    </row>
    <row r="4" spans="1:16">
      <c r="A4" s="143"/>
      <c r="B4" s="143"/>
      <c r="C4" s="143"/>
      <c r="D4" s="144" t="s">
        <v>18</v>
      </c>
      <c r="E4" s="180"/>
      <c r="F4" s="181" t="s">
        <v>6</v>
      </c>
      <c r="G4" s="182"/>
      <c r="H4" s="181"/>
      <c r="I4" s="143"/>
      <c r="J4" s="143" t="s">
        <v>19</v>
      </c>
      <c r="K4" s="181" t="s">
        <v>20</v>
      </c>
      <c r="L4" s="181" t="s">
        <v>9</v>
      </c>
      <c r="M4" s="182"/>
      <c r="N4" s="183"/>
      <c r="O4" s="184"/>
    </row>
    <row r="5" spans="1:16">
      <c r="A5" s="29">
        <v>1</v>
      </c>
      <c r="B5" s="50" t="s">
        <v>110</v>
      </c>
      <c r="C5" s="51" t="s">
        <v>111</v>
      </c>
      <c r="D5" s="112">
        <v>42561</v>
      </c>
      <c r="E5" s="202">
        <f>670543-3942</f>
        <v>666601</v>
      </c>
      <c r="F5" s="192">
        <f t="shared" ref="F5:F68" si="0">+I5*K5</f>
        <v>666601</v>
      </c>
      <c r="G5" s="55">
        <f t="shared" ref="G5:G68" si="1">+E5/I5</f>
        <v>666601</v>
      </c>
      <c r="H5" s="61">
        <v>0</v>
      </c>
      <c r="I5" s="56">
        <v>1</v>
      </c>
      <c r="J5" s="197">
        <v>1</v>
      </c>
      <c r="K5" s="33">
        <f t="shared" ref="K5:K68" si="2">+G5+H5</f>
        <v>666601</v>
      </c>
      <c r="L5" s="33">
        <f t="shared" ref="L5:L68" si="3">+J5*K5</f>
        <v>666601</v>
      </c>
      <c r="M5" s="33">
        <f t="shared" ref="M5:M68" si="4">+G5*J5</f>
        <v>666601</v>
      </c>
      <c r="N5" s="129"/>
      <c r="O5" s="42" t="s">
        <v>1697</v>
      </c>
      <c r="P5" s="135"/>
    </row>
    <row r="6" spans="1:16">
      <c r="A6" s="29">
        <f t="shared" ref="A6:A69" si="5">+A5+1</f>
        <v>2</v>
      </c>
      <c r="B6" s="50" t="s">
        <v>110</v>
      </c>
      <c r="C6" s="51" t="s">
        <v>111</v>
      </c>
      <c r="D6" s="112">
        <v>42592</v>
      </c>
      <c r="E6" s="202">
        <v>60000</v>
      </c>
      <c r="F6" s="192">
        <f t="shared" si="0"/>
        <v>60000</v>
      </c>
      <c r="G6" s="55">
        <f t="shared" si="1"/>
        <v>60000</v>
      </c>
      <c r="H6" s="61">
        <v>0</v>
      </c>
      <c r="I6" s="56">
        <v>1</v>
      </c>
      <c r="J6" s="197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9"/>
      <c r="O6" s="42" t="s">
        <v>1698</v>
      </c>
      <c r="P6" s="135"/>
    </row>
    <row r="7" spans="1:16">
      <c r="A7" s="29">
        <f t="shared" si="5"/>
        <v>3</v>
      </c>
      <c r="B7" s="50" t="s">
        <v>110</v>
      </c>
      <c r="C7" s="51" t="s">
        <v>111</v>
      </c>
      <c r="D7" s="112">
        <v>42592</v>
      </c>
      <c r="E7" s="202">
        <v>670543</v>
      </c>
      <c r="F7" s="192">
        <f t="shared" si="0"/>
        <v>670543</v>
      </c>
      <c r="G7" s="55">
        <f t="shared" si="1"/>
        <v>670543</v>
      </c>
      <c r="H7" s="61">
        <v>0</v>
      </c>
      <c r="I7" s="56">
        <v>1</v>
      </c>
      <c r="J7" s="197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9"/>
      <c r="O7" s="42" t="s">
        <v>1698</v>
      </c>
      <c r="P7" s="135"/>
    </row>
    <row r="8" spans="1:16">
      <c r="A8" s="29">
        <f t="shared" si="5"/>
        <v>4</v>
      </c>
      <c r="B8" s="50" t="s">
        <v>110</v>
      </c>
      <c r="C8" s="51" t="s">
        <v>111</v>
      </c>
      <c r="D8" s="112">
        <v>42592</v>
      </c>
      <c r="E8" s="202">
        <v>670543</v>
      </c>
      <c r="F8" s="192">
        <f t="shared" si="0"/>
        <v>670543</v>
      </c>
      <c r="G8" s="55">
        <f t="shared" si="1"/>
        <v>670543</v>
      </c>
      <c r="H8" s="61">
        <v>0</v>
      </c>
      <c r="I8" s="56">
        <v>1</v>
      </c>
      <c r="J8" s="197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9"/>
      <c r="O8" s="42" t="s">
        <v>1698</v>
      </c>
      <c r="P8" s="135"/>
    </row>
    <row r="9" spans="1:16">
      <c r="A9" s="29">
        <f t="shared" si="5"/>
        <v>5</v>
      </c>
      <c r="B9" s="50" t="s">
        <v>110</v>
      </c>
      <c r="C9" s="51" t="s">
        <v>111</v>
      </c>
      <c r="D9" s="112">
        <v>42623</v>
      </c>
      <c r="E9" s="202">
        <v>60000</v>
      </c>
      <c r="F9" s="192">
        <f t="shared" si="0"/>
        <v>60000</v>
      </c>
      <c r="G9" s="55">
        <f t="shared" si="1"/>
        <v>60000</v>
      </c>
      <c r="H9" s="61">
        <v>0</v>
      </c>
      <c r="I9" s="56">
        <v>1</v>
      </c>
      <c r="J9" s="197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9"/>
      <c r="O9" s="42" t="s">
        <v>1699</v>
      </c>
      <c r="P9" s="135"/>
    </row>
    <row r="10" spans="1:16">
      <c r="A10" s="29">
        <f t="shared" si="5"/>
        <v>6</v>
      </c>
      <c r="B10" s="50" t="s">
        <v>110</v>
      </c>
      <c r="C10" s="51" t="s">
        <v>111</v>
      </c>
      <c r="D10" s="112">
        <v>42623</v>
      </c>
      <c r="E10" s="202">
        <v>670543</v>
      </c>
      <c r="F10" s="192">
        <f t="shared" si="0"/>
        <v>670543</v>
      </c>
      <c r="G10" s="55">
        <f t="shared" si="1"/>
        <v>670543</v>
      </c>
      <c r="H10" s="61">
        <v>0</v>
      </c>
      <c r="I10" s="56">
        <v>1</v>
      </c>
      <c r="J10" s="197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9"/>
      <c r="O10" s="42" t="s">
        <v>1699</v>
      </c>
      <c r="P10" s="135"/>
    </row>
    <row r="11" spans="1:16">
      <c r="A11" s="29">
        <f t="shared" si="5"/>
        <v>7</v>
      </c>
      <c r="B11" s="50" t="s">
        <v>110</v>
      </c>
      <c r="C11" s="51" t="s">
        <v>111</v>
      </c>
      <c r="D11" s="112">
        <v>42623</v>
      </c>
      <c r="E11" s="202">
        <v>670543</v>
      </c>
      <c r="F11" s="192">
        <f t="shared" si="0"/>
        <v>670543</v>
      </c>
      <c r="G11" s="55">
        <f t="shared" si="1"/>
        <v>670543</v>
      </c>
      <c r="H11" s="61">
        <v>0</v>
      </c>
      <c r="I11" s="56">
        <v>1</v>
      </c>
      <c r="J11" s="197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9"/>
      <c r="O11" s="42" t="s">
        <v>1699</v>
      </c>
      <c r="P11" s="135"/>
    </row>
    <row r="12" spans="1:16">
      <c r="A12" s="29">
        <f t="shared" si="5"/>
        <v>8</v>
      </c>
      <c r="B12" s="50" t="s">
        <v>110</v>
      </c>
      <c r="C12" s="51" t="s">
        <v>111</v>
      </c>
      <c r="D12" s="112">
        <v>42653</v>
      </c>
      <c r="E12" s="202">
        <v>60000</v>
      </c>
      <c r="F12" s="192">
        <f t="shared" si="0"/>
        <v>60000</v>
      </c>
      <c r="G12" s="55">
        <f t="shared" si="1"/>
        <v>60000</v>
      </c>
      <c r="H12" s="61">
        <v>0</v>
      </c>
      <c r="I12" s="56">
        <v>1</v>
      </c>
      <c r="J12" s="197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9"/>
      <c r="O12" s="42" t="s">
        <v>1700</v>
      </c>
      <c r="P12" s="135"/>
    </row>
    <row r="13" spans="1:16">
      <c r="A13" s="29">
        <f t="shared" si="5"/>
        <v>9</v>
      </c>
      <c r="B13" s="50" t="s">
        <v>110</v>
      </c>
      <c r="C13" s="51" t="s">
        <v>111</v>
      </c>
      <c r="D13" s="112">
        <v>42653</v>
      </c>
      <c r="E13" s="202">
        <v>670543</v>
      </c>
      <c r="F13" s="192">
        <f t="shared" si="0"/>
        <v>670543</v>
      </c>
      <c r="G13" s="55">
        <f t="shared" si="1"/>
        <v>670543</v>
      </c>
      <c r="H13" s="61">
        <v>0</v>
      </c>
      <c r="I13" s="56">
        <v>1</v>
      </c>
      <c r="J13" s="197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9"/>
      <c r="O13" s="42" t="s">
        <v>1700</v>
      </c>
      <c r="P13" s="135"/>
    </row>
    <row r="14" spans="1:16">
      <c r="A14" s="29">
        <f t="shared" si="5"/>
        <v>10</v>
      </c>
      <c r="B14" s="50" t="s">
        <v>110</v>
      </c>
      <c r="C14" s="51" t="s">
        <v>111</v>
      </c>
      <c r="D14" s="112">
        <v>42653</v>
      </c>
      <c r="E14" s="202">
        <v>670543</v>
      </c>
      <c r="F14" s="192">
        <f t="shared" si="0"/>
        <v>670543</v>
      </c>
      <c r="G14" s="55">
        <f t="shared" si="1"/>
        <v>670543</v>
      </c>
      <c r="H14" s="61">
        <v>0</v>
      </c>
      <c r="I14" s="56">
        <v>1</v>
      </c>
      <c r="J14" s="197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9"/>
      <c r="O14" s="42" t="s">
        <v>1700</v>
      </c>
      <c r="P14" s="135"/>
    </row>
    <row r="15" spans="1:16">
      <c r="A15" s="29">
        <f t="shared" si="5"/>
        <v>11</v>
      </c>
      <c r="B15" s="50" t="s">
        <v>110</v>
      </c>
      <c r="C15" s="51" t="s">
        <v>111</v>
      </c>
      <c r="D15" s="112">
        <v>42684</v>
      </c>
      <c r="E15" s="202">
        <v>60000</v>
      </c>
      <c r="F15" s="192">
        <f t="shared" si="0"/>
        <v>60000</v>
      </c>
      <c r="G15" s="55">
        <f t="shared" si="1"/>
        <v>60000</v>
      </c>
      <c r="H15" s="61">
        <v>0</v>
      </c>
      <c r="I15" s="56">
        <v>1</v>
      </c>
      <c r="J15" s="197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9"/>
      <c r="O15" s="42" t="s">
        <v>1701</v>
      </c>
      <c r="P15" s="135"/>
    </row>
    <row r="16" spans="1:16">
      <c r="A16" s="29">
        <f t="shared" si="5"/>
        <v>12</v>
      </c>
      <c r="B16" s="50" t="s">
        <v>110</v>
      </c>
      <c r="C16" s="51" t="s">
        <v>111</v>
      </c>
      <c r="D16" s="112">
        <v>42684</v>
      </c>
      <c r="E16" s="202">
        <v>670543</v>
      </c>
      <c r="F16" s="192">
        <f t="shared" si="0"/>
        <v>670543</v>
      </c>
      <c r="G16" s="55">
        <f t="shared" si="1"/>
        <v>670543</v>
      </c>
      <c r="H16" s="61">
        <v>0</v>
      </c>
      <c r="I16" s="56">
        <v>1</v>
      </c>
      <c r="J16" s="197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9"/>
      <c r="O16" s="42" t="s">
        <v>1701</v>
      </c>
      <c r="P16" s="135"/>
    </row>
    <row r="17" spans="1:16">
      <c r="A17" s="29">
        <f t="shared" si="5"/>
        <v>13</v>
      </c>
      <c r="B17" s="50" t="s">
        <v>110</v>
      </c>
      <c r="C17" s="51" t="s">
        <v>111</v>
      </c>
      <c r="D17" s="112">
        <v>42684</v>
      </c>
      <c r="E17" s="202">
        <v>670543</v>
      </c>
      <c r="F17" s="192">
        <f t="shared" si="0"/>
        <v>670543</v>
      </c>
      <c r="G17" s="55">
        <f t="shared" si="1"/>
        <v>670543</v>
      </c>
      <c r="H17" s="61">
        <v>0</v>
      </c>
      <c r="I17" s="56">
        <v>1</v>
      </c>
      <c r="J17" s="197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9"/>
      <c r="O17" s="42" t="s">
        <v>1701</v>
      </c>
      <c r="P17" s="135"/>
    </row>
    <row r="18" spans="1:16">
      <c r="A18" s="29">
        <f t="shared" si="5"/>
        <v>14</v>
      </c>
      <c r="B18" s="50" t="s">
        <v>110</v>
      </c>
      <c r="C18" s="51" t="s">
        <v>111</v>
      </c>
      <c r="D18" s="52">
        <v>42714</v>
      </c>
      <c r="E18" s="202">
        <v>60000</v>
      </c>
      <c r="F18" s="192">
        <f t="shared" si="0"/>
        <v>60000</v>
      </c>
      <c r="G18" s="55">
        <f t="shared" si="1"/>
        <v>60000</v>
      </c>
      <c r="H18" s="61">
        <v>0</v>
      </c>
      <c r="I18" s="56">
        <v>1</v>
      </c>
      <c r="J18" s="197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9"/>
      <c r="O18" s="42" t="s">
        <v>1702</v>
      </c>
      <c r="P18" s="135"/>
    </row>
    <row r="19" spans="1:16">
      <c r="A19" s="29">
        <f t="shared" si="5"/>
        <v>15</v>
      </c>
      <c r="B19" s="50" t="s">
        <v>110</v>
      </c>
      <c r="C19" s="51" t="s">
        <v>111</v>
      </c>
      <c r="D19" s="52">
        <v>42714</v>
      </c>
      <c r="E19" s="202">
        <v>670543</v>
      </c>
      <c r="F19" s="192">
        <f t="shared" si="0"/>
        <v>670543</v>
      </c>
      <c r="G19" s="55">
        <f t="shared" si="1"/>
        <v>670543</v>
      </c>
      <c r="H19" s="61">
        <v>0</v>
      </c>
      <c r="I19" s="56">
        <v>1</v>
      </c>
      <c r="J19" s="197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9"/>
      <c r="O19" s="42" t="s">
        <v>1702</v>
      </c>
      <c r="P19" s="135"/>
    </row>
    <row r="20" spans="1:16">
      <c r="A20" s="29">
        <f t="shared" si="5"/>
        <v>16</v>
      </c>
      <c r="B20" s="50" t="s">
        <v>110</v>
      </c>
      <c r="C20" s="51" t="s">
        <v>111</v>
      </c>
      <c r="D20" s="52">
        <v>42714</v>
      </c>
      <c r="E20" s="202">
        <v>670543</v>
      </c>
      <c r="F20" s="192">
        <f t="shared" si="0"/>
        <v>670543</v>
      </c>
      <c r="G20" s="55">
        <f t="shared" si="1"/>
        <v>670543</v>
      </c>
      <c r="H20" s="61">
        <v>0</v>
      </c>
      <c r="I20" s="56">
        <v>1</v>
      </c>
      <c r="J20" s="197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9"/>
      <c r="O20" s="42" t="s">
        <v>1702</v>
      </c>
      <c r="P20" s="135"/>
    </row>
    <row r="21" spans="1:16">
      <c r="A21" s="29">
        <f t="shared" si="5"/>
        <v>17</v>
      </c>
      <c r="B21" s="50" t="s">
        <v>110</v>
      </c>
      <c r="C21" s="51" t="s">
        <v>111</v>
      </c>
      <c r="D21" s="52">
        <v>42745</v>
      </c>
      <c r="E21" s="202">
        <v>60000</v>
      </c>
      <c r="F21" s="192">
        <f t="shared" si="0"/>
        <v>60000</v>
      </c>
      <c r="G21" s="55">
        <f t="shared" si="1"/>
        <v>60000</v>
      </c>
      <c r="H21" s="61">
        <v>0</v>
      </c>
      <c r="I21" s="56">
        <v>1</v>
      </c>
      <c r="J21" s="197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9"/>
      <c r="O21" s="42" t="s">
        <v>1703</v>
      </c>
      <c r="P21" s="135"/>
    </row>
    <row r="22" spans="1:16">
      <c r="A22" s="29">
        <f t="shared" si="5"/>
        <v>18</v>
      </c>
      <c r="B22" s="50" t="s">
        <v>110</v>
      </c>
      <c r="C22" s="51" t="s">
        <v>111</v>
      </c>
      <c r="D22" s="52">
        <v>42745</v>
      </c>
      <c r="E22" s="202">
        <v>670543</v>
      </c>
      <c r="F22" s="192">
        <f t="shared" si="0"/>
        <v>670543</v>
      </c>
      <c r="G22" s="55">
        <f t="shared" si="1"/>
        <v>670543</v>
      </c>
      <c r="H22" s="61">
        <v>0</v>
      </c>
      <c r="I22" s="56">
        <v>1</v>
      </c>
      <c r="J22" s="197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9"/>
      <c r="O22" s="42" t="s">
        <v>1703</v>
      </c>
      <c r="P22" s="135"/>
    </row>
    <row r="23" spans="1:16">
      <c r="A23" s="29">
        <f t="shared" si="5"/>
        <v>19</v>
      </c>
      <c r="B23" s="50" t="s">
        <v>110</v>
      </c>
      <c r="C23" s="51" t="s">
        <v>111</v>
      </c>
      <c r="D23" s="52">
        <v>42745</v>
      </c>
      <c r="E23" s="202">
        <v>670543</v>
      </c>
      <c r="F23" s="192">
        <f t="shared" si="0"/>
        <v>670543</v>
      </c>
      <c r="G23" s="55">
        <f t="shared" si="1"/>
        <v>670543</v>
      </c>
      <c r="H23" s="61">
        <v>0</v>
      </c>
      <c r="I23" s="56">
        <v>1</v>
      </c>
      <c r="J23" s="197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9"/>
      <c r="O23" s="42" t="s">
        <v>1703</v>
      </c>
      <c r="P23" s="135"/>
    </row>
    <row r="24" spans="1:16">
      <c r="A24" s="29">
        <f t="shared" si="5"/>
        <v>20</v>
      </c>
      <c r="B24" s="50" t="s">
        <v>110</v>
      </c>
      <c r="C24" s="51" t="s">
        <v>111</v>
      </c>
      <c r="D24" s="52">
        <v>42776</v>
      </c>
      <c r="E24" s="202">
        <v>60000</v>
      </c>
      <c r="F24" s="192">
        <f t="shared" si="0"/>
        <v>60000</v>
      </c>
      <c r="G24" s="55">
        <f t="shared" si="1"/>
        <v>60000</v>
      </c>
      <c r="H24" s="61">
        <v>0</v>
      </c>
      <c r="I24" s="56">
        <v>1</v>
      </c>
      <c r="J24" s="197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9"/>
      <c r="O24" s="42" t="s">
        <v>1704</v>
      </c>
      <c r="P24" s="135"/>
    </row>
    <row r="25" spans="1:16">
      <c r="A25" s="29">
        <f t="shared" si="5"/>
        <v>21</v>
      </c>
      <c r="B25" s="50" t="s">
        <v>110</v>
      </c>
      <c r="C25" s="51" t="s">
        <v>111</v>
      </c>
      <c r="D25" s="52">
        <v>42776</v>
      </c>
      <c r="E25" s="202">
        <v>670543</v>
      </c>
      <c r="F25" s="192">
        <f t="shared" si="0"/>
        <v>670543</v>
      </c>
      <c r="G25" s="55">
        <f t="shared" si="1"/>
        <v>670543</v>
      </c>
      <c r="H25" s="61">
        <v>0</v>
      </c>
      <c r="I25" s="56">
        <v>1</v>
      </c>
      <c r="J25" s="197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9"/>
      <c r="O25" s="42" t="s">
        <v>1704</v>
      </c>
      <c r="P25" s="135"/>
    </row>
    <row r="26" spans="1:16">
      <c r="A26" s="29">
        <f t="shared" si="5"/>
        <v>22</v>
      </c>
      <c r="B26" s="50" t="s">
        <v>110</v>
      </c>
      <c r="C26" s="51" t="s">
        <v>111</v>
      </c>
      <c r="D26" s="52">
        <v>42776</v>
      </c>
      <c r="E26" s="202">
        <v>670543</v>
      </c>
      <c r="F26" s="192">
        <f t="shared" si="0"/>
        <v>670543</v>
      </c>
      <c r="G26" s="55">
        <f t="shared" si="1"/>
        <v>670543</v>
      </c>
      <c r="H26" s="61">
        <v>0</v>
      </c>
      <c r="I26" s="56">
        <v>1</v>
      </c>
      <c r="J26" s="197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9"/>
      <c r="O26" s="42" t="s">
        <v>1704</v>
      </c>
      <c r="P26" s="135"/>
    </row>
    <row r="27" spans="1:16">
      <c r="A27" s="29">
        <f t="shared" si="5"/>
        <v>23</v>
      </c>
      <c r="B27" s="50" t="s">
        <v>110</v>
      </c>
      <c r="C27" s="51" t="s">
        <v>111</v>
      </c>
      <c r="D27" s="52">
        <v>42804</v>
      </c>
      <c r="E27" s="202">
        <v>60000</v>
      </c>
      <c r="F27" s="192">
        <f t="shared" si="0"/>
        <v>60000</v>
      </c>
      <c r="G27" s="55">
        <f t="shared" si="1"/>
        <v>60000</v>
      </c>
      <c r="H27" s="61">
        <v>0</v>
      </c>
      <c r="I27" s="56">
        <v>1</v>
      </c>
      <c r="J27" s="197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9"/>
      <c r="O27" s="42" t="s">
        <v>1705</v>
      </c>
      <c r="P27" s="135"/>
    </row>
    <row r="28" spans="1:16">
      <c r="A28" s="29">
        <f t="shared" si="5"/>
        <v>24</v>
      </c>
      <c r="B28" s="50" t="s">
        <v>110</v>
      </c>
      <c r="C28" s="51" t="s">
        <v>111</v>
      </c>
      <c r="D28" s="52">
        <v>42804</v>
      </c>
      <c r="E28" s="202">
        <v>670543</v>
      </c>
      <c r="F28" s="192">
        <f t="shared" si="0"/>
        <v>670543</v>
      </c>
      <c r="G28" s="55">
        <f t="shared" si="1"/>
        <v>670543</v>
      </c>
      <c r="H28" s="61">
        <v>0</v>
      </c>
      <c r="I28" s="56">
        <v>1</v>
      </c>
      <c r="J28" s="197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9"/>
      <c r="O28" s="42" t="s">
        <v>1705</v>
      </c>
      <c r="P28" s="135"/>
    </row>
    <row r="29" spans="1:16">
      <c r="A29" s="29">
        <f t="shared" si="5"/>
        <v>25</v>
      </c>
      <c r="B29" s="50" t="s">
        <v>110</v>
      </c>
      <c r="C29" s="51" t="s">
        <v>111</v>
      </c>
      <c r="D29" s="52">
        <v>42804</v>
      </c>
      <c r="E29" s="202">
        <v>670543</v>
      </c>
      <c r="F29" s="192">
        <f t="shared" si="0"/>
        <v>670543</v>
      </c>
      <c r="G29" s="55">
        <f t="shared" si="1"/>
        <v>670543</v>
      </c>
      <c r="H29" s="61">
        <v>0</v>
      </c>
      <c r="I29" s="56">
        <v>1</v>
      </c>
      <c r="J29" s="197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9"/>
      <c r="O29" s="42" t="s">
        <v>1705</v>
      </c>
      <c r="P29" s="135"/>
    </row>
    <row r="30" spans="1:16">
      <c r="A30" s="29">
        <f t="shared" si="5"/>
        <v>26</v>
      </c>
      <c r="B30" s="50" t="s">
        <v>110</v>
      </c>
      <c r="C30" s="51" t="s">
        <v>111</v>
      </c>
      <c r="D30" s="52">
        <v>42835</v>
      </c>
      <c r="E30" s="202">
        <v>60000</v>
      </c>
      <c r="F30" s="192">
        <f t="shared" si="0"/>
        <v>60000</v>
      </c>
      <c r="G30" s="55">
        <f t="shared" si="1"/>
        <v>60000</v>
      </c>
      <c r="H30" s="61">
        <v>0</v>
      </c>
      <c r="I30" s="56">
        <v>1</v>
      </c>
      <c r="J30" s="197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9"/>
      <c r="O30" s="42" t="s">
        <v>1706</v>
      </c>
      <c r="P30" s="135"/>
    </row>
    <row r="31" spans="1:16">
      <c r="A31" s="29">
        <f t="shared" si="5"/>
        <v>27</v>
      </c>
      <c r="B31" s="50" t="s">
        <v>110</v>
      </c>
      <c r="C31" s="51" t="s">
        <v>111</v>
      </c>
      <c r="D31" s="52">
        <v>42835</v>
      </c>
      <c r="E31" s="202">
        <v>670543</v>
      </c>
      <c r="F31" s="192">
        <f t="shared" si="0"/>
        <v>670543</v>
      </c>
      <c r="G31" s="55">
        <f t="shared" si="1"/>
        <v>670543</v>
      </c>
      <c r="H31" s="61">
        <v>0</v>
      </c>
      <c r="I31" s="56">
        <v>1</v>
      </c>
      <c r="J31" s="197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9"/>
      <c r="O31" s="42" t="s">
        <v>1706</v>
      </c>
      <c r="P31" s="135"/>
    </row>
    <row r="32" spans="1:16">
      <c r="A32" s="29">
        <f t="shared" si="5"/>
        <v>28</v>
      </c>
      <c r="B32" s="50" t="s">
        <v>110</v>
      </c>
      <c r="C32" s="51" t="s">
        <v>111</v>
      </c>
      <c r="D32" s="52">
        <v>42835</v>
      </c>
      <c r="E32" s="202">
        <v>670543</v>
      </c>
      <c r="F32" s="192">
        <f t="shared" si="0"/>
        <v>670543</v>
      </c>
      <c r="G32" s="55">
        <f t="shared" si="1"/>
        <v>670543</v>
      </c>
      <c r="H32" s="61">
        <v>0</v>
      </c>
      <c r="I32" s="56">
        <v>1</v>
      </c>
      <c r="J32" s="197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9"/>
      <c r="O32" s="42" t="s">
        <v>1706</v>
      </c>
      <c r="P32" s="135"/>
    </row>
    <row r="33" spans="1:16">
      <c r="A33" s="29">
        <f t="shared" si="5"/>
        <v>29</v>
      </c>
      <c r="B33" s="50" t="s">
        <v>110</v>
      </c>
      <c r="C33" s="51" t="s">
        <v>111</v>
      </c>
      <c r="D33" s="52">
        <v>42865</v>
      </c>
      <c r="E33" s="53">
        <v>60000</v>
      </c>
      <c r="F33" s="192">
        <f t="shared" si="0"/>
        <v>60000</v>
      </c>
      <c r="G33" s="55">
        <f t="shared" si="1"/>
        <v>60000</v>
      </c>
      <c r="H33" s="61">
        <v>0</v>
      </c>
      <c r="I33" s="56">
        <v>1</v>
      </c>
      <c r="J33" s="197">
        <v>1</v>
      </c>
      <c r="K33" s="33">
        <f t="shared" si="2"/>
        <v>60000</v>
      </c>
      <c r="L33" s="33">
        <f t="shared" si="3"/>
        <v>60000</v>
      </c>
      <c r="M33" s="185">
        <f t="shared" si="4"/>
        <v>60000</v>
      </c>
      <c r="N33" s="129"/>
      <c r="O33" s="42" t="s">
        <v>1707</v>
      </c>
      <c r="P33" s="135"/>
    </row>
    <row r="34" spans="1:16">
      <c r="A34" s="29">
        <f t="shared" si="5"/>
        <v>30</v>
      </c>
      <c r="B34" s="50" t="s">
        <v>110</v>
      </c>
      <c r="C34" s="51" t="s">
        <v>111</v>
      </c>
      <c r="D34" s="52">
        <v>42865</v>
      </c>
      <c r="E34" s="53">
        <v>670543</v>
      </c>
      <c r="F34" s="192">
        <f t="shared" si="0"/>
        <v>670543</v>
      </c>
      <c r="G34" s="55">
        <f t="shared" si="1"/>
        <v>670543</v>
      </c>
      <c r="H34" s="61">
        <v>0</v>
      </c>
      <c r="I34" s="56">
        <v>1</v>
      </c>
      <c r="J34" s="197">
        <v>1</v>
      </c>
      <c r="K34" s="33">
        <f t="shared" si="2"/>
        <v>670543</v>
      </c>
      <c r="L34" s="33">
        <f t="shared" si="3"/>
        <v>670543</v>
      </c>
      <c r="M34" s="185">
        <f t="shared" si="4"/>
        <v>670543</v>
      </c>
      <c r="N34" s="129"/>
      <c r="O34" s="42" t="s">
        <v>1707</v>
      </c>
      <c r="P34" s="135"/>
    </row>
    <row r="35" spans="1:16">
      <c r="A35" s="29">
        <f t="shared" si="5"/>
        <v>31</v>
      </c>
      <c r="B35" s="50" t="s">
        <v>110</v>
      </c>
      <c r="C35" s="51" t="s">
        <v>111</v>
      </c>
      <c r="D35" s="52">
        <v>42865</v>
      </c>
      <c r="E35" s="53">
        <v>670543</v>
      </c>
      <c r="F35" s="192">
        <f t="shared" si="0"/>
        <v>670543</v>
      </c>
      <c r="G35" s="55">
        <f t="shared" si="1"/>
        <v>670543</v>
      </c>
      <c r="H35" s="61">
        <v>0</v>
      </c>
      <c r="I35" s="56">
        <v>1</v>
      </c>
      <c r="J35" s="197">
        <v>1</v>
      </c>
      <c r="K35" s="33">
        <f t="shared" si="2"/>
        <v>670543</v>
      </c>
      <c r="L35" s="33">
        <f t="shared" si="3"/>
        <v>670543</v>
      </c>
      <c r="M35" s="185">
        <f t="shared" si="4"/>
        <v>670543</v>
      </c>
      <c r="N35" s="129"/>
      <c r="O35" s="42" t="s">
        <v>1707</v>
      </c>
      <c r="P35" s="135"/>
    </row>
    <row r="36" spans="1:16">
      <c r="A36" s="29">
        <f t="shared" si="5"/>
        <v>32</v>
      </c>
      <c r="B36" s="50" t="s">
        <v>110</v>
      </c>
      <c r="C36" s="51" t="s">
        <v>111</v>
      </c>
      <c r="D36" s="52">
        <v>42896</v>
      </c>
      <c r="E36" s="209">
        <v>60000</v>
      </c>
      <c r="F36" s="192">
        <f t="shared" si="0"/>
        <v>60000</v>
      </c>
      <c r="G36" s="55">
        <f t="shared" si="1"/>
        <v>60000</v>
      </c>
      <c r="H36" s="61">
        <v>0</v>
      </c>
      <c r="I36" s="56">
        <v>1</v>
      </c>
      <c r="J36" s="197">
        <v>1</v>
      </c>
      <c r="K36" s="33">
        <f t="shared" si="2"/>
        <v>60000</v>
      </c>
      <c r="L36" s="33">
        <f t="shared" si="3"/>
        <v>60000</v>
      </c>
      <c r="M36" s="185">
        <f t="shared" si="4"/>
        <v>60000</v>
      </c>
      <c r="N36" s="129"/>
      <c r="O36" s="42" t="s">
        <v>1708</v>
      </c>
      <c r="P36" s="135"/>
    </row>
    <row r="37" spans="1:16">
      <c r="A37" s="29">
        <f t="shared" si="5"/>
        <v>33</v>
      </c>
      <c r="B37" s="50" t="s">
        <v>110</v>
      </c>
      <c r="C37" s="51" t="s">
        <v>111</v>
      </c>
      <c r="D37" s="52">
        <v>42896</v>
      </c>
      <c r="E37" s="209">
        <v>670543</v>
      </c>
      <c r="F37" s="192">
        <f t="shared" si="0"/>
        <v>670543</v>
      </c>
      <c r="G37" s="55">
        <f t="shared" si="1"/>
        <v>670543</v>
      </c>
      <c r="H37" s="61">
        <v>0</v>
      </c>
      <c r="I37" s="56">
        <v>1</v>
      </c>
      <c r="J37" s="197">
        <v>1</v>
      </c>
      <c r="K37" s="33">
        <f t="shared" si="2"/>
        <v>670543</v>
      </c>
      <c r="L37" s="33">
        <f t="shared" si="3"/>
        <v>670543</v>
      </c>
      <c r="M37" s="185">
        <f t="shared" si="4"/>
        <v>670543</v>
      </c>
      <c r="N37" s="129"/>
      <c r="O37" s="42" t="s">
        <v>1708</v>
      </c>
      <c r="P37" s="135"/>
    </row>
    <row r="38" spans="1:16">
      <c r="A38" s="29">
        <f t="shared" si="5"/>
        <v>34</v>
      </c>
      <c r="B38" s="50" t="s">
        <v>110</v>
      </c>
      <c r="C38" s="51" t="s">
        <v>111</v>
      </c>
      <c r="D38" s="52">
        <v>42896</v>
      </c>
      <c r="E38" s="209">
        <v>670543</v>
      </c>
      <c r="F38" s="192">
        <f t="shared" si="0"/>
        <v>670543</v>
      </c>
      <c r="G38" s="55">
        <f t="shared" si="1"/>
        <v>670543</v>
      </c>
      <c r="H38" s="61">
        <v>0</v>
      </c>
      <c r="I38" s="56">
        <v>1</v>
      </c>
      <c r="J38" s="197">
        <v>1</v>
      </c>
      <c r="K38" s="33">
        <f t="shared" si="2"/>
        <v>670543</v>
      </c>
      <c r="L38" s="33">
        <f t="shared" si="3"/>
        <v>670543</v>
      </c>
      <c r="M38" s="185">
        <f t="shared" si="4"/>
        <v>670543</v>
      </c>
      <c r="N38" s="129"/>
      <c r="O38" s="42" t="s">
        <v>1708</v>
      </c>
      <c r="P38" s="135"/>
    </row>
    <row r="39" spans="1:16">
      <c r="A39" s="29">
        <f t="shared" si="5"/>
        <v>35</v>
      </c>
      <c r="B39" s="50" t="s">
        <v>110</v>
      </c>
      <c r="C39" s="51" t="s">
        <v>111</v>
      </c>
      <c r="D39" s="52">
        <v>42926</v>
      </c>
      <c r="E39" s="210">
        <v>60000</v>
      </c>
      <c r="F39" s="192">
        <f t="shared" si="0"/>
        <v>60000</v>
      </c>
      <c r="G39" s="55">
        <f t="shared" si="1"/>
        <v>60000</v>
      </c>
      <c r="H39" s="61">
        <v>0</v>
      </c>
      <c r="I39" s="56">
        <v>1</v>
      </c>
      <c r="J39" s="197">
        <v>1</v>
      </c>
      <c r="K39" s="33">
        <f t="shared" si="2"/>
        <v>60000</v>
      </c>
      <c r="L39" s="33">
        <f t="shared" si="3"/>
        <v>60000</v>
      </c>
      <c r="M39" s="185">
        <f t="shared" si="4"/>
        <v>60000</v>
      </c>
      <c r="N39" s="129"/>
      <c r="O39" s="42" t="s">
        <v>1709</v>
      </c>
      <c r="P39" s="135"/>
    </row>
    <row r="40" spans="1:16">
      <c r="A40" s="29">
        <f t="shared" si="5"/>
        <v>36</v>
      </c>
      <c r="B40" s="50" t="s">
        <v>110</v>
      </c>
      <c r="C40" s="51" t="s">
        <v>111</v>
      </c>
      <c r="D40" s="52">
        <v>42926</v>
      </c>
      <c r="E40" s="210">
        <v>670543</v>
      </c>
      <c r="F40" s="192">
        <f t="shared" si="0"/>
        <v>670543</v>
      </c>
      <c r="G40" s="55">
        <f t="shared" si="1"/>
        <v>670543</v>
      </c>
      <c r="H40" s="61">
        <v>0</v>
      </c>
      <c r="I40" s="56">
        <v>1</v>
      </c>
      <c r="J40" s="197">
        <v>1</v>
      </c>
      <c r="K40" s="33">
        <f t="shared" si="2"/>
        <v>670543</v>
      </c>
      <c r="L40" s="33">
        <f t="shared" si="3"/>
        <v>670543</v>
      </c>
      <c r="M40" s="185">
        <f t="shared" si="4"/>
        <v>670543</v>
      </c>
      <c r="N40" s="129"/>
      <c r="O40" s="42" t="s">
        <v>1709</v>
      </c>
      <c r="P40" s="135"/>
    </row>
    <row r="41" spans="1:16">
      <c r="A41" s="29">
        <f t="shared" si="5"/>
        <v>37</v>
      </c>
      <c r="B41" s="50" t="s">
        <v>110</v>
      </c>
      <c r="C41" s="51" t="s">
        <v>111</v>
      </c>
      <c r="D41" s="52">
        <v>42926</v>
      </c>
      <c r="E41" s="210">
        <v>670543</v>
      </c>
      <c r="F41" s="192">
        <f t="shared" si="0"/>
        <v>670543</v>
      </c>
      <c r="G41" s="55">
        <f t="shared" si="1"/>
        <v>670543</v>
      </c>
      <c r="H41" s="61">
        <v>0</v>
      </c>
      <c r="I41" s="56">
        <v>1</v>
      </c>
      <c r="J41" s="197">
        <v>1</v>
      </c>
      <c r="K41" s="33">
        <f t="shared" si="2"/>
        <v>670543</v>
      </c>
      <c r="L41" s="33">
        <f t="shared" si="3"/>
        <v>670543</v>
      </c>
      <c r="M41" s="185">
        <f t="shared" si="4"/>
        <v>670543</v>
      </c>
      <c r="N41" s="129"/>
      <c r="O41" s="42" t="s">
        <v>1709</v>
      </c>
      <c r="P41" s="135"/>
    </row>
    <row r="42" spans="1:16">
      <c r="A42" s="29">
        <f t="shared" si="5"/>
        <v>38</v>
      </c>
      <c r="B42" s="50" t="s">
        <v>110</v>
      </c>
      <c r="C42" s="51" t="s">
        <v>111</v>
      </c>
      <c r="D42" s="52">
        <v>42957</v>
      </c>
      <c r="E42" s="210">
        <v>670543</v>
      </c>
      <c r="F42" s="192">
        <f t="shared" si="0"/>
        <v>670543</v>
      </c>
      <c r="G42" s="55">
        <f t="shared" si="1"/>
        <v>670543</v>
      </c>
      <c r="H42" s="61">
        <v>0</v>
      </c>
      <c r="I42" s="56">
        <v>1</v>
      </c>
      <c r="J42" s="197">
        <v>1</v>
      </c>
      <c r="K42" s="33">
        <f t="shared" si="2"/>
        <v>670543</v>
      </c>
      <c r="L42" s="33">
        <f t="shared" si="3"/>
        <v>670543</v>
      </c>
      <c r="M42" s="185">
        <f t="shared" si="4"/>
        <v>670543</v>
      </c>
      <c r="N42" s="129"/>
      <c r="O42" s="42" t="s">
        <v>1710</v>
      </c>
      <c r="P42" s="135"/>
    </row>
    <row r="43" spans="1:16">
      <c r="A43" s="29">
        <f t="shared" si="5"/>
        <v>39</v>
      </c>
      <c r="B43" s="50" t="s">
        <v>110</v>
      </c>
      <c r="C43" s="51" t="s">
        <v>111</v>
      </c>
      <c r="D43" s="52">
        <v>42957</v>
      </c>
      <c r="E43" s="210">
        <v>670543</v>
      </c>
      <c r="F43" s="192">
        <f t="shared" si="0"/>
        <v>670543</v>
      </c>
      <c r="G43" s="55">
        <f t="shared" si="1"/>
        <v>670543</v>
      </c>
      <c r="H43" s="61">
        <v>0</v>
      </c>
      <c r="I43" s="56">
        <v>1</v>
      </c>
      <c r="J43" s="197">
        <v>1</v>
      </c>
      <c r="K43" s="33">
        <f t="shared" si="2"/>
        <v>670543</v>
      </c>
      <c r="L43" s="33">
        <f t="shared" si="3"/>
        <v>670543</v>
      </c>
      <c r="M43" s="185">
        <f t="shared" si="4"/>
        <v>670543</v>
      </c>
      <c r="N43" s="129"/>
      <c r="O43" s="42" t="s">
        <v>1710</v>
      </c>
      <c r="P43" s="135"/>
    </row>
    <row r="44" spans="1:16">
      <c r="A44" s="29">
        <f t="shared" si="5"/>
        <v>40</v>
      </c>
      <c r="B44" s="50" t="s">
        <v>110</v>
      </c>
      <c r="C44" s="51" t="s">
        <v>111</v>
      </c>
      <c r="D44" s="52">
        <v>42957</v>
      </c>
      <c r="E44" s="210">
        <v>60000</v>
      </c>
      <c r="F44" s="192">
        <f t="shared" si="0"/>
        <v>60000</v>
      </c>
      <c r="G44" s="55">
        <f t="shared" si="1"/>
        <v>60000</v>
      </c>
      <c r="H44" s="61">
        <v>0</v>
      </c>
      <c r="I44" s="56">
        <v>1</v>
      </c>
      <c r="J44" s="197">
        <v>1</v>
      </c>
      <c r="K44" s="33">
        <f t="shared" si="2"/>
        <v>60000</v>
      </c>
      <c r="L44" s="33">
        <f t="shared" si="3"/>
        <v>60000</v>
      </c>
      <c r="M44" s="185">
        <f t="shared" si="4"/>
        <v>60000</v>
      </c>
      <c r="N44" s="129"/>
      <c r="O44" s="42" t="s">
        <v>1710</v>
      </c>
      <c r="P44" s="135"/>
    </row>
    <row r="45" spans="1:16">
      <c r="A45" s="29">
        <f t="shared" si="5"/>
        <v>41</v>
      </c>
      <c r="B45" s="50" t="s">
        <v>110</v>
      </c>
      <c r="C45" s="51" t="s">
        <v>111</v>
      </c>
      <c r="D45" s="52">
        <v>42988</v>
      </c>
      <c r="E45" s="210">
        <v>670543</v>
      </c>
      <c r="F45" s="192">
        <f t="shared" si="0"/>
        <v>670543</v>
      </c>
      <c r="G45" s="55">
        <f t="shared" si="1"/>
        <v>670543</v>
      </c>
      <c r="H45" s="61">
        <v>0</v>
      </c>
      <c r="I45" s="56">
        <v>1</v>
      </c>
      <c r="J45" s="197">
        <v>1</v>
      </c>
      <c r="K45" s="33">
        <f t="shared" si="2"/>
        <v>670543</v>
      </c>
      <c r="L45" s="33">
        <f t="shared" si="3"/>
        <v>670543</v>
      </c>
      <c r="M45" s="185">
        <f t="shared" si="4"/>
        <v>670543</v>
      </c>
      <c r="N45" s="186"/>
      <c r="O45" s="42" t="s">
        <v>1711</v>
      </c>
      <c r="P45" s="135"/>
    </row>
    <row r="46" spans="1:16">
      <c r="A46" s="29">
        <f t="shared" si="5"/>
        <v>42</v>
      </c>
      <c r="B46" s="50" t="s">
        <v>110</v>
      </c>
      <c r="C46" s="51" t="s">
        <v>111</v>
      </c>
      <c r="D46" s="52">
        <v>42988</v>
      </c>
      <c r="E46" s="210">
        <v>670543</v>
      </c>
      <c r="F46" s="192">
        <f t="shared" si="0"/>
        <v>670543</v>
      </c>
      <c r="G46" s="55">
        <f t="shared" si="1"/>
        <v>670543</v>
      </c>
      <c r="H46" s="61">
        <v>0</v>
      </c>
      <c r="I46" s="56">
        <v>1</v>
      </c>
      <c r="J46" s="197">
        <v>1</v>
      </c>
      <c r="K46" s="33">
        <f t="shared" si="2"/>
        <v>670543</v>
      </c>
      <c r="L46" s="33">
        <f t="shared" si="3"/>
        <v>670543</v>
      </c>
      <c r="M46" s="185">
        <f t="shared" si="4"/>
        <v>670543</v>
      </c>
      <c r="N46" s="186"/>
      <c r="O46" s="42" t="s">
        <v>1711</v>
      </c>
      <c r="P46" s="135"/>
    </row>
    <row r="47" spans="1:16">
      <c r="A47" s="29">
        <f t="shared" si="5"/>
        <v>43</v>
      </c>
      <c r="B47" s="50" t="s">
        <v>110</v>
      </c>
      <c r="C47" s="51" t="s">
        <v>111</v>
      </c>
      <c r="D47" s="52">
        <v>42988</v>
      </c>
      <c r="E47" s="210">
        <v>60000</v>
      </c>
      <c r="F47" s="192">
        <f t="shared" si="0"/>
        <v>60000</v>
      </c>
      <c r="G47" s="55">
        <f t="shared" si="1"/>
        <v>60000</v>
      </c>
      <c r="H47" s="61">
        <v>0</v>
      </c>
      <c r="I47" s="56">
        <v>1</v>
      </c>
      <c r="J47" s="197">
        <v>1</v>
      </c>
      <c r="K47" s="33">
        <f t="shared" si="2"/>
        <v>60000</v>
      </c>
      <c r="L47" s="33">
        <f t="shared" si="3"/>
        <v>60000</v>
      </c>
      <c r="M47" s="185">
        <f t="shared" si="4"/>
        <v>60000</v>
      </c>
      <c r="N47" s="186"/>
      <c r="O47" s="42" t="s">
        <v>1711</v>
      </c>
      <c r="P47" s="135"/>
    </row>
    <row r="48" spans="1:16">
      <c r="A48" s="29">
        <f t="shared" si="5"/>
        <v>44</v>
      </c>
      <c r="B48" s="50" t="s">
        <v>110</v>
      </c>
      <c r="C48" s="51" t="s">
        <v>111</v>
      </c>
      <c r="D48" s="52">
        <v>43018</v>
      </c>
      <c r="E48" s="210">
        <v>670543</v>
      </c>
      <c r="F48" s="192">
        <f t="shared" si="0"/>
        <v>670543</v>
      </c>
      <c r="G48" s="55">
        <f t="shared" si="1"/>
        <v>670543</v>
      </c>
      <c r="H48" s="61">
        <v>0</v>
      </c>
      <c r="I48" s="56">
        <v>1</v>
      </c>
      <c r="J48" s="197">
        <v>1</v>
      </c>
      <c r="K48" s="33">
        <f t="shared" si="2"/>
        <v>670543</v>
      </c>
      <c r="L48" s="33">
        <f t="shared" si="3"/>
        <v>670543</v>
      </c>
      <c r="M48" s="185">
        <f t="shared" si="4"/>
        <v>670543</v>
      </c>
      <c r="N48" s="129"/>
      <c r="O48" s="42" t="s">
        <v>1712</v>
      </c>
      <c r="P48" s="135"/>
    </row>
    <row r="49" spans="1:16">
      <c r="A49" s="29">
        <f t="shared" si="5"/>
        <v>45</v>
      </c>
      <c r="B49" s="50" t="s">
        <v>110</v>
      </c>
      <c r="C49" s="51" t="s">
        <v>111</v>
      </c>
      <c r="D49" s="52">
        <v>43018</v>
      </c>
      <c r="E49" s="210">
        <v>670543</v>
      </c>
      <c r="F49" s="192">
        <f t="shared" si="0"/>
        <v>670543</v>
      </c>
      <c r="G49" s="55">
        <f t="shared" si="1"/>
        <v>670543</v>
      </c>
      <c r="H49" s="61">
        <v>0</v>
      </c>
      <c r="I49" s="56">
        <v>1</v>
      </c>
      <c r="J49" s="197">
        <v>1</v>
      </c>
      <c r="K49" s="33">
        <f t="shared" si="2"/>
        <v>670543</v>
      </c>
      <c r="L49" s="33">
        <f t="shared" si="3"/>
        <v>670543</v>
      </c>
      <c r="M49" s="185">
        <f t="shared" si="4"/>
        <v>670543</v>
      </c>
      <c r="N49" s="129"/>
      <c r="O49" s="42" t="s">
        <v>1712</v>
      </c>
      <c r="P49" s="135"/>
    </row>
    <row r="50" spans="1:16">
      <c r="A50" s="29">
        <f t="shared" si="5"/>
        <v>46</v>
      </c>
      <c r="B50" s="50" t="s">
        <v>110</v>
      </c>
      <c r="C50" s="51" t="s">
        <v>111</v>
      </c>
      <c r="D50" s="52">
        <v>43018</v>
      </c>
      <c r="E50" s="210">
        <v>60000</v>
      </c>
      <c r="F50" s="192">
        <f t="shared" si="0"/>
        <v>60000</v>
      </c>
      <c r="G50" s="55">
        <f t="shared" si="1"/>
        <v>60000</v>
      </c>
      <c r="H50" s="61">
        <v>0</v>
      </c>
      <c r="I50" s="56">
        <v>1</v>
      </c>
      <c r="J50" s="197">
        <v>1</v>
      </c>
      <c r="K50" s="33">
        <f t="shared" si="2"/>
        <v>60000</v>
      </c>
      <c r="L50" s="33">
        <f t="shared" si="3"/>
        <v>60000</v>
      </c>
      <c r="M50" s="185">
        <f t="shared" si="4"/>
        <v>60000</v>
      </c>
      <c r="N50" s="129"/>
      <c r="O50" s="42" t="s">
        <v>1712</v>
      </c>
      <c r="P50" s="135"/>
    </row>
    <row r="51" spans="1:16">
      <c r="A51" s="29">
        <f t="shared" si="5"/>
        <v>47</v>
      </c>
      <c r="B51" s="50" t="s">
        <v>110</v>
      </c>
      <c r="C51" s="51" t="s">
        <v>111</v>
      </c>
      <c r="D51" s="52">
        <v>43049</v>
      </c>
      <c r="E51" s="210">
        <v>670543</v>
      </c>
      <c r="F51" s="192">
        <f t="shared" si="0"/>
        <v>670543</v>
      </c>
      <c r="G51" s="55">
        <f t="shared" si="1"/>
        <v>670543</v>
      </c>
      <c r="H51" s="61">
        <v>0</v>
      </c>
      <c r="I51" s="56">
        <v>1</v>
      </c>
      <c r="J51" s="197">
        <v>1</v>
      </c>
      <c r="K51" s="33">
        <f t="shared" si="2"/>
        <v>670543</v>
      </c>
      <c r="L51" s="33">
        <f t="shared" si="3"/>
        <v>670543</v>
      </c>
      <c r="M51" s="185">
        <f t="shared" si="4"/>
        <v>670543</v>
      </c>
      <c r="N51" s="129"/>
      <c r="O51" s="42" t="s">
        <v>1713</v>
      </c>
      <c r="P51" s="135"/>
    </row>
    <row r="52" spans="1:16">
      <c r="A52" s="29">
        <f t="shared" si="5"/>
        <v>48</v>
      </c>
      <c r="B52" s="50" t="s">
        <v>110</v>
      </c>
      <c r="C52" s="51" t="s">
        <v>111</v>
      </c>
      <c r="D52" s="52">
        <v>43049</v>
      </c>
      <c r="E52" s="210">
        <v>670543</v>
      </c>
      <c r="F52" s="192">
        <f t="shared" si="0"/>
        <v>670543</v>
      </c>
      <c r="G52" s="55">
        <f t="shared" si="1"/>
        <v>670543</v>
      </c>
      <c r="H52" s="61">
        <v>0</v>
      </c>
      <c r="I52" s="56">
        <v>1</v>
      </c>
      <c r="J52" s="197">
        <v>1</v>
      </c>
      <c r="K52" s="33">
        <f t="shared" si="2"/>
        <v>670543</v>
      </c>
      <c r="L52" s="33">
        <f t="shared" si="3"/>
        <v>670543</v>
      </c>
      <c r="M52" s="185">
        <f t="shared" si="4"/>
        <v>670543</v>
      </c>
      <c r="N52" s="129"/>
      <c r="O52" s="42" t="s">
        <v>1713</v>
      </c>
      <c r="P52" s="135"/>
    </row>
    <row r="53" spans="1:16">
      <c r="A53" s="29">
        <f t="shared" si="5"/>
        <v>49</v>
      </c>
      <c r="B53" s="50" t="s">
        <v>110</v>
      </c>
      <c r="C53" s="51" t="s">
        <v>111</v>
      </c>
      <c r="D53" s="52">
        <v>43049</v>
      </c>
      <c r="E53" s="210">
        <v>60000</v>
      </c>
      <c r="F53" s="192">
        <f t="shared" si="0"/>
        <v>60000</v>
      </c>
      <c r="G53" s="55">
        <f t="shared" si="1"/>
        <v>60000</v>
      </c>
      <c r="H53" s="61">
        <v>0</v>
      </c>
      <c r="I53" s="56">
        <v>1</v>
      </c>
      <c r="J53" s="197">
        <v>1</v>
      </c>
      <c r="K53" s="33">
        <f t="shared" si="2"/>
        <v>60000</v>
      </c>
      <c r="L53" s="33">
        <f t="shared" si="3"/>
        <v>60000</v>
      </c>
      <c r="M53" s="185">
        <f t="shared" si="4"/>
        <v>60000</v>
      </c>
      <c r="N53" s="129"/>
      <c r="O53" s="42" t="s">
        <v>1713</v>
      </c>
      <c r="P53" s="135"/>
    </row>
    <row r="54" spans="1:16">
      <c r="A54" s="29">
        <f t="shared" si="5"/>
        <v>50</v>
      </c>
      <c r="B54" s="50" t="s">
        <v>110</v>
      </c>
      <c r="C54" s="51" t="s">
        <v>111</v>
      </c>
      <c r="D54" s="52">
        <v>43079</v>
      </c>
      <c r="E54" s="191">
        <v>670543</v>
      </c>
      <c r="F54" s="192">
        <f t="shared" si="0"/>
        <v>670543</v>
      </c>
      <c r="G54" s="55">
        <f t="shared" si="1"/>
        <v>670543</v>
      </c>
      <c r="H54" s="61">
        <v>0</v>
      </c>
      <c r="I54" s="56">
        <v>1</v>
      </c>
      <c r="J54" s="197">
        <v>1</v>
      </c>
      <c r="K54" s="33">
        <f t="shared" si="2"/>
        <v>670543</v>
      </c>
      <c r="L54" s="33">
        <f t="shared" si="3"/>
        <v>670543</v>
      </c>
      <c r="M54" s="185">
        <f t="shared" si="4"/>
        <v>670543</v>
      </c>
      <c r="N54" s="129"/>
      <c r="O54" s="193" t="s">
        <v>1714</v>
      </c>
      <c r="P54" s="135"/>
    </row>
    <row r="55" spans="1:16">
      <c r="A55" s="29">
        <f t="shared" si="5"/>
        <v>51</v>
      </c>
      <c r="B55" s="50" t="s">
        <v>110</v>
      </c>
      <c r="C55" s="51" t="s">
        <v>111</v>
      </c>
      <c r="D55" s="52">
        <v>43079</v>
      </c>
      <c r="E55" s="191">
        <v>670543</v>
      </c>
      <c r="F55" s="192">
        <f t="shared" si="0"/>
        <v>670543</v>
      </c>
      <c r="G55" s="55">
        <f t="shared" si="1"/>
        <v>670543</v>
      </c>
      <c r="H55" s="61">
        <v>0</v>
      </c>
      <c r="I55" s="56">
        <v>1</v>
      </c>
      <c r="J55" s="197">
        <v>1</v>
      </c>
      <c r="K55" s="33">
        <f t="shared" si="2"/>
        <v>670543</v>
      </c>
      <c r="L55" s="33">
        <f t="shared" si="3"/>
        <v>670543</v>
      </c>
      <c r="M55" s="185">
        <f t="shared" si="4"/>
        <v>670543</v>
      </c>
      <c r="N55" s="129"/>
      <c r="O55" s="193" t="s">
        <v>1714</v>
      </c>
      <c r="P55" s="135"/>
    </row>
    <row r="56" spans="1:16">
      <c r="A56" s="29">
        <f t="shared" si="5"/>
        <v>52</v>
      </c>
      <c r="B56" s="50" t="s">
        <v>110</v>
      </c>
      <c r="C56" s="51" t="s">
        <v>111</v>
      </c>
      <c r="D56" s="52">
        <v>43079</v>
      </c>
      <c r="E56" s="191">
        <v>60000</v>
      </c>
      <c r="F56" s="192">
        <f t="shared" si="0"/>
        <v>60000</v>
      </c>
      <c r="G56" s="55">
        <f t="shared" si="1"/>
        <v>60000</v>
      </c>
      <c r="H56" s="61">
        <v>0</v>
      </c>
      <c r="I56" s="56">
        <v>1</v>
      </c>
      <c r="J56" s="197">
        <v>1</v>
      </c>
      <c r="K56" s="33">
        <f t="shared" si="2"/>
        <v>60000</v>
      </c>
      <c r="L56" s="33">
        <f t="shared" si="3"/>
        <v>60000</v>
      </c>
      <c r="M56" s="185">
        <f t="shared" si="4"/>
        <v>60000</v>
      </c>
      <c r="N56" s="129"/>
      <c r="O56" s="193" t="s">
        <v>1714</v>
      </c>
      <c r="P56" s="135"/>
    </row>
    <row r="57" spans="1:16">
      <c r="A57" s="29">
        <f t="shared" si="5"/>
        <v>53</v>
      </c>
      <c r="B57" s="50" t="s">
        <v>110</v>
      </c>
      <c r="C57" s="51" t="s">
        <v>111</v>
      </c>
      <c r="D57" s="52">
        <v>43110</v>
      </c>
      <c r="E57" s="191">
        <v>670543</v>
      </c>
      <c r="F57" s="192">
        <f t="shared" si="0"/>
        <v>670543</v>
      </c>
      <c r="G57" s="55">
        <f t="shared" si="1"/>
        <v>670543</v>
      </c>
      <c r="H57" s="61">
        <v>0</v>
      </c>
      <c r="I57" s="56">
        <v>1</v>
      </c>
      <c r="J57" s="197">
        <v>1</v>
      </c>
      <c r="K57" s="33">
        <f t="shared" si="2"/>
        <v>670543</v>
      </c>
      <c r="L57" s="33">
        <f t="shared" si="3"/>
        <v>670543</v>
      </c>
      <c r="M57" s="185">
        <f t="shared" si="4"/>
        <v>670543</v>
      </c>
      <c r="N57" s="129"/>
      <c r="O57" s="193" t="s">
        <v>1715</v>
      </c>
      <c r="P57" s="135"/>
    </row>
    <row r="58" spans="1:16" s="211" customFormat="1">
      <c r="A58" s="29">
        <f t="shared" si="5"/>
        <v>54</v>
      </c>
      <c r="B58" s="50" t="s">
        <v>110</v>
      </c>
      <c r="C58" s="51" t="s">
        <v>111</v>
      </c>
      <c r="D58" s="52">
        <v>43110</v>
      </c>
      <c r="E58" s="191">
        <v>670543</v>
      </c>
      <c r="F58" s="192">
        <f t="shared" si="0"/>
        <v>670543</v>
      </c>
      <c r="G58" s="55">
        <f t="shared" si="1"/>
        <v>670543</v>
      </c>
      <c r="H58" s="61">
        <v>0</v>
      </c>
      <c r="I58" s="56">
        <v>1</v>
      </c>
      <c r="J58" s="197">
        <v>1</v>
      </c>
      <c r="K58" s="33">
        <f t="shared" si="2"/>
        <v>670543</v>
      </c>
      <c r="L58" s="33">
        <f t="shared" si="3"/>
        <v>670543</v>
      </c>
      <c r="M58" s="185">
        <f t="shared" si="4"/>
        <v>670543</v>
      </c>
      <c r="N58" s="129"/>
      <c r="O58" s="193" t="s">
        <v>1715</v>
      </c>
    </row>
    <row r="59" spans="1:16" s="211" customFormat="1">
      <c r="A59" s="29">
        <f t="shared" si="5"/>
        <v>55</v>
      </c>
      <c r="B59" s="50" t="s">
        <v>110</v>
      </c>
      <c r="C59" s="51" t="s">
        <v>111</v>
      </c>
      <c r="D59" s="52">
        <v>43110</v>
      </c>
      <c r="E59" s="191">
        <v>60000</v>
      </c>
      <c r="F59" s="192">
        <f t="shared" si="0"/>
        <v>60000</v>
      </c>
      <c r="G59" s="55">
        <f t="shared" si="1"/>
        <v>60000</v>
      </c>
      <c r="H59" s="61">
        <v>0</v>
      </c>
      <c r="I59" s="56">
        <v>1</v>
      </c>
      <c r="J59" s="197">
        <v>1</v>
      </c>
      <c r="K59" s="33">
        <f t="shared" si="2"/>
        <v>60000</v>
      </c>
      <c r="L59" s="33">
        <f t="shared" si="3"/>
        <v>60000</v>
      </c>
      <c r="M59" s="185">
        <f t="shared" si="4"/>
        <v>60000</v>
      </c>
      <c r="N59" s="129"/>
      <c r="O59" s="193" t="s">
        <v>1715</v>
      </c>
    </row>
    <row r="60" spans="1:16" s="211" customFormat="1">
      <c r="A60" s="29">
        <f t="shared" si="5"/>
        <v>56</v>
      </c>
      <c r="B60" s="50" t="s">
        <v>110</v>
      </c>
      <c r="C60" s="51" t="s">
        <v>111</v>
      </c>
      <c r="D60" s="52">
        <v>43141</v>
      </c>
      <c r="E60" s="191">
        <v>670543</v>
      </c>
      <c r="F60" s="192">
        <f t="shared" si="0"/>
        <v>670543</v>
      </c>
      <c r="G60" s="55">
        <f t="shared" si="1"/>
        <v>670543</v>
      </c>
      <c r="H60" s="61">
        <v>0</v>
      </c>
      <c r="I60" s="56">
        <v>1</v>
      </c>
      <c r="J60" s="197">
        <v>1</v>
      </c>
      <c r="K60" s="33">
        <f t="shared" si="2"/>
        <v>670543</v>
      </c>
      <c r="L60" s="33">
        <f t="shared" si="3"/>
        <v>670543</v>
      </c>
      <c r="M60" s="185">
        <f t="shared" si="4"/>
        <v>670543</v>
      </c>
      <c r="N60" s="129"/>
      <c r="O60" s="193" t="s">
        <v>1716</v>
      </c>
    </row>
    <row r="61" spans="1:16" s="211" customFormat="1">
      <c r="A61" s="29">
        <f t="shared" si="5"/>
        <v>57</v>
      </c>
      <c r="B61" s="50" t="s">
        <v>110</v>
      </c>
      <c r="C61" s="51" t="s">
        <v>111</v>
      </c>
      <c r="D61" s="52">
        <v>43141</v>
      </c>
      <c r="E61" s="191">
        <v>670543</v>
      </c>
      <c r="F61" s="192">
        <f t="shared" si="0"/>
        <v>670543</v>
      </c>
      <c r="G61" s="55">
        <f t="shared" si="1"/>
        <v>670543</v>
      </c>
      <c r="H61" s="61">
        <v>0</v>
      </c>
      <c r="I61" s="56">
        <v>1</v>
      </c>
      <c r="J61" s="197">
        <v>1</v>
      </c>
      <c r="K61" s="33">
        <f t="shared" si="2"/>
        <v>670543</v>
      </c>
      <c r="L61" s="33">
        <f t="shared" si="3"/>
        <v>670543</v>
      </c>
      <c r="M61" s="185">
        <f t="shared" si="4"/>
        <v>670543</v>
      </c>
      <c r="N61" s="129"/>
      <c r="O61" s="193" t="s">
        <v>1716</v>
      </c>
    </row>
    <row r="62" spans="1:16" s="211" customFormat="1">
      <c r="A62" s="29">
        <f t="shared" si="5"/>
        <v>58</v>
      </c>
      <c r="B62" s="50" t="s">
        <v>110</v>
      </c>
      <c r="C62" s="51" t="s">
        <v>111</v>
      </c>
      <c r="D62" s="52">
        <v>43141</v>
      </c>
      <c r="E62" s="191">
        <v>60000</v>
      </c>
      <c r="F62" s="192">
        <f t="shared" si="0"/>
        <v>60000</v>
      </c>
      <c r="G62" s="55">
        <f t="shared" si="1"/>
        <v>60000</v>
      </c>
      <c r="H62" s="61">
        <v>0</v>
      </c>
      <c r="I62" s="56">
        <v>1</v>
      </c>
      <c r="J62" s="197">
        <v>1</v>
      </c>
      <c r="K62" s="33">
        <f t="shared" si="2"/>
        <v>60000</v>
      </c>
      <c r="L62" s="33">
        <f t="shared" si="3"/>
        <v>60000</v>
      </c>
      <c r="M62" s="185">
        <f t="shared" si="4"/>
        <v>60000</v>
      </c>
      <c r="N62" s="129"/>
      <c r="O62" s="193" t="s">
        <v>1716</v>
      </c>
    </row>
    <row r="63" spans="1:16" s="211" customFormat="1">
      <c r="A63" s="29">
        <f t="shared" si="5"/>
        <v>59</v>
      </c>
      <c r="B63" s="50" t="s">
        <v>110</v>
      </c>
      <c r="C63" s="51" t="s">
        <v>111</v>
      </c>
      <c r="D63" s="52">
        <v>43169</v>
      </c>
      <c r="E63" s="191">
        <v>670543</v>
      </c>
      <c r="F63" s="192">
        <f t="shared" si="0"/>
        <v>670543</v>
      </c>
      <c r="G63" s="55">
        <f t="shared" si="1"/>
        <v>670543</v>
      </c>
      <c r="H63" s="61">
        <v>0</v>
      </c>
      <c r="I63" s="56">
        <v>1</v>
      </c>
      <c r="J63" s="197">
        <v>1</v>
      </c>
      <c r="K63" s="33">
        <f t="shared" si="2"/>
        <v>670543</v>
      </c>
      <c r="L63" s="33">
        <f t="shared" si="3"/>
        <v>670543</v>
      </c>
      <c r="M63" s="185">
        <f t="shared" si="4"/>
        <v>670543</v>
      </c>
      <c r="N63" s="129"/>
      <c r="O63" s="193" t="s">
        <v>1717</v>
      </c>
    </row>
    <row r="64" spans="1:16" s="211" customFormat="1">
      <c r="A64" s="29">
        <f t="shared" si="5"/>
        <v>60</v>
      </c>
      <c r="B64" s="50" t="s">
        <v>110</v>
      </c>
      <c r="C64" s="51" t="s">
        <v>111</v>
      </c>
      <c r="D64" s="52">
        <v>43169</v>
      </c>
      <c r="E64" s="191">
        <v>670543</v>
      </c>
      <c r="F64" s="192">
        <f t="shared" si="0"/>
        <v>670543</v>
      </c>
      <c r="G64" s="55">
        <f t="shared" si="1"/>
        <v>670543</v>
      </c>
      <c r="H64" s="61">
        <v>0</v>
      </c>
      <c r="I64" s="56">
        <v>1</v>
      </c>
      <c r="J64" s="197">
        <v>1</v>
      </c>
      <c r="K64" s="33">
        <f t="shared" si="2"/>
        <v>670543</v>
      </c>
      <c r="L64" s="33">
        <f t="shared" si="3"/>
        <v>670543</v>
      </c>
      <c r="M64" s="185">
        <f t="shared" si="4"/>
        <v>670543</v>
      </c>
      <c r="N64" s="129"/>
      <c r="O64" s="193" t="s">
        <v>1717</v>
      </c>
    </row>
    <row r="65" spans="1:16" s="211" customFormat="1">
      <c r="A65" s="29">
        <f t="shared" si="5"/>
        <v>61</v>
      </c>
      <c r="B65" s="50" t="s">
        <v>110</v>
      </c>
      <c r="C65" s="51" t="s">
        <v>111</v>
      </c>
      <c r="D65" s="52">
        <v>43169</v>
      </c>
      <c r="E65" s="191">
        <v>60000</v>
      </c>
      <c r="F65" s="192">
        <f t="shared" si="0"/>
        <v>60000</v>
      </c>
      <c r="G65" s="55">
        <f t="shared" si="1"/>
        <v>60000</v>
      </c>
      <c r="H65" s="61">
        <v>0</v>
      </c>
      <c r="I65" s="56">
        <v>1</v>
      </c>
      <c r="J65" s="197">
        <v>1</v>
      </c>
      <c r="K65" s="33">
        <f t="shared" si="2"/>
        <v>60000</v>
      </c>
      <c r="L65" s="33">
        <f t="shared" si="3"/>
        <v>60000</v>
      </c>
      <c r="M65" s="185">
        <f t="shared" si="4"/>
        <v>60000</v>
      </c>
      <c r="N65" s="129"/>
      <c r="O65" s="193" t="s">
        <v>1717</v>
      </c>
    </row>
    <row r="66" spans="1:16" s="211" customFormat="1">
      <c r="A66" s="29">
        <f t="shared" si="5"/>
        <v>62</v>
      </c>
      <c r="B66" s="50" t="s">
        <v>110</v>
      </c>
      <c r="C66" s="51" t="s">
        <v>111</v>
      </c>
      <c r="D66" s="52">
        <v>43200</v>
      </c>
      <c r="E66" s="191">
        <v>670543</v>
      </c>
      <c r="F66" s="192">
        <f t="shared" si="0"/>
        <v>670543</v>
      </c>
      <c r="G66" s="55">
        <f t="shared" si="1"/>
        <v>670543</v>
      </c>
      <c r="H66" s="61">
        <v>0</v>
      </c>
      <c r="I66" s="56">
        <v>1</v>
      </c>
      <c r="J66" s="197">
        <v>1</v>
      </c>
      <c r="K66" s="33">
        <f t="shared" si="2"/>
        <v>670543</v>
      </c>
      <c r="L66" s="33">
        <f t="shared" si="3"/>
        <v>670543</v>
      </c>
      <c r="M66" s="185">
        <f t="shared" si="4"/>
        <v>670543</v>
      </c>
      <c r="N66" s="186"/>
      <c r="O66" s="193" t="s">
        <v>1718</v>
      </c>
    </row>
    <row r="67" spans="1:16" s="211" customFormat="1">
      <c r="A67" s="29">
        <f t="shared" si="5"/>
        <v>63</v>
      </c>
      <c r="B67" s="50" t="s">
        <v>110</v>
      </c>
      <c r="C67" s="51" t="s">
        <v>111</v>
      </c>
      <c r="D67" s="52">
        <v>43200</v>
      </c>
      <c r="E67" s="191">
        <v>670543</v>
      </c>
      <c r="F67" s="192">
        <f t="shared" si="0"/>
        <v>670543</v>
      </c>
      <c r="G67" s="55">
        <f t="shared" si="1"/>
        <v>670543</v>
      </c>
      <c r="H67" s="61">
        <v>0</v>
      </c>
      <c r="I67" s="56">
        <v>1</v>
      </c>
      <c r="J67" s="197">
        <v>1</v>
      </c>
      <c r="K67" s="33">
        <f t="shared" si="2"/>
        <v>670543</v>
      </c>
      <c r="L67" s="33">
        <f t="shared" si="3"/>
        <v>670543</v>
      </c>
      <c r="M67" s="185">
        <f t="shared" si="4"/>
        <v>670543</v>
      </c>
      <c r="N67" s="186"/>
      <c r="O67" s="193" t="s">
        <v>1718</v>
      </c>
    </row>
    <row r="68" spans="1:16" s="211" customFormat="1">
      <c r="A68" s="29">
        <f t="shared" si="5"/>
        <v>64</v>
      </c>
      <c r="B68" s="50" t="s">
        <v>110</v>
      </c>
      <c r="C68" s="51" t="s">
        <v>111</v>
      </c>
      <c r="D68" s="52">
        <v>43200</v>
      </c>
      <c r="E68" s="191">
        <v>60000</v>
      </c>
      <c r="F68" s="192">
        <f t="shared" si="0"/>
        <v>60000</v>
      </c>
      <c r="G68" s="55">
        <f t="shared" si="1"/>
        <v>60000</v>
      </c>
      <c r="H68" s="61">
        <v>0</v>
      </c>
      <c r="I68" s="56">
        <v>1</v>
      </c>
      <c r="J68" s="197">
        <v>1</v>
      </c>
      <c r="K68" s="33">
        <f t="shared" si="2"/>
        <v>60000</v>
      </c>
      <c r="L68" s="33">
        <f t="shared" si="3"/>
        <v>60000</v>
      </c>
      <c r="M68" s="185">
        <f t="shared" si="4"/>
        <v>60000</v>
      </c>
      <c r="N68" s="186"/>
      <c r="O68" s="193" t="s">
        <v>1718</v>
      </c>
    </row>
    <row r="69" spans="1:16" s="211" customFormat="1">
      <c r="A69" s="29">
        <f t="shared" si="5"/>
        <v>65</v>
      </c>
      <c r="B69" s="50" t="s">
        <v>110</v>
      </c>
      <c r="C69" s="51" t="s">
        <v>111</v>
      </c>
      <c r="D69" s="102">
        <v>43230</v>
      </c>
      <c r="E69" s="195">
        <v>60000</v>
      </c>
      <c r="F69" s="196">
        <f t="shared" ref="F69:F132" si="6">+I69*K69</f>
        <v>60000</v>
      </c>
      <c r="G69" s="196">
        <f t="shared" ref="G69:G74" si="7">E69/I69</f>
        <v>60000</v>
      </c>
      <c r="H69" s="196">
        <v>0</v>
      </c>
      <c r="I69" s="197">
        <v>1</v>
      </c>
      <c r="J69" s="197">
        <v>1</v>
      </c>
      <c r="K69" s="198">
        <f t="shared" ref="K69:K132" si="8">+G69+H69</f>
        <v>60000</v>
      </c>
      <c r="L69" s="198">
        <f t="shared" ref="L69:L74" si="9">G69*J69</f>
        <v>60000</v>
      </c>
      <c r="M69" s="199">
        <f t="shared" ref="M69:M74" si="10">J69*K69</f>
        <v>60000</v>
      </c>
      <c r="N69" s="200"/>
      <c r="O69" s="200" t="s">
        <v>1719</v>
      </c>
    </row>
    <row r="70" spans="1:16" s="211" customFormat="1">
      <c r="A70" s="29">
        <f t="shared" ref="A70:A133" si="11">+A69+1</f>
        <v>66</v>
      </c>
      <c r="B70" s="50" t="s">
        <v>110</v>
      </c>
      <c r="C70" s="51" t="s">
        <v>111</v>
      </c>
      <c r="D70" s="102">
        <v>43230</v>
      </c>
      <c r="E70" s="201">
        <v>670543</v>
      </c>
      <c r="F70" s="196">
        <f t="shared" si="6"/>
        <v>670543</v>
      </c>
      <c r="G70" s="196">
        <f t="shared" si="7"/>
        <v>670543</v>
      </c>
      <c r="H70" s="196">
        <v>0</v>
      </c>
      <c r="I70" s="197">
        <v>1</v>
      </c>
      <c r="J70" s="197">
        <v>1</v>
      </c>
      <c r="K70" s="198">
        <f t="shared" si="8"/>
        <v>670543</v>
      </c>
      <c r="L70" s="198">
        <f t="shared" si="9"/>
        <v>670543</v>
      </c>
      <c r="M70" s="199">
        <f t="shared" si="10"/>
        <v>670543</v>
      </c>
      <c r="N70" s="187"/>
      <c r="O70" s="200" t="s">
        <v>1719</v>
      </c>
    </row>
    <row r="71" spans="1:16" s="211" customFormat="1">
      <c r="A71" s="29">
        <f t="shared" si="11"/>
        <v>67</v>
      </c>
      <c r="B71" s="50" t="s">
        <v>110</v>
      </c>
      <c r="C71" s="51" t="s">
        <v>111</v>
      </c>
      <c r="D71" s="102">
        <v>43230</v>
      </c>
      <c r="E71" s="201">
        <v>670543</v>
      </c>
      <c r="F71" s="196">
        <f t="shared" si="6"/>
        <v>670543</v>
      </c>
      <c r="G71" s="196">
        <f t="shared" si="7"/>
        <v>670543</v>
      </c>
      <c r="H71" s="196">
        <v>0</v>
      </c>
      <c r="I71" s="197">
        <v>1</v>
      </c>
      <c r="J71" s="197">
        <v>1</v>
      </c>
      <c r="K71" s="198">
        <f t="shared" si="8"/>
        <v>670543</v>
      </c>
      <c r="L71" s="198">
        <f t="shared" si="9"/>
        <v>670543</v>
      </c>
      <c r="M71" s="199">
        <f t="shared" si="10"/>
        <v>670543</v>
      </c>
      <c r="N71" s="187"/>
      <c r="O71" s="200" t="s">
        <v>1719</v>
      </c>
    </row>
    <row r="72" spans="1:16" s="211" customFormat="1">
      <c r="A72" s="29">
        <f t="shared" si="11"/>
        <v>68</v>
      </c>
      <c r="B72" s="50" t="s">
        <v>110</v>
      </c>
      <c r="C72" s="51" t="s">
        <v>111</v>
      </c>
      <c r="D72" s="52">
        <v>43261</v>
      </c>
      <c r="E72" s="195">
        <v>60000</v>
      </c>
      <c r="F72" s="196">
        <f t="shared" si="6"/>
        <v>60000</v>
      </c>
      <c r="G72" s="196">
        <f t="shared" si="7"/>
        <v>60000</v>
      </c>
      <c r="H72" s="196">
        <v>0</v>
      </c>
      <c r="I72" s="197">
        <v>1</v>
      </c>
      <c r="J72" s="197">
        <v>1</v>
      </c>
      <c r="K72" s="198">
        <f t="shared" si="8"/>
        <v>60000</v>
      </c>
      <c r="L72" s="198">
        <f t="shared" si="9"/>
        <v>60000</v>
      </c>
      <c r="M72" s="199">
        <f t="shared" si="10"/>
        <v>60000</v>
      </c>
      <c r="N72" s="200"/>
      <c r="O72" s="200" t="s">
        <v>1720</v>
      </c>
    </row>
    <row r="73" spans="1:16" s="211" customFormat="1">
      <c r="A73" s="29">
        <f t="shared" si="11"/>
        <v>69</v>
      </c>
      <c r="B73" s="50" t="s">
        <v>110</v>
      </c>
      <c r="C73" s="51" t="s">
        <v>111</v>
      </c>
      <c r="D73" s="52">
        <v>43261</v>
      </c>
      <c r="E73" s="201">
        <v>670543</v>
      </c>
      <c r="F73" s="196">
        <f t="shared" si="6"/>
        <v>670543</v>
      </c>
      <c r="G73" s="196">
        <f t="shared" si="7"/>
        <v>670543</v>
      </c>
      <c r="H73" s="196">
        <v>0</v>
      </c>
      <c r="I73" s="197">
        <v>1</v>
      </c>
      <c r="J73" s="197">
        <v>1</v>
      </c>
      <c r="K73" s="198">
        <f t="shared" si="8"/>
        <v>670543</v>
      </c>
      <c r="L73" s="198">
        <f t="shared" si="9"/>
        <v>670543</v>
      </c>
      <c r="M73" s="199">
        <f t="shared" si="10"/>
        <v>670543</v>
      </c>
      <c r="N73" s="187"/>
      <c r="O73" s="200" t="s">
        <v>1720</v>
      </c>
    </row>
    <row r="74" spans="1:16" s="211" customFormat="1">
      <c r="A74" s="29">
        <f t="shared" si="11"/>
        <v>70</v>
      </c>
      <c r="B74" s="50" t="s">
        <v>110</v>
      </c>
      <c r="C74" s="51" t="s">
        <v>111</v>
      </c>
      <c r="D74" s="52">
        <v>43261</v>
      </c>
      <c r="E74" s="201">
        <v>670543</v>
      </c>
      <c r="F74" s="196">
        <f t="shared" si="6"/>
        <v>670543</v>
      </c>
      <c r="G74" s="196">
        <f t="shared" si="7"/>
        <v>670543</v>
      </c>
      <c r="H74" s="196">
        <v>0</v>
      </c>
      <c r="I74" s="197">
        <v>1</v>
      </c>
      <c r="J74" s="197">
        <v>1</v>
      </c>
      <c r="K74" s="198">
        <f t="shared" si="8"/>
        <v>670543</v>
      </c>
      <c r="L74" s="198">
        <f t="shared" si="9"/>
        <v>670543</v>
      </c>
      <c r="M74" s="199">
        <f t="shared" si="10"/>
        <v>670543</v>
      </c>
      <c r="N74" s="187"/>
      <c r="O74" s="200" t="s">
        <v>1720</v>
      </c>
    </row>
    <row r="75" spans="1:16" s="211" customFormat="1">
      <c r="A75" s="29">
        <f t="shared" si="11"/>
        <v>71</v>
      </c>
      <c r="B75" s="55" t="s">
        <v>140</v>
      </c>
      <c r="C75" s="64" t="s">
        <v>141</v>
      </c>
      <c r="D75" s="52">
        <v>43141</v>
      </c>
      <c r="E75" s="191">
        <v>360000</v>
      </c>
      <c r="F75" s="192">
        <f t="shared" si="6"/>
        <v>360000</v>
      </c>
      <c r="G75" s="55">
        <f>+E75/I75</f>
        <v>360000</v>
      </c>
      <c r="H75" s="61">
        <v>0</v>
      </c>
      <c r="I75" s="56">
        <v>1</v>
      </c>
      <c r="J75" s="197">
        <v>1</v>
      </c>
      <c r="K75" s="33">
        <f t="shared" si="8"/>
        <v>360000</v>
      </c>
      <c r="L75" s="33">
        <f>+J75*K75</f>
        <v>360000</v>
      </c>
      <c r="M75" s="185">
        <f>+G75*J75</f>
        <v>360000</v>
      </c>
      <c r="N75" s="129"/>
      <c r="O75" s="193" t="s">
        <v>1716</v>
      </c>
    </row>
    <row r="76" spans="1:16" s="211" customFormat="1">
      <c r="A76" s="29">
        <f t="shared" si="11"/>
        <v>72</v>
      </c>
      <c r="B76" s="55" t="s">
        <v>140</v>
      </c>
      <c r="C76" s="64" t="s">
        <v>141</v>
      </c>
      <c r="D76" s="52">
        <v>43169</v>
      </c>
      <c r="E76" s="191">
        <v>360000</v>
      </c>
      <c r="F76" s="192">
        <f t="shared" si="6"/>
        <v>360000</v>
      </c>
      <c r="G76" s="55">
        <f>+E76/I76</f>
        <v>360000</v>
      </c>
      <c r="H76" s="61">
        <v>0</v>
      </c>
      <c r="I76" s="56">
        <v>1</v>
      </c>
      <c r="J76" s="197">
        <v>1</v>
      </c>
      <c r="K76" s="33">
        <f t="shared" si="8"/>
        <v>360000</v>
      </c>
      <c r="L76" s="33">
        <f>+J76*K76</f>
        <v>360000</v>
      </c>
      <c r="M76" s="185">
        <f>+G76*J76</f>
        <v>360000</v>
      </c>
      <c r="N76" s="129"/>
      <c r="O76" s="193" t="s">
        <v>1717</v>
      </c>
    </row>
    <row r="77" spans="1:16">
      <c r="A77" s="29">
        <f t="shared" si="11"/>
        <v>73</v>
      </c>
      <c r="B77" s="55" t="s">
        <v>140</v>
      </c>
      <c r="C77" s="64" t="s">
        <v>141</v>
      </c>
      <c r="D77" s="52">
        <v>43200</v>
      </c>
      <c r="E77" s="191">
        <v>360000</v>
      </c>
      <c r="F77" s="192">
        <f t="shared" si="6"/>
        <v>360000</v>
      </c>
      <c r="G77" s="55">
        <f>+E77/I77</f>
        <v>360000</v>
      </c>
      <c r="H77" s="61">
        <v>0</v>
      </c>
      <c r="I77" s="56">
        <v>1</v>
      </c>
      <c r="J77" s="197">
        <v>1</v>
      </c>
      <c r="K77" s="33">
        <f t="shared" si="8"/>
        <v>360000</v>
      </c>
      <c r="L77" s="33">
        <f>+J77*K77</f>
        <v>360000</v>
      </c>
      <c r="M77" s="185">
        <f>+G77*J77</f>
        <v>360000</v>
      </c>
      <c r="N77" s="186"/>
      <c r="O77" s="193" t="s">
        <v>1718</v>
      </c>
      <c r="P77" s="135"/>
    </row>
    <row r="78" spans="1:16">
      <c r="A78" s="29">
        <f t="shared" si="11"/>
        <v>74</v>
      </c>
      <c r="B78" s="55" t="s">
        <v>140</v>
      </c>
      <c r="C78" s="64" t="s">
        <v>141</v>
      </c>
      <c r="D78" s="52">
        <v>43261</v>
      </c>
      <c r="E78" s="201">
        <v>360000</v>
      </c>
      <c r="F78" s="196">
        <f t="shared" si="6"/>
        <v>360000</v>
      </c>
      <c r="G78" s="196">
        <f>E78/I78</f>
        <v>360000</v>
      </c>
      <c r="H78" s="196">
        <v>0</v>
      </c>
      <c r="I78" s="197">
        <v>1</v>
      </c>
      <c r="J78" s="197">
        <v>1</v>
      </c>
      <c r="K78" s="198">
        <f t="shared" si="8"/>
        <v>360000</v>
      </c>
      <c r="L78" s="198">
        <f>G78*J78</f>
        <v>360000</v>
      </c>
      <c r="M78" s="199">
        <f>J78*K78</f>
        <v>360000</v>
      </c>
      <c r="N78" s="187"/>
      <c r="O78" s="200" t="s">
        <v>1720</v>
      </c>
      <c r="P78" s="135"/>
    </row>
    <row r="79" spans="1:16">
      <c r="A79" s="29">
        <f t="shared" si="11"/>
        <v>75</v>
      </c>
      <c r="B79" s="50" t="s">
        <v>342</v>
      </c>
      <c r="C79" s="51" t="s">
        <v>343</v>
      </c>
      <c r="D79" s="52">
        <v>43261</v>
      </c>
      <c r="E79" s="201">
        <v>421725</v>
      </c>
      <c r="F79" s="196">
        <f t="shared" si="6"/>
        <v>421725</v>
      </c>
      <c r="G79" s="196">
        <f>E79/I79</f>
        <v>421725</v>
      </c>
      <c r="H79" s="196">
        <v>0</v>
      </c>
      <c r="I79" s="197">
        <v>1</v>
      </c>
      <c r="J79" s="197">
        <v>1</v>
      </c>
      <c r="K79" s="198">
        <f t="shared" si="8"/>
        <v>421725</v>
      </c>
      <c r="L79" s="198">
        <f>G79*J79</f>
        <v>421725</v>
      </c>
      <c r="M79" s="199">
        <f>J79*K79</f>
        <v>421725</v>
      </c>
      <c r="N79" s="187"/>
      <c r="O79" s="200" t="s">
        <v>1720</v>
      </c>
      <c r="P79" s="135"/>
    </row>
    <row r="80" spans="1:16">
      <c r="A80" s="29">
        <f t="shared" si="11"/>
        <v>76</v>
      </c>
      <c r="B80" s="50" t="s">
        <v>359</v>
      </c>
      <c r="C80" s="51" t="s">
        <v>360</v>
      </c>
      <c r="D80" s="52">
        <v>42165</v>
      </c>
      <c r="E80" s="55">
        <v>1605601</v>
      </c>
      <c r="F80" s="192">
        <f t="shared" si="6"/>
        <v>1605601</v>
      </c>
      <c r="G80" s="55">
        <f t="shared" ref="G80:G137" si="12">+E80/I80</f>
        <v>1605601</v>
      </c>
      <c r="H80" s="61">
        <v>0</v>
      </c>
      <c r="I80" s="56">
        <v>1</v>
      </c>
      <c r="J80" s="197">
        <v>1</v>
      </c>
      <c r="K80" s="33">
        <f t="shared" si="8"/>
        <v>1605601</v>
      </c>
      <c r="L80" s="33">
        <f t="shared" ref="L80:L137" si="13">+J80*K80</f>
        <v>1605601</v>
      </c>
      <c r="M80" s="33">
        <f t="shared" ref="M80:M137" si="14">+G80*J80</f>
        <v>1605601</v>
      </c>
      <c r="N80" s="30" t="s">
        <v>361</v>
      </c>
      <c r="O80" s="42" t="s">
        <v>1721</v>
      </c>
      <c r="P80" s="135"/>
    </row>
    <row r="81" spans="1:16">
      <c r="A81" s="29">
        <f t="shared" si="11"/>
        <v>77</v>
      </c>
      <c r="B81" s="50" t="s">
        <v>359</v>
      </c>
      <c r="C81" s="51" t="s">
        <v>360</v>
      </c>
      <c r="D81" s="52">
        <v>42195</v>
      </c>
      <c r="E81" s="55">
        <v>1605601</v>
      </c>
      <c r="F81" s="192">
        <f t="shared" si="6"/>
        <v>1605601</v>
      </c>
      <c r="G81" s="55">
        <f t="shared" si="12"/>
        <v>1605601</v>
      </c>
      <c r="H81" s="61">
        <v>0</v>
      </c>
      <c r="I81" s="56">
        <v>1</v>
      </c>
      <c r="J81" s="197">
        <v>1</v>
      </c>
      <c r="K81" s="33">
        <f t="shared" si="8"/>
        <v>1605601</v>
      </c>
      <c r="L81" s="33">
        <f t="shared" si="13"/>
        <v>1605601</v>
      </c>
      <c r="M81" s="33">
        <f t="shared" si="14"/>
        <v>1605601</v>
      </c>
      <c r="N81" s="30" t="s">
        <v>361</v>
      </c>
      <c r="O81" s="42" t="s">
        <v>1666</v>
      </c>
      <c r="P81" s="135"/>
    </row>
    <row r="82" spans="1:16">
      <c r="A82" s="29">
        <f t="shared" si="11"/>
        <v>78</v>
      </c>
      <c r="B82" s="50" t="s">
        <v>359</v>
      </c>
      <c r="C82" s="51" t="s">
        <v>360</v>
      </c>
      <c r="D82" s="52">
        <v>42226</v>
      </c>
      <c r="E82" s="55">
        <v>1605601</v>
      </c>
      <c r="F82" s="192">
        <f t="shared" si="6"/>
        <v>1605601</v>
      </c>
      <c r="G82" s="55">
        <f t="shared" si="12"/>
        <v>1605601</v>
      </c>
      <c r="H82" s="61">
        <v>0</v>
      </c>
      <c r="I82" s="56">
        <v>1</v>
      </c>
      <c r="J82" s="197">
        <v>1</v>
      </c>
      <c r="K82" s="33">
        <f t="shared" si="8"/>
        <v>1605601</v>
      </c>
      <c r="L82" s="33">
        <f t="shared" si="13"/>
        <v>1605601</v>
      </c>
      <c r="M82" s="33">
        <f t="shared" si="14"/>
        <v>1605601</v>
      </c>
      <c r="N82" s="30" t="s">
        <v>1665</v>
      </c>
      <c r="O82" s="42" t="s">
        <v>1667</v>
      </c>
      <c r="P82" s="135"/>
    </row>
    <row r="83" spans="1:16">
      <c r="A83" s="29">
        <f t="shared" si="11"/>
        <v>79</v>
      </c>
      <c r="B83" s="50" t="s">
        <v>359</v>
      </c>
      <c r="C83" s="51" t="s">
        <v>360</v>
      </c>
      <c r="D83" s="52">
        <v>42257</v>
      </c>
      <c r="E83" s="55">
        <v>1605601</v>
      </c>
      <c r="F83" s="192">
        <f t="shared" si="6"/>
        <v>1605601</v>
      </c>
      <c r="G83" s="55">
        <f t="shared" si="12"/>
        <v>1605601</v>
      </c>
      <c r="H83" s="61">
        <v>0</v>
      </c>
      <c r="I83" s="56">
        <v>1</v>
      </c>
      <c r="J83" s="197">
        <v>1</v>
      </c>
      <c r="K83" s="33">
        <f t="shared" si="8"/>
        <v>1605601</v>
      </c>
      <c r="L83" s="33">
        <f t="shared" si="13"/>
        <v>1605601</v>
      </c>
      <c r="M83" s="33">
        <f t="shared" si="14"/>
        <v>1605601</v>
      </c>
      <c r="N83" s="30"/>
      <c r="O83" s="42" t="s">
        <v>1668</v>
      </c>
      <c r="P83" s="135"/>
    </row>
    <row r="84" spans="1:16">
      <c r="A84" s="29">
        <f t="shared" si="11"/>
        <v>80</v>
      </c>
      <c r="B84" s="50" t="s">
        <v>359</v>
      </c>
      <c r="C84" s="51" t="s">
        <v>360</v>
      </c>
      <c r="D84" s="52">
        <v>42287</v>
      </c>
      <c r="E84" s="55">
        <v>1605601</v>
      </c>
      <c r="F84" s="192">
        <f t="shared" si="6"/>
        <v>1605601</v>
      </c>
      <c r="G84" s="55">
        <f t="shared" si="12"/>
        <v>1605601</v>
      </c>
      <c r="H84" s="61">
        <v>0</v>
      </c>
      <c r="I84" s="56">
        <v>1</v>
      </c>
      <c r="J84" s="197">
        <v>1</v>
      </c>
      <c r="K84" s="33">
        <f t="shared" si="8"/>
        <v>1605601</v>
      </c>
      <c r="L84" s="33">
        <f t="shared" si="13"/>
        <v>1605601</v>
      </c>
      <c r="M84" s="33">
        <f t="shared" si="14"/>
        <v>1605601</v>
      </c>
      <c r="N84" s="129"/>
      <c r="O84" s="42" t="s">
        <v>1722</v>
      </c>
      <c r="P84" s="135"/>
    </row>
    <row r="85" spans="1:16">
      <c r="A85" s="29">
        <f t="shared" si="11"/>
        <v>81</v>
      </c>
      <c r="B85" s="50" t="s">
        <v>359</v>
      </c>
      <c r="C85" s="51" t="s">
        <v>360</v>
      </c>
      <c r="D85" s="52">
        <v>42318</v>
      </c>
      <c r="E85" s="55">
        <v>1605601</v>
      </c>
      <c r="F85" s="192">
        <f t="shared" si="6"/>
        <v>1605601</v>
      </c>
      <c r="G85" s="55">
        <f t="shared" si="12"/>
        <v>1605601</v>
      </c>
      <c r="H85" s="61">
        <v>0</v>
      </c>
      <c r="I85" s="56">
        <v>1</v>
      </c>
      <c r="J85" s="197">
        <v>1</v>
      </c>
      <c r="K85" s="33">
        <f t="shared" si="8"/>
        <v>1605601</v>
      </c>
      <c r="L85" s="33">
        <f t="shared" si="13"/>
        <v>1605601</v>
      </c>
      <c r="M85" s="33">
        <f t="shared" si="14"/>
        <v>1605601</v>
      </c>
      <c r="N85" s="129"/>
      <c r="O85" s="42" t="s">
        <v>1723</v>
      </c>
      <c r="P85" s="135"/>
    </row>
    <row r="86" spans="1:16">
      <c r="A86" s="29">
        <f t="shared" si="11"/>
        <v>82</v>
      </c>
      <c r="B86" s="50" t="s">
        <v>359</v>
      </c>
      <c r="C86" s="51" t="s">
        <v>360</v>
      </c>
      <c r="D86" s="52">
        <v>42410</v>
      </c>
      <c r="E86" s="55">
        <v>1605601</v>
      </c>
      <c r="F86" s="192">
        <f t="shared" si="6"/>
        <v>1605601</v>
      </c>
      <c r="G86" s="55">
        <f t="shared" si="12"/>
        <v>1605601</v>
      </c>
      <c r="H86" s="61">
        <v>0</v>
      </c>
      <c r="I86" s="56">
        <v>1</v>
      </c>
      <c r="J86" s="197">
        <v>1</v>
      </c>
      <c r="K86" s="33">
        <f t="shared" si="8"/>
        <v>1605601</v>
      </c>
      <c r="L86" s="33">
        <f t="shared" si="13"/>
        <v>1605601</v>
      </c>
      <c r="M86" s="33">
        <f t="shared" si="14"/>
        <v>1605601</v>
      </c>
      <c r="N86" s="30"/>
      <c r="O86" s="42" t="s">
        <v>1724</v>
      </c>
      <c r="P86" s="135"/>
    </row>
    <row r="87" spans="1:16">
      <c r="A87" s="29">
        <f t="shared" si="11"/>
        <v>83</v>
      </c>
      <c r="B87" s="50" t="s">
        <v>359</v>
      </c>
      <c r="C87" s="51" t="s">
        <v>360</v>
      </c>
      <c r="D87" s="52">
        <v>42410</v>
      </c>
      <c r="E87" s="55">
        <v>288000</v>
      </c>
      <c r="F87" s="192">
        <f t="shared" si="6"/>
        <v>288000</v>
      </c>
      <c r="G87" s="55">
        <f t="shared" si="12"/>
        <v>288000</v>
      </c>
      <c r="H87" s="61">
        <v>0</v>
      </c>
      <c r="I87" s="56">
        <v>1</v>
      </c>
      <c r="J87" s="197">
        <v>1</v>
      </c>
      <c r="K87" s="33">
        <f t="shared" si="8"/>
        <v>288000</v>
      </c>
      <c r="L87" s="33">
        <f t="shared" si="13"/>
        <v>288000</v>
      </c>
      <c r="M87" s="33">
        <f t="shared" si="14"/>
        <v>288000</v>
      </c>
      <c r="N87" s="30"/>
      <c r="O87" s="42" t="s">
        <v>1724</v>
      </c>
      <c r="P87" s="135"/>
    </row>
    <row r="88" spans="1:16">
      <c r="A88" s="29">
        <f t="shared" si="11"/>
        <v>84</v>
      </c>
      <c r="B88" s="50" t="s">
        <v>359</v>
      </c>
      <c r="C88" s="51" t="s">
        <v>360</v>
      </c>
      <c r="D88" s="52">
        <v>42439</v>
      </c>
      <c r="E88" s="55">
        <v>1605601</v>
      </c>
      <c r="F88" s="192">
        <f t="shared" si="6"/>
        <v>1605601</v>
      </c>
      <c r="G88" s="55">
        <f t="shared" si="12"/>
        <v>1605601</v>
      </c>
      <c r="H88" s="61">
        <v>0</v>
      </c>
      <c r="I88" s="56">
        <v>1</v>
      </c>
      <c r="J88" s="197">
        <v>1</v>
      </c>
      <c r="K88" s="33">
        <f t="shared" si="8"/>
        <v>1605601</v>
      </c>
      <c r="L88" s="33">
        <f t="shared" si="13"/>
        <v>1605601</v>
      </c>
      <c r="M88" s="33">
        <f t="shared" si="14"/>
        <v>1605601</v>
      </c>
      <c r="N88" s="30"/>
      <c r="O88" s="42" t="s">
        <v>1725</v>
      </c>
      <c r="P88" s="135"/>
    </row>
    <row r="89" spans="1:16">
      <c r="A89" s="29">
        <f t="shared" si="11"/>
        <v>85</v>
      </c>
      <c r="B89" s="50" t="s">
        <v>359</v>
      </c>
      <c r="C89" s="51" t="s">
        <v>360</v>
      </c>
      <c r="D89" s="52">
        <v>42439</v>
      </c>
      <c r="E89" s="55">
        <v>288000</v>
      </c>
      <c r="F89" s="192">
        <f t="shared" si="6"/>
        <v>288000</v>
      </c>
      <c r="G89" s="55">
        <f t="shared" si="12"/>
        <v>288000</v>
      </c>
      <c r="H89" s="61">
        <v>0</v>
      </c>
      <c r="I89" s="56">
        <v>1</v>
      </c>
      <c r="J89" s="197">
        <v>1</v>
      </c>
      <c r="K89" s="33">
        <f t="shared" si="8"/>
        <v>288000</v>
      </c>
      <c r="L89" s="33">
        <f t="shared" si="13"/>
        <v>288000</v>
      </c>
      <c r="M89" s="33">
        <f t="shared" si="14"/>
        <v>288000</v>
      </c>
      <c r="N89" s="30"/>
      <c r="O89" s="42" t="s">
        <v>1725</v>
      </c>
      <c r="P89" s="135"/>
    </row>
    <row r="90" spans="1:16">
      <c r="A90" s="29">
        <f t="shared" si="11"/>
        <v>86</v>
      </c>
      <c r="B90" s="50" t="s">
        <v>359</v>
      </c>
      <c r="C90" s="51" t="s">
        <v>360</v>
      </c>
      <c r="D90" s="52">
        <v>42470</v>
      </c>
      <c r="E90" s="202">
        <v>1605601</v>
      </c>
      <c r="F90" s="192">
        <f t="shared" si="6"/>
        <v>1605601</v>
      </c>
      <c r="G90" s="55">
        <f t="shared" si="12"/>
        <v>1605601</v>
      </c>
      <c r="H90" s="61">
        <v>0</v>
      </c>
      <c r="I90" s="56">
        <v>1</v>
      </c>
      <c r="J90" s="197">
        <v>1</v>
      </c>
      <c r="K90" s="33">
        <f t="shared" si="8"/>
        <v>1605601</v>
      </c>
      <c r="L90" s="33">
        <f t="shared" si="13"/>
        <v>1605601</v>
      </c>
      <c r="M90" s="33">
        <f t="shared" si="14"/>
        <v>1605601</v>
      </c>
      <c r="N90" s="129"/>
      <c r="O90" s="42" t="s">
        <v>1726</v>
      </c>
      <c r="P90" s="135"/>
    </row>
    <row r="91" spans="1:16">
      <c r="A91" s="29">
        <f t="shared" si="11"/>
        <v>87</v>
      </c>
      <c r="B91" s="50" t="s">
        <v>359</v>
      </c>
      <c r="C91" s="51" t="s">
        <v>360</v>
      </c>
      <c r="D91" s="52">
        <v>42470</v>
      </c>
      <c r="E91" s="202">
        <v>288000</v>
      </c>
      <c r="F91" s="192">
        <f t="shared" si="6"/>
        <v>288000</v>
      </c>
      <c r="G91" s="55">
        <f t="shared" si="12"/>
        <v>288000</v>
      </c>
      <c r="H91" s="61">
        <v>0</v>
      </c>
      <c r="I91" s="56">
        <v>1</v>
      </c>
      <c r="J91" s="197">
        <v>1</v>
      </c>
      <c r="K91" s="33">
        <f t="shared" si="8"/>
        <v>288000</v>
      </c>
      <c r="L91" s="33">
        <f t="shared" si="13"/>
        <v>288000</v>
      </c>
      <c r="M91" s="33">
        <f t="shared" si="14"/>
        <v>288000</v>
      </c>
      <c r="N91" s="129"/>
      <c r="O91" s="42" t="s">
        <v>1726</v>
      </c>
      <c r="P91" s="135"/>
    </row>
    <row r="92" spans="1:16">
      <c r="A92" s="29">
        <f t="shared" si="11"/>
        <v>88</v>
      </c>
      <c r="B92" s="50" t="s">
        <v>359</v>
      </c>
      <c r="C92" s="51" t="s">
        <v>360</v>
      </c>
      <c r="D92" s="112">
        <v>42500</v>
      </c>
      <c r="E92" s="202">
        <v>1605601</v>
      </c>
      <c r="F92" s="192">
        <f t="shared" si="6"/>
        <v>1605601</v>
      </c>
      <c r="G92" s="55">
        <f t="shared" si="12"/>
        <v>1605601</v>
      </c>
      <c r="H92" s="61">
        <v>0</v>
      </c>
      <c r="I92" s="56">
        <v>1</v>
      </c>
      <c r="J92" s="197">
        <v>1</v>
      </c>
      <c r="K92" s="33">
        <f t="shared" si="8"/>
        <v>1605601</v>
      </c>
      <c r="L92" s="33">
        <f t="shared" si="13"/>
        <v>1605601</v>
      </c>
      <c r="M92" s="33">
        <f t="shared" si="14"/>
        <v>1605601</v>
      </c>
      <c r="N92" s="129"/>
      <c r="O92" s="42" t="s">
        <v>1727</v>
      </c>
      <c r="P92" s="135"/>
    </row>
    <row r="93" spans="1:16">
      <c r="A93" s="29">
        <f t="shared" si="11"/>
        <v>89</v>
      </c>
      <c r="B93" s="50" t="s">
        <v>359</v>
      </c>
      <c r="C93" s="51" t="s">
        <v>360</v>
      </c>
      <c r="D93" s="112">
        <v>42500</v>
      </c>
      <c r="E93" s="202">
        <v>288000</v>
      </c>
      <c r="F93" s="192">
        <f t="shared" si="6"/>
        <v>288000</v>
      </c>
      <c r="G93" s="55">
        <f t="shared" si="12"/>
        <v>288000</v>
      </c>
      <c r="H93" s="61">
        <v>0</v>
      </c>
      <c r="I93" s="56">
        <v>1</v>
      </c>
      <c r="J93" s="197">
        <v>1</v>
      </c>
      <c r="K93" s="33">
        <f t="shared" si="8"/>
        <v>288000</v>
      </c>
      <c r="L93" s="33">
        <f t="shared" si="13"/>
        <v>288000</v>
      </c>
      <c r="M93" s="33">
        <f t="shared" si="14"/>
        <v>288000</v>
      </c>
      <c r="N93" s="129"/>
      <c r="O93" s="42" t="s">
        <v>1727</v>
      </c>
      <c r="P93" s="135"/>
    </row>
    <row r="94" spans="1:16">
      <c r="A94" s="29">
        <f t="shared" si="11"/>
        <v>90</v>
      </c>
      <c r="B94" s="50" t="s">
        <v>359</v>
      </c>
      <c r="C94" s="51" t="s">
        <v>360</v>
      </c>
      <c r="D94" s="112">
        <v>42561</v>
      </c>
      <c r="E94" s="202">
        <v>1605601</v>
      </c>
      <c r="F94" s="192">
        <f t="shared" si="6"/>
        <v>1605601</v>
      </c>
      <c r="G94" s="55">
        <f t="shared" si="12"/>
        <v>1605601</v>
      </c>
      <c r="H94" s="61">
        <v>0</v>
      </c>
      <c r="I94" s="56">
        <v>1</v>
      </c>
      <c r="J94" s="197">
        <v>1</v>
      </c>
      <c r="K94" s="33">
        <f t="shared" si="8"/>
        <v>1605601</v>
      </c>
      <c r="L94" s="33">
        <f t="shared" si="13"/>
        <v>1605601</v>
      </c>
      <c r="M94" s="33">
        <f t="shared" si="14"/>
        <v>1605601</v>
      </c>
      <c r="N94" s="129"/>
      <c r="O94" s="42" t="s">
        <v>1697</v>
      </c>
      <c r="P94" s="135"/>
    </row>
    <row r="95" spans="1:16">
      <c r="A95" s="29">
        <f t="shared" si="11"/>
        <v>91</v>
      </c>
      <c r="B95" s="50" t="s">
        <v>359</v>
      </c>
      <c r="C95" s="51" t="s">
        <v>360</v>
      </c>
      <c r="D95" s="112">
        <v>42561</v>
      </c>
      <c r="E95" s="202">
        <v>288000</v>
      </c>
      <c r="F95" s="192">
        <f t="shared" si="6"/>
        <v>288000</v>
      </c>
      <c r="G95" s="55">
        <f t="shared" si="12"/>
        <v>288000</v>
      </c>
      <c r="H95" s="61">
        <v>0</v>
      </c>
      <c r="I95" s="56">
        <v>1</v>
      </c>
      <c r="J95" s="197">
        <v>1</v>
      </c>
      <c r="K95" s="33">
        <f t="shared" si="8"/>
        <v>288000</v>
      </c>
      <c r="L95" s="33">
        <f t="shared" si="13"/>
        <v>288000</v>
      </c>
      <c r="M95" s="33">
        <f t="shared" si="14"/>
        <v>288000</v>
      </c>
      <c r="N95" s="129"/>
      <c r="O95" s="42" t="s">
        <v>1697</v>
      </c>
      <c r="P95" s="135"/>
    </row>
    <row r="96" spans="1:16">
      <c r="A96" s="29">
        <f t="shared" si="11"/>
        <v>92</v>
      </c>
      <c r="B96" s="50" t="s">
        <v>359</v>
      </c>
      <c r="C96" s="51" t="s">
        <v>360</v>
      </c>
      <c r="D96" s="112">
        <v>42592</v>
      </c>
      <c r="E96" s="202">
        <v>1605601</v>
      </c>
      <c r="F96" s="192">
        <f t="shared" si="6"/>
        <v>1605601</v>
      </c>
      <c r="G96" s="55">
        <f t="shared" si="12"/>
        <v>1605601</v>
      </c>
      <c r="H96" s="61">
        <v>0</v>
      </c>
      <c r="I96" s="56">
        <v>1</v>
      </c>
      <c r="J96" s="197">
        <v>1</v>
      </c>
      <c r="K96" s="33">
        <f t="shared" si="8"/>
        <v>1605601</v>
      </c>
      <c r="L96" s="33">
        <f t="shared" si="13"/>
        <v>1605601</v>
      </c>
      <c r="M96" s="33">
        <f t="shared" si="14"/>
        <v>1605601</v>
      </c>
      <c r="N96" s="129"/>
      <c r="O96" s="42" t="s">
        <v>1698</v>
      </c>
      <c r="P96" s="135"/>
    </row>
    <row r="97" spans="1:16">
      <c r="A97" s="29">
        <f t="shared" si="11"/>
        <v>93</v>
      </c>
      <c r="B97" s="50" t="s">
        <v>359</v>
      </c>
      <c r="C97" s="51" t="s">
        <v>360</v>
      </c>
      <c r="D97" s="112">
        <v>42592</v>
      </c>
      <c r="E97" s="202">
        <v>288000</v>
      </c>
      <c r="F97" s="192">
        <f t="shared" si="6"/>
        <v>288000</v>
      </c>
      <c r="G97" s="55">
        <f t="shared" si="12"/>
        <v>288000</v>
      </c>
      <c r="H97" s="61">
        <v>0</v>
      </c>
      <c r="I97" s="56">
        <v>1</v>
      </c>
      <c r="J97" s="197">
        <v>1</v>
      </c>
      <c r="K97" s="33">
        <f t="shared" si="8"/>
        <v>288000</v>
      </c>
      <c r="L97" s="33">
        <f t="shared" si="13"/>
        <v>288000</v>
      </c>
      <c r="M97" s="33">
        <f t="shared" si="14"/>
        <v>288000</v>
      </c>
      <c r="N97" s="129"/>
      <c r="O97" s="42" t="s">
        <v>1698</v>
      </c>
      <c r="P97" s="135"/>
    </row>
    <row r="98" spans="1:16">
      <c r="A98" s="29">
        <f t="shared" si="11"/>
        <v>94</v>
      </c>
      <c r="B98" s="50" t="s">
        <v>359</v>
      </c>
      <c r="C98" s="51" t="s">
        <v>360</v>
      </c>
      <c r="D98" s="112">
        <v>42623</v>
      </c>
      <c r="E98" s="202">
        <v>1605601</v>
      </c>
      <c r="F98" s="192">
        <f t="shared" si="6"/>
        <v>1605601</v>
      </c>
      <c r="G98" s="55">
        <f t="shared" si="12"/>
        <v>1605601</v>
      </c>
      <c r="H98" s="61">
        <v>0</v>
      </c>
      <c r="I98" s="56">
        <v>1</v>
      </c>
      <c r="J98" s="197">
        <v>1</v>
      </c>
      <c r="K98" s="33">
        <f t="shared" si="8"/>
        <v>1605601</v>
      </c>
      <c r="L98" s="33">
        <f t="shared" si="13"/>
        <v>1605601</v>
      </c>
      <c r="M98" s="33">
        <f t="shared" si="14"/>
        <v>1605601</v>
      </c>
      <c r="N98" s="129"/>
      <c r="O98" s="42" t="s">
        <v>1699</v>
      </c>
      <c r="P98" s="135"/>
    </row>
    <row r="99" spans="1:16">
      <c r="A99" s="29">
        <f t="shared" si="11"/>
        <v>95</v>
      </c>
      <c r="B99" s="50" t="s">
        <v>359</v>
      </c>
      <c r="C99" s="51" t="s">
        <v>360</v>
      </c>
      <c r="D99" s="112">
        <v>42623</v>
      </c>
      <c r="E99" s="202">
        <v>288000</v>
      </c>
      <c r="F99" s="192">
        <f t="shared" si="6"/>
        <v>288000</v>
      </c>
      <c r="G99" s="55">
        <f t="shared" si="12"/>
        <v>288000</v>
      </c>
      <c r="H99" s="61">
        <v>0</v>
      </c>
      <c r="I99" s="56">
        <v>1</v>
      </c>
      <c r="J99" s="197">
        <v>1</v>
      </c>
      <c r="K99" s="33">
        <f t="shared" si="8"/>
        <v>288000</v>
      </c>
      <c r="L99" s="33">
        <f t="shared" si="13"/>
        <v>288000</v>
      </c>
      <c r="M99" s="33">
        <f t="shared" si="14"/>
        <v>288000</v>
      </c>
      <c r="N99" s="129"/>
      <c r="O99" s="42" t="s">
        <v>1699</v>
      </c>
      <c r="P99" s="135"/>
    </row>
    <row r="100" spans="1:16">
      <c r="A100" s="29">
        <f t="shared" si="11"/>
        <v>96</v>
      </c>
      <c r="B100" s="50" t="s">
        <v>359</v>
      </c>
      <c r="C100" s="51" t="s">
        <v>360</v>
      </c>
      <c r="D100" s="112">
        <v>42653</v>
      </c>
      <c r="E100" s="202">
        <v>1605601</v>
      </c>
      <c r="F100" s="192">
        <f t="shared" si="6"/>
        <v>1605601</v>
      </c>
      <c r="G100" s="55">
        <f t="shared" si="12"/>
        <v>1605601</v>
      </c>
      <c r="H100" s="61">
        <v>0</v>
      </c>
      <c r="I100" s="56">
        <v>1</v>
      </c>
      <c r="J100" s="197">
        <v>1</v>
      </c>
      <c r="K100" s="33">
        <f t="shared" si="8"/>
        <v>1605601</v>
      </c>
      <c r="L100" s="33">
        <f t="shared" si="13"/>
        <v>1605601</v>
      </c>
      <c r="M100" s="33">
        <f t="shared" si="14"/>
        <v>1605601</v>
      </c>
      <c r="N100" s="129"/>
      <c r="O100" s="42" t="s">
        <v>1700</v>
      </c>
      <c r="P100" s="135"/>
    </row>
    <row r="101" spans="1:16">
      <c r="A101" s="29">
        <f t="shared" si="11"/>
        <v>97</v>
      </c>
      <c r="B101" s="50" t="s">
        <v>359</v>
      </c>
      <c r="C101" s="51" t="s">
        <v>360</v>
      </c>
      <c r="D101" s="112">
        <v>42653</v>
      </c>
      <c r="E101" s="202">
        <v>288000</v>
      </c>
      <c r="F101" s="192">
        <f t="shared" si="6"/>
        <v>288000</v>
      </c>
      <c r="G101" s="55">
        <f t="shared" si="12"/>
        <v>288000</v>
      </c>
      <c r="H101" s="61">
        <v>0</v>
      </c>
      <c r="I101" s="56">
        <v>1</v>
      </c>
      <c r="J101" s="197">
        <v>1</v>
      </c>
      <c r="K101" s="33">
        <f t="shared" si="8"/>
        <v>288000</v>
      </c>
      <c r="L101" s="33">
        <f t="shared" si="13"/>
        <v>288000</v>
      </c>
      <c r="M101" s="33">
        <f t="shared" si="14"/>
        <v>288000</v>
      </c>
      <c r="N101" s="129"/>
      <c r="O101" s="42" t="s">
        <v>1700</v>
      </c>
      <c r="P101" s="135"/>
    </row>
    <row r="102" spans="1:16">
      <c r="A102" s="29">
        <f t="shared" si="11"/>
        <v>98</v>
      </c>
      <c r="B102" s="50" t="s">
        <v>359</v>
      </c>
      <c r="C102" s="51" t="s">
        <v>360</v>
      </c>
      <c r="D102" s="112">
        <v>42684</v>
      </c>
      <c r="E102" s="202">
        <v>1605601</v>
      </c>
      <c r="F102" s="192">
        <f t="shared" si="6"/>
        <v>1605601</v>
      </c>
      <c r="G102" s="55">
        <f t="shared" si="12"/>
        <v>1605601</v>
      </c>
      <c r="H102" s="61">
        <v>0</v>
      </c>
      <c r="I102" s="56">
        <v>1</v>
      </c>
      <c r="J102" s="197">
        <v>1</v>
      </c>
      <c r="K102" s="33">
        <f t="shared" si="8"/>
        <v>1605601</v>
      </c>
      <c r="L102" s="33">
        <f t="shared" si="13"/>
        <v>1605601</v>
      </c>
      <c r="M102" s="33">
        <f t="shared" si="14"/>
        <v>1605601</v>
      </c>
      <c r="N102" s="129"/>
      <c r="O102" s="42" t="s">
        <v>1701</v>
      </c>
      <c r="P102" s="135"/>
    </row>
    <row r="103" spans="1:16">
      <c r="A103" s="29">
        <f t="shared" si="11"/>
        <v>99</v>
      </c>
      <c r="B103" s="50" t="s">
        <v>359</v>
      </c>
      <c r="C103" s="51" t="s">
        <v>360</v>
      </c>
      <c r="D103" s="112">
        <v>42684</v>
      </c>
      <c r="E103" s="202">
        <v>288000</v>
      </c>
      <c r="F103" s="192">
        <f t="shared" si="6"/>
        <v>288000</v>
      </c>
      <c r="G103" s="55">
        <f t="shared" si="12"/>
        <v>288000</v>
      </c>
      <c r="H103" s="61">
        <v>0</v>
      </c>
      <c r="I103" s="56">
        <v>1</v>
      </c>
      <c r="J103" s="197">
        <v>1</v>
      </c>
      <c r="K103" s="33">
        <f t="shared" si="8"/>
        <v>288000</v>
      </c>
      <c r="L103" s="33">
        <f t="shared" si="13"/>
        <v>288000</v>
      </c>
      <c r="M103" s="33">
        <f t="shared" si="14"/>
        <v>288000</v>
      </c>
      <c r="N103" s="129"/>
      <c r="O103" s="42" t="s">
        <v>1701</v>
      </c>
      <c r="P103" s="135"/>
    </row>
    <row r="104" spans="1:16">
      <c r="A104" s="29">
        <f t="shared" si="11"/>
        <v>100</v>
      </c>
      <c r="B104" s="50" t="s">
        <v>359</v>
      </c>
      <c r="C104" s="51" t="s">
        <v>360</v>
      </c>
      <c r="D104" s="52">
        <v>42714</v>
      </c>
      <c r="E104" s="202">
        <v>1605601</v>
      </c>
      <c r="F104" s="192">
        <f t="shared" si="6"/>
        <v>1605601</v>
      </c>
      <c r="G104" s="55">
        <f t="shared" si="12"/>
        <v>1605601</v>
      </c>
      <c r="H104" s="61">
        <v>0</v>
      </c>
      <c r="I104" s="56">
        <v>1</v>
      </c>
      <c r="J104" s="197">
        <v>1</v>
      </c>
      <c r="K104" s="33">
        <f t="shared" si="8"/>
        <v>1605601</v>
      </c>
      <c r="L104" s="33">
        <f t="shared" si="13"/>
        <v>1605601</v>
      </c>
      <c r="M104" s="33">
        <f t="shared" si="14"/>
        <v>1605601</v>
      </c>
      <c r="N104" s="129"/>
      <c r="O104" s="42" t="s">
        <v>1702</v>
      </c>
      <c r="P104" s="135"/>
    </row>
    <row r="105" spans="1:16">
      <c r="A105" s="29">
        <f t="shared" si="11"/>
        <v>101</v>
      </c>
      <c r="B105" s="50" t="s">
        <v>359</v>
      </c>
      <c r="C105" s="51" t="s">
        <v>360</v>
      </c>
      <c r="D105" s="52">
        <v>42714</v>
      </c>
      <c r="E105" s="202">
        <v>288000</v>
      </c>
      <c r="F105" s="192">
        <f t="shared" si="6"/>
        <v>288000</v>
      </c>
      <c r="G105" s="55">
        <f t="shared" si="12"/>
        <v>288000</v>
      </c>
      <c r="H105" s="61">
        <v>0</v>
      </c>
      <c r="I105" s="56">
        <v>1</v>
      </c>
      <c r="J105" s="197">
        <v>1</v>
      </c>
      <c r="K105" s="33">
        <f t="shared" si="8"/>
        <v>288000</v>
      </c>
      <c r="L105" s="33">
        <f t="shared" si="13"/>
        <v>288000</v>
      </c>
      <c r="M105" s="33">
        <f t="shared" si="14"/>
        <v>288000</v>
      </c>
      <c r="N105" s="129"/>
      <c r="O105" s="42" t="s">
        <v>1702</v>
      </c>
      <c r="P105" s="135"/>
    </row>
    <row r="106" spans="1:16">
      <c r="A106" s="29">
        <f t="shared" si="11"/>
        <v>102</v>
      </c>
      <c r="B106" s="50" t="s">
        <v>359</v>
      </c>
      <c r="C106" s="51" t="s">
        <v>360</v>
      </c>
      <c r="D106" s="52">
        <v>42745</v>
      </c>
      <c r="E106" s="202">
        <v>1605601</v>
      </c>
      <c r="F106" s="192">
        <f t="shared" si="6"/>
        <v>1605601</v>
      </c>
      <c r="G106" s="55">
        <f t="shared" si="12"/>
        <v>1605601</v>
      </c>
      <c r="H106" s="61">
        <v>0</v>
      </c>
      <c r="I106" s="56">
        <v>1</v>
      </c>
      <c r="J106" s="197">
        <v>1</v>
      </c>
      <c r="K106" s="33">
        <f t="shared" si="8"/>
        <v>1605601</v>
      </c>
      <c r="L106" s="33">
        <f t="shared" si="13"/>
        <v>1605601</v>
      </c>
      <c r="M106" s="33">
        <f t="shared" si="14"/>
        <v>1605601</v>
      </c>
      <c r="N106" s="129"/>
      <c r="O106" s="42" t="s">
        <v>1703</v>
      </c>
      <c r="P106" s="135"/>
    </row>
    <row r="107" spans="1:16">
      <c r="A107" s="29">
        <f t="shared" si="11"/>
        <v>103</v>
      </c>
      <c r="B107" s="50" t="s">
        <v>359</v>
      </c>
      <c r="C107" s="51" t="s">
        <v>360</v>
      </c>
      <c r="D107" s="52">
        <v>42745</v>
      </c>
      <c r="E107" s="202">
        <v>288000</v>
      </c>
      <c r="F107" s="192">
        <f t="shared" si="6"/>
        <v>288000</v>
      </c>
      <c r="G107" s="55">
        <f t="shared" si="12"/>
        <v>288000</v>
      </c>
      <c r="H107" s="61">
        <v>0</v>
      </c>
      <c r="I107" s="56">
        <v>1</v>
      </c>
      <c r="J107" s="197">
        <v>1</v>
      </c>
      <c r="K107" s="33">
        <f t="shared" si="8"/>
        <v>288000</v>
      </c>
      <c r="L107" s="33">
        <f t="shared" si="13"/>
        <v>288000</v>
      </c>
      <c r="M107" s="33">
        <f t="shared" si="14"/>
        <v>288000</v>
      </c>
      <c r="N107" s="129"/>
      <c r="O107" s="42" t="s">
        <v>1703</v>
      </c>
      <c r="P107" s="135"/>
    </row>
    <row r="108" spans="1:16">
      <c r="A108" s="29">
        <f t="shared" si="11"/>
        <v>104</v>
      </c>
      <c r="B108" s="50" t="s">
        <v>359</v>
      </c>
      <c r="C108" s="51" t="s">
        <v>360</v>
      </c>
      <c r="D108" s="52">
        <v>42776</v>
      </c>
      <c r="E108" s="202">
        <v>1605601</v>
      </c>
      <c r="F108" s="192">
        <f t="shared" si="6"/>
        <v>1605601</v>
      </c>
      <c r="G108" s="55">
        <f t="shared" si="12"/>
        <v>1605601</v>
      </c>
      <c r="H108" s="61">
        <v>0</v>
      </c>
      <c r="I108" s="56">
        <v>1</v>
      </c>
      <c r="J108" s="197">
        <v>1</v>
      </c>
      <c r="K108" s="33">
        <f t="shared" si="8"/>
        <v>1605601</v>
      </c>
      <c r="L108" s="33">
        <f t="shared" si="13"/>
        <v>1605601</v>
      </c>
      <c r="M108" s="33">
        <f t="shared" si="14"/>
        <v>1605601</v>
      </c>
      <c r="N108" s="129"/>
      <c r="O108" s="42" t="s">
        <v>1704</v>
      </c>
      <c r="P108" s="135"/>
    </row>
    <row r="109" spans="1:16">
      <c r="A109" s="29">
        <f t="shared" si="11"/>
        <v>105</v>
      </c>
      <c r="B109" s="50" t="s">
        <v>359</v>
      </c>
      <c r="C109" s="51" t="s">
        <v>360</v>
      </c>
      <c r="D109" s="52">
        <v>42776</v>
      </c>
      <c r="E109" s="202">
        <v>288000</v>
      </c>
      <c r="F109" s="192">
        <f t="shared" si="6"/>
        <v>288000</v>
      </c>
      <c r="G109" s="55">
        <f t="shared" si="12"/>
        <v>288000</v>
      </c>
      <c r="H109" s="61">
        <v>0</v>
      </c>
      <c r="I109" s="56">
        <v>1</v>
      </c>
      <c r="J109" s="197">
        <v>1</v>
      </c>
      <c r="K109" s="33">
        <f t="shared" si="8"/>
        <v>288000</v>
      </c>
      <c r="L109" s="33">
        <f t="shared" si="13"/>
        <v>288000</v>
      </c>
      <c r="M109" s="33">
        <f t="shared" si="14"/>
        <v>288000</v>
      </c>
      <c r="N109" s="129"/>
      <c r="O109" s="42" t="s">
        <v>1704</v>
      </c>
      <c r="P109" s="135"/>
    </row>
    <row r="110" spans="1:16">
      <c r="A110" s="29">
        <f t="shared" si="11"/>
        <v>106</v>
      </c>
      <c r="B110" s="50" t="s">
        <v>359</v>
      </c>
      <c r="C110" s="51" t="s">
        <v>360</v>
      </c>
      <c r="D110" s="52">
        <v>42804</v>
      </c>
      <c r="E110" s="202">
        <v>1605601</v>
      </c>
      <c r="F110" s="192">
        <f t="shared" si="6"/>
        <v>1605601</v>
      </c>
      <c r="G110" s="55">
        <f t="shared" si="12"/>
        <v>1605601</v>
      </c>
      <c r="H110" s="61">
        <v>0</v>
      </c>
      <c r="I110" s="56">
        <v>1</v>
      </c>
      <c r="J110" s="197">
        <v>1</v>
      </c>
      <c r="K110" s="33">
        <f t="shared" si="8"/>
        <v>1605601</v>
      </c>
      <c r="L110" s="33">
        <f t="shared" si="13"/>
        <v>1605601</v>
      </c>
      <c r="M110" s="33">
        <f t="shared" si="14"/>
        <v>1605601</v>
      </c>
      <c r="N110" s="129"/>
      <c r="O110" s="42" t="s">
        <v>1705</v>
      </c>
      <c r="P110" s="135"/>
    </row>
    <row r="111" spans="1:16">
      <c r="A111" s="29">
        <f t="shared" si="11"/>
        <v>107</v>
      </c>
      <c r="B111" s="50" t="s">
        <v>359</v>
      </c>
      <c r="C111" s="51" t="s">
        <v>360</v>
      </c>
      <c r="D111" s="52">
        <v>42804</v>
      </c>
      <c r="E111" s="202">
        <v>288000</v>
      </c>
      <c r="F111" s="192">
        <f t="shared" si="6"/>
        <v>288000</v>
      </c>
      <c r="G111" s="55">
        <f t="shared" si="12"/>
        <v>288000</v>
      </c>
      <c r="H111" s="61">
        <v>0</v>
      </c>
      <c r="I111" s="56">
        <v>1</v>
      </c>
      <c r="J111" s="197">
        <v>1</v>
      </c>
      <c r="K111" s="33">
        <f t="shared" si="8"/>
        <v>288000</v>
      </c>
      <c r="L111" s="33">
        <f t="shared" si="13"/>
        <v>288000</v>
      </c>
      <c r="M111" s="33">
        <f t="shared" si="14"/>
        <v>288000</v>
      </c>
      <c r="N111" s="129"/>
      <c r="O111" s="42" t="s">
        <v>1705</v>
      </c>
      <c r="P111" s="135"/>
    </row>
    <row r="112" spans="1:16">
      <c r="A112" s="29">
        <f t="shared" si="11"/>
        <v>108</v>
      </c>
      <c r="B112" s="50" t="s">
        <v>359</v>
      </c>
      <c r="C112" s="51" t="s">
        <v>360</v>
      </c>
      <c r="D112" s="52">
        <v>42835</v>
      </c>
      <c r="E112" s="202">
        <v>1605601</v>
      </c>
      <c r="F112" s="192">
        <f t="shared" si="6"/>
        <v>1605601</v>
      </c>
      <c r="G112" s="55">
        <f t="shared" si="12"/>
        <v>1605601</v>
      </c>
      <c r="H112" s="61">
        <v>0</v>
      </c>
      <c r="I112" s="56">
        <v>1</v>
      </c>
      <c r="J112" s="197">
        <v>1</v>
      </c>
      <c r="K112" s="33">
        <f t="shared" si="8"/>
        <v>1605601</v>
      </c>
      <c r="L112" s="33">
        <f t="shared" si="13"/>
        <v>1605601</v>
      </c>
      <c r="M112" s="33">
        <f t="shared" si="14"/>
        <v>1605601</v>
      </c>
      <c r="N112" s="129"/>
      <c r="O112" s="42" t="s">
        <v>1706</v>
      </c>
      <c r="P112" s="135"/>
    </row>
    <row r="113" spans="1:15" s="211" customFormat="1">
      <c r="A113" s="29">
        <f t="shared" si="11"/>
        <v>109</v>
      </c>
      <c r="B113" s="50" t="s">
        <v>359</v>
      </c>
      <c r="C113" s="51" t="s">
        <v>360</v>
      </c>
      <c r="D113" s="52">
        <v>42835</v>
      </c>
      <c r="E113" s="202">
        <v>288000</v>
      </c>
      <c r="F113" s="192">
        <f t="shared" si="6"/>
        <v>288000</v>
      </c>
      <c r="G113" s="55">
        <f t="shared" si="12"/>
        <v>288000</v>
      </c>
      <c r="H113" s="61">
        <v>0</v>
      </c>
      <c r="I113" s="56">
        <v>1</v>
      </c>
      <c r="J113" s="197">
        <v>1</v>
      </c>
      <c r="K113" s="33">
        <f t="shared" si="8"/>
        <v>288000</v>
      </c>
      <c r="L113" s="33">
        <f t="shared" si="13"/>
        <v>288000</v>
      </c>
      <c r="M113" s="33">
        <f t="shared" si="14"/>
        <v>288000</v>
      </c>
      <c r="N113" s="129"/>
      <c r="O113" s="42" t="s">
        <v>1706</v>
      </c>
    </row>
    <row r="114" spans="1:15" s="211" customFormat="1">
      <c r="A114" s="29">
        <f t="shared" si="11"/>
        <v>110</v>
      </c>
      <c r="B114" s="50" t="s">
        <v>359</v>
      </c>
      <c r="C114" s="51" t="s">
        <v>360</v>
      </c>
      <c r="D114" s="52">
        <v>42865</v>
      </c>
      <c r="E114" s="53">
        <v>288000</v>
      </c>
      <c r="F114" s="192">
        <f t="shared" si="6"/>
        <v>288000</v>
      </c>
      <c r="G114" s="55">
        <f t="shared" si="12"/>
        <v>288000</v>
      </c>
      <c r="H114" s="61">
        <v>0</v>
      </c>
      <c r="I114" s="56">
        <v>1</v>
      </c>
      <c r="J114" s="197">
        <v>1</v>
      </c>
      <c r="K114" s="33">
        <f t="shared" si="8"/>
        <v>288000</v>
      </c>
      <c r="L114" s="33">
        <f t="shared" si="13"/>
        <v>288000</v>
      </c>
      <c r="M114" s="185">
        <f t="shared" si="14"/>
        <v>288000</v>
      </c>
      <c r="N114" s="129"/>
      <c r="O114" s="42" t="s">
        <v>1707</v>
      </c>
    </row>
    <row r="115" spans="1:15" s="211" customFormat="1">
      <c r="A115" s="29">
        <f t="shared" si="11"/>
        <v>111</v>
      </c>
      <c r="B115" s="50" t="s">
        <v>359</v>
      </c>
      <c r="C115" s="51" t="s">
        <v>360</v>
      </c>
      <c r="D115" s="52">
        <v>42865</v>
      </c>
      <c r="E115" s="53">
        <v>1605601</v>
      </c>
      <c r="F115" s="192">
        <f t="shared" si="6"/>
        <v>1605601</v>
      </c>
      <c r="G115" s="55">
        <f t="shared" si="12"/>
        <v>1605601</v>
      </c>
      <c r="H115" s="61">
        <v>0</v>
      </c>
      <c r="I115" s="56">
        <v>1</v>
      </c>
      <c r="J115" s="197">
        <v>1</v>
      </c>
      <c r="K115" s="33">
        <f t="shared" si="8"/>
        <v>1605601</v>
      </c>
      <c r="L115" s="33">
        <f t="shared" si="13"/>
        <v>1605601</v>
      </c>
      <c r="M115" s="185">
        <f t="shared" si="14"/>
        <v>1605601</v>
      </c>
      <c r="N115" s="129"/>
      <c r="O115" s="42" t="s">
        <v>1707</v>
      </c>
    </row>
    <row r="116" spans="1:15" s="211" customFormat="1">
      <c r="A116" s="29">
        <f t="shared" si="11"/>
        <v>112</v>
      </c>
      <c r="B116" s="50" t="s">
        <v>359</v>
      </c>
      <c r="C116" s="51" t="s">
        <v>360</v>
      </c>
      <c r="D116" s="52">
        <v>42896</v>
      </c>
      <c r="E116" s="209">
        <v>288000</v>
      </c>
      <c r="F116" s="192">
        <f t="shared" si="6"/>
        <v>288000</v>
      </c>
      <c r="G116" s="55">
        <f t="shared" si="12"/>
        <v>288000</v>
      </c>
      <c r="H116" s="61">
        <v>0</v>
      </c>
      <c r="I116" s="56">
        <v>1</v>
      </c>
      <c r="J116" s="197">
        <v>1</v>
      </c>
      <c r="K116" s="33">
        <f t="shared" si="8"/>
        <v>288000</v>
      </c>
      <c r="L116" s="33">
        <f t="shared" si="13"/>
        <v>288000</v>
      </c>
      <c r="M116" s="185">
        <f t="shared" si="14"/>
        <v>288000</v>
      </c>
      <c r="N116" s="129"/>
      <c r="O116" s="42" t="s">
        <v>1708</v>
      </c>
    </row>
    <row r="117" spans="1:15" s="211" customFormat="1">
      <c r="A117" s="29">
        <f t="shared" si="11"/>
        <v>113</v>
      </c>
      <c r="B117" s="50" t="s">
        <v>359</v>
      </c>
      <c r="C117" s="51" t="s">
        <v>360</v>
      </c>
      <c r="D117" s="52">
        <v>42896</v>
      </c>
      <c r="E117" s="209">
        <v>1605601</v>
      </c>
      <c r="F117" s="192">
        <f t="shared" si="6"/>
        <v>1605601</v>
      </c>
      <c r="G117" s="55">
        <f t="shared" si="12"/>
        <v>1605601</v>
      </c>
      <c r="H117" s="61">
        <v>0</v>
      </c>
      <c r="I117" s="56">
        <v>1</v>
      </c>
      <c r="J117" s="197">
        <v>1</v>
      </c>
      <c r="K117" s="33">
        <f t="shared" si="8"/>
        <v>1605601</v>
      </c>
      <c r="L117" s="33">
        <f t="shared" si="13"/>
        <v>1605601</v>
      </c>
      <c r="M117" s="185">
        <f t="shared" si="14"/>
        <v>1605601</v>
      </c>
      <c r="N117" s="129"/>
      <c r="O117" s="42" t="s">
        <v>1708</v>
      </c>
    </row>
    <row r="118" spans="1:15" s="211" customFormat="1">
      <c r="A118" s="29">
        <f t="shared" si="11"/>
        <v>114</v>
      </c>
      <c r="B118" s="50" t="s">
        <v>359</v>
      </c>
      <c r="C118" s="51" t="s">
        <v>360</v>
      </c>
      <c r="D118" s="52">
        <v>42926</v>
      </c>
      <c r="E118" s="210">
        <v>288000</v>
      </c>
      <c r="F118" s="192">
        <f t="shared" si="6"/>
        <v>288000</v>
      </c>
      <c r="G118" s="55">
        <f t="shared" si="12"/>
        <v>288000</v>
      </c>
      <c r="H118" s="61">
        <v>0</v>
      </c>
      <c r="I118" s="56">
        <v>1</v>
      </c>
      <c r="J118" s="197">
        <v>1</v>
      </c>
      <c r="K118" s="33">
        <f t="shared" si="8"/>
        <v>288000</v>
      </c>
      <c r="L118" s="33">
        <f t="shared" si="13"/>
        <v>288000</v>
      </c>
      <c r="M118" s="185">
        <f t="shared" si="14"/>
        <v>288000</v>
      </c>
      <c r="N118" s="129"/>
      <c r="O118" s="42" t="s">
        <v>1709</v>
      </c>
    </row>
    <row r="119" spans="1:15" s="211" customFormat="1">
      <c r="A119" s="29">
        <f t="shared" si="11"/>
        <v>115</v>
      </c>
      <c r="B119" s="50" t="s">
        <v>359</v>
      </c>
      <c r="C119" s="51" t="s">
        <v>360</v>
      </c>
      <c r="D119" s="52">
        <v>42926</v>
      </c>
      <c r="E119" s="210">
        <v>1605601</v>
      </c>
      <c r="F119" s="192">
        <f t="shared" si="6"/>
        <v>1605601</v>
      </c>
      <c r="G119" s="55">
        <f t="shared" si="12"/>
        <v>1605601</v>
      </c>
      <c r="H119" s="61">
        <v>0</v>
      </c>
      <c r="I119" s="56">
        <v>1</v>
      </c>
      <c r="J119" s="197">
        <v>1</v>
      </c>
      <c r="K119" s="33">
        <f t="shared" si="8"/>
        <v>1605601</v>
      </c>
      <c r="L119" s="33">
        <f t="shared" si="13"/>
        <v>1605601</v>
      </c>
      <c r="M119" s="185">
        <f t="shared" si="14"/>
        <v>1605601</v>
      </c>
      <c r="N119" s="129"/>
      <c r="O119" s="42" t="s">
        <v>1709</v>
      </c>
    </row>
    <row r="120" spans="1:15" s="211" customFormat="1">
      <c r="A120" s="29">
        <f t="shared" si="11"/>
        <v>116</v>
      </c>
      <c r="B120" s="50" t="s">
        <v>359</v>
      </c>
      <c r="C120" s="51" t="s">
        <v>360</v>
      </c>
      <c r="D120" s="52">
        <v>42957</v>
      </c>
      <c r="E120" s="210">
        <v>1605601</v>
      </c>
      <c r="F120" s="192">
        <f t="shared" si="6"/>
        <v>1605601</v>
      </c>
      <c r="G120" s="55">
        <f t="shared" si="12"/>
        <v>1605601</v>
      </c>
      <c r="H120" s="61">
        <v>0</v>
      </c>
      <c r="I120" s="56">
        <v>1</v>
      </c>
      <c r="J120" s="197">
        <v>1</v>
      </c>
      <c r="K120" s="33">
        <f t="shared" si="8"/>
        <v>1605601</v>
      </c>
      <c r="L120" s="33">
        <f t="shared" si="13"/>
        <v>1605601</v>
      </c>
      <c r="M120" s="185">
        <f t="shared" si="14"/>
        <v>1605601</v>
      </c>
      <c r="N120" s="129"/>
      <c r="O120" s="42" t="s">
        <v>1710</v>
      </c>
    </row>
    <row r="121" spans="1:15" s="211" customFormat="1">
      <c r="A121" s="29">
        <f t="shared" si="11"/>
        <v>117</v>
      </c>
      <c r="B121" s="50" t="s">
        <v>359</v>
      </c>
      <c r="C121" s="51" t="s">
        <v>360</v>
      </c>
      <c r="D121" s="52">
        <v>42957</v>
      </c>
      <c r="E121" s="210">
        <v>288000</v>
      </c>
      <c r="F121" s="192">
        <f t="shared" si="6"/>
        <v>288000</v>
      </c>
      <c r="G121" s="55">
        <f t="shared" si="12"/>
        <v>288000</v>
      </c>
      <c r="H121" s="61">
        <v>0</v>
      </c>
      <c r="I121" s="56">
        <v>1</v>
      </c>
      <c r="J121" s="197">
        <v>1</v>
      </c>
      <c r="K121" s="33">
        <f t="shared" si="8"/>
        <v>288000</v>
      </c>
      <c r="L121" s="33">
        <f t="shared" si="13"/>
        <v>288000</v>
      </c>
      <c r="M121" s="185">
        <f t="shared" si="14"/>
        <v>288000</v>
      </c>
      <c r="N121" s="129"/>
      <c r="O121" s="42" t="s">
        <v>1710</v>
      </c>
    </row>
    <row r="122" spans="1:15" s="211" customFormat="1">
      <c r="A122" s="29">
        <f t="shared" si="11"/>
        <v>118</v>
      </c>
      <c r="B122" s="50" t="s">
        <v>359</v>
      </c>
      <c r="C122" s="51" t="s">
        <v>360</v>
      </c>
      <c r="D122" s="52">
        <v>42988</v>
      </c>
      <c r="E122" s="210">
        <v>1605601</v>
      </c>
      <c r="F122" s="192">
        <f t="shared" si="6"/>
        <v>1605601</v>
      </c>
      <c r="G122" s="55">
        <f t="shared" si="12"/>
        <v>1605601</v>
      </c>
      <c r="H122" s="61">
        <v>0</v>
      </c>
      <c r="I122" s="56">
        <v>1</v>
      </c>
      <c r="J122" s="197">
        <v>1</v>
      </c>
      <c r="K122" s="33">
        <f t="shared" si="8"/>
        <v>1605601</v>
      </c>
      <c r="L122" s="33">
        <f t="shared" si="13"/>
        <v>1605601</v>
      </c>
      <c r="M122" s="185">
        <f t="shared" si="14"/>
        <v>1605601</v>
      </c>
      <c r="N122" s="186"/>
      <c r="O122" s="42" t="s">
        <v>1711</v>
      </c>
    </row>
    <row r="123" spans="1:15" s="211" customFormat="1">
      <c r="A123" s="29">
        <f t="shared" si="11"/>
        <v>119</v>
      </c>
      <c r="B123" s="50" t="s">
        <v>359</v>
      </c>
      <c r="C123" s="51" t="s">
        <v>360</v>
      </c>
      <c r="D123" s="52">
        <v>42988</v>
      </c>
      <c r="E123" s="210">
        <v>288000</v>
      </c>
      <c r="F123" s="192">
        <f t="shared" si="6"/>
        <v>288000</v>
      </c>
      <c r="G123" s="55">
        <f t="shared" si="12"/>
        <v>288000</v>
      </c>
      <c r="H123" s="61">
        <v>0</v>
      </c>
      <c r="I123" s="56">
        <v>1</v>
      </c>
      <c r="J123" s="197">
        <v>1</v>
      </c>
      <c r="K123" s="33">
        <f t="shared" si="8"/>
        <v>288000</v>
      </c>
      <c r="L123" s="33">
        <f t="shared" si="13"/>
        <v>288000</v>
      </c>
      <c r="M123" s="185">
        <f t="shared" si="14"/>
        <v>288000</v>
      </c>
      <c r="N123" s="186"/>
      <c r="O123" s="42" t="s">
        <v>1711</v>
      </c>
    </row>
    <row r="124" spans="1:15" s="211" customFormat="1">
      <c r="A124" s="29">
        <f t="shared" si="11"/>
        <v>120</v>
      </c>
      <c r="B124" s="50" t="s">
        <v>359</v>
      </c>
      <c r="C124" s="51" t="s">
        <v>360</v>
      </c>
      <c r="D124" s="52">
        <v>43018</v>
      </c>
      <c r="E124" s="210">
        <v>1605601</v>
      </c>
      <c r="F124" s="192">
        <f t="shared" si="6"/>
        <v>1605601</v>
      </c>
      <c r="G124" s="55">
        <f t="shared" si="12"/>
        <v>1605601</v>
      </c>
      <c r="H124" s="61">
        <v>0</v>
      </c>
      <c r="I124" s="56">
        <v>1</v>
      </c>
      <c r="J124" s="197">
        <v>1</v>
      </c>
      <c r="K124" s="33">
        <f t="shared" si="8"/>
        <v>1605601</v>
      </c>
      <c r="L124" s="33">
        <f t="shared" si="13"/>
        <v>1605601</v>
      </c>
      <c r="M124" s="185">
        <f t="shared" si="14"/>
        <v>1605601</v>
      </c>
      <c r="N124" s="129"/>
      <c r="O124" s="42" t="s">
        <v>1712</v>
      </c>
    </row>
    <row r="125" spans="1:15" s="211" customFormat="1">
      <c r="A125" s="29">
        <f t="shared" si="11"/>
        <v>121</v>
      </c>
      <c r="B125" s="50" t="s">
        <v>359</v>
      </c>
      <c r="C125" s="51" t="s">
        <v>360</v>
      </c>
      <c r="D125" s="52">
        <v>43018</v>
      </c>
      <c r="E125" s="210">
        <v>288000</v>
      </c>
      <c r="F125" s="192">
        <f t="shared" si="6"/>
        <v>288000</v>
      </c>
      <c r="G125" s="55">
        <f t="shared" si="12"/>
        <v>288000</v>
      </c>
      <c r="H125" s="61">
        <v>0</v>
      </c>
      <c r="I125" s="56">
        <v>1</v>
      </c>
      <c r="J125" s="197">
        <v>1</v>
      </c>
      <c r="K125" s="33">
        <f t="shared" si="8"/>
        <v>288000</v>
      </c>
      <c r="L125" s="33">
        <f t="shared" si="13"/>
        <v>288000</v>
      </c>
      <c r="M125" s="185">
        <f t="shared" si="14"/>
        <v>288000</v>
      </c>
      <c r="N125" s="129"/>
      <c r="O125" s="42" t="s">
        <v>1712</v>
      </c>
    </row>
    <row r="126" spans="1:15" s="211" customFormat="1">
      <c r="A126" s="29">
        <f t="shared" si="11"/>
        <v>122</v>
      </c>
      <c r="B126" s="50" t="s">
        <v>359</v>
      </c>
      <c r="C126" s="51" t="s">
        <v>360</v>
      </c>
      <c r="D126" s="52">
        <v>43049</v>
      </c>
      <c r="E126" s="210">
        <v>1605601</v>
      </c>
      <c r="F126" s="192">
        <f t="shared" si="6"/>
        <v>1605601</v>
      </c>
      <c r="G126" s="55">
        <f t="shared" si="12"/>
        <v>1605601</v>
      </c>
      <c r="H126" s="61">
        <v>0</v>
      </c>
      <c r="I126" s="56">
        <v>1</v>
      </c>
      <c r="J126" s="197">
        <v>1</v>
      </c>
      <c r="K126" s="33">
        <f t="shared" si="8"/>
        <v>1605601</v>
      </c>
      <c r="L126" s="33">
        <f t="shared" si="13"/>
        <v>1605601</v>
      </c>
      <c r="M126" s="185">
        <f t="shared" si="14"/>
        <v>1605601</v>
      </c>
      <c r="N126" s="129"/>
      <c r="O126" s="42" t="s">
        <v>1713</v>
      </c>
    </row>
    <row r="127" spans="1:15" s="211" customFormat="1">
      <c r="A127" s="29">
        <f t="shared" si="11"/>
        <v>123</v>
      </c>
      <c r="B127" s="50" t="s">
        <v>359</v>
      </c>
      <c r="C127" s="51" t="s">
        <v>360</v>
      </c>
      <c r="D127" s="52">
        <v>43049</v>
      </c>
      <c r="E127" s="210">
        <v>288000</v>
      </c>
      <c r="F127" s="192">
        <f t="shared" si="6"/>
        <v>288000</v>
      </c>
      <c r="G127" s="55">
        <f t="shared" si="12"/>
        <v>288000</v>
      </c>
      <c r="H127" s="61">
        <v>0</v>
      </c>
      <c r="I127" s="56">
        <v>1</v>
      </c>
      <c r="J127" s="197">
        <v>1</v>
      </c>
      <c r="K127" s="33">
        <f t="shared" si="8"/>
        <v>288000</v>
      </c>
      <c r="L127" s="33">
        <f t="shared" si="13"/>
        <v>288000</v>
      </c>
      <c r="M127" s="185">
        <f t="shared" si="14"/>
        <v>288000</v>
      </c>
      <c r="N127" s="129"/>
      <c r="O127" s="42" t="s">
        <v>1713</v>
      </c>
    </row>
    <row r="128" spans="1:15" s="211" customFormat="1">
      <c r="A128" s="29">
        <f t="shared" si="11"/>
        <v>124</v>
      </c>
      <c r="B128" s="50" t="s">
        <v>359</v>
      </c>
      <c r="C128" s="51" t="s">
        <v>360</v>
      </c>
      <c r="D128" s="52">
        <v>43079</v>
      </c>
      <c r="E128" s="191">
        <v>1605601</v>
      </c>
      <c r="F128" s="192">
        <f t="shared" si="6"/>
        <v>1605601</v>
      </c>
      <c r="G128" s="55">
        <f t="shared" si="12"/>
        <v>1605601</v>
      </c>
      <c r="H128" s="61">
        <v>0</v>
      </c>
      <c r="I128" s="56">
        <v>1</v>
      </c>
      <c r="J128" s="197">
        <v>1</v>
      </c>
      <c r="K128" s="33">
        <f t="shared" si="8"/>
        <v>1605601</v>
      </c>
      <c r="L128" s="33">
        <f t="shared" si="13"/>
        <v>1605601</v>
      </c>
      <c r="M128" s="185">
        <f t="shared" si="14"/>
        <v>1605601</v>
      </c>
      <c r="N128" s="129"/>
      <c r="O128" s="193" t="s">
        <v>1714</v>
      </c>
    </row>
    <row r="129" spans="1:16" s="211" customFormat="1">
      <c r="A129" s="29">
        <f t="shared" si="11"/>
        <v>125</v>
      </c>
      <c r="B129" s="50" t="s">
        <v>359</v>
      </c>
      <c r="C129" s="51" t="s">
        <v>360</v>
      </c>
      <c r="D129" s="52">
        <v>43079</v>
      </c>
      <c r="E129" s="191">
        <v>288000</v>
      </c>
      <c r="F129" s="192">
        <f t="shared" si="6"/>
        <v>288000</v>
      </c>
      <c r="G129" s="55">
        <f t="shared" si="12"/>
        <v>288000</v>
      </c>
      <c r="H129" s="61">
        <v>0</v>
      </c>
      <c r="I129" s="56">
        <v>1</v>
      </c>
      <c r="J129" s="197">
        <v>1</v>
      </c>
      <c r="K129" s="33">
        <f t="shared" si="8"/>
        <v>288000</v>
      </c>
      <c r="L129" s="33">
        <f t="shared" si="13"/>
        <v>288000</v>
      </c>
      <c r="M129" s="185">
        <f t="shared" si="14"/>
        <v>288000</v>
      </c>
      <c r="N129" s="129"/>
      <c r="O129" s="193" t="s">
        <v>1714</v>
      </c>
    </row>
    <row r="130" spans="1:16" s="211" customFormat="1">
      <c r="A130" s="29">
        <f t="shared" si="11"/>
        <v>126</v>
      </c>
      <c r="B130" s="50" t="s">
        <v>359</v>
      </c>
      <c r="C130" s="51" t="s">
        <v>360</v>
      </c>
      <c r="D130" s="52">
        <v>43110</v>
      </c>
      <c r="E130" s="191">
        <v>1605601</v>
      </c>
      <c r="F130" s="192">
        <f t="shared" si="6"/>
        <v>1605601</v>
      </c>
      <c r="G130" s="55">
        <f t="shared" si="12"/>
        <v>1605601</v>
      </c>
      <c r="H130" s="61">
        <v>0</v>
      </c>
      <c r="I130" s="56">
        <v>1</v>
      </c>
      <c r="J130" s="197">
        <v>1</v>
      </c>
      <c r="K130" s="33">
        <f t="shared" si="8"/>
        <v>1605601</v>
      </c>
      <c r="L130" s="33">
        <f t="shared" si="13"/>
        <v>1605601</v>
      </c>
      <c r="M130" s="185">
        <f t="shared" si="14"/>
        <v>1605601</v>
      </c>
      <c r="N130" s="129"/>
      <c r="O130" s="193" t="s">
        <v>1715</v>
      </c>
    </row>
    <row r="131" spans="1:16" s="211" customFormat="1">
      <c r="A131" s="29">
        <f t="shared" si="11"/>
        <v>127</v>
      </c>
      <c r="B131" s="50" t="s">
        <v>359</v>
      </c>
      <c r="C131" s="51" t="s">
        <v>360</v>
      </c>
      <c r="D131" s="52">
        <v>43110</v>
      </c>
      <c r="E131" s="191">
        <v>288000</v>
      </c>
      <c r="F131" s="192">
        <f t="shared" si="6"/>
        <v>288000</v>
      </c>
      <c r="G131" s="55">
        <f t="shared" si="12"/>
        <v>288000</v>
      </c>
      <c r="H131" s="61">
        <v>0</v>
      </c>
      <c r="I131" s="56">
        <v>1</v>
      </c>
      <c r="J131" s="197">
        <v>1</v>
      </c>
      <c r="K131" s="33">
        <f t="shared" si="8"/>
        <v>288000</v>
      </c>
      <c r="L131" s="33">
        <f t="shared" si="13"/>
        <v>288000</v>
      </c>
      <c r="M131" s="185">
        <f t="shared" si="14"/>
        <v>288000</v>
      </c>
      <c r="N131" s="129"/>
      <c r="O131" s="193" t="s">
        <v>1715</v>
      </c>
    </row>
    <row r="132" spans="1:16" s="211" customFormat="1">
      <c r="A132" s="29">
        <f t="shared" si="11"/>
        <v>128</v>
      </c>
      <c r="B132" s="50" t="s">
        <v>359</v>
      </c>
      <c r="C132" s="51" t="s">
        <v>360</v>
      </c>
      <c r="D132" s="52">
        <v>43141</v>
      </c>
      <c r="E132" s="191">
        <v>1605601</v>
      </c>
      <c r="F132" s="192">
        <f t="shared" si="6"/>
        <v>1605601</v>
      </c>
      <c r="G132" s="55">
        <f t="shared" si="12"/>
        <v>1605601</v>
      </c>
      <c r="H132" s="61">
        <v>0</v>
      </c>
      <c r="I132" s="56">
        <v>1</v>
      </c>
      <c r="J132" s="197">
        <v>1</v>
      </c>
      <c r="K132" s="33">
        <f t="shared" si="8"/>
        <v>1605601</v>
      </c>
      <c r="L132" s="33">
        <f t="shared" si="13"/>
        <v>1605601</v>
      </c>
      <c r="M132" s="185">
        <f t="shared" si="14"/>
        <v>1605601</v>
      </c>
      <c r="N132" s="129"/>
      <c r="O132" s="193" t="s">
        <v>1716</v>
      </c>
    </row>
    <row r="133" spans="1:16" s="211" customFormat="1">
      <c r="A133" s="29">
        <f t="shared" si="11"/>
        <v>129</v>
      </c>
      <c r="B133" s="50" t="s">
        <v>359</v>
      </c>
      <c r="C133" s="51" t="s">
        <v>360</v>
      </c>
      <c r="D133" s="52">
        <v>43141</v>
      </c>
      <c r="E133" s="191">
        <v>288000</v>
      </c>
      <c r="F133" s="192">
        <f t="shared" ref="F133:F196" si="15">+I133*K133</f>
        <v>288000</v>
      </c>
      <c r="G133" s="55">
        <f t="shared" si="12"/>
        <v>288000</v>
      </c>
      <c r="H133" s="61">
        <v>0</v>
      </c>
      <c r="I133" s="56">
        <v>1</v>
      </c>
      <c r="J133" s="197">
        <v>1</v>
      </c>
      <c r="K133" s="33">
        <f t="shared" ref="K133:K196" si="16">+G133+H133</f>
        <v>288000</v>
      </c>
      <c r="L133" s="33">
        <f t="shared" si="13"/>
        <v>288000</v>
      </c>
      <c r="M133" s="185">
        <f t="shared" si="14"/>
        <v>288000</v>
      </c>
      <c r="N133" s="129"/>
      <c r="O133" s="193" t="s">
        <v>1716</v>
      </c>
    </row>
    <row r="134" spans="1:16" s="211" customFormat="1">
      <c r="A134" s="29">
        <f t="shared" ref="A134:A197" si="17">+A133+1</f>
        <v>130</v>
      </c>
      <c r="B134" s="50" t="s">
        <v>359</v>
      </c>
      <c r="C134" s="51" t="s">
        <v>360</v>
      </c>
      <c r="D134" s="52">
        <v>43169</v>
      </c>
      <c r="E134" s="191">
        <v>1605601</v>
      </c>
      <c r="F134" s="192">
        <f t="shared" si="15"/>
        <v>1605601</v>
      </c>
      <c r="G134" s="55">
        <f t="shared" si="12"/>
        <v>1605601</v>
      </c>
      <c r="H134" s="61">
        <v>0</v>
      </c>
      <c r="I134" s="56">
        <v>1</v>
      </c>
      <c r="J134" s="197">
        <v>1</v>
      </c>
      <c r="K134" s="33">
        <f t="shared" si="16"/>
        <v>1605601</v>
      </c>
      <c r="L134" s="33">
        <f t="shared" si="13"/>
        <v>1605601</v>
      </c>
      <c r="M134" s="185">
        <f t="shared" si="14"/>
        <v>1605601</v>
      </c>
      <c r="N134" s="129"/>
      <c r="O134" s="193" t="s">
        <v>1717</v>
      </c>
    </row>
    <row r="135" spans="1:16" s="211" customFormat="1">
      <c r="A135" s="29">
        <f t="shared" si="17"/>
        <v>131</v>
      </c>
      <c r="B135" s="50" t="s">
        <v>359</v>
      </c>
      <c r="C135" s="51" t="s">
        <v>360</v>
      </c>
      <c r="D135" s="52">
        <v>43169</v>
      </c>
      <c r="E135" s="191">
        <v>288000</v>
      </c>
      <c r="F135" s="192">
        <f t="shared" si="15"/>
        <v>288000</v>
      </c>
      <c r="G135" s="55">
        <f t="shared" si="12"/>
        <v>288000</v>
      </c>
      <c r="H135" s="61">
        <v>0</v>
      </c>
      <c r="I135" s="56">
        <v>1</v>
      </c>
      <c r="J135" s="197">
        <v>1</v>
      </c>
      <c r="K135" s="33">
        <f t="shared" si="16"/>
        <v>288000</v>
      </c>
      <c r="L135" s="33">
        <f t="shared" si="13"/>
        <v>288000</v>
      </c>
      <c r="M135" s="185">
        <f t="shared" si="14"/>
        <v>288000</v>
      </c>
      <c r="N135" s="129"/>
      <c r="O135" s="193" t="s">
        <v>1717</v>
      </c>
    </row>
    <row r="136" spans="1:16" s="211" customFormat="1">
      <c r="A136" s="29">
        <f t="shared" si="17"/>
        <v>132</v>
      </c>
      <c r="B136" s="50" t="s">
        <v>359</v>
      </c>
      <c r="C136" s="51" t="s">
        <v>360</v>
      </c>
      <c r="D136" s="52">
        <v>43200</v>
      </c>
      <c r="E136" s="191">
        <v>1605601</v>
      </c>
      <c r="F136" s="192">
        <f t="shared" si="15"/>
        <v>1605601</v>
      </c>
      <c r="G136" s="55">
        <f t="shared" si="12"/>
        <v>1605601</v>
      </c>
      <c r="H136" s="61">
        <v>0</v>
      </c>
      <c r="I136" s="56">
        <v>1</v>
      </c>
      <c r="J136" s="197">
        <v>1</v>
      </c>
      <c r="K136" s="33">
        <f t="shared" si="16"/>
        <v>1605601</v>
      </c>
      <c r="L136" s="33">
        <f t="shared" si="13"/>
        <v>1605601</v>
      </c>
      <c r="M136" s="185">
        <f t="shared" si="14"/>
        <v>1605601</v>
      </c>
      <c r="N136" s="186"/>
      <c r="O136" s="193" t="s">
        <v>1718</v>
      </c>
    </row>
    <row r="137" spans="1:16" s="211" customFormat="1">
      <c r="A137" s="29">
        <f t="shared" si="17"/>
        <v>133</v>
      </c>
      <c r="B137" s="50" t="s">
        <v>359</v>
      </c>
      <c r="C137" s="51" t="s">
        <v>360</v>
      </c>
      <c r="D137" s="52">
        <v>43200</v>
      </c>
      <c r="E137" s="191">
        <v>288000</v>
      </c>
      <c r="F137" s="192">
        <f t="shared" si="15"/>
        <v>288000</v>
      </c>
      <c r="G137" s="55">
        <f t="shared" si="12"/>
        <v>288000</v>
      </c>
      <c r="H137" s="61">
        <v>0</v>
      </c>
      <c r="I137" s="56">
        <v>1</v>
      </c>
      <c r="J137" s="197">
        <v>1</v>
      </c>
      <c r="K137" s="33">
        <f t="shared" si="16"/>
        <v>288000</v>
      </c>
      <c r="L137" s="33">
        <f t="shared" si="13"/>
        <v>288000</v>
      </c>
      <c r="M137" s="185">
        <f t="shared" si="14"/>
        <v>288000</v>
      </c>
      <c r="N137" s="186"/>
      <c r="O137" s="193" t="s">
        <v>1718</v>
      </c>
    </row>
    <row r="138" spans="1:16" s="211" customFormat="1">
      <c r="A138" s="29">
        <f t="shared" si="17"/>
        <v>134</v>
      </c>
      <c r="B138" s="50" t="s">
        <v>359</v>
      </c>
      <c r="C138" s="51" t="s">
        <v>360</v>
      </c>
      <c r="D138" s="102">
        <v>43230</v>
      </c>
      <c r="E138" s="201">
        <v>1605601</v>
      </c>
      <c r="F138" s="196">
        <f t="shared" si="15"/>
        <v>1605601</v>
      </c>
      <c r="G138" s="196">
        <f>E138/I138</f>
        <v>1605601</v>
      </c>
      <c r="H138" s="196">
        <v>0</v>
      </c>
      <c r="I138" s="197">
        <v>1</v>
      </c>
      <c r="J138" s="197">
        <v>1</v>
      </c>
      <c r="K138" s="198">
        <f t="shared" si="16"/>
        <v>1605601</v>
      </c>
      <c r="L138" s="198">
        <f>G138*J138</f>
        <v>1605601</v>
      </c>
      <c r="M138" s="199">
        <f>J138*K138</f>
        <v>1605601</v>
      </c>
      <c r="N138" s="187"/>
      <c r="O138" s="200" t="s">
        <v>1719</v>
      </c>
    </row>
    <row r="139" spans="1:16" s="211" customFormat="1">
      <c r="A139" s="29">
        <f t="shared" si="17"/>
        <v>135</v>
      </c>
      <c r="B139" s="50" t="s">
        <v>359</v>
      </c>
      <c r="C139" s="51" t="s">
        <v>360</v>
      </c>
      <c r="D139" s="52">
        <v>43261</v>
      </c>
      <c r="E139" s="201">
        <v>288000</v>
      </c>
      <c r="F139" s="196">
        <f t="shared" si="15"/>
        <v>288000</v>
      </c>
      <c r="G139" s="196">
        <f>E139/I139</f>
        <v>288000</v>
      </c>
      <c r="H139" s="196">
        <v>0</v>
      </c>
      <c r="I139" s="197">
        <v>1</v>
      </c>
      <c r="J139" s="197">
        <v>1</v>
      </c>
      <c r="K139" s="198">
        <f t="shared" si="16"/>
        <v>288000</v>
      </c>
      <c r="L139" s="198">
        <f>G139*J139</f>
        <v>288000</v>
      </c>
      <c r="M139" s="199">
        <f>J139*K139</f>
        <v>288000</v>
      </c>
      <c r="N139" s="187"/>
      <c r="O139" s="200" t="s">
        <v>1720</v>
      </c>
    </row>
    <row r="140" spans="1:16" s="211" customFormat="1">
      <c r="A140" s="29">
        <f t="shared" si="17"/>
        <v>136</v>
      </c>
      <c r="B140" s="50" t="s">
        <v>359</v>
      </c>
      <c r="C140" s="51" t="s">
        <v>360</v>
      </c>
      <c r="D140" s="52">
        <v>43261</v>
      </c>
      <c r="E140" s="201">
        <v>1605601</v>
      </c>
      <c r="F140" s="196">
        <f t="shared" si="15"/>
        <v>1605601</v>
      </c>
      <c r="G140" s="196">
        <f>E140/I140</f>
        <v>1605601</v>
      </c>
      <c r="H140" s="196">
        <v>0</v>
      </c>
      <c r="I140" s="197">
        <v>1</v>
      </c>
      <c r="J140" s="197">
        <v>1</v>
      </c>
      <c r="K140" s="198">
        <f t="shared" si="16"/>
        <v>1605601</v>
      </c>
      <c r="L140" s="198">
        <f>G140*J140</f>
        <v>1605601</v>
      </c>
      <c r="M140" s="199">
        <f>J140*K140</f>
        <v>1605601</v>
      </c>
      <c r="N140" s="187"/>
      <c r="O140" s="200" t="s">
        <v>1720</v>
      </c>
    </row>
    <row r="141" spans="1:16" s="211" customFormat="1">
      <c r="A141" s="29">
        <f t="shared" si="17"/>
        <v>137</v>
      </c>
      <c r="B141" s="50" t="s">
        <v>404</v>
      </c>
      <c r="C141" s="51">
        <v>901781</v>
      </c>
      <c r="D141" s="52">
        <v>42410</v>
      </c>
      <c r="E141" s="55">
        <v>267998</v>
      </c>
      <c r="F141" s="192">
        <f t="shared" si="15"/>
        <v>267998</v>
      </c>
      <c r="G141" s="55">
        <f t="shared" ref="G141:G166" si="18">+E141/I141</f>
        <v>267998</v>
      </c>
      <c r="H141" s="61">
        <v>0</v>
      </c>
      <c r="I141" s="56">
        <v>1</v>
      </c>
      <c r="J141" s="197">
        <v>1</v>
      </c>
      <c r="K141" s="33">
        <f t="shared" si="16"/>
        <v>267998</v>
      </c>
      <c r="L141" s="33">
        <f t="shared" ref="L141:L166" si="19">+J141*K141</f>
        <v>267998</v>
      </c>
      <c r="M141" s="33">
        <f t="shared" ref="M141:M166" si="20">+G141*J141</f>
        <v>267998</v>
      </c>
      <c r="N141" s="30"/>
      <c r="O141" s="42" t="s">
        <v>1724</v>
      </c>
    </row>
    <row r="142" spans="1:16" s="211" customFormat="1">
      <c r="A142" s="29">
        <f t="shared" si="17"/>
        <v>138</v>
      </c>
      <c r="B142" s="50" t="s">
        <v>404</v>
      </c>
      <c r="C142" s="51">
        <v>901781</v>
      </c>
      <c r="D142" s="52">
        <v>42439</v>
      </c>
      <c r="E142" s="55">
        <v>267998</v>
      </c>
      <c r="F142" s="192">
        <f t="shared" si="15"/>
        <v>267998</v>
      </c>
      <c r="G142" s="55">
        <f t="shared" si="18"/>
        <v>267998</v>
      </c>
      <c r="H142" s="61">
        <v>0</v>
      </c>
      <c r="I142" s="56">
        <v>1</v>
      </c>
      <c r="J142" s="197">
        <v>1</v>
      </c>
      <c r="K142" s="33">
        <f t="shared" si="16"/>
        <v>267998</v>
      </c>
      <c r="L142" s="33">
        <f t="shared" si="19"/>
        <v>267998</v>
      </c>
      <c r="M142" s="33">
        <f t="shared" si="20"/>
        <v>267998</v>
      </c>
      <c r="N142" s="30"/>
      <c r="O142" s="42" t="s">
        <v>1725</v>
      </c>
    </row>
    <row r="143" spans="1:16" s="211" customFormat="1">
      <c r="A143" s="29">
        <f t="shared" si="17"/>
        <v>139</v>
      </c>
      <c r="B143" s="50" t="s">
        <v>404</v>
      </c>
      <c r="C143" s="51">
        <v>901781</v>
      </c>
      <c r="D143" s="52">
        <v>42470</v>
      </c>
      <c r="E143" s="202">
        <v>267998</v>
      </c>
      <c r="F143" s="192">
        <f t="shared" si="15"/>
        <v>267998</v>
      </c>
      <c r="G143" s="55">
        <f t="shared" si="18"/>
        <v>267998</v>
      </c>
      <c r="H143" s="61">
        <v>0</v>
      </c>
      <c r="I143" s="56">
        <v>1</v>
      </c>
      <c r="J143" s="197">
        <v>1</v>
      </c>
      <c r="K143" s="33">
        <f t="shared" si="16"/>
        <v>267998</v>
      </c>
      <c r="L143" s="33">
        <f t="shared" si="19"/>
        <v>267998</v>
      </c>
      <c r="M143" s="33">
        <f t="shared" si="20"/>
        <v>267998</v>
      </c>
      <c r="N143" s="129"/>
      <c r="O143" s="42" t="s">
        <v>1726</v>
      </c>
    </row>
    <row r="144" spans="1:16">
      <c r="A144" s="29">
        <f t="shared" si="17"/>
        <v>140</v>
      </c>
      <c r="B144" s="50" t="s">
        <v>404</v>
      </c>
      <c r="C144" s="51">
        <v>901781</v>
      </c>
      <c r="D144" s="112">
        <v>42531</v>
      </c>
      <c r="E144" s="202">
        <v>267998</v>
      </c>
      <c r="F144" s="192">
        <f t="shared" si="15"/>
        <v>267998</v>
      </c>
      <c r="G144" s="55">
        <f t="shared" si="18"/>
        <v>267998</v>
      </c>
      <c r="H144" s="61">
        <v>0</v>
      </c>
      <c r="I144" s="56">
        <v>1</v>
      </c>
      <c r="J144" s="197">
        <v>1</v>
      </c>
      <c r="K144" s="33">
        <f t="shared" si="16"/>
        <v>267998</v>
      </c>
      <c r="L144" s="33">
        <f t="shared" si="19"/>
        <v>267998</v>
      </c>
      <c r="M144" s="33">
        <f t="shared" si="20"/>
        <v>267998</v>
      </c>
      <c r="N144" s="129"/>
      <c r="O144" s="42" t="s">
        <v>1728</v>
      </c>
      <c r="P144" s="135"/>
    </row>
    <row r="145" spans="1:16">
      <c r="A145" s="29">
        <f t="shared" si="17"/>
        <v>141</v>
      </c>
      <c r="B145" s="50" t="s">
        <v>404</v>
      </c>
      <c r="C145" s="51">
        <v>901781</v>
      </c>
      <c r="D145" s="112">
        <v>42561</v>
      </c>
      <c r="E145" s="202">
        <v>267998</v>
      </c>
      <c r="F145" s="192">
        <f t="shared" si="15"/>
        <v>267998</v>
      </c>
      <c r="G145" s="55">
        <f t="shared" si="18"/>
        <v>267998</v>
      </c>
      <c r="H145" s="61">
        <v>0</v>
      </c>
      <c r="I145" s="56">
        <v>1</v>
      </c>
      <c r="J145" s="197">
        <v>1</v>
      </c>
      <c r="K145" s="33">
        <f t="shared" si="16"/>
        <v>267998</v>
      </c>
      <c r="L145" s="33">
        <f t="shared" si="19"/>
        <v>267998</v>
      </c>
      <c r="M145" s="33">
        <f t="shared" si="20"/>
        <v>267998</v>
      </c>
      <c r="N145" s="129"/>
      <c r="O145" s="42" t="s">
        <v>1697</v>
      </c>
      <c r="P145" s="135"/>
    </row>
    <row r="146" spans="1:16">
      <c r="A146" s="29">
        <f t="shared" si="17"/>
        <v>142</v>
      </c>
      <c r="B146" s="50" t="s">
        <v>404</v>
      </c>
      <c r="C146" s="51">
        <v>901781</v>
      </c>
      <c r="D146" s="112">
        <v>42592</v>
      </c>
      <c r="E146" s="202">
        <v>267998</v>
      </c>
      <c r="F146" s="192">
        <f t="shared" si="15"/>
        <v>267998</v>
      </c>
      <c r="G146" s="55">
        <f t="shared" si="18"/>
        <v>267998</v>
      </c>
      <c r="H146" s="61">
        <v>0</v>
      </c>
      <c r="I146" s="56">
        <v>1</v>
      </c>
      <c r="J146" s="197">
        <v>1</v>
      </c>
      <c r="K146" s="33">
        <f t="shared" si="16"/>
        <v>267998</v>
      </c>
      <c r="L146" s="33">
        <f t="shared" si="19"/>
        <v>267998</v>
      </c>
      <c r="M146" s="33">
        <f t="shared" si="20"/>
        <v>267998</v>
      </c>
      <c r="N146" s="129"/>
      <c r="O146" s="42" t="s">
        <v>1698</v>
      </c>
      <c r="P146" s="135"/>
    </row>
    <row r="147" spans="1:16">
      <c r="A147" s="29">
        <f t="shared" si="17"/>
        <v>143</v>
      </c>
      <c r="B147" s="50" t="s">
        <v>404</v>
      </c>
      <c r="C147" s="51">
        <v>901781</v>
      </c>
      <c r="D147" s="112">
        <v>42623</v>
      </c>
      <c r="E147" s="202">
        <v>267998</v>
      </c>
      <c r="F147" s="192">
        <f t="shared" si="15"/>
        <v>267998</v>
      </c>
      <c r="G147" s="55">
        <f t="shared" si="18"/>
        <v>267998</v>
      </c>
      <c r="H147" s="61">
        <v>0</v>
      </c>
      <c r="I147" s="56">
        <v>1</v>
      </c>
      <c r="J147" s="197">
        <v>1</v>
      </c>
      <c r="K147" s="33">
        <f t="shared" si="16"/>
        <v>267998</v>
      </c>
      <c r="L147" s="33">
        <f t="shared" si="19"/>
        <v>267998</v>
      </c>
      <c r="M147" s="33">
        <f t="shared" si="20"/>
        <v>267998</v>
      </c>
      <c r="N147" s="129"/>
      <c r="O147" s="42" t="s">
        <v>1699</v>
      </c>
      <c r="P147" s="135"/>
    </row>
    <row r="148" spans="1:16">
      <c r="A148" s="29">
        <f t="shared" si="17"/>
        <v>144</v>
      </c>
      <c r="B148" s="50" t="s">
        <v>404</v>
      </c>
      <c r="C148" s="51">
        <v>901781</v>
      </c>
      <c r="D148" s="112">
        <v>42653</v>
      </c>
      <c r="E148" s="202">
        <v>267998</v>
      </c>
      <c r="F148" s="192">
        <f t="shared" si="15"/>
        <v>267998</v>
      </c>
      <c r="G148" s="55">
        <f t="shared" si="18"/>
        <v>267998</v>
      </c>
      <c r="H148" s="61">
        <v>0</v>
      </c>
      <c r="I148" s="56">
        <v>1</v>
      </c>
      <c r="J148" s="197">
        <v>1</v>
      </c>
      <c r="K148" s="33">
        <f t="shared" si="16"/>
        <v>267998</v>
      </c>
      <c r="L148" s="33">
        <f t="shared" si="19"/>
        <v>267998</v>
      </c>
      <c r="M148" s="33">
        <f t="shared" si="20"/>
        <v>267998</v>
      </c>
      <c r="N148" s="129"/>
      <c r="O148" s="42" t="s">
        <v>1700</v>
      </c>
      <c r="P148" s="135"/>
    </row>
    <row r="149" spans="1:16">
      <c r="A149" s="29">
        <f t="shared" si="17"/>
        <v>145</v>
      </c>
      <c r="B149" s="50" t="s">
        <v>404</v>
      </c>
      <c r="C149" s="51">
        <v>901781</v>
      </c>
      <c r="D149" s="112">
        <v>42684</v>
      </c>
      <c r="E149" s="202">
        <v>267998</v>
      </c>
      <c r="F149" s="192">
        <f t="shared" si="15"/>
        <v>267998</v>
      </c>
      <c r="G149" s="55">
        <f t="shared" si="18"/>
        <v>267998</v>
      </c>
      <c r="H149" s="61">
        <v>0</v>
      </c>
      <c r="I149" s="56">
        <v>1</v>
      </c>
      <c r="J149" s="197">
        <v>1</v>
      </c>
      <c r="K149" s="33">
        <f t="shared" si="16"/>
        <v>267998</v>
      </c>
      <c r="L149" s="33">
        <f t="shared" si="19"/>
        <v>267998</v>
      </c>
      <c r="M149" s="33">
        <f t="shared" si="20"/>
        <v>267998</v>
      </c>
      <c r="N149" s="129"/>
      <c r="O149" s="42" t="s">
        <v>1701</v>
      </c>
      <c r="P149" s="135"/>
    </row>
    <row r="150" spans="1:16">
      <c r="A150" s="29">
        <f t="shared" si="17"/>
        <v>146</v>
      </c>
      <c r="B150" s="50" t="s">
        <v>404</v>
      </c>
      <c r="C150" s="51">
        <v>901781</v>
      </c>
      <c r="D150" s="52">
        <v>42714</v>
      </c>
      <c r="E150" s="202">
        <v>267998</v>
      </c>
      <c r="F150" s="192">
        <f t="shared" si="15"/>
        <v>267998</v>
      </c>
      <c r="G150" s="55">
        <f t="shared" si="18"/>
        <v>267998</v>
      </c>
      <c r="H150" s="61">
        <v>0</v>
      </c>
      <c r="I150" s="56">
        <v>1</v>
      </c>
      <c r="J150" s="197">
        <v>1</v>
      </c>
      <c r="K150" s="33">
        <f t="shared" si="16"/>
        <v>267998</v>
      </c>
      <c r="L150" s="33">
        <f t="shared" si="19"/>
        <v>267998</v>
      </c>
      <c r="M150" s="33">
        <f t="shared" si="20"/>
        <v>267998</v>
      </c>
      <c r="N150" s="129"/>
      <c r="O150" s="42" t="s">
        <v>1702</v>
      </c>
      <c r="P150" s="135"/>
    </row>
    <row r="151" spans="1:16">
      <c r="A151" s="29">
        <f t="shared" si="17"/>
        <v>147</v>
      </c>
      <c r="B151" s="50" t="s">
        <v>404</v>
      </c>
      <c r="C151" s="51">
        <v>901781</v>
      </c>
      <c r="D151" s="52">
        <v>42745</v>
      </c>
      <c r="E151" s="202">
        <v>267998</v>
      </c>
      <c r="F151" s="192">
        <f t="shared" si="15"/>
        <v>267998</v>
      </c>
      <c r="G151" s="55">
        <f t="shared" si="18"/>
        <v>267998</v>
      </c>
      <c r="H151" s="61">
        <v>0</v>
      </c>
      <c r="I151" s="56">
        <v>1</v>
      </c>
      <c r="J151" s="197">
        <v>1</v>
      </c>
      <c r="K151" s="33">
        <f t="shared" si="16"/>
        <v>267998</v>
      </c>
      <c r="L151" s="33">
        <f t="shared" si="19"/>
        <v>267998</v>
      </c>
      <c r="M151" s="33">
        <f t="shared" si="20"/>
        <v>267998</v>
      </c>
      <c r="N151" s="129"/>
      <c r="O151" s="42" t="s">
        <v>1703</v>
      </c>
      <c r="P151" s="135"/>
    </row>
    <row r="152" spans="1:16">
      <c r="A152" s="29">
        <f t="shared" si="17"/>
        <v>148</v>
      </c>
      <c r="B152" s="50" t="s">
        <v>404</v>
      </c>
      <c r="C152" s="51">
        <v>901781</v>
      </c>
      <c r="D152" s="52">
        <v>42776</v>
      </c>
      <c r="E152" s="202">
        <v>267998</v>
      </c>
      <c r="F152" s="192">
        <f t="shared" si="15"/>
        <v>267998</v>
      </c>
      <c r="G152" s="55">
        <f t="shared" si="18"/>
        <v>267998</v>
      </c>
      <c r="H152" s="61">
        <v>0</v>
      </c>
      <c r="I152" s="56">
        <v>1</v>
      </c>
      <c r="J152" s="197">
        <v>1</v>
      </c>
      <c r="K152" s="33">
        <f t="shared" si="16"/>
        <v>267998</v>
      </c>
      <c r="L152" s="33">
        <f t="shared" si="19"/>
        <v>267998</v>
      </c>
      <c r="M152" s="33">
        <f t="shared" si="20"/>
        <v>267998</v>
      </c>
      <c r="N152" s="129"/>
      <c r="O152" s="42" t="s">
        <v>1704</v>
      </c>
      <c r="P152" s="135"/>
    </row>
    <row r="153" spans="1:16">
      <c r="A153" s="29">
        <f t="shared" si="17"/>
        <v>149</v>
      </c>
      <c r="B153" s="50" t="s">
        <v>404</v>
      </c>
      <c r="C153" s="51">
        <v>901781</v>
      </c>
      <c r="D153" s="52">
        <v>42804</v>
      </c>
      <c r="E153" s="202">
        <v>267998</v>
      </c>
      <c r="F153" s="192">
        <f t="shared" si="15"/>
        <v>267998</v>
      </c>
      <c r="G153" s="55">
        <f t="shared" si="18"/>
        <v>267998</v>
      </c>
      <c r="H153" s="61">
        <v>0</v>
      </c>
      <c r="I153" s="56">
        <v>1</v>
      </c>
      <c r="J153" s="197">
        <v>1</v>
      </c>
      <c r="K153" s="33">
        <f t="shared" si="16"/>
        <v>267998</v>
      </c>
      <c r="L153" s="33">
        <f t="shared" si="19"/>
        <v>267998</v>
      </c>
      <c r="M153" s="33">
        <f t="shared" si="20"/>
        <v>267998</v>
      </c>
      <c r="N153" s="129"/>
      <c r="O153" s="42" t="s">
        <v>1705</v>
      </c>
      <c r="P153" s="135"/>
    </row>
    <row r="154" spans="1:16">
      <c r="A154" s="29">
        <f t="shared" si="17"/>
        <v>150</v>
      </c>
      <c r="B154" s="50" t="s">
        <v>404</v>
      </c>
      <c r="C154" s="51">
        <v>901781</v>
      </c>
      <c r="D154" s="52">
        <v>42835</v>
      </c>
      <c r="E154" s="202">
        <v>267998</v>
      </c>
      <c r="F154" s="192">
        <f t="shared" si="15"/>
        <v>267998</v>
      </c>
      <c r="G154" s="55">
        <f t="shared" si="18"/>
        <v>267998</v>
      </c>
      <c r="H154" s="61">
        <v>0</v>
      </c>
      <c r="I154" s="56">
        <v>1</v>
      </c>
      <c r="J154" s="197">
        <v>1</v>
      </c>
      <c r="K154" s="33">
        <f t="shared" si="16"/>
        <v>267998</v>
      </c>
      <c r="L154" s="33">
        <f t="shared" si="19"/>
        <v>267998</v>
      </c>
      <c r="M154" s="33">
        <f t="shared" si="20"/>
        <v>267998</v>
      </c>
      <c r="N154" s="129"/>
      <c r="O154" s="42" t="s">
        <v>1706</v>
      </c>
      <c r="P154" s="135"/>
    </row>
    <row r="155" spans="1:16">
      <c r="A155" s="29">
        <f t="shared" si="17"/>
        <v>151</v>
      </c>
      <c r="B155" s="50" t="s">
        <v>404</v>
      </c>
      <c r="C155" s="51">
        <v>901781</v>
      </c>
      <c r="D155" s="52">
        <v>42865</v>
      </c>
      <c r="E155" s="53">
        <v>267998</v>
      </c>
      <c r="F155" s="192">
        <f t="shared" si="15"/>
        <v>267998</v>
      </c>
      <c r="G155" s="55">
        <f t="shared" si="18"/>
        <v>267998</v>
      </c>
      <c r="H155" s="61">
        <v>0</v>
      </c>
      <c r="I155" s="56">
        <v>1</v>
      </c>
      <c r="J155" s="197">
        <v>1</v>
      </c>
      <c r="K155" s="33">
        <f t="shared" si="16"/>
        <v>267998</v>
      </c>
      <c r="L155" s="33">
        <f t="shared" si="19"/>
        <v>267998</v>
      </c>
      <c r="M155" s="185">
        <f t="shared" si="20"/>
        <v>267998</v>
      </c>
      <c r="N155" s="129"/>
      <c r="O155" s="42" t="s">
        <v>1707</v>
      </c>
      <c r="P155" s="135"/>
    </row>
    <row r="156" spans="1:16">
      <c r="A156" s="29">
        <f t="shared" si="17"/>
        <v>152</v>
      </c>
      <c r="B156" s="50" t="s">
        <v>404</v>
      </c>
      <c r="C156" s="51">
        <v>901781</v>
      </c>
      <c r="D156" s="52">
        <v>42896</v>
      </c>
      <c r="E156" s="209">
        <v>267998</v>
      </c>
      <c r="F156" s="192">
        <f t="shared" si="15"/>
        <v>267998</v>
      </c>
      <c r="G156" s="55">
        <f t="shared" si="18"/>
        <v>267998</v>
      </c>
      <c r="H156" s="61">
        <v>0</v>
      </c>
      <c r="I156" s="56">
        <v>1</v>
      </c>
      <c r="J156" s="197">
        <v>1</v>
      </c>
      <c r="K156" s="33">
        <f t="shared" si="16"/>
        <v>267998</v>
      </c>
      <c r="L156" s="33">
        <f t="shared" si="19"/>
        <v>267998</v>
      </c>
      <c r="M156" s="185">
        <f t="shared" si="20"/>
        <v>267998</v>
      </c>
      <c r="N156" s="129"/>
      <c r="O156" s="42" t="s">
        <v>1708</v>
      </c>
      <c r="P156" s="135"/>
    </row>
    <row r="157" spans="1:16">
      <c r="A157" s="29">
        <f t="shared" si="17"/>
        <v>153</v>
      </c>
      <c r="B157" s="50" t="s">
        <v>404</v>
      </c>
      <c r="C157" s="51">
        <v>901781</v>
      </c>
      <c r="D157" s="52">
        <v>42926</v>
      </c>
      <c r="E157" s="210">
        <v>267998</v>
      </c>
      <c r="F157" s="192">
        <f t="shared" si="15"/>
        <v>267998</v>
      </c>
      <c r="G157" s="55">
        <f t="shared" si="18"/>
        <v>267998</v>
      </c>
      <c r="H157" s="61">
        <v>0</v>
      </c>
      <c r="I157" s="56">
        <v>1</v>
      </c>
      <c r="J157" s="197">
        <v>1</v>
      </c>
      <c r="K157" s="33">
        <f t="shared" si="16"/>
        <v>267998</v>
      </c>
      <c r="L157" s="33">
        <f t="shared" si="19"/>
        <v>267998</v>
      </c>
      <c r="M157" s="185">
        <f t="shared" si="20"/>
        <v>267998</v>
      </c>
      <c r="N157" s="129"/>
      <c r="O157" s="42" t="s">
        <v>1709</v>
      </c>
      <c r="P157" s="135"/>
    </row>
    <row r="158" spans="1:16">
      <c r="A158" s="29">
        <f t="shared" si="17"/>
        <v>154</v>
      </c>
      <c r="B158" s="50" t="s">
        <v>404</v>
      </c>
      <c r="C158" s="51">
        <v>901781</v>
      </c>
      <c r="D158" s="52">
        <v>42957</v>
      </c>
      <c r="E158" s="210">
        <v>267998</v>
      </c>
      <c r="F158" s="192">
        <f t="shared" si="15"/>
        <v>267998</v>
      </c>
      <c r="G158" s="55">
        <f t="shared" si="18"/>
        <v>267998</v>
      </c>
      <c r="H158" s="61">
        <v>0</v>
      </c>
      <c r="I158" s="56">
        <v>1</v>
      </c>
      <c r="J158" s="197">
        <v>1</v>
      </c>
      <c r="K158" s="33">
        <f t="shared" si="16"/>
        <v>267998</v>
      </c>
      <c r="L158" s="33">
        <f t="shared" si="19"/>
        <v>267998</v>
      </c>
      <c r="M158" s="185">
        <f t="shared" si="20"/>
        <v>267998</v>
      </c>
      <c r="N158" s="129"/>
      <c r="O158" s="42" t="s">
        <v>1710</v>
      </c>
      <c r="P158" s="135"/>
    </row>
    <row r="159" spans="1:16">
      <c r="A159" s="29">
        <f t="shared" si="17"/>
        <v>155</v>
      </c>
      <c r="B159" s="50" t="s">
        <v>404</v>
      </c>
      <c r="C159" s="51">
        <v>901781</v>
      </c>
      <c r="D159" s="52">
        <v>42988</v>
      </c>
      <c r="E159" s="210">
        <v>267998</v>
      </c>
      <c r="F159" s="192">
        <f t="shared" si="15"/>
        <v>267998</v>
      </c>
      <c r="G159" s="55">
        <f t="shared" si="18"/>
        <v>267998</v>
      </c>
      <c r="H159" s="61">
        <v>0</v>
      </c>
      <c r="I159" s="56">
        <v>1</v>
      </c>
      <c r="J159" s="197">
        <v>1</v>
      </c>
      <c r="K159" s="33">
        <f t="shared" si="16"/>
        <v>267998</v>
      </c>
      <c r="L159" s="33">
        <f t="shared" si="19"/>
        <v>267998</v>
      </c>
      <c r="M159" s="185">
        <f t="shared" si="20"/>
        <v>267998</v>
      </c>
      <c r="N159" s="186"/>
      <c r="O159" s="42" t="s">
        <v>1711</v>
      </c>
      <c r="P159" s="135"/>
    </row>
    <row r="160" spans="1:16">
      <c r="A160" s="29">
        <f t="shared" si="17"/>
        <v>156</v>
      </c>
      <c r="B160" s="50" t="s">
        <v>404</v>
      </c>
      <c r="C160" s="51">
        <v>901781</v>
      </c>
      <c r="D160" s="52">
        <v>43018</v>
      </c>
      <c r="E160" s="210">
        <v>267998</v>
      </c>
      <c r="F160" s="192">
        <f t="shared" si="15"/>
        <v>267998</v>
      </c>
      <c r="G160" s="55">
        <f t="shared" si="18"/>
        <v>267998</v>
      </c>
      <c r="H160" s="61">
        <v>0</v>
      </c>
      <c r="I160" s="56">
        <v>1</v>
      </c>
      <c r="J160" s="197">
        <v>1</v>
      </c>
      <c r="K160" s="33">
        <f t="shared" si="16"/>
        <v>267998</v>
      </c>
      <c r="L160" s="33">
        <f t="shared" si="19"/>
        <v>267998</v>
      </c>
      <c r="M160" s="185">
        <f t="shared" si="20"/>
        <v>267998</v>
      </c>
      <c r="N160" s="129"/>
      <c r="O160" s="42" t="s">
        <v>1712</v>
      </c>
      <c r="P160" s="135"/>
    </row>
    <row r="161" spans="1:16">
      <c r="A161" s="29">
        <f t="shared" si="17"/>
        <v>157</v>
      </c>
      <c r="B161" s="50" t="s">
        <v>404</v>
      </c>
      <c r="C161" s="51">
        <v>901781</v>
      </c>
      <c r="D161" s="52">
        <v>43049</v>
      </c>
      <c r="E161" s="210">
        <v>267998</v>
      </c>
      <c r="F161" s="192">
        <f t="shared" si="15"/>
        <v>267998</v>
      </c>
      <c r="G161" s="55">
        <f t="shared" si="18"/>
        <v>267998</v>
      </c>
      <c r="H161" s="61">
        <v>0</v>
      </c>
      <c r="I161" s="56">
        <v>1</v>
      </c>
      <c r="J161" s="197">
        <v>1</v>
      </c>
      <c r="K161" s="33">
        <f t="shared" si="16"/>
        <v>267998</v>
      </c>
      <c r="L161" s="33">
        <f t="shared" si="19"/>
        <v>267998</v>
      </c>
      <c r="M161" s="185">
        <f t="shared" si="20"/>
        <v>267998</v>
      </c>
      <c r="N161" s="129"/>
      <c r="O161" s="42" t="s">
        <v>1713</v>
      </c>
      <c r="P161" s="135"/>
    </row>
    <row r="162" spans="1:16">
      <c r="A162" s="29">
        <f t="shared" si="17"/>
        <v>158</v>
      </c>
      <c r="B162" s="50" t="s">
        <v>404</v>
      </c>
      <c r="C162" s="51">
        <v>901781</v>
      </c>
      <c r="D162" s="52">
        <v>43079</v>
      </c>
      <c r="E162" s="191">
        <v>267998</v>
      </c>
      <c r="F162" s="192">
        <f t="shared" si="15"/>
        <v>267998</v>
      </c>
      <c r="G162" s="55">
        <f t="shared" si="18"/>
        <v>267998</v>
      </c>
      <c r="H162" s="61">
        <v>0</v>
      </c>
      <c r="I162" s="56">
        <v>1</v>
      </c>
      <c r="J162" s="197">
        <v>1</v>
      </c>
      <c r="K162" s="33">
        <f t="shared" si="16"/>
        <v>267998</v>
      </c>
      <c r="L162" s="33">
        <f t="shared" si="19"/>
        <v>267998</v>
      </c>
      <c r="M162" s="185">
        <f t="shared" si="20"/>
        <v>267998</v>
      </c>
      <c r="N162" s="129"/>
      <c r="O162" s="193" t="s">
        <v>1714</v>
      </c>
      <c r="P162" s="135"/>
    </row>
    <row r="163" spans="1:16">
      <c r="A163" s="29">
        <f t="shared" si="17"/>
        <v>159</v>
      </c>
      <c r="B163" s="50" t="s">
        <v>404</v>
      </c>
      <c r="C163" s="51">
        <v>901781</v>
      </c>
      <c r="D163" s="52">
        <v>43110</v>
      </c>
      <c r="E163" s="191">
        <v>267998</v>
      </c>
      <c r="F163" s="192">
        <f t="shared" si="15"/>
        <v>267998</v>
      </c>
      <c r="G163" s="55">
        <f t="shared" si="18"/>
        <v>267998</v>
      </c>
      <c r="H163" s="61">
        <v>0</v>
      </c>
      <c r="I163" s="56">
        <v>1</v>
      </c>
      <c r="J163" s="197">
        <v>1</v>
      </c>
      <c r="K163" s="33">
        <f t="shared" si="16"/>
        <v>267998</v>
      </c>
      <c r="L163" s="33">
        <f t="shared" si="19"/>
        <v>267998</v>
      </c>
      <c r="M163" s="185">
        <f t="shared" si="20"/>
        <v>267998</v>
      </c>
      <c r="N163" s="129"/>
      <c r="O163" s="193" t="s">
        <v>1715</v>
      </c>
      <c r="P163" s="135"/>
    </row>
    <row r="164" spans="1:16">
      <c r="A164" s="29">
        <f t="shared" si="17"/>
        <v>160</v>
      </c>
      <c r="B164" s="50" t="s">
        <v>404</v>
      </c>
      <c r="C164" s="51">
        <v>901781</v>
      </c>
      <c r="D164" s="52">
        <v>43141</v>
      </c>
      <c r="E164" s="191">
        <v>267998</v>
      </c>
      <c r="F164" s="192">
        <f t="shared" si="15"/>
        <v>267998</v>
      </c>
      <c r="G164" s="55">
        <f t="shared" si="18"/>
        <v>267998</v>
      </c>
      <c r="H164" s="61">
        <v>0</v>
      </c>
      <c r="I164" s="56">
        <v>1</v>
      </c>
      <c r="J164" s="197">
        <v>1</v>
      </c>
      <c r="K164" s="33">
        <f t="shared" si="16"/>
        <v>267998</v>
      </c>
      <c r="L164" s="33">
        <f t="shared" si="19"/>
        <v>267998</v>
      </c>
      <c r="M164" s="185">
        <f t="shared" si="20"/>
        <v>267998</v>
      </c>
      <c r="N164" s="129"/>
      <c r="O164" s="193" t="s">
        <v>1716</v>
      </c>
      <c r="P164" s="135"/>
    </row>
    <row r="165" spans="1:16">
      <c r="A165" s="29">
        <f t="shared" si="17"/>
        <v>161</v>
      </c>
      <c r="B165" s="50" t="s">
        <v>404</v>
      </c>
      <c r="C165" s="51">
        <v>901781</v>
      </c>
      <c r="D165" s="52">
        <v>43169</v>
      </c>
      <c r="E165" s="191">
        <v>267998</v>
      </c>
      <c r="F165" s="192">
        <f t="shared" si="15"/>
        <v>267998</v>
      </c>
      <c r="G165" s="55">
        <f t="shared" si="18"/>
        <v>267998</v>
      </c>
      <c r="H165" s="61">
        <v>0</v>
      </c>
      <c r="I165" s="56">
        <v>1</v>
      </c>
      <c r="J165" s="197">
        <v>1</v>
      </c>
      <c r="K165" s="33">
        <f t="shared" si="16"/>
        <v>267998</v>
      </c>
      <c r="L165" s="33">
        <f t="shared" si="19"/>
        <v>267998</v>
      </c>
      <c r="M165" s="185">
        <f t="shared" si="20"/>
        <v>267998</v>
      </c>
      <c r="N165" s="129"/>
      <c r="O165" s="193" t="s">
        <v>1717</v>
      </c>
      <c r="P165" s="135"/>
    </row>
    <row r="166" spans="1:16">
      <c r="A166" s="29">
        <f t="shared" si="17"/>
        <v>162</v>
      </c>
      <c r="B166" s="50" t="s">
        <v>404</v>
      </c>
      <c r="C166" s="51">
        <v>901781</v>
      </c>
      <c r="D166" s="52">
        <v>43200</v>
      </c>
      <c r="E166" s="191">
        <v>267998</v>
      </c>
      <c r="F166" s="192">
        <f t="shared" si="15"/>
        <v>267998</v>
      </c>
      <c r="G166" s="55">
        <f t="shared" si="18"/>
        <v>267998</v>
      </c>
      <c r="H166" s="61">
        <v>0</v>
      </c>
      <c r="I166" s="56">
        <v>1</v>
      </c>
      <c r="J166" s="197">
        <v>1</v>
      </c>
      <c r="K166" s="33">
        <f t="shared" si="16"/>
        <v>267998</v>
      </c>
      <c r="L166" s="33">
        <f t="shared" si="19"/>
        <v>267998</v>
      </c>
      <c r="M166" s="185">
        <f t="shared" si="20"/>
        <v>267998</v>
      </c>
      <c r="N166" s="186"/>
      <c r="O166" s="193" t="s">
        <v>1718</v>
      </c>
      <c r="P166" s="135"/>
    </row>
    <row r="167" spans="1:16">
      <c r="A167" s="29">
        <f t="shared" si="17"/>
        <v>163</v>
      </c>
      <c r="B167" s="50" t="s">
        <v>404</v>
      </c>
      <c r="C167" s="51">
        <v>901781</v>
      </c>
      <c r="D167" s="102">
        <v>43230</v>
      </c>
      <c r="E167" s="201">
        <v>267998</v>
      </c>
      <c r="F167" s="196">
        <f t="shared" si="15"/>
        <v>267998</v>
      </c>
      <c r="G167" s="196">
        <f>E167/I167</f>
        <v>267998</v>
      </c>
      <c r="H167" s="196">
        <v>0</v>
      </c>
      <c r="I167" s="197">
        <v>1</v>
      </c>
      <c r="J167" s="197">
        <v>1</v>
      </c>
      <c r="K167" s="198">
        <f t="shared" si="16"/>
        <v>267998</v>
      </c>
      <c r="L167" s="198">
        <f>G167*J167</f>
        <v>267998</v>
      </c>
      <c r="M167" s="199">
        <f>J167*K167</f>
        <v>267998</v>
      </c>
      <c r="N167" s="187"/>
      <c r="O167" s="200" t="s">
        <v>1719</v>
      </c>
      <c r="P167" s="135"/>
    </row>
    <row r="168" spans="1:16">
      <c r="A168" s="29">
        <f t="shared" si="17"/>
        <v>164</v>
      </c>
      <c r="B168" s="50" t="s">
        <v>404</v>
      </c>
      <c r="C168" s="51">
        <v>901781</v>
      </c>
      <c r="D168" s="52">
        <v>43261</v>
      </c>
      <c r="E168" s="201">
        <v>267998</v>
      </c>
      <c r="F168" s="196">
        <f t="shared" si="15"/>
        <v>267998</v>
      </c>
      <c r="G168" s="196">
        <f>E168/I168</f>
        <v>267998</v>
      </c>
      <c r="H168" s="196">
        <v>0</v>
      </c>
      <c r="I168" s="197">
        <v>1</v>
      </c>
      <c r="J168" s="197">
        <v>1</v>
      </c>
      <c r="K168" s="198">
        <f t="shared" si="16"/>
        <v>267998</v>
      </c>
      <c r="L168" s="198">
        <f>G168*J168</f>
        <v>267998</v>
      </c>
      <c r="M168" s="199">
        <f>J168*K168</f>
        <v>267998</v>
      </c>
      <c r="N168" s="187"/>
      <c r="O168" s="200" t="s">
        <v>1720</v>
      </c>
      <c r="P168" s="135"/>
    </row>
    <row r="169" spans="1:16">
      <c r="A169" s="29">
        <f t="shared" si="17"/>
        <v>165</v>
      </c>
      <c r="B169" s="50" t="s">
        <v>498</v>
      </c>
      <c r="C169" s="51" t="s">
        <v>499</v>
      </c>
      <c r="D169" s="112">
        <v>42623</v>
      </c>
      <c r="E169" s="202">
        <v>839256</v>
      </c>
      <c r="F169" s="192">
        <f t="shared" si="15"/>
        <v>839256</v>
      </c>
      <c r="G169" s="55">
        <f t="shared" ref="G169:G205" si="21">+E169/I169</f>
        <v>839256</v>
      </c>
      <c r="H169" s="61">
        <v>0</v>
      </c>
      <c r="I169" s="56">
        <v>1</v>
      </c>
      <c r="J169" s="197">
        <v>1</v>
      </c>
      <c r="K169" s="33">
        <f t="shared" si="16"/>
        <v>839256</v>
      </c>
      <c r="L169" s="33">
        <f t="shared" ref="L169:L205" si="22">+J169*K169</f>
        <v>839256</v>
      </c>
      <c r="M169" s="33">
        <f t="shared" ref="M169:M205" si="23">+G169*J169</f>
        <v>839256</v>
      </c>
      <c r="N169" s="129"/>
      <c r="O169" s="42" t="s">
        <v>1699</v>
      </c>
      <c r="P169" s="135"/>
    </row>
    <row r="170" spans="1:16">
      <c r="A170" s="29">
        <f t="shared" si="17"/>
        <v>166</v>
      </c>
      <c r="B170" s="50" t="s">
        <v>498</v>
      </c>
      <c r="C170" s="51" t="s">
        <v>499</v>
      </c>
      <c r="D170" s="112">
        <v>42653</v>
      </c>
      <c r="E170" s="202">
        <v>839255</v>
      </c>
      <c r="F170" s="192">
        <f t="shared" si="15"/>
        <v>839255</v>
      </c>
      <c r="G170" s="55">
        <f t="shared" si="21"/>
        <v>839255</v>
      </c>
      <c r="H170" s="61">
        <v>0</v>
      </c>
      <c r="I170" s="56">
        <v>1</v>
      </c>
      <c r="J170" s="197">
        <v>1</v>
      </c>
      <c r="K170" s="33">
        <f t="shared" si="16"/>
        <v>839255</v>
      </c>
      <c r="L170" s="33">
        <f t="shared" si="22"/>
        <v>839255</v>
      </c>
      <c r="M170" s="33">
        <f t="shared" si="23"/>
        <v>839255</v>
      </c>
      <c r="N170" s="129"/>
      <c r="O170" s="42" t="s">
        <v>1700</v>
      </c>
      <c r="P170" s="135"/>
    </row>
    <row r="171" spans="1:16">
      <c r="A171" s="29">
        <f t="shared" si="17"/>
        <v>167</v>
      </c>
      <c r="B171" s="50" t="s">
        <v>498</v>
      </c>
      <c r="C171" s="51" t="s">
        <v>499</v>
      </c>
      <c r="D171" s="112">
        <v>42653</v>
      </c>
      <c r="E171" s="202">
        <v>839256</v>
      </c>
      <c r="F171" s="192">
        <f t="shared" si="15"/>
        <v>839256</v>
      </c>
      <c r="G171" s="55">
        <f t="shared" si="21"/>
        <v>839256</v>
      </c>
      <c r="H171" s="61">
        <v>0</v>
      </c>
      <c r="I171" s="56">
        <v>1</v>
      </c>
      <c r="J171" s="197">
        <v>1</v>
      </c>
      <c r="K171" s="33">
        <f t="shared" si="16"/>
        <v>839256</v>
      </c>
      <c r="L171" s="33">
        <f t="shared" si="22"/>
        <v>839256</v>
      </c>
      <c r="M171" s="33">
        <f t="shared" si="23"/>
        <v>839256</v>
      </c>
      <c r="N171" s="129"/>
      <c r="O171" s="42" t="s">
        <v>1700</v>
      </c>
      <c r="P171" s="135"/>
    </row>
    <row r="172" spans="1:16">
      <c r="A172" s="29">
        <f t="shared" si="17"/>
        <v>168</v>
      </c>
      <c r="B172" s="50" t="s">
        <v>498</v>
      </c>
      <c r="C172" s="51" t="s">
        <v>499</v>
      </c>
      <c r="D172" s="112">
        <v>42684</v>
      </c>
      <c r="E172" s="202">
        <v>839255</v>
      </c>
      <c r="F172" s="192">
        <f t="shared" si="15"/>
        <v>839255</v>
      </c>
      <c r="G172" s="55">
        <f t="shared" si="21"/>
        <v>839255</v>
      </c>
      <c r="H172" s="61">
        <v>0</v>
      </c>
      <c r="I172" s="56">
        <v>1</v>
      </c>
      <c r="J172" s="197">
        <v>1</v>
      </c>
      <c r="K172" s="33">
        <f t="shared" si="16"/>
        <v>839255</v>
      </c>
      <c r="L172" s="33">
        <f t="shared" si="22"/>
        <v>839255</v>
      </c>
      <c r="M172" s="33">
        <f t="shared" si="23"/>
        <v>839255</v>
      </c>
      <c r="N172" s="129"/>
      <c r="O172" s="42" t="s">
        <v>1701</v>
      </c>
      <c r="P172" s="135"/>
    </row>
    <row r="173" spans="1:16">
      <c r="A173" s="29">
        <f t="shared" si="17"/>
        <v>169</v>
      </c>
      <c r="B173" s="50" t="s">
        <v>498</v>
      </c>
      <c r="C173" s="51" t="s">
        <v>499</v>
      </c>
      <c r="D173" s="112">
        <v>42684</v>
      </c>
      <c r="E173" s="202">
        <v>839256</v>
      </c>
      <c r="F173" s="192">
        <f t="shared" si="15"/>
        <v>839256</v>
      </c>
      <c r="G173" s="55">
        <f t="shared" si="21"/>
        <v>839256</v>
      </c>
      <c r="H173" s="61">
        <v>0</v>
      </c>
      <c r="I173" s="56">
        <v>1</v>
      </c>
      <c r="J173" s="197">
        <v>1</v>
      </c>
      <c r="K173" s="33">
        <f t="shared" si="16"/>
        <v>839256</v>
      </c>
      <c r="L173" s="33">
        <f t="shared" si="22"/>
        <v>839256</v>
      </c>
      <c r="M173" s="33">
        <f t="shared" si="23"/>
        <v>839256</v>
      </c>
      <c r="N173" s="129"/>
      <c r="O173" s="42" t="s">
        <v>1701</v>
      </c>
      <c r="P173" s="135"/>
    </row>
    <row r="174" spans="1:16">
      <c r="A174" s="29">
        <f t="shared" si="17"/>
        <v>170</v>
      </c>
      <c r="B174" s="50" t="s">
        <v>498</v>
      </c>
      <c r="C174" s="51" t="s">
        <v>499</v>
      </c>
      <c r="D174" s="52">
        <v>42714</v>
      </c>
      <c r="E174" s="202">
        <v>839255</v>
      </c>
      <c r="F174" s="192">
        <f t="shared" si="15"/>
        <v>839255</v>
      </c>
      <c r="G174" s="55">
        <f t="shared" si="21"/>
        <v>839255</v>
      </c>
      <c r="H174" s="61">
        <v>0</v>
      </c>
      <c r="I174" s="56">
        <v>1</v>
      </c>
      <c r="J174" s="197">
        <v>1</v>
      </c>
      <c r="K174" s="33">
        <f t="shared" si="16"/>
        <v>839255</v>
      </c>
      <c r="L174" s="33">
        <f t="shared" si="22"/>
        <v>839255</v>
      </c>
      <c r="M174" s="33">
        <f t="shared" si="23"/>
        <v>839255</v>
      </c>
      <c r="N174" s="129"/>
      <c r="O174" s="42" t="s">
        <v>1702</v>
      </c>
      <c r="P174" s="135"/>
    </row>
    <row r="175" spans="1:16">
      <c r="A175" s="29">
        <f t="shared" si="17"/>
        <v>171</v>
      </c>
      <c r="B175" s="50" t="s">
        <v>498</v>
      </c>
      <c r="C175" s="51" t="s">
        <v>499</v>
      </c>
      <c r="D175" s="52">
        <v>42714</v>
      </c>
      <c r="E175" s="202">
        <v>839256</v>
      </c>
      <c r="F175" s="192">
        <f t="shared" si="15"/>
        <v>839256</v>
      </c>
      <c r="G175" s="55">
        <f t="shared" si="21"/>
        <v>839256</v>
      </c>
      <c r="H175" s="61">
        <v>0</v>
      </c>
      <c r="I175" s="56">
        <v>1</v>
      </c>
      <c r="J175" s="197">
        <v>1</v>
      </c>
      <c r="K175" s="33">
        <f t="shared" si="16"/>
        <v>839256</v>
      </c>
      <c r="L175" s="33">
        <f t="shared" si="22"/>
        <v>839256</v>
      </c>
      <c r="M175" s="33">
        <f t="shared" si="23"/>
        <v>839256</v>
      </c>
      <c r="N175" s="129"/>
      <c r="O175" s="42" t="s">
        <v>1702</v>
      </c>
      <c r="P175" s="135"/>
    </row>
    <row r="176" spans="1:16">
      <c r="A176" s="29">
        <f t="shared" si="17"/>
        <v>172</v>
      </c>
      <c r="B176" s="50" t="s">
        <v>498</v>
      </c>
      <c r="C176" s="51" t="s">
        <v>499</v>
      </c>
      <c r="D176" s="52">
        <v>42745</v>
      </c>
      <c r="E176" s="202">
        <v>839255</v>
      </c>
      <c r="F176" s="192">
        <f t="shared" si="15"/>
        <v>839255</v>
      </c>
      <c r="G176" s="55">
        <f t="shared" si="21"/>
        <v>839255</v>
      </c>
      <c r="H176" s="61">
        <v>0</v>
      </c>
      <c r="I176" s="56">
        <v>1</v>
      </c>
      <c r="J176" s="197">
        <v>1</v>
      </c>
      <c r="K176" s="33">
        <f t="shared" si="16"/>
        <v>839255</v>
      </c>
      <c r="L176" s="33">
        <f t="shared" si="22"/>
        <v>839255</v>
      </c>
      <c r="M176" s="33">
        <f t="shared" si="23"/>
        <v>839255</v>
      </c>
      <c r="N176" s="129"/>
      <c r="O176" s="42" t="s">
        <v>1703</v>
      </c>
      <c r="P176" s="135"/>
    </row>
    <row r="177" spans="1:16">
      <c r="A177" s="29">
        <f t="shared" si="17"/>
        <v>173</v>
      </c>
      <c r="B177" s="50" t="s">
        <v>498</v>
      </c>
      <c r="C177" s="51" t="s">
        <v>499</v>
      </c>
      <c r="D177" s="52">
        <v>42745</v>
      </c>
      <c r="E177" s="202">
        <v>839256</v>
      </c>
      <c r="F177" s="192">
        <f t="shared" si="15"/>
        <v>839256</v>
      </c>
      <c r="G177" s="55">
        <f t="shared" si="21"/>
        <v>839256</v>
      </c>
      <c r="H177" s="61">
        <v>0</v>
      </c>
      <c r="I177" s="56">
        <v>1</v>
      </c>
      <c r="J177" s="197">
        <v>1</v>
      </c>
      <c r="K177" s="33">
        <f t="shared" si="16"/>
        <v>839256</v>
      </c>
      <c r="L177" s="33">
        <f t="shared" si="22"/>
        <v>839256</v>
      </c>
      <c r="M177" s="33">
        <f t="shared" si="23"/>
        <v>839256</v>
      </c>
      <c r="N177" s="129"/>
      <c r="O177" s="42" t="s">
        <v>1703</v>
      </c>
      <c r="P177" s="135"/>
    </row>
    <row r="178" spans="1:16">
      <c r="A178" s="29">
        <f t="shared" si="17"/>
        <v>174</v>
      </c>
      <c r="B178" s="50" t="s">
        <v>498</v>
      </c>
      <c r="C178" s="51" t="s">
        <v>499</v>
      </c>
      <c r="D178" s="52">
        <v>42776</v>
      </c>
      <c r="E178" s="202">
        <v>839255</v>
      </c>
      <c r="F178" s="192">
        <f t="shared" si="15"/>
        <v>839255</v>
      </c>
      <c r="G178" s="55">
        <f t="shared" si="21"/>
        <v>839255</v>
      </c>
      <c r="H178" s="61">
        <v>0</v>
      </c>
      <c r="I178" s="56">
        <v>1</v>
      </c>
      <c r="J178" s="197">
        <v>1</v>
      </c>
      <c r="K178" s="33">
        <f t="shared" si="16"/>
        <v>839255</v>
      </c>
      <c r="L178" s="33">
        <f t="shared" si="22"/>
        <v>839255</v>
      </c>
      <c r="M178" s="33">
        <f t="shared" si="23"/>
        <v>839255</v>
      </c>
      <c r="N178" s="129"/>
      <c r="O178" s="42" t="s">
        <v>1704</v>
      </c>
      <c r="P178" s="135"/>
    </row>
    <row r="179" spans="1:16">
      <c r="A179" s="29">
        <f t="shared" si="17"/>
        <v>175</v>
      </c>
      <c r="B179" s="50" t="s">
        <v>498</v>
      </c>
      <c r="C179" s="51" t="s">
        <v>499</v>
      </c>
      <c r="D179" s="52">
        <v>42776</v>
      </c>
      <c r="E179" s="202">
        <v>839256</v>
      </c>
      <c r="F179" s="192">
        <f t="shared" si="15"/>
        <v>839256</v>
      </c>
      <c r="G179" s="55">
        <f t="shared" si="21"/>
        <v>839256</v>
      </c>
      <c r="H179" s="61">
        <v>0</v>
      </c>
      <c r="I179" s="56">
        <v>1</v>
      </c>
      <c r="J179" s="197">
        <v>1</v>
      </c>
      <c r="K179" s="33">
        <f t="shared" si="16"/>
        <v>839256</v>
      </c>
      <c r="L179" s="33">
        <f t="shared" si="22"/>
        <v>839256</v>
      </c>
      <c r="M179" s="33">
        <f t="shared" si="23"/>
        <v>839256</v>
      </c>
      <c r="N179" s="129"/>
      <c r="O179" s="42" t="s">
        <v>1704</v>
      </c>
      <c r="P179" s="135"/>
    </row>
    <row r="180" spans="1:16">
      <c r="A180" s="29">
        <f t="shared" si="17"/>
        <v>176</v>
      </c>
      <c r="B180" s="50" t="s">
        <v>498</v>
      </c>
      <c r="C180" s="51" t="s">
        <v>499</v>
      </c>
      <c r="D180" s="52">
        <v>42804</v>
      </c>
      <c r="E180" s="202">
        <v>839255</v>
      </c>
      <c r="F180" s="192">
        <f t="shared" si="15"/>
        <v>839255</v>
      </c>
      <c r="G180" s="55">
        <f t="shared" si="21"/>
        <v>839255</v>
      </c>
      <c r="H180" s="61">
        <v>0</v>
      </c>
      <c r="I180" s="56">
        <v>1</v>
      </c>
      <c r="J180" s="197">
        <v>1</v>
      </c>
      <c r="K180" s="33">
        <f t="shared" si="16"/>
        <v>839255</v>
      </c>
      <c r="L180" s="33">
        <f t="shared" si="22"/>
        <v>839255</v>
      </c>
      <c r="M180" s="33">
        <f t="shared" si="23"/>
        <v>839255</v>
      </c>
      <c r="N180" s="129"/>
      <c r="O180" s="42" t="s">
        <v>1705</v>
      </c>
      <c r="P180" s="135"/>
    </row>
    <row r="181" spans="1:16">
      <c r="A181" s="29">
        <f t="shared" si="17"/>
        <v>177</v>
      </c>
      <c r="B181" s="50" t="s">
        <v>498</v>
      </c>
      <c r="C181" s="51" t="s">
        <v>499</v>
      </c>
      <c r="D181" s="52">
        <v>42804</v>
      </c>
      <c r="E181" s="202">
        <v>839256</v>
      </c>
      <c r="F181" s="192">
        <f t="shared" si="15"/>
        <v>839256</v>
      </c>
      <c r="G181" s="55">
        <f t="shared" si="21"/>
        <v>839256</v>
      </c>
      <c r="H181" s="61">
        <v>0</v>
      </c>
      <c r="I181" s="56">
        <v>1</v>
      </c>
      <c r="J181" s="197">
        <v>1</v>
      </c>
      <c r="K181" s="33">
        <f t="shared" si="16"/>
        <v>839256</v>
      </c>
      <c r="L181" s="33">
        <f t="shared" si="22"/>
        <v>839256</v>
      </c>
      <c r="M181" s="33">
        <f t="shared" si="23"/>
        <v>839256</v>
      </c>
      <c r="N181" s="129"/>
      <c r="O181" s="42" t="s">
        <v>1705</v>
      </c>
      <c r="P181" s="135"/>
    </row>
    <row r="182" spans="1:16">
      <c r="A182" s="29">
        <f t="shared" si="17"/>
        <v>178</v>
      </c>
      <c r="B182" s="50" t="s">
        <v>498</v>
      </c>
      <c r="C182" s="51" t="s">
        <v>499</v>
      </c>
      <c r="D182" s="52">
        <v>42835</v>
      </c>
      <c r="E182" s="202">
        <v>839255</v>
      </c>
      <c r="F182" s="192">
        <f t="shared" si="15"/>
        <v>839255</v>
      </c>
      <c r="G182" s="55">
        <f t="shared" si="21"/>
        <v>839255</v>
      </c>
      <c r="H182" s="61">
        <v>0</v>
      </c>
      <c r="I182" s="56">
        <v>1</v>
      </c>
      <c r="J182" s="197">
        <v>1</v>
      </c>
      <c r="K182" s="33">
        <f t="shared" si="16"/>
        <v>839255</v>
      </c>
      <c r="L182" s="33">
        <f t="shared" si="22"/>
        <v>839255</v>
      </c>
      <c r="M182" s="33">
        <f t="shared" si="23"/>
        <v>839255</v>
      </c>
      <c r="N182" s="129"/>
      <c r="O182" s="42" t="s">
        <v>1706</v>
      </c>
      <c r="P182" s="135"/>
    </row>
    <row r="183" spans="1:16">
      <c r="A183" s="29">
        <f t="shared" si="17"/>
        <v>179</v>
      </c>
      <c r="B183" s="50" t="s">
        <v>498</v>
      </c>
      <c r="C183" s="51" t="s">
        <v>499</v>
      </c>
      <c r="D183" s="52">
        <v>42835</v>
      </c>
      <c r="E183" s="202">
        <v>839256</v>
      </c>
      <c r="F183" s="192">
        <f t="shared" si="15"/>
        <v>839256</v>
      </c>
      <c r="G183" s="55">
        <f t="shared" si="21"/>
        <v>839256</v>
      </c>
      <c r="H183" s="61">
        <v>0</v>
      </c>
      <c r="I183" s="56">
        <v>1</v>
      </c>
      <c r="J183" s="197">
        <v>1</v>
      </c>
      <c r="K183" s="33">
        <f t="shared" si="16"/>
        <v>839256</v>
      </c>
      <c r="L183" s="33">
        <f t="shared" si="22"/>
        <v>839256</v>
      </c>
      <c r="M183" s="33">
        <f t="shared" si="23"/>
        <v>839256</v>
      </c>
      <c r="N183" s="129"/>
      <c r="O183" s="42" t="s">
        <v>1706</v>
      </c>
      <c r="P183" s="135"/>
    </row>
    <row r="184" spans="1:16">
      <c r="A184" s="29">
        <f t="shared" si="17"/>
        <v>180</v>
      </c>
      <c r="B184" s="50" t="s">
        <v>498</v>
      </c>
      <c r="C184" s="51" t="s">
        <v>499</v>
      </c>
      <c r="D184" s="52">
        <v>42865</v>
      </c>
      <c r="E184" s="55">
        <v>839256</v>
      </c>
      <c r="F184" s="192">
        <f t="shared" si="15"/>
        <v>839256</v>
      </c>
      <c r="G184" s="55">
        <f t="shared" si="21"/>
        <v>839256</v>
      </c>
      <c r="H184" s="61">
        <v>0</v>
      </c>
      <c r="I184" s="56">
        <v>1</v>
      </c>
      <c r="J184" s="197">
        <v>1</v>
      </c>
      <c r="K184" s="33">
        <f t="shared" si="16"/>
        <v>839256</v>
      </c>
      <c r="L184" s="33">
        <f t="shared" si="22"/>
        <v>839256</v>
      </c>
      <c r="M184" s="185">
        <f t="shared" si="23"/>
        <v>839256</v>
      </c>
      <c r="N184" s="129"/>
      <c r="O184" s="42" t="s">
        <v>1707</v>
      </c>
      <c r="P184" s="135"/>
    </row>
    <row r="185" spans="1:16">
      <c r="A185" s="29">
        <f t="shared" si="17"/>
        <v>181</v>
      </c>
      <c r="B185" s="50" t="s">
        <v>498</v>
      </c>
      <c r="C185" s="51" t="s">
        <v>499</v>
      </c>
      <c r="D185" s="52">
        <v>42865</v>
      </c>
      <c r="E185" s="53">
        <v>839255</v>
      </c>
      <c r="F185" s="192">
        <f t="shared" si="15"/>
        <v>839255</v>
      </c>
      <c r="G185" s="55">
        <f t="shared" si="21"/>
        <v>839255</v>
      </c>
      <c r="H185" s="61">
        <v>0</v>
      </c>
      <c r="I185" s="56">
        <v>1</v>
      </c>
      <c r="J185" s="197">
        <v>1</v>
      </c>
      <c r="K185" s="33">
        <f t="shared" si="16"/>
        <v>839255</v>
      </c>
      <c r="L185" s="33">
        <f t="shared" si="22"/>
        <v>839255</v>
      </c>
      <c r="M185" s="185">
        <f t="shared" si="23"/>
        <v>839255</v>
      </c>
      <c r="N185" s="129"/>
      <c r="O185" s="42" t="s">
        <v>1707</v>
      </c>
      <c r="P185" s="135"/>
    </row>
    <row r="186" spans="1:16">
      <c r="A186" s="29">
        <f t="shared" si="17"/>
        <v>182</v>
      </c>
      <c r="B186" s="50" t="s">
        <v>498</v>
      </c>
      <c r="C186" s="51" t="s">
        <v>499</v>
      </c>
      <c r="D186" s="52">
        <v>42896</v>
      </c>
      <c r="E186" s="209">
        <v>839256</v>
      </c>
      <c r="F186" s="192">
        <f t="shared" si="15"/>
        <v>839256</v>
      </c>
      <c r="G186" s="55">
        <f t="shared" si="21"/>
        <v>839256</v>
      </c>
      <c r="H186" s="61">
        <v>0</v>
      </c>
      <c r="I186" s="56">
        <v>1</v>
      </c>
      <c r="J186" s="197">
        <v>1</v>
      </c>
      <c r="K186" s="33">
        <f t="shared" si="16"/>
        <v>839256</v>
      </c>
      <c r="L186" s="33">
        <f t="shared" si="22"/>
        <v>839256</v>
      </c>
      <c r="M186" s="185">
        <f t="shared" si="23"/>
        <v>839256</v>
      </c>
      <c r="N186" s="129"/>
      <c r="O186" s="42" t="s">
        <v>1708</v>
      </c>
      <c r="P186" s="135"/>
    </row>
    <row r="187" spans="1:16">
      <c r="A187" s="29">
        <f t="shared" si="17"/>
        <v>183</v>
      </c>
      <c r="B187" s="50" t="s">
        <v>498</v>
      </c>
      <c r="C187" s="51" t="s">
        <v>499</v>
      </c>
      <c r="D187" s="52">
        <v>42896</v>
      </c>
      <c r="E187" s="209">
        <v>839255</v>
      </c>
      <c r="F187" s="192">
        <f t="shared" si="15"/>
        <v>839255</v>
      </c>
      <c r="G187" s="55">
        <f t="shared" si="21"/>
        <v>839255</v>
      </c>
      <c r="H187" s="61">
        <v>0</v>
      </c>
      <c r="I187" s="56">
        <v>1</v>
      </c>
      <c r="J187" s="197">
        <v>1</v>
      </c>
      <c r="K187" s="33">
        <f t="shared" si="16"/>
        <v>839255</v>
      </c>
      <c r="L187" s="33">
        <f t="shared" si="22"/>
        <v>839255</v>
      </c>
      <c r="M187" s="185">
        <f t="shared" si="23"/>
        <v>839255</v>
      </c>
      <c r="N187" s="129"/>
      <c r="O187" s="42" t="s">
        <v>1708</v>
      </c>
      <c r="P187" s="135"/>
    </row>
    <row r="188" spans="1:16">
      <c r="A188" s="29">
        <f t="shared" si="17"/>
        <v>184</v>
      </c>
      <c r="B188" s="50" t="s">
        <v>498</v>
      </c>
      <c r="C188" s="51" t="s">
        <v>499</v>
      </c>
      <c r="D188" s="52">
        <v>42926</v>
      </c>
      <c r="E188" s="210">
        <v>839256</v>
      </c>
      <c r="F188" s="192">
        <f t="shared" si="15"/>
        <v>839256</v>
      </c>
      <c r="G188" s="55">
        <f t="shared" si="21"/>
        <v>839256</v>
      </c>
      <c r="H188" s="61">
        <v>0</v>
      </c>
      <c r="I188" s="56">
        <v>1</v>
      </c>
      <c r="J188" s="197">
        <v>1</v>
      </c>
      <c r="K188" s="33">
        <f t="shared" si="16"/>
        <v>839256</v>
      </c>
      <c r="L188" s="33">
        <f t="shared" si="22"/>
        <v>839256</v>
      </c>
      <c r="M188" s="185">
        <f t="shared" si="23"/>
        <v>839256</v>
      </c>
      <c r="N188" s="129"/>
      <c r="O188" s="42" t="s">
        <v>1709</v>
      </c>
      <c r="P188" s="135"/>
    </row>
    <row r="189" spans="1:16">
      <c r="A189" s="29">
        <f t="shared" si="17"/>
        <v>185</v>
      </c>
      <c r="B189" s="50" t="s">
        <v>498</v>
      </c>
      <c r="C189" s="51" t="s">
        <v>499</v>
      </c>
      <c r="D189" s="52">
        <v>42926</v>
      </c>
      <c r="E189" s="210">
        <v>839255</v>
      </c>
      <c r="F189" s="192">
        <f t="shared" si="15"/>
        <v>839255</v>
      </c>
      <c r="G189" s="55">
        <f t="shared" si="21"/>
        <v>839255</v>
      </c>
      <c r="H189" s="61">
        <v>0</v>
      </c>
      <c r="I189" s="56">
        <v>1</v>
      </c>
      <c r="J189" s="197">
        <v>1</v>
      </c>
      <c r="K189" s="33">
        <f t="shared" si="16"/>
        <v>839255</v>
      </c>
      <c r="L189" s="33">
        <f t="shared" si="22"/>
        <v>839255</v>
      </c>
      <c r="M189" s="185">
        <f t="shared" si="23"/>
        <v>839255</v>
      </c>
      <c r="N189" s="129"/>
      <c r="O189" s="42" t="s">
        <v>1709</v>
      </c>
      <c r="P189" s="135"/>
    </row>
    <row r="190" spans="1:16">
      <c r="A190" s="29">
        <f t="shared" si="17"/>
        <v>186</v>
      </c>
      <c r="B190" s="50" t="s">
        <v>498</v>
      </c>
      <c r="C190" s="51" t="s">
        <v>499</v>
      </c>
      <c r="D190" s="52">
        <v>42957</v>
      </c>
      <c r="E190" s="210">
        <v>839256</v>
      </c>
      <c r="F190" s="192">
        <f t="shared" si="15"/>
        <v>839256</v>
      </c>
      <c r="G190" s="55">
        <f t="shared" si="21"/>
        <v>839256</v>
      </c>
      <c r="H190" s="61">
        <v>0</v>
      </c>
      <c r="I190" s="56">
        <v>1</v>
      </c>
      <c r="J190" s="197">
        <v>1</v>
      </c>
      <c r="K190" s="33">
        <f t="shared" si="16"/>
        <v>839256</v>
      </c>
      <c r="L190" s="33">
        <f t="shared" si="22"/>
        <v>839256</v>
      </c>
      <c r="M190" s="185">
        <f t="shared" si="23"/>
        <v>839256</v>
      </c>
      <c r="N190" s="129"/>
      <c r="O190" s="42" t="s">
        <v>1710</v>
      </c>
      <c r="P190" s="135"/>
    </row>
    <row r="191" spans="1:16">
      <c r="A191" s="29">
        <f t="shared" si="17"/>
        <v>187</v>
      </c>
      <c r="B191" s="50" t="s">
        <v>498</v>
      </c>
      <c r="C191" s="51" t="s">
        <v>499</v>
      </c>
      <c r="D191" s="52">
        <v>42957</v>
      </c>
      <c r="E191" s="210">
        <v>839255</v>
      </c>
      <c r="F191" s="192">
        <f t="shared" si="15"/>
        <v>839255</v>
      </c>
      <c r="G191" s="55">
        <f t="shared" si="21"/>
        <v>839255</v>
      </c>
      <c r="H191" s="61">
        <v>0</v>
      </c>
      <c r="I191" s="56">
        <v>1</v>
      </c>
      <c r="J191" s="197">
        <v>1</v>
      </c>
      <c r="K191" s="33">
        <f t="shared" si="16"/>
        <v>839255</v>
      </c>
      <c r="L191" s="33">
        <f t="shared" si="22"/>
        <v>839255</v>
      </c>
      <c r="M191" s="185">
        <f t="shared" si="23"/>
        <v>839255</v>
      </c>
      <c r="N191" s="129"/>
      <c r="O191" s="42" t="s">
        <v>1710</v>
      </c>
      <c r="P191" s="135"/>
    </row>
    <row r="192" spans="1:16">
      <c r="A192" s="29">
        <f t="shared" si="17"/>
        <v>188</v>
      </c>
      <c r="B192" s="50" t="s">
        <v>498</v>
      </c>
      <c r="C192" s="51" t="s">
        <v>499</v>
      </c>
      <c r="D192" s="52">
        <v>42988</v>
      </c>
      <c r="E192" s="210">
        <v>839256</v>
      </c>
      <c r="F192" s="192">
        <f t="shared" si="15"/>
        <v>839256</v>
      </c>
      <c r="G192" s="55">
        <f t="shared" si="21"/>
        <v>839256</v>
      </c>
      <c r="H192" s="61">
        <v>0</v>
      </c>
      <c r="I192" s="56">
        <v>1</v>
      </c>
      <c r="J192" s="197">
        <v>1</v>
      </c>
      <c r="K192" s="33">
        <f t="shared" si="16"/>
        <v>839256</v>
      </c>
      <c r="L192" s="33">
        <f t="shared" si="22"/>
        <v>839256</v>
      </c>
      <c r="M192" s="185">
        <f t="shared" si="23"/>
        <v>839256</v>
      </c>
      <c r="N192" s="186"/>
      <c r="O192" s="42" t="s">
        <v>1711</v>
      </c>
      <c r="P192" s="135"/>
    </row>
    <row r="193" spans="1:16">
      <c r="A193" s="29">
        <f t="shared" si="17"/>
        <v>189</v>
      </c>
      <c r="B193" s="50" t="s">
        <v>498</v>
      </c>
      <c r="C193" s="51" t="s">
        <v>499</v>
      </c>
      <c r="D193" s="52">
        <v>42988</v>
      </c>
      <c r="E193" s="210">
        <v>839255</v>
      </c>
      <c r="F193" s="192">
        <f t="shared" si="15"/>
        <v>839255</v>
      </c>
      <c r="G193" s="55">
        <f t="shared" si="21"/>
        <v>839255</v>
      </c>
      <c r="H193" s="61">
        <v>0</v>
      </c>
      <c r="I193" s="56">
        <v>1</v>
      </c>
      <c r="J193" s="197">
        <v>1</v>
      </c>
      <c r="K193" s="33">
        <f t="shared" si="16"/>
        <v>839255</v>
      </c>
      <c r="L193" s="33">
        <f t="shared" si="22"/>
        <v>839255</v>
      </c>
      <c r="M193" s="185">
        <f t="shared" si="23"/>
        <v>839255</v>
      </c>
      <c r="N193" s="186"/>
      <c r="O193" s="42" t="s">
        <v>1711</v>
      </c>
      <c r="P193" s="135"/>
    </row>
    <row r="194" spans="1:16">
      <c r="A194" s="29">
        <f t="shared" si="17"/>
        <v>190</v>
      </c>
      <c r="B194" s="50" t="s">
        <v>498</v>
      </c>
      <c r="C194" s="51" t="s">
        <v>499</v>
      </c>
      <c r="D194" s="52">
        <v>43018</v>
      </c>
      <c r="E194" s="210">
        <v>839256</v>
      </c>
      <c r="F194" s="192">
        <f t="shared" si="15"/>
        <v>839256</v>
      </c>
      <c r="G194" s="55">
        <f t="shared" si="21"/>
        <v>839256</v>
      </c>
      <c r="H194" s="61">
        <v>0</v>
      </c>
      <c r="I194" s="56">
        <v>1</v>
      </c>
      <c r="J194" s="197">
        <v>1</v>
      </c>
      <c r="K194" s="33">
        <f t="shared" si="16"/>
        <v>839256</v>
      </c>
      <c r="L194" s="33">
        <f t="shared" si="22"/>
        <v>839256</v>
      </c>
      <c r="M194" s="185">
        <f t="shared" si="23"/>
        <v>839256</v>
      </c>
      <c r="N194" s="129"/>
      <c r="O194" s="42" t="s">
        <v>1712</v>
      </c>
      <c r="P194" s="135"/>
    </row>
    <row r="195" spans="1:16">
      <c r="A195" s="29">
        <f t="shared" si="17"/>
        <v>191</v>
      </c>
      <c r="B195" s="50" t="s">
        <v>498</v>
      </c>
      <c r="C195" s="51" t="s">
        <v>499</v>
      </c>
      <c r="D195" s="52">
        <v>43018</v>
      </c>
      <c r="E195" s="210">
        <v>839255</v>
      </c>
      <c r="F195" s="192">
        <f t="shared" si="15"/>
        <v>839255</v>
      </c>
      <c r="G195" s="55">
        <f t="shared" si="21"/>
        <v>839255</v>
      </c>
      <c r="H195" s="61">
        <v>0</v>
      </c>
      <c r="I195" s="56">
        <v>1</v>
      </c>
      <c r="J195" s="197">
        <v>1</v>
      </c>
      <c r="K195" s="33">
        <f t="shared" si="16"/>
        <v>839255</v>
      </c>
      <c r="L195" s="33">
        <f t="shared" si="22"/>
        <v>839255</v>
      </c>
      <c r="M195" s="185">
        <f t="shared" si="23"/>
        <v>839255</v>
      </c>
      <c r="N195" s="129"/>
      <c r="O195" s="42" t="s">
        <v>1712</v>
      </c>
      <c r="P195" s="135"/>
    </row>
    <row r="196" spans="1:16">
      <c r="A196" s="29">
        <f t="shared" si="17"/>
        <v>192</v>
      </c>
      <c r="B196" s="50" t="s">
        <v>498</v>
      </c>
      <c r="C196" s="51" t="s">
        <v>499</v>
      </c>
      <c r="D196" s="52">
        <v>43049</v>
      </c>
      <c r="E196" s="210">
        <v>839256</v>
      </c>
      <c r="F196" s="192">
        <f t="shared" si="15"/>
        <v>839256</v>
      </c>
      <c r="G196" s="55">
        <f t="shared" si="21"/>
        <v>839256</v>
      </c>
      <c r="H196" s="61">
        <v>0</v>
      </c>
      <c r="I196" s="56">
        <v>1</v>
      </c>
      <c r="J196" s="197">
        <v>1</v>
      </c>
      <c r="K196" s="33">
        <f t="shared" si="16"/>
        <v>839256</v>
      </c>
      <c r="L196" s="33">
        <f t="shared" si="22"/>
        <v>839256</v>
      </c>
      <c r="M196" s="185">
        <f t="shared" si="23"/>
        <v>839256</v>
      </c>
      <c r="N196" s="129"/>
      <c r="O196" s="42" t="s">
        <v>1713</v>
      </c>
      <c r="P196" s="135"/>
    </row>
    <row r="197" spans="1:16">
      <c r="A197" s="29">
        <f t="shared" si="17"/>
        <v>193</v>
      </c>
      <c r="B197" s="50" t="s">
        <v>498</v>
      </c>
      <c r="C197" s="51" t="s">
        <v>499</v>
      </c>
      <c r="D197" s="52">
        <v>43049</v>
      </c>
      <c r="E197" s="210">
        <v>839255</v>
      </c>
      <c r="F197" s="192">
        <f t="shared" ref="F197:F260" si="24">+I197*K197</f>
        <v>839255</v>
      </c>
      <c r="G197" s="55">
        <f t="shared" si="21"/>
        <v>839255</v>
      </c>
      <c r="H197" s="61">
        <v>0</v>
      </c>
      <c r="I197" s="56">
        <v>1</v>
      </c>
      <c r="J197" s="197">
        <v>1</v>
      </c>
      <c r="K197" s="33">
        <f t="shared" ref="K197:K260" si="25">+G197+H197</f>
        <v>839255</v>
      </c>
      <c r="L197" s="33">
        <f t="shared" si="22"/>
        <v>839255</v>
      </c>
      <c r="M197" s="185">
        <f t="shared" si="23"/>
        <v>839255</v>
      </c>
      <c r="N197" s="129"/>
      <c r="O197" s="42" t="s">
        <v>1713</v>
      </c>
      <c r="P197" s="135"/>
    </row>
    <row r="198" spans="1:16">
      <c r="A198" s="29">
        <f t="shared" ref="A198:A261" si="26">+A197+1</f>
        <v>194</v>
      </c>
      <c r="B198" s="50" t="s">
        <v>498</v>
      </c>
      <c r="C198" s="51" t="s">
        <v>499</v>
      </c>
      <c r="D198" s="52">
        <v>43079</v>
      </c>
      <c r="E198" s="191">
        <v>839256</v>
      </c>
      <c r="F198" s="192">
        <f t="shared" si="24"/>
        <v>839256</v>
      </c>
      <c r="G198" s="55">
        <f t="shared" si="21"/>
        <v>839256</v>
      </c>
      <c r="H198" s="61">
        <v>0</v>
      </c>
      <c r="I198" s="56">
        <v>1</v>
      </c>
      <c r="J198" s="197">
        <v>1</v>
      </c>
      <c r="K198" s="33">
        <f t="shared" si="25"/>
        <v>839256</v>
      </c>
      <c r="L198" s="33">
        <f t="shared" si="22"/>
        <v>839256</v>
      </c>
      <c r="M198" s="185">
        <f t="shared" si="23"/>
        <v>839256</v>
      </c>
      <c r="N198" s="129"/>
      <c r="O198" s="193" t="s">
        <v>1714</v>
      </c>
      <c r="P198" s="135"/>
    </row>
    <row r="199" spans="1:16">
      <c r="A199" s="29">
        <f t="shared" si="26"/>
        <v>195</v>
      </c>
      <c r="B199" s="50" t="s">
        <v>498</v>
      </c>
      <c r="C199" s="51" t="s">
        <v>499</v>
      </c>
      <c r="D199" s="52">
        <v>43079</v>
      </c>
      <c r="E199" s="191">
        <v>839255</v>
      </c>
      <c r="F199" s="192">
        <f t="shared" si="24"/>
        <v>839255</v>
      </c>
      <c r="G199" s="55">
        <f t="shared" si="21"/>
        <v>839255</v>
      </c>
      <c r="H199" s="61">
        <v>0</v>
      </c>
      <c r="I199" s="56">
        <v>1</v>
      </c>
      <c r="J199" s="197">
        <v>1</v>
      </c>
      <c r="K199" s="33">
        <f t="shared" si="25"/>
        <v>839255</v>
      </c>
      <c r="L199" s="33">
        <f t="shared" si="22"/>
        <v>839255</v>
      </c>
      <c r="M199" s="185">
        <f t="shared" si="23"/>
        <v>839255</v>
      </c>
      <c r="N199" s="129"/>
      <c r="O199" s="193" t="s">
        <v>1714</v>
      </c>
      <c r="P199" s="135"/>
    </row>
    <row r="200" spans="1:16">
      <c r="A200" s="29">
        <f t="shared" si="26"/>
        <v>196</v>
      </c>
      <c r="B200" s="50" t="s">
        <v>498</v>
      </c>
      <c r="C200" s="51" t="s">
        <v>499</v>
      </c>
      <c r="D200" s="52">
        <v>43141</v>
      </c>
      <c r="E200" s="191">
        <v>839256</v>
      </c>
      <c r="F200" s="192">
        <f t="shared" si="24"/>
        <v>839256</v>
      </c>
      <c r="G200" s="55">
        <f t="shared" si="21"/>
        <v>839256</v>
      </c>
      <c r="H200" s="61">
        <v>0</v>
      </c>
      <c r="I200" s="56">
        <v>1</v>
      </c>
      <c r="J200" s="197">
        <v>1</v>
      </c>
      <c r="K200" s="33">
        <f t="shared" si="25"/>
        <v>839256</v>
      </c>
      <c r="L200" s="33">
        <f t="shared" si="22"/>
        <v>839256</v>
      </c>
      <c r="M200" s="185">
        <f t="shared" si="23"/>
        <v>839256</v>
      </c>
      <c r="N200" s="129"/>
      <c r="O200" s="193" t="s">
        <v>1716</v>
      </c>
      <c r="P200" s="135"/>
    </row>
    <row r="201" spans="1:16">
      <c r="A201" s="29">
        <f t="shared" si="26"/>
        <v>197</v>
      </c>
      <c r="B201" s="50" t="s">
        <v>498</v>
      </c>
      <c r="C201" s="51" t="s">
        <v>499</v>
      </c>
      <c r="D201" s="52">
        <v>43141</v>
      </c>
      <c r="E201" s="191">
        <v>839255</v>
      </c>
      <c r="F201" s="192">
        <f t="shared" si="24"/>
        <v>839255</v>
      </c>
      <c r="G201" s="55">
        <f t="shared" si="21"/>
        <v>839255</v>
      </c>
      <c r="H201" s="61">
        <v>0</v>
      </c>
      <c r="I201" s="56">
        <v>1</v>
      </c>
      <c r="J201" s="197">
        <v>1</v>
      </c>
      <c r="K201" s="33">
        <f t="shared" si="25"/>
        <v>839255</v>
      </c>
      <c r="L201" s="33">
        <f t="shared" si="22"/>
        <v>839255</v>
      </c>
      <c r="M201" s="185">
        <f t="shared" si="23"/>
        <v>839255</v>
      </c>
      <c r="N201" s="129"/>
      <c r="O201" s="193" t="s">
        <v>1716</v>
      </c>
      <c r="P201" s="135"/>
    </row>
    <row r="202" spans="1:16">
      <c r="A202" s="29">
        <f t="shared" si="26"/>
        <v>198</v>
      </c>
      <c r="B202" s="50" t="s">
        <v>498</v>
      </c>
      <c r="C202" s="51" t="s">
        <v>499</v>
      </c>
      <c r="D202" s="52">
        <v>43169</v>
      </c>
      <c r="E202" s="191">
        <v>839256</v>
      </c>
      <c r="F202" s="192">
        <f t="shared" si="24"/>
        <v>839256</v>
      </c>
      <c r="G202" s="55">
        <f t="shared" si="21"/>
        <v>839256</v>
      </c>
      <c r="H202" s="61">
        <v>0</v>
      </c>
      <c r="I202" s="56">
        <v>1</v>
      </c>
      <c r="J202" s="197">
        <v>1</v>
      </c>
      <c r="K202" s="33">
        <f t="shared" si="25"/>
        <v>839256</v>
      </c>
      <c r="L202" s="33">
        <f t="shared" si="22"/>
        <v>839256</v>
      </c>
      <c r="M202" s="185">
        <f t="shared" si="23"/>
        <v>839256</v>
      </c>
      <c r="N202" s="129"/>
      <c r="O202" s="193" t="s">
        <v>1717</v>
      </c>
      <c r="P202" s="135"/>
    </row>
    <row r="203" spans="1:16">
      <c r="A203" s="29">
        <f t="shared" si="26"/>
        <v>199</v>
      </c>
      <c r="B203" s="50" t="s">
        <v>498</v>
      </c>
      <c r="C203" s="51" t="s">
        <v>499</v>
      </c>
      <c r="D203" s="52">
        <v>43169</v>
      </c>
      <c r="E203" s="191">
        <v>839255</v>
      </c>
      <c r="F203" s="192">
        <f t="shared" si="24"/>
        <v>839255</v>
      </c>
      <c r="G203" s="55">
        <f t="shared" si="21"/>
        <v>839255</v>
      </c>
      <c r="H203" s="61">
        <v>0</v>
      </c>
      <c r="I203" s="56">
        <v>1</v>
      </c>
      <c r="J203" s="197">
        <v>1</v>
      </c>
      <c r="K203" s="33">
        <f t="shared" si="25"/>
        <v>839255</v>
      </c>
      <c r="L203" s="33">
        <f t="shared" si="22"/>
        <v>839255</v>
      </c>
      <c r="M203" s="185">
        <f t="shared" si="23"/>
        <v>839255</v>
      </c>
      <c r="N203" s="129"/>
      <c r="O203" s="193" t="s">
        <v>1717</v>
      </c>
      <c r="P203" s="135"/>
    </row>
    <row r="204" spans="1:16">
      <c r="A204" s="29">
        <f t="shared" si="26"/>
        <v>200</v>
      </c>
      <c r="B204" s="50" t="s">
        <v>498</v>
      </c>
      <c r="C204" s="51" t="s">
        <v>499</v>
      </c>
      <c r="D204" s="52">
        <v>43200</v>
      </c>
      <c r="E204" s="191">
        <v>839256</v>
      </c>
      <c r="F204" s="192">
        <f t="shared" si="24"/>
        <v>839256</v>
      </c>
      <c r="G204" s="55">
        <f t="shared" si="21"/>
        <v>839256</v>
      </c>
      <c r="H204" s="61">
        <v>0</v>
      </c>
      <c r="I204" s="56">
        <v>1</v>
      </c>
      <c r="J204" s="197">
        <v>1</v>
      </c>
      <c r="K204" s="33">
        <f t="shared" si="25"/>
        <v>839256</v>
      </c>
      <c r="L204" s="33">
        <f t="shared" si="22"/>
        <v>839256</v>
      </c>
      <c r="M204" s="185">
        <f t="shared" si="23"/>
        <v>839256</v>
      </c>
      <c r="N204" s="186"/>
      <c r="O204" s="193" t="s">
        <v>1718</v>
      </c>
      <c r="P204" s="135"/>
    </row>
    <row r="205" spans="1:16">
      <c r="A205" s="29">
        <f t="shared" si="26"/>
        <v>201</v>
      </c>
      <c r="B205" s="50" t="s">
        <v>498</v>
      </c>
      <c r="C205" s="51" t="s">
        <v>499</v>
      </c>
      <c r="D205" s="52">
        <v>43200</v>
      </c>
      <c r="E205" s="191">
        <v>839255</v>
      </c>
      <c r="F205" s="192">
        <f t="shared" si="24"/>
        <v>839255</v>
      </c>
      <c r="G205" s="55">
        <f t="shared" si="21"/>
        <v>839255</v>
      </c>
      <c r="H205" s="61">
        <v>0</v>
      </c>
      <c r="I205" s="56">
        <v>1</v>
      </c>
      <c r="J205" s="197">
        <v>1</v>
      </c>
      <c r="K205" s="33">
        <f t="shared" si="25"/>
        <v>839255</v>
      </c>
      <c r="L205" s="33">
        <f t="shared" si="22"/>
        <v>839255</v>
      </c>
      <c r="M205" s="185">
        <f t="shared" si="23"/>
        <v>839255</v>
      </c>
      <c r="N205" s="186"/>
      <c r="O205" s="193" t="s">
        <v>1718</v>
      </c>
      <c r="P205" s="135"/>
    </row>
    <row r="206" spans="1:16">
      <c r="A206" s="29">
        <f t="shared" si="26"/>
        <v>202</v>
      </c>
      <c r="B206" s="50" t="s">
        <v>498</v>
      </c>
      <c r="C206" s="51" t="s">
        <v>499</v>
      </c>
      <c r="D206" s="102">
        <v>43230</v>
      </c>
      <c r="E206" s="201">
        <v>839256</v>
      </c>
      <c r="F206" s="196">
        <f t="shared" si="24"/>
        <v>839256</v>
      </c>
      <c r="G206" s="196">
        <f>E206/I206</f>
        <v>839256</v>
      </c>
      <c r="H206" s="196">
        <v>0</v>
      </c>
      <c r="I206" s="197">
        <v>1</v>
      </c>
      <c r="J206" s="197">
        <v>1</v>
      </c>
      <c r="K206" s="198">
        <f t="shared" si="25"/>
        <v>839256</v>
      </c>
      <c r="L206" s="198">
        <f>G206*J206</f>
        <v>839256</v>
      </c>
      <c r="M206" s="199">
        <f>J206*K206</f>
        <v>839256</v>
      </c>
      <c r="N206" s="187"/>
      <c r="O206" s="200" t="s">
        <v>1719</v>
      </c>
      <c r="P206" s="135"/>
    </row>
    <row r="207" spans="1:16">
      <c r="A207" s="29">
        <f t="shared" si="26"/>
        <v>203</v>
      </c>
      <c r="B207" s="50" t="s">
        <v>498</v>
      </c>
      <c r="C207" s="51" t="s">
        <v>499</v>
      </c>
      <c r="D207" s="102">
        <v>43230</v>
      </c>
      <c r="E207" s="201">
        <v>839255</v>
      </c>
      <c r="F207" s="196">
        <f t="shared" si="24"/>
        <v>839255</v>
      </c>
      <c r="G207" s="196">
        <f>E207/I207</f>
        <v>839255</v>
      </c>
      <c r="H207" s="196">
        <v>0</v>
      </c>
      <c r="I207" s="197">
        <v>1</v>
      </c>
      <c r="J207" s="197">
        <v>1</v>
      </c>
      <c r="K207" s="198">
        <f t="shared" si="25"/>
        <v>839255</v>
      </c>
      <c r="L207" s="198">
        <f>G207*J207</f>
        <v>839255</v>
      </c>
      <c r="M207" s="199">
        <f>J207*K207</f>
        <v>839255</v>
      </c>
      <c r="N207" s="187"/>
      <c r="O207" s="200" t="s">
        <v>1719</v>
      </c>
      <c r="P207" s="135"/>
    </row>
    <row r="208" spans="1:16">
      <c r="A208" s="29">
        <f t="shared" si="26"/>
        <v>204</v>
      </c>
      <c r="B208" s="50" t="s">
        <v>498</v>
      </c>
      <c r="C208" s="51" t="s">
        <v>499</v>
      </c>
      <c r="D208" s="52">
        <v>43261</v>
      </c>
      <c r="E208" s="202">
        <v>839256</v>
      </c>
      <c r="F208" s="196">
        <f t="shared" si="24"/>
        <v>839256</v>
      </c>
      <c r="G208" s="196">
        <f>E208/I208</f>
        <v>839256</v>
      </c>
      <c r="H208" s="196">
        <v>0</v>
      </c>
      <c r="I208" s="197">
        <v>1</v>
      </c>
      <c r="J208" s="197">
        <v>1</v>
      </c>
      <c r="K208" s="198">
        <f t="shared" si="25"/>
        <v>839256</v>
      </c>
      <c r="L208" s="198">
        <f>G208*J208</f>
        <v>839256</v>
      </c>
      <c r="M208" s="199">
        <f>J208*K208</f>
        <v>839256</v>
      </c>
      <c r="N208" s="187"/>
      <c r="O208" s="200" t="s">
        <v>1720</v>
      </c>
      <c r="P208" s="135"/>
    </row>
    <row r="209" spans="1:16">
      <c r="A209" s="29">
        <f t="shared" si="26"/>
        <v>205</v>
      </c>
      <c r="B209" s="50" t="s">
        <v>680</v>
      </c>
      <c r="C209" s="51" t="s">
        <v>681</v>
      </c>
      <c r="D209" s="52">
        <v>43261</v>
      </c>
      <c r="E209" s="202">
        <v>600000</v>
      </c>
      <c r="F209" s="196">
        <f t="shared" si="24"/>
        <v>600000</v>
      </c>
      <c r="G209" s="196">
        <f>E209/I209</f>
        <v>600000</v>
      </c>
      <c r="H209" s="196">
        <v>0</v>
      </c>
      <c r="I209" s="197">
        <v>1</v>
      </c>
      <c r="J209" s="197">
        <v>1</v>
      </c>
      <c r="K209" s="198">
        <f t="shared" si="25"/>
        <v>600000</v>
      </c>
      <c r="L209" s="198">
        <f>G209*J209</f>
        <v>600000</v>
      </c>
      <c r="M209" s="199">
        <f>J209*K209</f>
        <v>600000</v>
      </c>
      <c r="N209" s="187"/>
      <c r="O209" s="200" t="s">
        <v>1720</v>
      </c>
      <c r="P209" s="135"/>
    </row>
    <row r="210" spans="1:16">
      <c r="A210" s="29">
        <f t="shared" si="26"/>
        <v>206</v>
      </c>
      <c r="B210" s="50" t="s">
        <v>680</v>
      </c>
      <c r="C210" s="51" t="s">
        <v>681</v>
      </c>
      <c r="D210" s="52">
        <v>43261</v>
      </c>
      <c r="E210" s="202">
        <v>600000</v>
      </c>
      <c r="F210" s="196">
        <f t="shared" si="24"/>
        <v>600000</v>
      </c>
      <c r="G210" s="196">
        <f>E210/I210</f>
        <v>600000</v>
      </c>
      <c r="H210" s="196">
        <v>0</v>
      </c>
      <c r="I210" s="197">
        <v>1</v>
      </c>
      <c r="J210" s="197">
        <v>1</v>
      </c>
      <c r="K210" s="198">
        <f t="shared" si="25"/>
        <v>600000</v>
      </c>
      <c r="L210" s="198">
        <f>G210*J210</f>
        <v>600000</v>
      </c>
      <c r="M210" s="199">
        <f>J210*K210</f>
        <v>600000</v>
      </c>
      <c r="N210" s="187"/>
      <c r="O210" s="200" t="s">
        <v>1720</v>
      </c>
      <c r="P210" s="135"/>
    </row>
    <row r="211" spans="1:16">
      <c r="A211" s="29">
        <f t="shared" si="26"/>
        <v>207</v>
      </c>
      <c r="B211" s="50" t="s">
        <v>718</v>
      </c>
      <c r="C211" s="51">
        <v>921578</v>
      </c>
      <c r="D211" s="52">
        <v>42318</v>
      </c>
      <c r="E211" s="55">
        <v>65000</v>
      </c>
      <c r="F211" s="192">
        <f t="shared" si="24"/>
        <v>65000</v>
      </c>
      <c r="G211" s="55">
        <f t="shared" ref="G211:G233" si="27">+E211/I211</f>
        <v>65000</v>
      </c>
      <c r="H211" s="61">
        <v>0</v>
      </c>
      <c r="I211" s="56">
        <v>1</v>
      </c>
      <c r="J211" s="197">
        <v>1</v>
      </c>
      <c r="K211" s="33">
        <f t="shared" si="25"/>
        <v>65000</v>
      </c>
      <c r="L211" s="33">
        <f t="shared" ref="L211:L233" si="28">+J211*K211</f>
        <v>65000</v>
      </c>
      <c r="M211" s="33">
        <f t="shared" ref="M211:M233" si="29">+G211*J211</f>
        <v>65000</v>
      </c>
      <c r="N211" s="30"/>
      <c r="O211" s="42" t="s">
        <v>1723</v>
      </c>
      <c r="P211" s="135"/>
    </row>
    <row r="212" spans="1:16">
      <c r="A212" s="29">
        <f t="shared" si="26"/>
        <v>208</v>
      </c>
      <c r="B212" s="50" t="s">
        <v>718</v>
      </c>
      <c r="C212" s="51">
        <v>921578</v>
      </c>
      <c r="D212" s="52">
        <v>42348</v>
      </c>
      <c r="E212" s="55">
        <v>703235</v>
      </c>
      <c r="F212" s="192">
        <f t="shared" si="24"/>
        <v>703235</v>
      </c>
      <c r="G212" s="55">
        <f t="shared" si="27"/>
        <v>703235</v>
      </c>
      <c r="H212" s="61">
        <v>0</v>
      </c>
      <c r="I212" s="56">
        <v>1</v>
      </c>
      <c r="J212" s="197">
        <v>1</v>
      </c>
      <c r="K212" s="33">
        <f t="shared" si="25"/>
        <v>703235</v>
      </c>
      <c r="L212" s="33">
        <f t="shared" si="28"/>
        <v>703235</v>
      </c>
      <c r="M212" s="33">
        <f t="shared" si="29"/>
        <v>703235</v>
      </c>
      <c r="N212" s="30"/>
      <c r="O212" s="42" t="s">
        <v>1729</v>
      </c>
      <c r="P212" s="135"/>
    </row>
    <row r="213" spans="1:16">
      <c r="A213" s="29">
        <f t="shared" si="26"/>
        <v>209</v>
      </c>
      <c r="B213" s="50" t="s">
        <v>718</v>
      </c>
      <c r="C213" s="51">
        <v>921578</v>
      </c>
      <c r="D213" s="52">
        <v>42410</v>
      </c>
      <c r="E213" s="55">
        <v>638235</v>
      </c>
      <c r="F213" s="192">
        <f t="shared" si="24"/>
        <v>638235</v>
      </c>
      <c r="G213" s="55">
        <f t="shared" si="27"/>
        <v>638235</v>
      </c>
      <c r="H213" s="61">
        <v>0</v>
      </c>
      <c r="I213" s="56">
        <v>1</v>
      </c>
      <c r="J213" s="197">
        <v>1</v>
      </c>
      <c r="K213" s="33">
        <f t="shared" si="25"/>
        <v>638235</v>
      </c>
      <c r="L213" s="33">
        <f t="shared" si="28"/>
        <v>638235</v>
      </c>
      <c r="M213" s="33">
        <f t="shared" si="29"/>
        <v>638235</v>
      </c>
      <c r="N213" s="30"/>
      <c r="O213" s="42" t="s">
        <v>1724</v>
      </c>
      <c r="P213" s="135"/>
    </row>
    <row r="214" spans="1:16">
      <c r="A214" s="29">
        <f t="shared" si="26"/>
        <v>210</v>
      </c>
      <c r="B214" s="50" t="s">
        <v>718</v>
      </c>
      <c r="C214" s="51">
        <v>921578</v>
      </c>
      <c r="D214" s="52">
        <v>42439</v>
      </c>
      <c r="E214" s="55">
        <v>638235</v>
      </c>
      <c r="F214" s="192">
        <f t="shared" si="24"/>
        <v>638235</v>
      </c>
      <c r="G214" s="55">
        <f t="shared" si="27"/>
        <v>638235</v>
      </c>
      <c r="H214" s="61">
        <v>0</v>
      </c>
      <c r="I214" s="56">
        <v>1</v>
      </c>
      <c r="J214" s="197">
        <v>1</v>
      </c>
      <c r="K214" s="33">
        <f t="shared" si="25"/>
        <v>638235</v>
      </c>
      <c r="L214" s="33">
        <f t="shared" si="28"/>
        <v>638235</v>
      </c>
      <c r="M214" s="33">
        <f t="shared" si="29"/>
        <v>638235</v>
      </c>
      <c r="N214" s="30"/>
      <c r="O214" s="42" t="s">
        <v>1725</v>
      </c>
      <c r="P214" s="135"/>
    </row>
    <row r="215" spans="1:16">
      <c r="A215" s="29">
        <f t="shared" si="26"/>
        <v>211</v>
      </c>
      <c r="B215" s="50" t="s">
        <v>718</v>
      </c>
      <c r="C215" s="51">
        <v>921578</v>
      </c>
      <c r="D215" s="52">
        <v>42470</v>
      </c>
      <c r="E215" s="202">
        <v>638235</v>
      </c>
      <c r="F215" s="192">
        <f t="shared" si="24"/>
        <v>638235</v>
      </c>
      <c r="G215" s="55">
        <f t="shared" si="27"/>
        <v>638235</v>
      </c>
      <c r="H215" s="61">
        <v>0</v>
      </c>
      <c r="I215" s="56">
        <v>1</v>
      </c>
      <c r="J215" s="197">
        <v>1</v>
      </c>
      <c r="K215" s="33">
        <f t="shared" si="25"/>
        <v>638235</v>
      </c>
      <c r="L215" s="33">
        <f t="shared" si="28"/>
        <v>638235</v>
      </c>
      <c r="M215" s="33">
        <f t="shared" si="29"/>
        <v>638235</v>
      </c>
      <c r="N215" s="129"/>
      <c r="O215" s="42" t="s">
        <v>1726</v>
      </c>
      <c r="P215" s="135"/>
    </row>
    <row r="216" spans="1:16">
      <c r="A216" s="29">
        <f t="shared" si="26"/>
        <v>212</v>
      </c>
      <c r="B216" s="50" t="s">
        <v>718</v>
      </c>
      <c r="C216" s="51">
        <v>921578</v>
      </c>
      <c r="D216" s="112">
        <v>42531</v>
      </c>
      <c r="E216" s="202">
        <v>638235</v>
      </c>
      <c r="F216" s="192">
        <f t="shared" si="24"/>
        <v>638235</v>
      </c>
      <c r="G216" s="55">
        <f t="shared" si="27"/>
        <v>638235</v>
      </c>
      <c r="H216" s="61">
        <v>0</v>
      </c>
      <c r="I216" s="56">
        <v>1</v>
      </c>
      <c r="J216" s="197">
        <v>1</v>
      </c>
      <c r="K216" s="33">
        <f t="shared" si="25"/>
        <v>638235</v>
      </c>
      <c r="L216" s="33">
        <f t="shared" si="28"/>
        <v>638235</v>
      </c>
      <c r="M216" s="33">
        <f t="shared" si="29"/>
        <v>638235</v>
      </c>
      <c r="N216" s="129"/>
      <c r="O216" s="42" t="s">
        <v>1728</v>
      </c>
      <c r="P216" s="135"/>
    </row>
    <row r="217" spans="1:16">
      <c r="A217" s="29">
        <f t="shared" si="26"/>
        <v>213</v>
      </c>
      <c r="B217" s="50" t="s">
        <v>718</v>
      </c>
      <c r="C217" s="51">
        <v>921578</v>
      </c>
      <c r="D217" s="112">
        <v>42561</v>
      </c>
      <c r="E217" s="202">
        <v>638235</v>
      </c>
      <c r="F217" s="192">
        <f t="shared" si="24"/>
        <v>638235</v>
      </c>
      <c r="G217" s="55">
        <f t="shared" si="27"/>
        <v>638235</v>
      </c>
      <c r="H217" s="61">
        <v>0</v>
      </c>
      <c r="I217" s="56">
        <v>1</v>
      </c>
      <c r="J217" s="197">
        <v>1</v>
      </c>
      <c r="K217" s="33">
        <f t="shared" si="25"/>
        <v>638235</v>
      </c>
      <c r="L217" s="33">
        <f t="shared" si="28"/>
        <v>638235</v>
      </c>
      <c r="M217" s="33">
        <f t="shared" si="29"/>
        <v>638235</v>
      </c>
      <c r="N217" s="129"/>
      <c r="O217" s="42" t="s">
        <v>1697</v>
      </c>
      <c r="P217" s="135"/>
    </row>
    <row r="218" spans="1:16">
      <c r="A218" s="29">
        <f t="shared" si="26"/>
        <v>214</v>
      </c>
      <c r="B218" s="50" t="s">
        <v>718</v>
      </c>
      <c r="C218" s="51">
        <v>921578</v>
      </c>
      <c r="D218" s="112">
        <v>42592</v>
      </c>
      <c r="E218" s="202">
        <v>638235</v>
      </c>
      <c r="F218" s="192">
        <f t="shared" si="24"/>
        <v>638235</v>
      </c>
      <c r="G218" s="55">
        <f t="shared" si="27"/>
        <v>638235</v>
      </c>
      <c r="H218" s="61">
        <v>0</v>
      </c>
      <c r="I218" s="56">
        <v>1</v>
      </c>
      <c r="J218" s="197">
        <v>1</v>
      </c>
      <c r="K218" s="33">
        <f t="shared" si="25"/>
        <v>638235</v>
      </c>
      <c r="L218" s="33">
        <f t="shared" si="28"/>
        <v>638235</v>
      </c>
      <c r="M218" s="33">
        <f t="shared" si="29"/>
        <v>638235</v>
      </c>
      <c r="N218" s="129"/>
      <c r="O218" s="42" t="s">
        <v>1698</v>
      </c>
      <c r="P218" s="135"/>
    </row>
    <row r="219" spans="1:16">
      <c r="A219" s="29">
        <f t="shared" si="26"/>
        <v>215</v>
      </c>
      <c r="B219" s="50" t="s">
        <v>718</v>
      </c>
      <c r="C219" s="51">
        <v>921578</v>
      </c>
      <c r="D219" s="112">
        <v>42623</v>
      </c>
      <c r="E219" s="202">
        <v>638235</v>
      </c>
      <c r="F219" s="192">
        <f t="shared" si="24"/>
        <v>638235</v>
      </c>
      <c r="G219" s="55">
        <f t="shared" si="27"/>
        <v>638235</v>
      </c>
      <c r="H219" s="61">
        <v>0</v>
      </c>
      <c r="I219" s="56">
        <v>1</v>
      </c>
      <c r="J219" s="197">
        <v>1</v>
      </c>
      <c r="K219" s="33">
        <f t="shared" si="25"/>
        <v>638235</v>
      </c>
      <c r="L219" s="33">
        <f t="shared" si="28"/>
        <v>638235</v>
      </c>
      <c r="M219" s="33">
        <f t="shared" si="29"/>
        <v>638235</v>
      </c>
      <c r="N219" s="129"/>
      <c r="O219" s="42" t="s">
        <v>1699</v>
      </c>
      <c r="P219" s="135"/>
    </row>
    <row r="220" spans="1:16">
      <c r="A220" s="29">
        <f t="shared" si="26"/>
        <v>216</v>
      </c>
      <c r="B220" s="50" t="s">
        <v>718</v>
      </c>
      <c r="C220" s="51">
        <v>921578</v>
      </c>
      <c r="D220" s="112">
        <v>42653</v>
      </c>
      <c r="E220" s="202">
        <v>638235</v>
      </c>
      <c r="F220" s="192">
        <f t="shared" si="24"/>
        <v>638235</v>
      </c>
      <c r="G220" s="55">
        <f t="shared" si="27"/>
        <v>638235</v>
      </c>
      <c r="H220" s="61">
        <v>0</v>
      </c>
      <c r="I220" s="56">
        <v>1</v>
      </c>
      <c r="J220" s="197">
        <v>1</v>
      </c>
      <c r="K220" s="33">
        <f t="shared" si="25"/>
        <v>638235</v>
      </c>
      <c r="L220" s="33">
        <f t="shared" si="28"/>
        <v>638235</v>
      </c>
      <c r="M220" s="33">
        <f t="shared" si="29"/>
        <v>638235</v>
      </c>
      <c r="N220" s="129"/>
      <c r="O220" s="42" t="s">
        <v>1700</v>
      </c>
      <c r="P220" s="135"/>
    </row>
    <row r="221" spans="1:16">
      <c r="A221" s="29">
        <f t="shared" si="26"/>
        <v>217</v>
      </c>
      <c r="B221" s="50" t="s">
        <v>718</v>
      </c>
      <c r="C221" s="51">
        <v>921578</v>
      </c>
      <c r="D221" s="112">
        <v>42684</v>
      </c>
      <c r="E221" s="202">
        <v>638235</v>
      </c>
      <c r="F221" s="192">
        <f t="shared" si="24"/>
        <v>638235</v>
      </c>
      <c r="G221" s="55">
        <f t="shared" si="27"/>
        <v>638235</v>
      </c>
      <c r="H221" s="61">
        <v>0</v>
      </c>
      <c r="I221" s="56">
        <v>1</v>
      </c>
      <c r="J221" s="197">
        <v>1</v>
      </c>
      <c r="K221" s="33">
        <f t="shared" si="25"/>
        <v>638235</v>
      </c>
      <c r="L221" s="33">
        <f t="shared" si="28"/>
        <v>638235</v>
      </c>
      <c r="M221" s="33">
        <f t="shared" si="29"/>
        <v>638235</v>
      </c>
      <c r="N221" s="129"/>
      <c r="O221" s="42" t="s">
        <v>1701</v>
      </c>
      <c r="P221" s="135"/>
    </row>
    <row r="222" spans="1:16">
      <c r="A222" s="29">
        <f t="shared" si="26"/>
        <v>218</v>
      </c>
      <c r="B222" s="50" t="s">
        <v>718</v>
      </c>
      <c r="C222" s="51">
        <v>921578</v>
      </c>
      <c r="D222" s="52">
        <v>42745</v>
      </c>
      <c r="E222" s="202">
        <v>638235</v>
      </c>
      <c r="F222" s="192">
        <f t="shared" si="24"/>
        <v>638235</v>
      </c>
      <c r="G222" s="55">
        <f t="shared" si="27"/>
        <v>638235</v>
      </c>
      <c r="H222" s="61">
        <v>0</v>
      </c>
      <c r="I222" s="56">
        <v>1</v>
      </c>
      <c r="J222" s="197">
        <v>1</v>
      </c>
      <c r="K222" s="33">
        <f t="shared" si="25"/>
        <v>638235</v>
      </c>
      <c r="L222" s="33">
        <f t="shared" si="28"/>
        <v>638235</v>
      </c>
      <c r="M222" s="33">
        <f t="shared" si="29"/>
        <v>638235</v>
      </c>
      <c r="N222" s="129"/>
      <c r="O222" s="42" t="s">
        <v>1703</v>
      </c>
      <c r="P222" s="135"/>
    </row>
    <row r="223" spans="1:16">
      <c r="A223" s="29">
        <f t="shared" si="26"/>
        <v>219</v>
      </c>
      <c r="B223" s="50" t="s">
        <v>718</v>
      </c>
      <c r="C223" s="51">
        <v>921578</v>
      </c>
      <c r="D223" s="52">
        <v>42776</v>
      </c>
      <c r="E223" s="202">
        <v>638235</v>
      </c>
      <c r="F223" s="192">
        <f t="shared" si="24"/>
        <v>638235</v>
      </c>
      <c r="G223" s="55">
        <f t="shared" si="27"/>
        <v>638235</v>
      </c>
      <c r="H223" s="61">
        <v>0</v>
      </c>
      <c r="I223" s="56">
        <v>1</v>
      </c>
      <c r="J223" s="197">
        <v>1</v>
      </c>
      <c r="K223" s="33">
        <f t="shared" si="25"/>
        <v>638235</v>
      </c>
      <c r="L223" s="33">
        <f t="shared" si="28"/>
        <v>638235</v>
      </c>
      <c r="M223" s="33">
        <f t="shared" si="29"/>
        <v>638235</v>
      </c>
      <c r="N223" s="129"/>
      <c r="O223" s="42" t="s">
        <v>1704</v>
      </c>
      <c r="P223" s="135"/>
    </row>
    <row r="224" spans="1:16">
      <c r="A224" s="29">
        <f t="shared" si="26"/>
        <v>220</v>
      </c>
      <c r="B224" s="50" t="s">
        <v>718</v>
      </c>
      <c r="C224" s="51">
        <v>921578</v>
      </c>
      <c r="D224" s="52">
        <v>42804</v>
      </c>
      <c r="E224" s="202">
        <v>638235</v>
      </c>
      <c r="F224" s="192">
        <f t="shared" si="24"/>
        <v>638235</v>
      </c>
      <c r="G224" s="55">
        <f t="shared" si="27"/>
        <v>638235</v>
      </c>
      <c r="H224" s="61">
        <v>0</v>
      </c>
      <c r="I224" s="56">
        <v>1</v>
      </c>
      <c r="J224" s="197">
        <v>1</v>
      </c>
      <c r="K224" s="33">
        <f t="shared" si="25"/>
        <v>638235</v>
      </c>
      <c r="L224" s="33">
        <f t="shared" si="28"/>
        <v>638235</v>
      </c>
      <c r="M224" s="33">
        <f t="shared" si="29"/>
        <v>638235</v>
      </c>
      <c r="N224" s="129"/>
      <c r="O224" s="42" t="s">
        <v>1705</v>
      </c>
      <c r="P224" s="135"/>
    </row>
    <row r="225" spans="1:16">
      <c r="A225" s="29">
        <f t="shared" si="26"/>
        <v>221</v>
      </c>
      <c r="B225" s="50" t="s">
        <v>718</v>
      </c>
      <c r="C225" s="51">
        <v>921578</v>
      </c>
      <c r="D225" s="52">
        <v>42835</v>
      </c>
      <c r="E225" s="202">
        <v>638235</v>
      </c>
      <c r="F225" s="192">
        <f t="shared" si="24"/>
        <v>638235</v>
      </c>
      <c r="G225" s="55">
        <f t="shared" si="27"/>
        <v>638235</v>
      </c>
      <c r="H225" s="61">
        <v>0</v>
      </c>
      <c r="I225" s="56">
        <v>1</v>
      </c>
      <c r="J225" s="197">
        <v>1</v>
      </c>
      <c r="K225" s="33">
        <f t="shared" si="25"/>
        <v>638235</v>
      </c>
      <c r="L225" s="33">
        <f t="shared" si="28"/>
        <v>638235</v>
      </c>
      <c r="M225" s="33">
        <f t="shared" si="29"/>
        <v>638235</v>
      </c>
      <c r="N225" s="129"/>
      <c r="O225" s="42" t="s">
        <v>1706</v>
      </c>
      <c r="P225" s="135"/>
    </row>
    <row r="226" spans="1:16">
      <c r="A226" s="29">
        <f t="shared" si="26"/>
        <v>222</v>
      </c>
      <c r="B226" s="50" t="s">
        <v>718</v>
      </c>
      <c r="C226" s="51">
        <v>921578</v>
      </c>
      <c r="D226" s="52">
        <v>42865</v>
      </c>
      <c r="E226" s="53">
        <v>638235</v>
      </c>
      <c r="F226" s="192">
        <f t="shared" si="24"/>
        <v>638235</v>
      </c>
      <c r="G226" s="55">
        <f t="shared" si="27"/>
        <v>638235</v>
      </c>
      <c r="H226" s="61">
        <v>0</v>
      </c>
      <c r="I226" s="56">
        <v>1</v>
      </c>
      <c r="J226" s="197">
        <v>1</v>
      </c>
      <c r="K226" s="33">
        <f t="shared" si="25"/>
        <v>638235</v>
      </c>
      <c r="L226" s="33">
        <f t="shared" si="28"/>
        <v>638235</v>
      </c>
      <c r="M226" s="185">
        <f t="shared" si="29"/>
        <v>638235</v>
      </c>
      <c r="N226" s="129"/>
      <c r="O226" s="42" t="s">
        <v>1707</v>
      </c>
      <c r="P226" s="135"/>
    </row>
    <row r="227" spans="1:16">
      <c r="A227" s="29">
        <f t="shared" si="26"/>
        <v>223</v>
      </c>
      <c r="B227" s="50" t="s">
        <v>718</v>
      </c>
      <c r="C227" s="51">
        <v>921578</v>
      </c>
      <c r="D227" s="52">
        <v>42896</v>
      </c>
      <c r="E227" s="209">
        <v>638235</v>
      </c>
      <c r="F227" s="192">
        <f t="shared" si="24"/>
        <v>638235</v>
      </c>
      <c r="G227" s="55">
        <f t="shared" si="27"/>
        <v>638235</v>
      </c>
      <c r="H227" s="61">
        <v>0</v>
      </c>
      <c r="I227" s="56">
        <v>1</v>
      </c>
      <c r="J227" s="197">
        <v>1</v>
      </c>
      <c r="K227" s="33">
        <f t="shared" si="25"/>
        <v>638235</v>
      </c>
      <c r="L227" s="33">
        <f t="shared" si="28"/>
        <v>638235</v>
      </c>
      <c r="M227" s="185">
        <f t="shared" si="29"/>
        <v>638235</v>
      </c>
      <c r="N227" s="129"/>
      <c r="O227" s="42" t="s">
        <v>1708</v>
      </c>
      <c r="P227" s="135"/>
    </row>
    <row r="228" spans="1:16">
      <c r="A228" s="29">
        <f t="shared" si="26"/>
        <v>224</v>
      </c>
      <c r="B228" s="50" t="s">
        <v>718</v>
      </c>
      <c r="C228" s="51">
        <v>921578</v>
      </c>
      <c r="D228" s="52">
        <v>42926</v>
      </c>
      <c r="E228" s="210">
        <v>638235</v>
      </c>
      <c r="F228" s="192">
        <f t="shared" si="24"/>
        <v>638235</v>
      </c>
      <c r="G228" s="55">
        <f t="shared" si="27"/>
        <v>638235</v>
      </c>
      <c r="H228" s="61">
        <v>0</v>
      </c>
      <c r="I228" s="56">
        <v>1</v>
      </c>
      <c r="J228" s="197">
        <v>1</v>
      </c>
      <c r="K228" s="33">
        <f t="shared" si="25"/>
        <v>638235</v>
      </c>
      <c r="L228" s="33">
        <f t="shared" si="28"/>
        <v>638235</v>
      </c>
      <c r="M228" s="185">
        <f t="shared" si="29"/>
        <v>638235</v>
      </c>
      <c r="N228" s="129"/>
      <c r="O228" s="42" t="s">
        <v>1709</v>
      </c>
      <c r="P228" s="135"/>
    </row>
    <row r="229" spans="1:16">
      <c r="A229" s="29">
        <f t="shared" si="26"/>
        <v>225</v>
      </c>
      <c r="B229" s="50" t="s">
        <v>718</v>
      </c>
      <c r="C229" s="51">
        <v>921578</v>
      </c>
      <c r="D229" s="52">
        <v>42957</v>
      </c>
      <c r="E229" s="210">
        <v>638235</v>
      </c>
      <c r="F229" s="192">
        <f t="shared" si="24"/>
        <v>638235</v>
      </c>
      <c r="G229" s="55">
        <f t="shared" si="27"/>
        <v>638235</v>
      </c>
      <c r="H229" s="61">
        <v>0</v>
      </c>
      <c r="I229" s="56">
        <v>1</v>
      </c>
      <c r="J229" s="197">
        <v>1</v>
      </c>
      <c r="K229" s="33">
        <f t="shared" si="25"/>
        <v>638235</v>
      </c>
      <c r="L229" s="33">
        <f t="shared" si="28"/>
        <v>638235</v>
      </c>
      <c r="M229" s="185">
        <f t="shared" si="29"/>
        <v>638235</v>
      </c>
      <c r="N229" s="129"/>
      <c r="O229" s="42" t="s">
        <v>1710</v>
      </c>
      <c r="P229" s="135"/>
    </row>
    <row r="230" spans="1:16">
      <c r="A230" s="29">
        <f t="shared" si="26"/>
        <v>226</v>
      </c>
      <c r="B230" s="50" t="s">
        <v>718</v>
      </c>
      <c r="C230" s="51">
        <v>921578</v>
      </c>
      <c r="D230" s="52">
        <v>43018</v>
      </c>
      <c r="E230" s="210">
        <v>638235</v>
      </c>
      <c r="F230" s="192">
        <f t="shared" si="24"/>
        <v>638235</v>
      </c>
      <c r="G230" s="55">
        <f t="shared" si="27"/>
        <v>638235</v>
      </c>
      <c r="H230" s="61">
        <v>0</v>
      </c>
      <c r="I230" s="56">
        <v>1</v>
      </c>
      <c r="J230" s="197">
        <v>1</v>
      </c>
      <c r="K230" s="33">
        <f t="shared" si="25"/>
        <v>638235</v>
      </c>
      <c r="L230" s="33">
        <f t="shared" si="28"/>
        <v>638235</v>
      </c>
      <c r="M230" s="185">
        <f t="shared" si="29"/>
        <v>638235</v>
      </c>
      <c r="N230" s="129"/>
      <c r="O230" s="42" t="s">
        <v>1712</v>
      </c>
      <c r="P230" s="135"/>
    </row>
    <row r="231" spans="1:16">
      <c r="A231" s="29">
        <f t="shared" si="26"/>
        <v>227</v>
      </c>
      <c r="B231" s="50" t="s">
        <v>718</v>
      </c>
      <c r="C231" s="51">
        <v>921578</v>
      </c>
      <c r="D231" s="52">
        <v>43110</v>
      </c>
      <c r="E231" s="191">
        <v>638235</v>
      </c>
      <c r="F231" s="192">
        <f t="shared" si="24"/>
        <v>638235</v>
      </c>
      <c r="G231" s="55">
        <f t="shared" si="27"/>
        <v>638235</v>
      </c>
      <c r="H231" s="61">
        <v>0</v>
      </c>
      <c r="I231" s="56">
        <v>1</v>
      </c>
      <c r="J231" s="197">
        <v>1</v>
      </c>
      <c r="K231" s="33">
        <f t="shared" si="25"/>
        <v>638235</v>
      </c>
      <c r="L231" s="33">
        <f t="shared" si="28"/>
        <v>638235</v>
      </c>
      <c r="M231" s="185">
        <f t="shared" si="29"/>
        <v>638235</v>
      </c>
      <c r="N231" s="129"/>
      <c r="O231" s="193" t="s">
        <v>1715</v>
      </c>
      <c r="P231" s="135"/>
    </row>
    <row r="232" spans="1:16">
      <c r="A232" s="29">
        <f t="shared" si="26"/>
        <v>228</v>
      </c>
      <c r="B232" s="50" t="s">
        <v>718</v>
      </c>
      <c r="C232" s="51">
        <v>921578</v>
      </c>
      <c r="D232" s="52">
        <v>43141</v>
      </c>
      <c r="E232" s="191">
        <v>638235</v>
      </c>
      <c r="F232" s="192">
        <f t="shared" si="24"/>
        <v>638235</v>
      </c>
      <c r="G232" s="55">
        <f t="shared" si="27"/>
        <v>638235</v>
      </c>
      <c r="H232" s="61">
        <v>0</v>
      </c>
      <c r="I232" s="56">
        <v>1</v>
      </c>
      <c r="J232" s="197">
        <v>1</v>
      </c>
      <c r="K232" s="33">
        <f t="shared" si="25"/>
        <v>638235</v>
      </c>
      <c r="L232" s="33">
        <f t="shared" si="28"/>
        <v>638235</v>
      </c>
      <c r="M232" s="185">
        <f t="shared" si="29"/>
        <v>638235</v>
      </c>
      <c r="N232" s="129"/>
      <c r="O232" s="193" t="s">
        <v>1716</v>
      </c>
      <c r="P232" s="135"/>
    </row>
    <row r="233" spans="1:16">
      <c r="A233" s="29">
        <f t="shared" si="26"/>
        <v>229</v>
      </c>
      <c r="B233" s="50" t="s">
        <v>718</v>
      </c>
      <c r="C233" s="51">
        <v>921578</v>
      </c>
      <c r="D233" s="52">
        <v>43200</v>
      </c>
      <c r="E233" s="191">
        <v>638235</v>
      </c>
      <c r="F233" s="192">
        <f t="shared" si="24"/>
        <v>638235</v>
      </c>
      <c r="G233" s="55">
        <f t="shared" si="27"/>
        <v>638235</v>
      </c>
      <c r="H233" s="61">
        <v>0</v>
      </c>
      <c r="I233" s="56">
        <v>1</v>
      </c>
      <c r="J233" s="197">
        <v>1</v>
      </c>
      <c r="K233" s="33">
        <f t="shared" si="25"/>
        <v>638235</v>
      </c>
      <c r="L233" s="33">
        <f t="shared" si="28"/>
        <v>638235</v>
      </c>
      <c r="M233" s="185">
        <f t="shared" si="29"/>
        <v>638235</v>
      </c>
      <c r="N233" s="186"/>
      <c r="O233" s="193" t="s">
        <v>1718</v>
      </c>
      <c r="P233" s="135"/>
    </row>
    <row r="234" spans="1:16">
      <c r="A234" s="29">
        <f t="shared" si="26"/>
        <v>230</v>
      </c>
      <c r="B234" s="50" t="s">
        <v>718</v>
      </c>
      <c r="C234" s="51">
        <v>921578</v>
      </c>
      <c r="D234" s="102">
        <v>43230</v>
      </c>
      <c r="E234" s="201">
        <v>638235</v>
      </c>
      <c r="F234" s="196">
        <f t="shared" si="24"/>
        <v>638235</v>
      </c>
      <c r="G234" s="196">
        <f>E234/I234</f>
        <v>638235</v>
      </c>
      <c r="H234" s="196">
        <v>0</v>
      </c>
      <c r="I234" s="197">
        <v>1</v>
      </c>
      <c r="J234" s="197">
        <v>1</v>
      </c>
      <c r="K234" s="198">
        <f t="shared" si="25"/>
        <v>638235</v>
      </c>
      <c r="L234" s="198">
        <f>G234*J234</f>
        <v>638235</v>
      </c>
      <c r="M234" s="199">
        <f>J234*K234</f>
        <v>638235</v>
      </c>
      <c r="N234" s="187"/>
      <c r="O234" s="200" t="s">
        <v>1719</v>
      </c>
      <c r="P234" s="135"/>
    </row>
    <row r="235" spans="1:16">
      <c r="A235" s="29">
        <f t="shared" si="26"/>
        <v>231</v>
      </c>
      <c r="B235" s="50" t="s">
        <v>718</v>
      </c>
      <c r="C235" s="51">
        <v>921578</v>
      </c>
      <c r="D235" s="52">
        <v>43261</v>
      </c>
      <c r="E235" s="202">
        <v>638235</v>
      </c>
      <c r="F235" s="196">
        <f t="shared" si="24"/>
        <v>638235</v>
      </c>
      <c r="G235" s="196">
        <f>E235/I235</f>
        <v>638235</v>
      </c>
      <c r="H235" s="196">
        <v>0</v>
      </c>
      <c r="I235" s="197">
        <v>1</v>
      </c>
      <c r="J235" s="197">
        <v>1</v>
      </c>
      <c r="K235" s="198">
        <f t="shared" si="25"/>
        <v>638235</v>
      </c>
      <c r="L235" s="198">
        <f>G235*J235</f>
        <v>638235</v>
      </c>
      <c r="M235" s="199">
        <f>J235*K235</f>
        <v>638235</v>
      </c>
      <c r="N235" s="187"/>
      <c r="O235" s="200" t="s">
        <v>1720</v>
      </c>
      <c r="P235" s="135"/>
    </row>
    <row r="236" spans="1:16">
      <c r="A236" s="29">
        <f t="shared" si="26"/>
        <v>232</v>
      </c>
      <c r="B236" s="50" t="s">
        <v>737</v>
      </c>
      <c r="C236" s="51" t="s">
        <v>738</v>
      </c>
      <c r="D236" s="52">
        <v>43261</v>
      </c>
      <c r="E236" s="202">
        <v>2827012</v>
      </c>
      <c r="F236" s="196">
        <f t="shared" si="24"/>
        <v>2827012</v>
      </c>
      <c r="G236" s="196">
        <f>E236/I236</f>
        <v>2827012</v>
      </c>
      <c r="H236" s="196">
        <v>0</v>
      </c>
      <c r="I236" s="197">
        <v>1</v>
      </c>
      <c r="J236" s="197">
        <v>1</v>
      </c>
      <c r="K236" s="198">
        <f t="shared" si="25"/>
        <v>2827012</v>
      </c>
      <c r="L236" s="198">
        <f>G236*J236</f>
        <v>2827012</v>
      </c>
      <c r="M236" s="199">
        <f>J236*K236</f>
        <v>2827012</v>
      </c>
      <c r="N236" s="187"/>
      <c r="O236" s="200" t="s">
        <v>1720</v>
      </c>
      <c r="P236" s="135"/>
    </row>
    <row r="237" spans="1:16">
      <c r="A237" s="29">
        <f t="shared" si="26"/>
        <v>233</v>
      </c>
      <c r="B237" s="50" t="s">
        <v>737</v>
      </c>
      <c r="C237" s="86" t="s">
        <v>738</v>
      </c>
      <c r="D237" s="52">
        <v>43261</v>
      </c>
      <c r="E237" s="202">
        <v>192102</v>
      </c>
      <c r="F237" s="196">
        <f t="shared" si="24"/>
        <v>192102</v>
      </c>
      <c r="G237" s="196">
        <f>E237/I237</f>
        <v>192102</v>
      </c>
      <c r="H237" s="196">
        <v>0</v>
      </c>
      <c r="I237" s="197">
        <v>1</v>
      </c>
      <c r="J237" s="197">
        <v>1</v>
      </c>
      <c r="K237" s="198">
        <f t="shared" si="25"/>
        <v>192102</v>
      </c>
      <c r="L237" s="198">
        <f>G237*J237</f>
        <v>192102</v>
      </c>
      <c r="M237" s="199">
        <f>J237*K237</f>
        <v>192102</v>
      </c>
      <c r="N237" s="187"/>
      <c r="O237" s="200" t="s">
        <v>1720</v>
      </c>
      <c r="P237" s="135"/>
    </row>
    <row r="238" spans="1:16">
      <c r="A238" s="29">
        <f t="shared" si="26"/>
        <v>234</v>
      </c>
      <c r="B238" s="50" t="s">
        <v>806</v>
      </c>
      <c r="C238" s="51">
        <v>960616</v>
      </c>
      <c r="D238" s="52">
        <v>43261</v>
      </c>
      <c r="E238" s="202">
        <v>538685</v>
      </c>
      <c r="F238" s="196">
        <f t="shared" si="24"/>
        <v>538685</v>
      </c>
      <c r="G238" s="196">
        <f>E238/I238</f>
        <v>538685</v>
      </c>
      <c r="H238" s="196">
        <v>0</v>
      </c>
      <c r="I238" s="197">
        <v>1</v>
      </c>
      <c r="J238" s="197">
        <v>1</v>
      </c>
      <c r="K238" s="198">
        <f t="shared" si="25"/>
        <v>538685</v>
      </c>
      <c r="L238" s="198">
        <f>G238*J238</f>
        <v>538685</v>
      </c>
      <c r="M238" s="199">
        <f>J238*K238</f>
        <v>538685</v>
      </c>
      <c r="N238" s="187"/>
      <c r="O238" s="200" t="s">
        <v>1720</v>
      </c>
      <c r="P238" s="135"/>
    </row>
    <row r="239" spans="1:16">
      <c r="A239" s="29">
        <f t="shared" si="26"/>
        <v>235</v>
      </c>
      <c r="B239" s="55" t="s">
        <v>1730</v>
      </c>
      <c r="C239" s="64" t="s">
        <v>836</v>
      </c>
      <c r="D239" s="52">
        <v>42879</v>
      </c>
      <c r="E239" s="202">
        <v>52429</v>
      </c>
      <c r="F239" s="192">
        <f t="shared" si="24"/>
        <v>52429</v>
      </c>
      <c r="G239" s="55">
        <f t="shared" ref="G239:G259" si="30">+E239/I239</f>
        <v>52429</v>
      </c>
      <c r="H239" s="61">
        <v>0</v>
      </c>
      <c r="I239" s="56">
        <v>1</v>
      </c>
      <c r="J239" s="197">
        <v>1</v>
      </c>
      <c r="K239" s="33">
        <f t="shared" si="25"/>
        <v>52429</v>
      </c>
      <c r="L239" s="33">
        <f t="shared" ref="L239:L259" si="31">+J239*K239</f>
        <v>52429</v>
      </c>
      <c r="M239" s="185">
        <f t="shared" ref="M239:M259" si="32">+G239*J239</f>
        <v>52429</v>
      </c>
      <c r="N239" s="186"/>
      <c r="O239" s="42" t="s">
        <v>1731</v>
      </c>
      <c r="P239" s="135"/>
    </row>
    <row r="240" spans="1:16">
      <c r="A240" s="29">
        <f t="shared" si="26"/>
        <v>236</v>
      </c>
      <c r="B240" s="50" t="s">
        <v>835</v>
      </c>
      <c r="C240" s="51" t="s">
        <v>836</v>
      </c>
      <c r="D240" s="52">
        <v>42926</v>
      </c>
      <c r="E240" s="210">
        <v>404615</v>
      </c>
      <c r="F240" s="192">
        <f t="shared" si="24"/>
        <v>404615</v>
      </c>
      <c r="G240" s="55">
        <f t="shared" si="30"/>
        <v>404615</v>
      </c>
      <c r="H240" s="61">
        <v>0</v>
      </c>
      <c r="I240" s="56">
        <v>1</v>
      </c>
      <c r="J240" s="197">
        <v>1</v>
      </c>
      <c r="K240" s="33">
        <f t="shared" si="25"/>
        <v>404615</v>
      </c>
      <c r="L240" s="33">
        <f t="shared" si="31"/>
        <v>404615</v>
      </c>
      <c r="M240" s="185">
        <f t="shared" si="32"/>
        <v>404615</v>
      </c>
      <c r="N240" s="129"/>
      <c r="O240" s="42" t="s">
        <v>1709</v>
      </c>
      <c r="P240" s="135"/>
    </row>
    <row r="241" spans="1:16">
      <c r="A241" s="29">
        <f t="shared" si="26"/>
        <v>237</v>
      </c>
      <c r="B241" s="50" t="s">
        <v>835</v>
      </c>
      <c r="C241" s="51" t="s">
        <v>836</v>
      </c>
      <c r="D241" s="52">
        <v>42926</v>
      </c>
      <c r="E241" s="212">
        <v>404615</v>
      </c>
      <c r="F241" s="192">
        <f t="shared" si="24"/>
        <v>404615</v>
      </c>
      <c r="G241" s="55">
        <f t="shared" si="30"/>
        <v>404615</v>
      </c>
      <c r="H241" s="61">
        <v>0</v>
      </c>
      <c r="I241" s="56">
        <v>1</v>
      </c>
      <c r="J241" s="197">
        <v>1</v>
      </c>
      <c r="K241" s="33">
        <f t="shared" si="25"/>
        <v>404615</v>
      </c>
      <c r="L241" s="33">
        <f t="shared" si="31"/>
        <v>404615</v>
      </c>
      <c r="M241" s="185">
        <f t="shared" si="32"/>
        <v>404615</v>
      </c>
      <c r="N241" s="129"/>
      <c r="O241" s="42" t="s">
        <v>1709</v>
      </c>
      <c r="P241" s="135"/>
    </row>
    <row r="242" spans="1:16">
      <c r="A242" s="29">
        <f t="shared" si="26"/>
        <v>238</v>
      </c>
      <c r="B242" s="50" t="s">
        <v>835</v>
      </c>
      <c r="C242" s="51" t="s">
        <v>836</v>
      </c>
      <c r="D242" s="52">
        <v>42957</v>
      </c>
      <c r="E242" s="210">
        <v>404615</v>
      </c>
      <c r="F242" s="192">
        <f t="shared" si="24"/>
        <v>404615</v>
      </c>
      <c r="G242" s="55">
        <f t="shared" si="30"/>
        <v>404615</v>
      </c>
      <c r="H242" s="61">
        <v>0</v>
      </c>
      <c r="I242" s="56">
        <v>1</v>
      </c>
      <c r="J242" s="197">
        <v>1</v>
      </c>
      <c r="K242" s="33">
        <f t="shared" si="25"/>
        <v>404615</v>
      </c>
      <c r="L242" s="33">
        <f t="shared" si="31"/>
        <v>404615</v>
      </c>
      <c r="M242" s="185">
        <f t="shared" si="32"/>
        <v>404615</v>
      </c>
      <c r="N242" s="129"/>
      <c r="O242" s="42" t="s">
        <v>1710</v>
      </c>
      <c r="P242" s="135"/>
    </row>
    <row r="243" spans="1:16">
      <c r="A243" s="29">
        <f t="shared" si="26"/>
        <v>239</v>
      </c>
      <c r="B243" s="50" t="s">
        <v>835</v>
      </c>
      <c r="C243" s="51" t="s">
        <v>836</v>
      </c>
      <c r="D243" s="52">
        <v>42957</v>
      </c>
      <c r="E243" s="212">
        <v>404615</v>
      </c>
      <c r="F243" s="192">
        <f t="shared" si="24"/>
        <v>404615</v>
      </c>
      <c r="G243" s="55">
        <f t="shared" si="30"/>
        <v>404615</v>
      </c>
      <c r="H243" s="61">
        <v>0</v>
      </c>
      <c r="I243" s="56">
        <v>1</v>
      </c>
      <c r="J243" s="197">
        <v>1</v>
      </c>
      <c r="K243" s="33">
        <f t="shared" si="25"/>
        <v>404615</v>
      </c>
      <c r="L243" s="33">
        <f t="shared" si="31"/>
        <v>404615</v>
      </c>
      <c r="M243" s="185">
        <f t="shared" si="32"/>
        <v>404615</v>
      </c>
      <c r="N243" s="129"/>
      <c r="O243" s="42" t="s">
        <v>1710</v>
      </c>
      <c r="P243" s="135"/>
    </row>
    <row r="244" spans="1:16">
      <c r="A244" s="29">
        <f t="shared" si="26"/>
        <v>240</v>
      </c>
      <c r="B244" s="50" t="s">
        <v>835</v>
      </c>
      <c r="C244" s="51" t="s">
        <v>836</v>
      </c>
      <c r="D244" s="52">
        <v>42988</v>
      </c>
      <c r="E244" s="210">
        <v>404615</v>
      </c>
      <c r="F244" s="192">
        <f t="shared" si="24"/>
        <v>404615</v>
      </c>
      <c r="G244" s="55">
        <f t="shared" si="30"/>
        <v>404615</v>
      </c>
      <c r="H244" s="61">
        <v>0</v>
      </c>
      <c r="I244" s="56">
        <v>1</v>
      </c>
      <c r="J244" s="197">
        <v>1</v>
      </c>
      <c r="K244" s="33">
        <f t="shared" si="25"/>
        <v>404615</v>
      </c>
      <c r="L244" s="33">
        <f t="shared" si="31"/>
        <v>404615</v>
      </c>
      <c r="M244" s="185">
        <f t="shared" si="32"/>
        <v>404615</v>
      </c>
      <c r="N244" s="186"/>
      <c r="O244" s="42" t="s">
        <v>1711</v>
      </c>
      <c r="P244" s="135"/>
    </row>
    <row r="245" spans="1:16">
      <c r="A245" s="29">
        <f t="shared" si="26"/>
        <v>241</v>
      </c>
      <c r="B245" s="50" t="s">
        <v>835</v>
      </c>
      <c r="C245" s="51" t="s">
        <v>836</v>
      </c>
      <c r="D245" s="52">
        <v>42988</v>
      </c>
      <c r="E245" s="212">
        <v>404615</v>
      </c>
      <c r="F245" s="192">
        <f t="shared" si="24"/>
        <v>404615</v>
      </c>
      <c r="G245" s="55">
        <f t="shared" si="30"/>
        <v>404615</v>
      </c>
      <c r="H245" s="61">
        <v>0</v>
      </c>
      <c r="I245" s="56">
        <v>1</v>
      </c>
      <c r="J245" s="197">
        <v>1</v>
      </c>
      <c r="K245" s="33">
        <f t="shared" si="25"/>
        <v>404615</v>
      </c>
      <c r="L245" s="33">
        <f t="shared" si="31"/>
        <v>404615</v>
      </c>
      <c r="M245" s="185">
        <f t="shared" si="32"/>
        <v>404615</v>
      </c>
      <c r="N245" s="186"/>
      <c r="O245" s="42" t="s">
        <v>1711</v>
      </c>
      <c r="P245" s="135"/>
    </row>
    <row r="246" spans="1:16">
      <c r="A246" s="29">
        <f t="shared" si="26"/>
        <v>242</v>
      </c>
      <c r="B246" s="50" t="s">
        <v>835</v>
      </c>
      <c r="C246" s="51" t="s">
        <v>836</v>
      </c>
      <c r="D246" s="52">
        <v>43018</v>
      </c>
      <c r="E246" s="210">
        <v>404615</v>
      </c>
      <c r="F246" s="192">
        <f t="shared" si="24"/>
        <v>404615</v>
      </c>
      <c r="G246" s="55">
        <f t="shared" si="30"/>
        <v>404615</v>
      </c>
      <c r="H246" s="61">
        <v>0</v>
      </c>
      <c r="I246" s="56">
        <v>1</v>
      </c>
      <c r="J246" s="197">
        <v>1</v>
      </c>
      <c r="K246" s="33">
        <f t="shared" si="25"/>
        <v>404615</v>
      </c>
      <c r="L246" s="33">
        <f t="shared" si="31"/>
        <v>404615</v>
      </c>
      <c r="M246" s="185">
        <f t="shared" si="32"/>
        <v>404615</v>
      </c>
      <c r="N246" s="129"/>
      <c r="O246" s="42" t="s">
        <v>1712</v>
      </c>
      <c r="P246" s="135"/>
    </row>
    <row r="247" spans="1:16">
      <c r="A247" s="29">
        <f t="shared" si="26"/>
        <v>243</v>
      </c>
      <c r="B247" s="50" t="s">
        <v>835</v>
      </c>
      <c r="C247" s="51" t="s">
        <v>836</v>
      </c>
      <c r="D247" s="52">
        <v>43018</v>
      </c>
      <c r="E247" s="212">
        <v>404615</v>
      </c>
      <c r="F247" s="192">
        <f t="shared" si="24"/>
        <v>404615</v>
      </c>
      <c r="G247" s="55">
        <f t="shared" si="30"/>
        <v>404615</v>
      </c>
      <c r="H247" s="61">
        <v>0</v>
      </c>
      <c r="I247" s="56">
        <v>1</v>
      </c>
      <c r="J247" s="197">
        <v>1</v>
      </c>
      <c r="K247" s="33">
        <f t="shared" si="25"/>
        <v>404615</v>
      </c>
      <c r="L247" s="33">
        <f t="shared" si="31"/>
        <v>404615</v>
      </c>
      <c r="M247" s="185">
        <f t="shared" si="32"/>
        <v>404615</v>
      </c>
      <c r="N247" s="129"/>
      <c r="O247" s="42" t="s">
        <v>1712</v>
      </c>
      <c r="P247" s="135"/>
    </row>
    <row r="248" spans="1:16">
      <c r="A248" s="29">
        <f t="shared" si="26"/>
        <v>244</v>
      </c>
      <c r="B248" s="50" t="s">
        <v>835</v>
      </c>
      <c r="C248" s="51" t="s">
        <v>836</v>
      </c>
      <c r="D248" s="52">
        <v>43049</v>
      </c>
      <c r="E248" s="210">
        <v>404615</v>
      </c>
      <c r="F248" s="192">
        <f t="shared" si="24"/>
        <v>404615</v>
      </c>
      <c r="G248" s="55">
        <f t="shared" si="30"/>
        <v>404615</v>
      </c>
      <c r="H248" s="61">
        <v>0</v>
      </c>
      <c r="I248" s="56">
        <v>1</v>
      </c>
      <c r="J248" s="197">
        <v>1</v>
      </c>
      <c r="K248" s="33">
        <f t="shared" si="25"/>
        <v>404615</v>
      </c>
      <c r="L248" s="33">
        <f t="shared" si="31"/>
        <v>404615</v>
      </c>
      <c r="M248" s="185">
        <f t="shared" si="32"/>
        <v>404615</v>
      </c>
      <c r="N248" s="129"/>
      <c r="O248" s="42" t="s">
        <v>1713</v>
      </c>
      <c r="P248" s="135"/>
    </row>
    <row r="249" spans="1:16">
      <c r="A249" s="29">
        <f t="shared" si="26"/>
        <v>245</v>
      </c>
      <c r="B249" s="50" t="s">
        <v>835</v>
      </c>
      <c r="C249" s="51" t="s">
        <v>836</v>
      </c>
      <c r="D249" s="52">
        <v>43049</v>
      </c>
      <c r="E249" s="212">
        <v>404615</v>
      </c>
      <c r="F249" s="192">
        <f t="shared" si="24"/>
        <v>404615</v>
      </c>
      <c r="G249" s="55">
        <f t="shared" si="30"/>
        <v>404615</v>
      </c>
      <c r="H249" s="61">
        <v>0</v>
      </c>
      <c r="I249" s="56">
        <v>1</v>
      </c>
      <c r="J249" s="197">
        <v>1</v>
      </c>
      <c r="K249" s="33">
        <f t="shared" si="25"/>
        <v>404615</v>
      </c>
      <c r="L249" s="33">
        <f t="shared" si="31"/>
        <v>404615</v>
      </c>
      <c r="M249" s="185">
        <f t="shared" si="32"/>
        <v>404615</v>
      </c>
      <c r="N249" s="129"/>
      <c r="O249" s="42" t="s">
        <v>1713</v>
      </c>
      <c r="P249" s="135"/>
    </row>
    <row r="250" spans="1:16">
      <c r="A250" s="29">
        <f t="shared" si="26"/>
        <v>246</v>
      </c>
      <c r="B250" s="50" t="s">
        <v>835</v>
      </c>
      <c r="C250" s="51" t="s">
        <v>836</v>
      </c>
      <c r="D250" s="52">
        <v>43079</v>
      </c>
      <c r="E250" s="191">
        <v>404615</v>
      </c>
      <c r="F250" s="192">
        <f t="shared" si="24"/>
        <v>404615</v>
      </c>
      <c r="G250" s="55">
        <f t="shared" si="30"/>
        <v>404615</v>
      </c>
      <c r="H250" s="61">
        <v>0</v>
      </c>
      <c r="I250" s="56">
        <v>1</v>
      </c>
      <c r="J250" s="197">
        <v>1</v>
      </c>
      <c r="K250" s="33">
        <f t="shared" si="25"/>
        <v>404615</v>
      </c>
      <c r="L250" s="33">
        <f t="shared" si="31"/>
        <v>404615</v>
      </c>
      <c r="M250" s="185">
        <f t="shared" si="32"/>
        <v>404615</v>
      </c>
      <c r="N250" s="129"/>
      <c r="O250" s="193" t="s">
        <v>1714</v>
      </c>
      <c r="P250" s="135"/>
    </row>
    <row r="251" spans="1:16">
      <c r="A251" s="29">
        <f t="shared" si="26"/>
        <v>247</v>
      </c>
      <c r="B251" s="50" t="s">
        <v>835</v>
      </c>
      <c r="C251" s="51" t="s">
        <v>836</v>
      </c>
      <c r="D251" s="52">
        <v>43079</v>
      </c>
      <c r="E251" s="194">
        <v>404615</v>
      </c>
      <c r="F251" s="192">
        <f t="shared" si="24"/>
        <v>404615</v>
      </c>
      <c r="G251" s="55">
        <f t="shared" si="30"/>
        <v>404615</v>
      </c>
      <c r="H251" s="61">
        <v>0</v>
      </c>
      <c r="I251" s="56">
        <v>1</v>
      </c>
      <c r="J251" s="197">
        <v>1</v>
      </c>
      <c r="K251" s="33">
        <f t="shared" si="25"/>
        <v>404615</v>
      </c>
      <c r="L251" s="33">
        <f t="shared" si="31"/>
        <v>404615</v>
      </c>
      <c r="M251" s="185">
        <f t="shared" si="32"/>
        <v>404615</v>
      </c>
      <c r="N251" s="129"/>
      <c r="O251" s="193" t="s">
        <v>1714</v>
      </c>
      <c r="P251" s="135"/>
    </row>
    <row r="252" spans="1:16">
      <c r="A252" s="29">
        <f t="shared" si="26"/>
        <v>248</v>
      </c>
      <c r="B252" s="50" t="s">
        <v>835</v>
      </c>
      <c r="C252" s="51" t="s">
        <v>836</v>
      </c>
      <c r="D252" s="52">
        <v>43110</v>
      </c>
      <c r="E252" s="191">
        <v>404615</v>
      </c>
      <c r="F252" s="192">
        <f t="shared" si="24"/>
        <v>404615</v>
      </c>
      <c r="G252" s="55">
        <f t="shared" si="30"/>
        <v>404615</v>
      </c>
      <c r="H252" s="61">
        <v>0</v>
      </c>
      <c r="I252" s="56">
        <v>1</v>
      </c>
      <c r="J252" s="197">
        <v>1</v>
      </c>
      <c r="K252" s="33">
        <f t="shared" si="25"/>
        <v>404615</v>
      </c>
      <c r="L252" s="33">
        <f t="shared" si="31"/>
        <v>404615</v>
      </c>
      <c r="M252" s="185">
        <f t="shared" si="32"/>
        <v>404615</v>
      </c>
      <c r="N252" s="129"/>
      <c r="O252" s="193" t="s">
        <v>1715</v>
      </c>
      <c r="P252" s="135"/>
    </row>
    <row r="253" spans="1:16">
      <c r="A253" s="29">
        <f t="shared" si="26"/>
        <v>249</v>
      </c>
      <c r="B253" s="50" t="s">
        <v>835</v>
      </c>
      <c r="C253" s="51" t="s">
        <v>836</v>
      </c>
      <c r="D253" s="52">
        <v>43110</v>
      </c>
      <c r="E253" s="194">
        <v>404615</v>
      </c>
      <c r="F253" s="192">
        <f t="shared" si="24"/>
        <v>404615</v>
      </c>
      <c r="G253" s="55">
        <f t="shared" si="30"/>
        <v>404615</v>
      </c>
      <c r="H253" s="61">
        <v>0</v>
      </c>
      <c r="I253" s="56">
        <v>1</v>
      </c>
      <c r="J253" s="197">
        <v>1</v>
      </c>
      <c r="K253" s="33">
        <f t="shared" si="25"/>
        <v>404615</v>
      </c>
      <c r="L253" s="33">
        <f t="shared" si="31"/>
        <v>404615</v>
      </c>
      <c r="M253" s="185">
        <f t="shared" si="32"/>
        <v>404615</v>
      </c>
      <c r="N253" s="129"/>
      <c r="O253" s="193" t="s">
        <v>1715</v>
      </c>
      <c r="P253" s="135"/>
    </row>
    <row r="254" spans="1:16">
      <c r="A254" s="29">
        <f t="shared" si="26"/>
        <v>250</v>
      </c>
      <c r="B254" s="50" t="s">
        <v>835</v>
      </c>
      <c r="C254" s="51" t="s">
        <v>836</v>
      </c>
      <c r="D254" s="52">
        <v>43141</v>
      </c>
      <c r="E254" s="191">
        <v>404615</v>
      </c>
      <c r="F254" s="192">
        <f t="shared" si="24"/>
        <v>404615</v>
      </c>
      <c r="G254" s="55">
        <f t="shared" si="30"/>
        <v>404615</v>
      </c>
      <c r="H254" s="61">
        <v>0</v>
      </c>
      <c r="I254" s="56">
        <v>1</v>
      </c>
      <c r="J254" s="197">
        <v>1</v>
      </c>
      <c r="K254" s="33">
        <f t="shared" si="25"/>
        <v>404615</v>
      </c>
      <c r="L254" s="33">
        <f t="shared" si="31"/>
        <v>404615</v>
      </c>
      <c r="M254" s="185">
        <f t="shared" si="32"/>
        <v>404615</v>
      </c>
      <c r="N254" s="129"/>
      <c r="O254" s="193" t="s">
        <v>1716</v>
      </c>
      <c r="P254" s="135"/>
    </row>
    <row r="255" spans="1:16">
      <c r="A255" s="29">
        <f t="shared" si="26"/>
        <v>251</v>
      </c>
      <c r="B255" s="50" t="s">
        <v>835</v>
      </c>
      <c r="C255" s="51" t="s">
        <v>836</v>
      </c>
      <c r="D255" s="52">
        <v>43141</v>
      </c>
      <c r="E255" s="194">
        <v>404615</v>
      </c>
      <c r="F255" s="192">
        <f t="shared" si="24"/>
        <v>404615</v>
      </c>
      <c r="G255" s="55">
        <f t="shared" si="30"/>
        <v>404615</v>
      </c>
      <c r="H255" s="61">
        <v>0</v>
      </c>
      <c r="I255" s="56">
        <v>1</v>
      </c>
      <c r="J255" s="197">
        <v>1</v>
      </c>
      <c r="K255" s="33">
        <f t="shared" si="25"/>
        <v>404615</v>
      </c>
      <c r="L255" s="33">
        <f t="shared" si="31"/>
        <v>404615</v>
      </c>
      <c r="M255" s="185">
        <f t="shared" si="32"/>
        <v>404615</v>
      </c>
      <c r="N255" s="129"/>
      <c r="O255" s="193" t="s">
        <v>1716</v>
      </c>
      <c r="P255" s="135"/>
    </row>
    <row r="256" spans="1:16">
      <c r="A256" s="29">
        <f t="shared" si="26"/>
        <v>252</v>
      </c>
      <c r="B256" s="50" t="s">
        <v>835</v>
      </c>
      <c r="C256" s="51" t="s">
        <v>836</v>
      </c>
      <c r="D256" s="52">
        <v>43169</v>
      </c>
      <c r="E256" s="191">
        <v>404615</v>
      </c>
      <c r="F256" s="192">
        <f t="shared" si="24"/>
        <v>404615</v>
      </c>
      <c r="G256" s="55">
        <f t="shared" si="30"/>
        <v>404615</v>
      </c>
      <c r="H256" s="61">
        <v>0</v>
      </c>
      <c r="I256" s="56">
        <v>1</v>
      </c>
      <c r="J256" s="197">
        <v>1</v>
      </c>
      <c r="K256" s="33">
        <f t="shared" si="25"/>
        <v>404615</v>
      </c>
      <c r="L256" s="33">
        <f t="shared" si="31"/>
        <v>404615</v>
      </c>
      <c r="M256" s="185">
        <f t="shared" si="32"/>
        <v>404615</v>
      </c>
      <c r="N256" s="129"/>
      <c r="O256" s="193" t="s">
        <v>1717</v>
      </c>
      <c r="P256" s="135"/>
    </row>
    <row r="257" spans="1:16">
      <c r="A257" s="29">
        <f t="shared" si="26"/>
        <v>253</v>
      </c>
      <c r="B257" s="50" t="s">
        <v>835</v>
      </c>
      <c r="C257" s="51" t="s">
        <v>836</v>
      </c>
      <c r="D257" s="52">
        <v>43169</v>
      </c>
      <c r="E257" s="194">
        <v>404615</v>
      </c>
      <c r="F257" s="192">
        <f t="shared" si="24"/>
        <v>404615</v>
      </c>
      <c r="G257" s="55">
        <f t="shared" si="30"/>
        <v>404615</v>
      </c>
      <c r="H257" s="61">
        <v>0</v>
      </c>
      <c r="I257" s="56">
        <v>1</v>
      </c>
      <c r="J257" s="197">
        <v>1</v>
      </c>
      <c r="K257" s="33">
        <f t="shared" si="25"/>
        <v>404615</v>
      </c>
      <c r="L257" s="33">
        <f t="shared" si="31"/>
        <v>404615</v>
      </c>
      <c r="M257" s="185">
        <f t="shared" si="32"/>
        <v>404615</v>
      </c>
      <c r="N257" s="129"/>
      <c r="O257" s="193" t="s">
        <v>1717</v>
      </c>
      <c r="P257" s="135"/>
    </row>
    <row r="258" spans="1:16">
      <c r="A258" s="29">
        <f t="shared" si="26"/>
        <v>254</v>
      </c>
      <c r="B258" s="50" t="s">
        <v>835</v>
      </c>
      <c r="C258" s="51" t="s">
        <v>836</v>
      </c>
      <c r="D258" s="52">
        <v>43200</v>
      </c>
      <c r="E258" s="191">
        <v>404615</v>
      </c>
      <c r="F258" s="192">
        <f t="shared" si="24"/>
        <v>404615</v>
      </c>
      <c r="G258" s="55">
        <f t="shared" si="30"/>
        <v>404615</v>
      </c>
      <c r="H258" s="61">
        <v>0</v>
      </c>
      <c r="I258" s="56">
        <v>1</v>
      </c>
      <c r="J258" s="197">
        <v>1</v>
      </c>
      <c r="K258" s="33">
        <f t="shared" si="25"/>
        <v>404615</v>
      </c>
      <c r="L258" s="33">
        <f t="shared" si="31"/>
        <v>404615</v>
      </c>
      <c r="M258" s="185">
        <f t="shared" si="32"/>
        <v>404615</v>
      </c>
      <c r="N258" s="186"/>
      <c r="O258" s="193" t="s">
        <v>1718</v>
      </c>
      <c r="P258" s="135"/>
    </row>
    <row r="259" spans="1:16">
      <c r="A259" s="29">
        <f t="shared" si="26"/>
        <v>255</v>
      </c>
      <c r="B259" s="50" t="s">
        <v>835</v>
      </c>
      <c r="C259" s="51" t="s">
        <v>836</v>
      </c>
      <c r="D259" s="52">
        <v>43200</v>
      </c>
      <c r="E259" s="194">
        <v>404615</v>
      </c>
      <c r="F259" s="192">
        <f t="shared" si="24"/>
        <v>404615</v>
      </c>
      <c r="G259" s="55">
        <f t="shared" si="30"/>
        <v>404615</v>
      </c>
      <c r="H259" s="61">
        <v>0</v>
      </c>
      <c r="I259" s="56">
        <v>1</v>
      </c>
      <c r="J259" s="197">
        <v>1</v>
      </c>
      <c r="K259" s="33">
        <f t="shared" si="25"/>
        <v>404615</v>
      </c>
      <c r="L259" s="33">
        <f t="shared" si="31"/>
        <v>404615</v>
      </c>
      <c r="M259" s="185">
        <f t="shared" si="32"/>
        <v>404615</v>
      </c>
      <c r="N259" s="186"/>
      <c r="O259" s="193" t="s">
        <v>1718</v>
      </c>
      <c r="P259" s="135"/>
    </row>
    <row r="260" spans="1:16">
      <c r="A260" s="29">
        <f t="shared" si="26"/>
        <v>256</v>
      </c>
      <c r="B260" s="50" t="s">
        <v>835</v>
      </c>
      <c r="C260" s="51" t="s">
        <v>836</v>
      </c>
      <c r="D260" s="102">
        <v>43230</v>
      </c>
      <c r="E260" s="201">
        <v>404615</v>
      </c>
      <c r="F260" s="196">
        <f t="shared" si="24"/>
        <v>404615</v>
      </c>
      <c r="G260" s="196">
        <f t="shared" ref="G260:G265" si="33">E260/I260</f>
        <v>404615</v>
      </c>
      <c r="H260" s="196">
        <v>0</v>
      </c>
      <c r="I260" s="197">
        <v>1</v>
      </c>
      <c r="J260" s="197">
        <v>1</v>
      </c>
      <c r="K260" s="198">
        <f t="shared" si="25"/>
        <v>404615</v>
      </c>
      <c r="L260" s="198">
        <f t="shared" ref="L260:L265" si="34">G260*J260</f>
        <v>404615</v>
      </c>
      <c r="M260" s="199">
        <f t="shared" ref="M260:M265" si="35">J260*K260</f>
        <v>404615</v>
      </c>
      <c r="N260" s="187"/>
      <c r="O260" s="200" t="s">
        <v>1719</v>
      </c>
      <c r="P260" s="135"/>
    </row>
    <row r="261" spans="1:16">
      <c r="A261" s="29">
        <f t="shared" si="26"/>
        <v>257</v>
      </c>
      <c r="B261" s="50" t="s">
        <v>835</v>
      </c>
      <c r="C261" s="51" t="s">
        <v>836</v>
      </c>
      <c r="D261" s="102">
        <v>43230</v>
      </c>
      <c r="E261" s="203">
        <v>404615</v>
      </c>
      <c r="F261" s="196">
        <f t="shared" ref="F261:F324" si="36">+I261*K261</f>
        <v>404615</v>
      </c>
      <c r="G261" s="196">
        <f t="shared" si="33"/>
        <v>404615</v>
      </c>
      <c r="H261" s="196">
        <v>0</v>
      </c>
      <c r="I261" s="197">
        <v>1</v>
      </c>
      <c r="J261" s="197">
        <v>1</v>
      </c>
      <c r="K261" s="198">
        <f t="shared" ref="K261:K324" si="37">+G261+H261</f>
        <v>404615</v>
      </c>
      <c r="L261" s="198">
        <f t="shared" si="34"/>
        <v>404615</v>
      </c>
      <c r="M261" s="199">
        <f t="shared" si="35"/>
        <v>404615</v>
      </c>
      <c r="N261" s="187"/>
      <c r="O261" s="200" t="s">
        <v>1719</v>
      </c>
      <c r="P261" s="135"/>
    </row>
    <row r="262" spans="1:16">
      <c r="A262" s="29">
        <f t="shared" ref="A262:A325" si="38">+A261+1</f>
        <v>258</v>
      </c>
      <c r="B262" s="50" t="s">
        <v>835</v>
      </c>
      <c r="C262" s="51" t="s">
        <v>836</v>
      </c>
      <c r="D262" s="52">
        <v>43261</v>
      </c>
      <c r="E262" s="203">
        <v>404615</v>
      </c>
      <c r="F262" s="196">
        <f t="shared" si="36"/>
        <v>404615</v>
      </c>
      <c r="G262" s="196">
        <f t="shared" si="33"/>
        <v>404615</v>
      </c>
      <c r="H262" s="196">
        <v>0</v>
      </c>
      <c r="I262" s="197">
        <v>1</v>
      </c>
      <c r="J262" s="197">
        <v>1</v>
      </c>
      <c r="K262" s="198">
        <f t="shared" si="37"/>
        <v>404615</v>
      </c>
      <c r="L262" s="198">
        <f t="shared" si="34"/>
        <v>404615</v>
      </c>
      <c r="M262" s="199">
        <f t="shared" si="35"/>
        <v>404615</v>
      </c>
      <c r="N262" s="187"/>
      <c r="O262" s="200" t="s">
        <v>1720</v>
      </c>
      <c r="P262" s="135"/>
    </row>
    <row r="263" spans="1:16">
      <c r="A263" s="29">
        <f t="shared" si="38"/>
        <v>259</v>
      </c>
      <c r="B263" s="50" t="s">
        <v>835</v>
      </c>
      <c r="C263" s="51" t="s">
        <v>836</v>
      </c>
      <c r="D263" s="52">
        <v>43261</v>
      </c>
      <c r="E263" s="202">
        <v>404615</v>
      </c>
      <c r="F263" s="196">
        <f t="shared" si="36"/>
        <v>404615</v>
      </c>
      <c r="G263" s="196">
        <f t="shared" si="33"/>
        <v>404615</v>
      </c>
      <c r="H263" s="196">
        <v>0</v>
      </c>
      <c r="I263" s="197">
        <v>1</v>
      </c>
      <c r="J263" s="197">
        <v>1</v>
      </c>
      <c r="K263" s="198">
        <f t="shared" si="37"/>
        <v>404615</v>
      </c>
      <c r="L263" s="198">
        <f t="shared" si="34"/>
        <v>404615</v>
      </c>
      <c r="M263" s="199">
        <f t="shared" si="35"/>
        <v>404615</v>
      </c>
      <c r="N263" s="187"/>
      <c r="O263" s="200" t="s">
        <v>1720</v>
      </c>
      <c r="P263" s="135"/>
    </row>
    <row r="264" spans="1:16">
      <c r="A264" s="29">
        <f t="shared" si="38"/>
        <v>260</v>
      </c>
      <c r="B264" s="50" t="s">
        <v>1021</v>
      </c>
      <c r="C264" s="51" t="s">
        <v>1022</v>
      </c>
      <c r="D264" s="52">
        <v>43261</v>
      </c>
      <c r="E264" s="202">
        <v>430096</v>
      </c>
      <c r="F264" s="196">
        <f t="shared" si="36"/>
        <v>430096</v>
      </c>
      <c r="G264" s="196">
        <f t="shared" si="33"/>
        <v>430096</v>
      </c>
      <c r="H264" s="196">
        <v>0</v>
      </c>
      <c r="I264" s="197">
        <v>1</v>
      </c>
      <c r="J264" s="197">
        <v>1</v>
      </c>
      <c r="K264" s="198">
        <f t="shared" si="37"/>
        <v>430096</v>
      </c>
      <c r="L264" s="198">
        <f t="shared" si="34"/>
        <v>430096</v>
      </c>
      <c r="M264" s="199">
        <f t="shared" si="35"/>
        <v>430096</v>
      </c>
      <c r="N264" s="187"/>
      <c r="O264" s="200" t="s">
        <v>1720</v>
      </c>
      <c r="P264" s="135"/>
    </row>
    <row r="265" spans="1:16">
      <c r="A265" s="29">
        <f t="shared" si="38"/>
        <v>261</v>
      </c>
      <c r="B265" s="50" t="s">
        <v>1021</v>
      </c>
      <c r="C265" s="51" t="s">
        <v>1022</v>
      </c>
      <c r="D265" s="52">
        <v>43261</v>
      </c>
      <c r="E265" s="203">
        <v>430097</v>
      </c>
      <c r="F265" s="196">
        <f t="shared" si="36"/>
        <v>430097</v>
      </c>
      <c r="G265" s="196">
        <f t="shared" si="33"/>
        <v>430097</v>
      </c>
      <c r="H265" s="196">
        <v>0</v>
      </c>
      <c r="I265" s="197">
        <v>1</v>
      </c>
      <c r="J265" s="197">
        <v>1</v>
      </c>
      <c r="K265" s="198">
        <f t="shared" si="37"/>
        <v>430097</v>
      </c>
      <c r="L265" s="198">
        <f t="shared" si="34"/>
        <v>430097</v>
      </c>
      <c r="M265" s="199">
        <f t="shared" si="35"/>
        <v>430097</v>
      </c>
      <c r="N265" s="187"/>
      <c r="O265" s="200" t="s">
        <v>1720</v>
      </c>
      <c r="P265" s="135"/>
    </row>
    <row r="266" spans="1:16">
      <c r="A266" s="29">
        <f t="shared" si="38"/>
        <v>262</v>
      </c>
      <c r="B266" s="50" t="s">
        <v>1078</v>
      </c>
      <c r="C266" s="51" t="s">
        <v>1079</v>
      </c>
      <c r="D266" s="52">
        <v>43169</v>
      </c>
      <c r="E266" s="210">
        <v>711865</v>
      </c>
      <c r="F266" s="192">
        <f t="shared" si="36"/>
        <v>711865</v>
      </c>
      <c r="G266" s="55">
        <f>+E266/I266</f>
        <v>711865</v>
      </c>
      <c r="H266" s="61">
        <v>0</v>
      </c>
      <c r="I266" s="56">
        <v>1</v>
      </c>
      <c r="J266" s="197">
        <v>1</v>
      </c>
      <c r="K266" s="33">
        <f t="shared" si="37"/>
        <v>711865</v>
      </c>
      <c r="L266" s="33">
        <f>+J266*K266</f>
        <v>711865</v>
      </c>
      <c r="M266" s="185">
        <f>+G266*J266</f>
        <v>711865</v>
      </c>
      <c r="N266" s="213"/>
      <c r="O266" s="193" t="s">
        <v>1717</v>
      </c>
      <c r="P266" s="135"/>
    </row>
    <row r="267" spans="1:16">
      <c r="A267" s="29">
        <f t="shared" si="38"/>
        <v>263</v>
      </c>
      <c r="B267" s="50" t="s">
        <v>1078</v>
      </c>
      <c r="C267" s="51" t="s">
        <v>1079</v>
      </c>
      <c r="D267" s="52">
        <v>43169</v>
      </c>
      <c r="E267" s="210">
        <v>711865</v>
      </c>
      <c r="F267" s="192">
        <f t="shared" si="36"/>
        <v>711865</v>
      </c>
      <c r="G267" s="55">
        <f>+E267/I267</f>
        <v>711865</v>
      </c>
      <c r="H267" s="61">
        <v>0</v>
      </c>
      <c r="I267" s="56">
        <v>1</v>
      </c>
      <c r="J267" s="197">
        <v>1</v>
      </c>
      <c r="K267" s="33">
        <f t="shared" si="37"/>
        <v>711865</v>
      </c>
      <c r="L267" s="33">
        <f>+J267*K267</f>
        <v>711865</v>
      </c>
      <c r="M267" s="185">
        <f>+G267*J267</f>
        <v>711865</v>
      </c>
      <c r="N267" s="213"/>
      <c r="O267" s="193" t="s">
        <v>1717</v>
      </c>
      <c r="P267" s="135"/>
    </row>
    <row r="268" spans="1:16">
      <c r="A268" s="29">
        <f t="shared" si="38"/>
        <v>264</v>
      </c>
      <c r="B268" s="50" t="s">
        <v>1078</v>
      </c>
      <c r="C268" s="51" t="s">
        <v>1079</v>
      </c>
      <c r="D268" s="52">
        <v>43200</v>
      </c>
      <c r="E268" s="210">
        <v>711865</v>
      </c>
      <c r="F268" s="192">
        <f t="shared" si="36"/>
        <v>711865</v>
      </c>
      <c r="G268" s="55">
        <f>+E268/I268</f>
        <v>711865</v>
      </c>
      <c r="H268" s="61">
        <v>0</v>
      </c>
      <c r="I268" s="56">
        <v>1</v>
      </c>
      <c r="J268" s="197">
        <v>1</v>
      </c>
      <c r="K268" s="33">
        <f t="shared" si="37"/>
        <v>711865</v>
      </c>
      <c r="L268" s="33">
        <f>+J268*K268</f>
        <v>711865</v>
      </c>
      <c r="M268" s="185">
        <f>+G268*J268</f>
        <v>711865</v>
      </c>
      <c r="N268" s="186"/>
      <c r="O268" s="193" t="s">
        <v>1718</v>
      </c>
      <c r="P268" s="135"/>
    </row>
    <row r="269" spans="1:16">
      <c r="A269" s="29">
        <f t="shared" si="38"/>
        <v>265</v>
      </c>
      <c r="B269" s="50" t="s">
        <v>1078</v>
      </c>
      <c r="C269" s="51" t="s">
        <v>1079</v>
      </c>
      <c r="D269" s="52">
        <v>43200</v>
      </c>
      <c r="E269" s="210">
        <v>711865</v>
      </c>
      <c r="F269" s="192">
        <f t="shared" si="36"/>
        <v>711865</v>
      </c>
      <c r="G269" s="55">
        <f>+E269/I269</f>
        <v>711865</v>
      </c>
      <c r="H269" s="61">
        <v>0</v>
      </c>
      <c r="I269" s="56">
        <v>1</v>
      </c>
      <c r="J269" s="197">
        <v>1</v>
      </c>
      <c r="K269" s="33">
        <f t="shared" si="37"/>
        <v>711865</v>
      </c>
      <c r="L269" s="33">
        <f>+J269*K269</f>
        <v>711865</v>
      </c>
      <c r="M269" s="185">
        <f>+G269*J269</f>
        <v>711865</v>
      </c>
      <c r="N269" s="186"/>
      <c r="O269" s="193" t="s">
        <v>1718</v>
      </c>
      <c r="P269" s="135"/>
    </row>
    <row r="270" spans="1:16">
      <c r="A270" s="29">
        <f t="shared" si="38"/>
        <v>266</v>
      </c>
      <c r="B270" s="50" t="s">
        <v>1078</v>
      </c>
      <c r="C270" s="51" t="s">
        <v>1079</v>
      </c>
      <c r="D270" s="52">
        <v>43200</v>
      </c>
      <c r="E270" s="210">
        <v>30000</v>
      </c>
      <c r="F270" s="192">
        <f t="shared" si="36"/>
        <v>30000</v>
      </c>
      <c r="G270" s="55">
        <f>+E270/I270</f>
        <v>30000</v>
      </c>
      <c r="H270" s="61">
        <v>0</v>
      </c>
      <c r="I270" s="56">
        <v>1</v>
      </c>
      <c r="J270" s="197">
        <v>1</v>
      </c>
      <c r="K270" s="33">
        <f t="shared" si="37"/>
        <v>30000</v>
      </c>
      <c r="L270" s="33">
        <f>+J270*K270</f>
        <v>30000</v>
      </c>
      <c r="M270" s="185">
        <f>+G270*J270</f>
        <v>30000</v>
      </c>
      <c r="N270" s="186"/>
      <c r="O270" s="193" t="s">
        <v>1718</v>
      </c>
      <c r="P270" s="135"/>
    </row>
    <row r="271" spans="1:16">
      <c r="A271" s="29">
        <f t="shared" si="38"/>
        <v>267</v>
      </c>
      <c r="B271" s="50" t="s">
        <v>1078</v>
      </c>
      <c r="C271" s="51" t="s">
        <v>1079</v>
      </c>
      <c r="D271" s="102">
        <v>43230</v>
      </c>
      <c r="E271" s="202">
        <v>711865</v>
      </c>
      <c r="F271" s="196">
        <f t="shared" si="36"/>
        <v>711865</v>
      </c>
      <c r="G271" s="196">
        <f>E271/I271</f>
        <v>711865</v>
      </c>
      <c r="H271" s="196">
        <v>0</v>
      </c>
      <c r="I271" s="197">
        <v>1</v>
      </c>
      <c r="J271" s="197">
        <v>1</v>
      </c>
      <c r="K271" s="198">
        <f t="shared" si="37"/>
        <v>711865</v>
      </c>
      <c r="L271" s="198">
        <f>G271*J271</f>
        <v>711865</v>
      </c>
      <c r="M271" s="199">
        <f>J271*K271</f>
        <v>711865</v>
      </c>
      <c r="N271" s="187"/>
      <c r="O271" s="200" t="s">
        <v>1719</v>
      </c>
      <c r="P271" s="135"/>
    </row>
    <row r="272" spans="1:16">
      <c r="A272" s="29">
        <f t="shared" si="38"/>
        <v>268</v>
      </c>
      <c r="B272" s="50" t="s">
        <v>1078</v>
      </c>
      <c r="C272" s="51" t="s">
        <v>1079</v>
      </c>
      <c r="D272" s="52">
        <v>43261</v>
      </c>
      <c r="E272" s="202">
        <v>30000</v>
      </c>
      <c r="F272" s="196">
        <f t="shared" si="36"/>
        <v>30000</v>
      </c>
      <c r="G272" s="196">
        <f>E272/I272</f>
        <v>30000</v>
      </c>
      <c r="H272" s="196">
        <v>0</v>
      </c>
      <c r="I272" s="197">
        <v>1</v>
      </c>
      <c r="J272" s="197">
        <v>1</v>
      </c>
      <c r="K272" s="198">
        <f t="shared" si="37"/>
        <v>30000</v>
      </c>
      <c r="L272" s="198">
        <f>G272*J272</f>
        <v>30000</v>
      </c>
      <c r="M272" s="199">
        <f>J272*K272</f>
        <v>30000</v>
      </c>
      <c r="N272" s="187"/>
      <c r="O272" s="200" t="s">
        <v>1720</v>
      </c>
      <c r="P272" s="135"/>
    </row>
    <row r="273" spans="1:16">
      <c r="A273" s="29">
        <f t="shared" si="38"/>
        <v>269</v>
      </c>
      <c r="B273" s="50" t="s">
        <v>1078</v>
      </c>
      <c r="C273" s="51" t="s">
        <v>1079</v>
      </c>
      <c r="D273" s="52">
        <v>43261</v>
      </c>
      <c r="E273" s="202">
        <v>711865</v>
      </c>
      <c r="F273" s="196">
        <f t="shared" si="36"/>
        <v>711865</v>
      </c>
      <c r="G273" s="196">
        <f>E273/I273</f>
        <v>711865</v>
      </c>
      <c r="H273" s="196">
        <v>0</v>
      </c>
      <c r="I273" s="197">
        <v>1</v>
      </c>
      <c r="J273" s="197">
        <v>1</v>
      </c>
      <c r="K273" s="198">
        <f t="shared" si="37"/>
        <v>711865</v>
      </c>
      <c r="L273" s="198">
        <f>G273*J273</f>
        <v>711865</v>
      </c>
      <c r="M273" s="199">
        <f>J273*K273</f>
        <v>711865</v>
      </c>
      <c r="N273" s="187"/>
      <c r="O273" s="200" t="s">
        <v>1720</v>
      </c>
      <c r="P273" s="135"/>
    </row>
    <row r="274" spans="1:16">
      <c r="A274" s="29">
        <f t="shared" si="38"/>
        <v>270</v>
      </c>
      <c r="B274" s="50" t="s">
        <v>1078</v>
      </c>
      <c r="C274" s="51" t="s">
        <v>1079</v>
      </c>
      <c r="D274" s="52">
        <v>43261</v>
      </c>
      <c r="E274" s="202">
        <v>711865</v>
      </c>
      <c r="F274" s="196">
        <f t="shared" si="36"/>
        <v>711865</v>
      </c>
      <c r="G274" s="196">
        <f>E274/I274</f>
        <v>711865</v>
      </c>
      <c r="H274" s="196">
        <v>0</v>
      </c>
      <c r="I274" s="197">
        <v>1</v>
      </c>
      <c r="J274" s="197">
        <v>1</v>
      </c>
      <c r="K274" s="198">
        <f t="shared" si="37"/>
        <v>711865</v>
      </c>
      <c r="L274" s="198">
        <f>G274*J274</f>
        <v>711865</v>
      </c>
      <c r="M274" s="199">
        <f>J274*K274</f>
        <v>711865</v>
      </c>
      <c r="N274" s="187"/>
      <c r="O274" s="200" t="s">
        <v>1720</v>
      </c>
      <c r="P274" s="135"/>
    </row>
    <row r="275" spans="1:16">
      <c r="A275" s="29">
        <f t="shared" si="38"/>
        <v>271</v>
      </c>
      <c r="B275" s="50" t="s">
        <v>1133</v>
      </c>
      <c r="C275" s="51" t="s">
        <v>1134</v>
      </c>
      <c r="D275" s="52">
        <v>42926</v>
      </c>
      <c r="E275" s="210">
        <v>600000</v>
      </c>
      <c r="F275" s="192">
        <f t="shared" si="36"/>
        <v>600000</v>
      </c>
      <c r="G275" s="55">
        <f t="shared" ref="G275:G290" si="39">+E275/I275</f>
        <v>600000</v>
      </c>
      <c r="H275" s="61">
        <v>0</v>
      </c>
      <c r="I275" s="56">
        <v>1</v>
      </c>
      <c r="J275" s="197">
        <v>1</v>
      </c>
      <c r="K275" s="33">
        <f t="shared" si="37"/>
        <v>600000</v>
      </c>
      <c r="L275" s="33">
        <f t="shared" ref="L275:L290" si="40">+J275*K275</f>
        <v>600000</v>
      </c>
      <c r="M275" s="185">
        <f t="shared" ref="M275:M290" si="41">+G275*J275</f>
        <v>600000</v>
      </c>
      <c r="N275" s="129"/>
      <c r="O275" s="42" t="s">
        <v>1709</v>
      </c>
      <c r="P275" s="135"/>
    </row>
    <row r="276" spans="1:16">
      <c r="A276" s="29">
        <f t="shared" si="38"/>
        <v>272</v>
      </c>
      <c r="B276" s="50" t="s">
        <v>1133</v>
      </c>
      <c r="C276" s="51" t="s">
        <v>1134</v>
      </c>
      <c r="D276" s="52">
        <v>42957</v>
      </c>
      <c r="E276" s="210">
        <v>600000</v>
      </c>
      <c r="F276" s="192">
        <f t="shared" si="36"/>
        <v>600000</v>
      </c>
      <c r="G276" s="55">
        <f t="shared" si="39"/>
        <v>600000</v>
      </c>
      <c r="H276" s="61">
        <v>0</v>
      </c>
      <c r="I276" s="56">
        <v>1</v>
      </c>
      <c r="J276" s="197">
        <v>1</v>
      </c>
      <c r="K276" s="33">
        <f t="shared" si="37"/>
        <v>600000</v>
      </c>
      <c r="L276" s="33">
        <f t="shared" si="40"/>
        <v>600000</v>
      </c>
      <c r="M276" s="185">
        <f t="shared" si="41"/>
        <v>600000</v>
      </c>
      <c r="N276" s="129"/>
      <c r="O276" s="42" t="s">
        <v>1710</v>
      </c>
      <c r="P276" s="135"/>
    </row>
    <row r="277" spans="1:16">
      <c r="A277" s="29">
        <f t="shared" si="38"/>
        <v>273</v>
      </c>
      <c r="B277" s="50" t="s">
        <v>1133</v>
      </c>
      <c r="C277" s="51" t="s">
        <v>1134</v>
      </c>
      <c r="D277" s="52">
        <v>42957</v>
      </c>
      <c r="E277" s="210">
        <v>600000</v>
      </c>
      <c r="F277" s="192">
        <f t="shared" si="36"/>
        <v>600000</v>
      </c>
      <c r="G277" s="55">
        <f t="shared" si="39"/>
        <v>600000</v>
      </c>
      <c r="H277" s="61">
        <v>0</v>
      </c>
      <c r="I277" s="56">
        <v>1</v>
      </c>
      <c r="J277" s="197">
        <v>1</v>
      </c>
      <c r="K277" s="33">
        <f t="shared" si="37"/>
        <v>600000</v>
      </c>
      <c r="L277" s="33">
        <f t="shared" si="40"/>
        <v>600000</v>
      </c>
      <c r="M277" s="185">
        <f t="shared" si="41"/>
        <v>600000</v>
      </c>
      <c r="N277" s="129"/>
      <c r="O277" s="42" t="s">
        <v>1710</v>
      </c>
      <c r="P277" s="135"/>
    </row>
    <row r="278" spans="1:16">
      <c r="A278" s="29">
        <f t="shared" si="38"/>
        <v>274</v>
      </c>
      <c r="B278" s="50" t="s">
        <v>1133</v>
      </c>
      <c r="C278" s="51" t="s">
        <v>1134</v>
      </c>
      <c r="D278" s="52">
        <v>42988</v>
      </c>
      <c r="E278" s="210">
        <v>600000</v>
      </c>
      <c r="F278" s="192">
        <f t="shared" si="36"/>
        <v>600000</v>
      </c>
      <c r="G278" s="55">
        <f t="shared" si="39"/>
        <v>600000</v>
      </c>
      <c r="H278" s="61">
        <v>0</v>
      </c>
      <c r="I278" s="56">
        <v>1</v>
      </c>
      <c r="J278" s="197">
        <v>1</v>
      </c>
      <c r="K278" s="33">
        <f t="shared" si="37"/>
        <v>600000</v>
      </c>
      <c r="L278" s="33">
        <f t="shared" si="40"/>
        <v>600000</v>
      </c>
      <c r="M278" s="185">
        <f t="shared" si="41"/>
        <v>600000</v>
      </c>
      <c r="N278" s="186"/>
      <c r="O278" s="42" t="s">
        <v>1711</v>
      </c>
      <c r="P278" s="135"/>
    </row>
    <row r="279" spans="1:16">
      <c r="A279" s="29">
        <f t="shared" si="38"/>
        <v>275</v>
      </c>
      <c r="B279" s="50" t="s">
        <v>1133</v>
      </c>
      <c r="C279" s="51" t="s">
        <v>1134</v>
      </c>
      <c r="D279" s="52">
        <v>43018</v>
      </c>
      <c r="E279" s="210">
        <v>600000</v>
      </c>
      <c r="F279" s="192">
        <f t="shared" si="36"/>
        <v>600000</v>
      </c>
      <c r="G279" s="55">
        <f t="shared" si="39"/>
        <v>600000</v>
      </c>
      <c r="H279" s="61">
        <v>0</v>
      </c>
      <c r="I279" s="56">
        <v>1</v>
      </c>
      <c r="J279" s="197">
        <v>1</v>
      </c>
      <c r="K279" s="33">
        <f t="shared" si="37"/>
        <v>600000</v>
      </c>
      <c r="L279" s="33">
        <f t="shared" si="40"/>
        <v>600000</v>
      </c>
      <c r="M279" s="185">
        <f t="shared" si="41"/>
        <v>600000</v>
      </c>
      <c r="N279" s="129"/>
      <c r="O279" s="42" t="s">
        <v>1712</v>
      </c>
      <c r="P279" s="135"/>
    </row>
    <row r="280" spans="1:16">
      <c r="A280" s="29">
        <f t="shared" si="38"/>
        <v>276</v>
      </c>
      <c r="B280" s="50" t="s">
        <v>1133</v>
      </c>
      <c r="C280" s="51" t="s">
        <v>1134</v>
      </c>
      <c r="D280" s="52">
        <v>43049</v>
      </c>
      <c r="E280" s="210">
        <v>600000</v>
      </c>
      <c r="F280" s="192">
        <f t="shared" si="36"/>
        <v>600000</v>
      </c>
      <c r="G280" s="55">
        <f t="shared" si="39"/>
        <v>600000</v>
      </c>
      <c r="H280" s="61">
        <v>0</v>
      </c>
      <c r="I280" s="56">
        <v>1</v>
      </c>
      <c r="J280" s="197">
        <v>1</v>
      </c>
      <c r="K280" s="33">
        <f t="shared" si="37"/>
        <v>600000</v>
      </c>
      <c r="L280" s="33">
        <f t="shared" si="40"/>
        <v>600000</v>
      </c>
      <c r="M280" s="185">
        <f t="shared" si="41"/>
        <v>600000</v>
      </c>
      <c r="N280" s="129"/>
      <c r="O280" s="42" t="s">
        <v>1713</v>
      </c>
      <c r="P280" s="135"/>
    </row>
    <row r="281" spans="1:16">
      <c r="A281" s="29">
        <f t="shared" si="38"/>
        <v>277</v>
      </c>
      <c r="B281" s="50" t="s">
        <v>1133</v>
      </c>
      <c r="C281" s="51" t="s">
        <v>1134</v>
      </c>
      <c r="D281" s="52">
        <v>43079</v>
      </c>
      <c r="E281" s="191">
        <v>600000</v>
      </c>
      <c r="F281" s="192">
        <f t="shared" si="36"/>
        <v>600000</v>
      </c>
      <c r="G281" s="55">
        <f t="shared" si="39"/>
        <v>600000</v>
      </c>
      <c r="H281" s="61">
        <v>0</v>
      </c>
      <c r="I281" s="56">
        <v>1</v>
      </c>
      <c r="J281" s="197">
        <v>1</v>
      </c>
      <c r="K281" s="33">
        <f t="shared" si="37"/>
        <v>600000</v>
      </c>
      <c r="L281" s="33">
        <f t="shared" si="40"/>
        <v>600000</v>
      </c>
      <c r="M281" s="185">
        <f t="shared" si="41"/>
        <v>600000</v>
      </c>
      <c r="N281" s="129"/>
      <c r="O281" s="193" t="s">
        <v>1714</v>
      </c>
      <c r="P281" s="135"/>
    </row>
    <row r="282" spans="1:16">
      <c r="A282" s="29">
        <f t="shared" si="38"/>
        <v>278</v>
      </c>
      <c r="B282" s="50" t="s">
        <v>1133</v>
      </c>
      <c r="C282" s="51" t="s">
        <v>1134</v>
      </c>
      <c r="D282" s="52">
        <v>43079</v>
      </c>
      <c r="E282" s="191">
        <v>600000</v>
      </c>
      <c r="F282" s="192">
        <f t="shared" si="36"/>
        <v>600000</v>
      </c>
      <c r="G282" s="55">
        <f t="shared" si="39"/>
        <v>600000</v>
      </c>
      <c r="H282" s="61">
        <v>0</v>
      </c>
      <c r="I282" s="56">
        <v>1</v>
      </c>
      <c r="J282" s="197">
        <v>1</v>
      </c>
      <c r="K282" s="33">
        <f t="shared" si="37"/>
        <v>600000</v>
      </c>
      <c r="L282" s="33">
        <f t="shared" si="40"/>
        <v>600000</v>
      </c>
      <c r="M282" s="185">
        <f t="shared" si="41"/>
        <v>600000</v>
      </c>
      <c r="N282" s="129"/>
      <c r="O282" s="193" t="s">
        <v>1714</v>
      </c>
      <c r="P282" s="135"/>
    </row>
    <row r="283" spans="1:16">
      <c r="A283" s="29">
        <f t="shared" si="38"/>
        <v>279</v>
      </c>
      <c r="B283" s="50" t="s">
        <v>1133</v>
      </c>
      <c r="C283" s="51" t="s">
        <v>1134</v>
      </c>
      <c r="D283" s="52">
        <v>43110</v>
      </c>
      <c r="E283" s="191">
        <v>600000</v>
      </c>
      <c r="F283" s="192">
        <f t="shared" si="36"/>
        <v>600000</v>
      </c>
      <c r="G283" s="55">
        <f t="shared" si="39"/>
        <v>600000</v>
      </c>
      <c r="H283" s="61">
        <v>0</v>
      </c>
      <c r="I283" s="56">
        <v>1</v>
      </c>
      <c r="J283" s="197">
        <v>1</v>
      </c>
      <c r="K283" s="33">
        <f t="shared" si="37"/>
        <v>600000</v>
      </c>
      <c r="L283" s="33">
        <f t="shared" si="40"/>
        <v>600000</v>
      </c>
      <c r="M283" s="185">
        <f t="shared" si="41"/>
        <v>600000</v>
      </c>
      <c r="N283" s="129"/>
      <c r="O283" s="193" t="s">
        <v>1715</v>
      </c>
      <c r="P283" s="135"/>
    </row>
    <row r="284" spans="1:16">
      <c r="A284" s="29">
        <f t="shared" si="38"/>
        <v>280</v>
      </c>
      <c r="B284" s="50" t="s">
        <v>1133</v>
      </c>
      <c r="C284" s="51" t="s">
        <v>1134</v>
      </c>
      <c r="D284" s="52">
        <v>43110</v>
      </c>
      <c r="E284" s="191">
        <v>600000</v>
      </c>
      <c r="F284" s="192">
        <f t="shared" si="36"/>
        <v>600000</v>
      </c>
      <c r="G284" s="55">
        <f t="shared" si="39"/>
        <v>600000</v>
      </c>
      <c r="H284" s="61">
        <v>0</v>
      </c>
      <c r="I284" s="56">
        <v>1</v>
      </c>
      <c r="J284" s="197">
        <v>1</v>
      </c>
      <c r="K284" s="33">
        <f t="shared" si="37"/>
        <v>600000</v>
      </c>
      <c r="L284" s="33">
        <f t="shared" si="40"/>
        <v>600000</v>
      </c>
      <c r="M284" s="185">
        <f t="shared" si="41"/>
        <v>600000</v>
      </c>
      <c r="N284" s="129"/>
      <c r="O284" s="193" t="s">
        <v>1715</v>
      </c>
      <c r="P284" s="135"/>
    </row>
    <row r="285" spans="1:16">
      <c r="A285" s="29">
        <f t="shared" si="38"/>
        <v>281</v>
      </c>
      <c r="B285" s="50" t="s">
        <v>1133</v>
      </c>
      <c r="C285" s="51" t="s">
        <v>1134</v>
      </c>
      <c r="D285" s="52">
        <v>43141</v>
      </c>
      <c r="E285" s="191">
        <v>600000</v>
      </c>
      <c r="F285" s="192">
        <f t="shared" si="36"/>
        <v>600000</v>
      </c>
      <c r="G285" s="55">
        <f t="shared" si="39"/>
        <v>600000</v>
      </c>
      <c r="H285" s="61">
        <v>0</v>
      </c>
      <c r="I285" s="56">
        <v>1</v>
      </c>
      <c r="J285" s="197">
        <v>1</v>
      </c>
      <c r="K285" s="33">
        <f t="shared" si="37"/>
        <v>600000</v>
      </c>
      <c r="L285" s="33">
        <f t="shared" si="40"/>
        <v>600000</v>
      </c>
      <c r="M285" s="185">
        <f t="shared" si="41"/>
        <v>600000</v>
      </c>
      <c r="N285" s="129"/>
      <c r="O285" s="193" t="s">
        <v>1716</v>
      </c>
      <c r="P285" s="135"/>
    </row>
    <row r="286" spans="1:16">
      <c r="A286" s="29">
        <f t="shared" si="38"/>
        <v>282</v>
      </c>
      <c r="B286" s="50" t="s">
        <v>1133</v>
      </c>
      <c r="C286" s="51" t="s">
        <v>1134</v>
      </c>
      <c r="D286" s="52">
        <v>43141</v>
      </c>
      <c r="E286" s="191">
        <v>600000</v>
      </c>
      <c r="F286" s="192">
        <f t="shared" si="36"/>
        <v>600000</v>
      </c>
      <c r="G286" s="55">
        <f t="shared" si="39"/>
        <v>600000</v>
      </c>
      <c r="H286" s="61">
        <v>0</v>
      </c>
      <c r="I286" s="56">
        <v>1</v>
      </c>
      <c r="J286" s="197">
        <v>1</v>
      </c>
      <c r="K286" s="33">
        <f t="shared" si="37"/>
        <v>600000</v>
      </c>
      <c r="L286" s="33">
        <f t="shared" si="40"/>
        <v>600000</v>
      </c>
      <c r="M286" s="185">
        <f t="shared" si="41"/>
        <v>600000</v>
      </c>
      <c r="N286" s="129"/>
      <c r="O286" s="193" t="s">
        <v>1716</v>
      </c>
      <c r="P286" s="135"/>
    </row>
    <row r="287" spans="1:16">
      <c r="A287" s="29">
        <f t="shared" si="38"/>
        <v>283</v>
      </c>
      <c r="B287" s="50" t="s">
        <v>1133</v>
      </c>
      <c r="C287" s="51" t="s">
        <v>1134</v>
      </c>
      <c r="D287" s="52">
        <v>43169</v>
      </c>
      <c r="E287" s="210">
        <v>600000</v>
      </c>
      <c r="F287" s="192">
        <f t="shared" si="36"/>
        <v>600000</v>
      </c>
      <c r="G287" s="55">
        <f t="shared" si="39"/>
        <v>600000</v>
      </c>
      <c r="H287" s="61">
        <v>0</v>
      </c>
      <c r="I287" s="56">
        <v>1</v>
      </c>
      <c r="J287" s="197">
        <v>1</v>
      </c>
      <c r="K287" s="33">
        <f t="shared" si="37"/>
        <v>600000</v>
      </c>
      <c r="L287" s="33">
        <f t="shared" si="40"/>
        <v>600000</v>
      </c>
      <c r="M287" s="185">
        <f t="shared" si="41"/>
        <v>600000</v>
      </c>
      <c r="N287" s="213"/>
      <c r="O287" s="193" t="s">
        <v>1717</v>
      </c>
      <c r="P287" s="135"/>
    </row>
    <row r="288" spans="1:16">
      <c r="A288" s="29">
        <f t="shared" si="38"/>
        <v>284</v>
      </c>
      <c r="B288" s="50" t="s">
        <v>1133</v>
      </c>
      <c r="C288" s="51" t="s">
        <v>1134</v>
      </c>
      <c r="D288" s="52">
        <v>43169</v>
      </c>
      <c r="E288" s="210">
        <v>600000</v>
      </c>
      <c r="F288" s="192">
        <f t="shared" si="36"/>
        <v>600000</v>
      </c>
      <c r="G288" s="55">
        <f t="shared" si="39"/>
        <v>600000</v>
      </c>
      <c r="H288" s="61">
        <v>0</v>
      </c>
      <c r="I288" s="56">
        <v>1</v>
      </c>
      <c r="J288" s="197">
        <v>1</v>
      </c>
      <c r="K288" s="33">
        <f t="shared" si="37"/>
        <v>600000</v>
      </c>
      <c r="L288" s="33">
        <f t="shared" si="40"/>
        <v>600000</v>
      </c>
      <c r="M288" s="185">
        <f t="shared" si="41"/>
        <v>600000</v>
      </c>
      <c r="N288" s="213"/>
      <c r="O288" s="193" t="s">
        <v>1717</v>
      </c>
      <c r="P288" s="135"/>
    </row>
    <row r="289" spans="1:16">
      <c r="A289" s="29">
        <f t="shared" si="38"/>
        <v>285</v>
      </c>
      <c r="B289" s="50" t="s">
        <v>1133</v>
      </c>
      <c r="C289" s="51" t="s">
        <v>1134</v>
      </c>
      <c r="D289" s="52">
        <v>43200</v>
      </c>
      <c r="E289" s="210">
        <v>600000</v>
      </c>
      <c r="F289" s="192">
        <f t="shared" si="36"/>
        <v>600000</v>
      </c>
      <c r="G289" s="55">
        <f t="shared" si="39"/>
        <v>600000</v>
      </c>
      <c r="H289" s="61">
        <v>0</v>
      </c>
      <c r="I289" s="56">
        <v>1</v>
      </c>
      <c r="J289" s="197">
        <v>1</v>
      </c>
      <c r="K289" s="33">
        <f t="shared" si="37"/>
        <v>600000</v>
      </c>
      <c r="L289" s="33">
        <f t="shared" si="40"/>
        <v>600000</v>
      </c>
      <c r="M289" s="185">
        <f t="shared" si="41"/>
        <v>600000</v>
      </c>
      <c r="N289" s="186"/>
      <c r="O289" s="193" t="s">
        <v>1718</v>
      </c>
      <c r="P289" s="135"/>
    </row>
    <row r="290" spans="1:16">
      <c r="A290" s="29">
        <f t="shared" si="38"/>
        <v>286</v>
      </c>
      <c r="B290" s="50" t="s">
        <v>1133</v>
      </c>
      <c r="C290" s="51" t="s">
        <v>1134</v>
      </c>
      <c r="D290" s="52">
        <v>43200</v>
      </c>
      <c r="E290" s="210">
        <v>600000</v>
      </c>
      <c r="F290" s="192">
        <f t="shared" si="36"/>
        <v>600000</v>
      </c>
      <c r="G290" s="55">
        <f t="shared" si="39"/>
        <v>600000</v>
      </c>
      <c r="H290" s="61">
        <v>0</v>
      </c>
      <c r="I290" s="56">
        <v>1</v>
      </c>
      <c r="J290" s="197">
        <v>1</v>
      </c>
      <c r="K290" s="33">
        <f t="shared" si="37"/>
        <v>600000</v>
      </c>
      <c r="L290" s="33">
        <f t="shared" si="40"/>
        <v>600000</v>
      </c>
      <c r="M290" s="185">
        <f t="shared" si="41"/>
        <v>600000</v>
      </c>
      <c r="N290" s="186"/>
      <c r="O290" s="193" t="s">
        <v>1718</v>
      </c>
      <c r="P290" s="135"/>
    </row>
    <row r="291" spans="1:16">
      <c r="A291" s="29">
        <f t="shared" si="38"/>
        <v>287</v>
      </c>
      <c r="B291" s="50" t="s">
        <v>1133</v>
      </c>
      <c r="C291" s="51" t="s">
        <v>1134</v>
      </c>
      <c r="D291" s="102">
        <v>43230</v>
      </c>
      <c r="E291" s="202">
        <v>600000</v>
      </c>
      <c r="F291" s="196">
        <f t="shared" si="36"/>
        <v>600000</v>
      </c>
      <c r="G291" s="196">
        <f>E291/I291</f>
        <v>600000</v>
      </c>
      <c r="H291" s="196">
        <v>0</v>
      </c>
      <c r="I291" s="197">
        <v>1</v>
      </c>
      <c r="J291" s="197">
        <v>1</v>
      </c>
      <c r="K291" s="198">
        <f t="shared" si="37"/>
        <v>600000</v>
      </c>
      <c r="L291" s="198">
        <f>G291*J291</f>
        <v>600000</v>
      </c>
      <c r="M291" s="199">
        <f>J291*K291</f>
        <v>600000</v>
      </c>
      <c r="N291" s="187"/>
      <c r="O291" s="200" t="s">
        <v>1719</v>
      </c>
      <c r="P291" s="135"/>
    </row>
    <row r="292" spans="1:16">
      <c r="A292" s="29">
        <f t="shared" si="38"/>
        <v>288</v>
      </c>
      <c r="B292" s="50" t="s">
        <v>1133</v>
      </c>
      <c r="C292" s="51" t="s">
        <v>1134</v>
      </c>
      <c r="D292" s="52">
        <v>43261</v>
      </c>
      <c r="E292" s="202">
        <v>600000</v>
      </c>
      <c r="F292" s="196">
        <f t="shared" si="36"/>
        <v>600000</v>
      </c>
      <c r="G292" s="196">
        <f>E292/I292</f>
        <v>600000</v>
      </c>
      <c r="H292" s="196">
        <v>0</v>
      </c>
      <c r="I292" s="197">
        <v>1</v>
      </c>
      <c r="J292" s="197">
        <v>1</v>
      </c>
      <c r="K292" s="198">
        <f t="shared" si="37"/>
        <v>600000</v>
      </c>
      <c r="L292" s="198">
        <f>G292*J292</f>
        <v>600000</v>
      </c>
      <c r="M292" s="199">
        <f>J292*K292</f>
        <v>600000</v>
      </c>
      <c r="N292" s="187"/>
      <c r="O292" s="200" t="s">
        <v>1720</v>
      </c>
      <c r="P292" s="135"/>
    </row>
    <row r="293" spans="1:16">
      <c r="A293" s="29">
        <f t="shared" si="38"/>
        <v>289</v>
      </c>
      <c r="B293" s="50" t="s">
        <v>1133</v>
      </c>
      <c r="C293" s="51" t="s">
        <v>1134</v>
      </c>
      <c r="D293" s="52">
        <v>43261</v>
      </c>
      <c r="E293" s="202">
        <v>600000</v>
      </c>
      <c r="F293" s="196">
        <f t="shared" si="36"/>
        <v>600000</v>
      </c>
      <c r="G293" s="196">
        <f>E293/I293</f>
        <v>600000</v>
      </c>
      <c r="H293" s="196">
        <v>0</v>
      </c>
      <c r="I293" s="197">
        <v>1</v>
      </c>
      <c r="J293" s="197">
        <v>1</v>
      </c>
      <c r="K293" s="198">
        <f t="shared" si="37"/>
        <v>600000</v>
      </c>
      <c r="L293" s="198">
        <f>G293*J293</f>
        <v>600000</v>
      </c>
      <c r="M293" s="199">
        <f>J293*K293</f>
        <v>600000</v>
      </c>
      <c r="N293" s="187"/>
      <c r="O293" s="200" t="s">
        <v>1720</v>
      </c>
      <c r="P293" s="135"/>
    </row>
    <row r="294" spans="1:16">
      <c r="A294" s="29">
        <f t="shared" si="38"/>
        <v>290</v>
      </c>
      <c r="B294" s="55" t="s">
        <v>1139</v>
      </c>
      <c r="C294" s="64" t="s">
        <v>1140</v>
      </c>
      <c r="D294" s="52">
        <v>42348</v>
      </c>
      <c r="E294" s="55">
        <f>1327400</f>
        <v>1327400</v>
      </c>
      <c r="F294" s="192">
        <f t="shared" si="36"/>
        <v>1327400</v>
      </c>
      <c r="G294" s="55">
        <f t="shared" ref="G294:G320" si="42">+E294/I294</f>
        <v>1327400</v>
      </c>
      <c r="H294" s="61">
        <v>0</v>
      </c>
      <c r="I294" s="56">
        <v>1</v>
      </c>
      <c r="J294" s="197">
        <v>1</v>
      </c>
      <c r="K294" s="33">
        <f t="shared" si="37"/>
        <v>1327400</v>
      </c>
      <c r="L294" s="33">
        <f t="shared" ref="L294:L320" si="43">+J294*K294</f>
        <v>1327400</v>
      </c>
      <c r="M294" s="33">
        <f t="shared" ref="M294:M320" si="44">+G294*J294</f>
        <v>1327400</v>
      </c>
      <c r="N294" s="30"/>
      <c r="O294" s="42" t="s">
        <v>1729</v>
      </c>
      <c r="P294" s="135"/>
    </row>
    <row r="295" spans="1:16">
      <c r="A295" s="29">
        <f t="shared" si="38"/>
        <v>291</v>
      </c>
      <c r="B295" s="55" t="s">
        <v>1139</v>
      </c>
      <c r="C295" s="64" t="s">
        <v>1140</v>
      </c>
      <c r="D295" s="52">
        <v>42439</v>
      </c>
      <c r="E295" s="55">
        <v>1491692</v>
      </c>
      <c r="F295" s="192">
        <f t="shared" si="36"/>
        <v>1491692</v>
      </c>
      <c r="G295" s="55">
        <f t="shared" si="42"/>
        <v>1491692</v>
      </c>
      <c r="H295" s="61">
        <v>0</v>
      </c>
      <c r="I295" s="56">
        <v>1</v>
      </c>
      <c r="J295" s="197">
        <v>1</v>
      </c>
      <c r="K295" s="33">
        <f t="shared" si="37"/>
        <v>1491692</v>
      </c>
      <c r="L295" s="33">
        <f t="shared" si="43"/>
        <v>1491692</v>
      </c>
      <c r="M295" s="33">
        <f t="shared" si="44"/>
        <v>1491692</v>
      </c>
      <c r="N295" s="30"/>
      <c r="O295" s="42" t="s">
        <v>1725</v>
      </c>
      <c r="P295" s="135"/>
    </row>
    <row r="296" spans="1:16">
      <c r="A296" s="29">
        <f t="shared" si="38"/>
        <v>292</v>
      </c>
      <c r="B296" s="55" t="s">
        <v>1139</v>
      </c>
      <c r="C296" s="64" t="s">
        <v>1140</v>
      </c>
      <c r="D296" s="52">
        <v>42470</v>
      </c>
      <c r="E296" s="202">
        <v>1491692</v>
      </c>
      <c r="F296" s="192">
        <f t="shared" si="36"/>
        <v>1491692</v>
      </c>
      <c r="G296" s="55">
        <f t="shared" si="42"/>
        <v>1491692</v>
      </c>
      <c r="H296" s="61">
        <v>0</v>
      </c>
      <c r="I296" s="56">
        <v>1</v>
      </c>
      <c r="J296" s="197">
        <v>1</v>
      </c>
      <c r="K296" s="33">
        <f t="shared" si="37"/>
        <v>1491692</v>
      </c>
      <c r="L296" s="33">
        <f t="shared" si="43"/>
        <v>1491692</v>
      </c>
      <c r="M296" s="33">
        <f t="shared" si="44"/>
        <v>1491692</v>
      </c>
      <c r="N296" s="129"/>
      <c r="O296" s="42" t="s">
        <v>1726</v>
      </c>
      <c r="P296" s="135"/>
    </row>
    <row r="297" spans="1:16">
      <c r="A297" s="29">
        <f t="shared" si="38"/>
        <v>293</v>
      </c>
      <c r="B297" s="55" t="s">
        <v>1139</v>
      </c>
      <c r="C297" s="64" t="s">
        <v>1140</v>
      </c>
      <c r="D297" s="112">
        <v>42500</v>
      </c>
      <c r="E297" s="202">
        <v>1491692</v>
      </c>
      <c r="F297" s="192">
        <f t="shared" si="36"/>
        <v>1491692</v>
      </c>
      <c r="G297" s="55">
        <f t="shared" si="42"/>
        <v>1491692</v>
      </c>
      <c r="H297" s="61">
        <v>0</v>
      </c>
      <c r="I297" s="56">
        <v>1</v>
      </c>
      <c r="J297" s="197">
        <v>1</v>
      </c>
      <c r="K297" s="33">
        <f t="shared" si="37"/>
        <v>1491692</v>
      </c>
      <c r="L297" s="33">
        <f t="shared" si="43"/>
        <v>1491692</v>
      </c>
      <c r="M297" s="33">
        <f t="shared" si="44"/>
        <v>1491692</v>
      </c>
      <c r="N297" s="129"/>
      <c r="O297" s="42" t="s">
        <v>1727</v>
      </c>
      <c r="P297" s="135"/>
    </row>
    <row r="298" spans="1:16">
      <c r="A298" s="29">
        <f t="shared" si="38"/>
        <v>294</v>
      </c>
      <c r="B298" s="55" t="s">
        <v>1139</v>
      </c>
      <c r="C298" s="64" t="s">
        <v>1140</v>
      </c>
      <c r="D298" s="112">
        <v>42531</v>
      </c>
      <c r="E298" s="202">
        <v>1491692</v>
      </c>
      <c r="F298" s="192">
        <f t="shared" si="36"/>
        <v>1491692</v>
      </c>
      <c r="G298" s="55">
        <f t="shared" si="42"/>
        <v>1491692</v>
      </c>
      <c r="H298" s="61">
        <v>0</v>
      </c>
      <c r="I298" s="56">
        <v>1</v>
      </c>
      <c r="J298" s="197">
        <v>1</v>
      </c>
      <c r="K298" s="33">
        <f t="shared" si="37"/>
        <v>1491692</v>
      </c>
      <c r="L298" s="33">
        <f t="shared" si="43"/>
        <v>1491692</v>
      </c>
      <c r="M298" s="33">
        <f t="shared" si="44"/>
        <v>1491692</v>
      </c>
      <c r="N298" s="129"/>
      <c r="O298" s="42" t="s">
        <v>1728</v>
      </c>
      <c r="P298" s="135"/>
    </row>
    <row r="299" spans="1:16">
      <c r="A299" s="29">
        <f t="shared" si="38"/>
        <v>295</v>
      </c>
      <c r="B299" s="55" t="s">
        <v>1139</v>
      </c>
      <c r="C299" s="64" t="s">
        <v>1140</v>
      </c>
      <c r="D299" s="112">
        <v>42561</v>
      </c>
      <c r="E299" s="202">
        <v>1491692</v>
      </c>
      <c r="F299" s="192">
        <f t="shared" si="36"/>
        <v>1491692</v>
      </c>
      <c r="G299" s="55">
        <f t="shared" si="42"/>
        <v>1491692</v>
      </c>
      <c r="H299" s="61">
        <v>0</v>
      </c>
      <c r="I299" s="56">
        <v>1</v>
      </c>
      <c r="J299" s="197">
        <v>1</v>
      </c>
      <c r="K299" s="33">
        <f t="shared" si="37"/>
        <v>1491692</v>
      </c>
      <c r="L299" s="33">
        <f t="shared" si="43"/>
        <v>1491692</v>
      </c>
      <c r="M299" s="33">
        <f t="shared" si="44"/>
        <v>1491692</v>
      </c>
      <c r="N299" s="129"/>
      <c r="O299" s="42" t="s">
        <v>1697</v>
      </c>
      <c r="P299" s="135"/>
    </row>
    <row r="300" spans="1:16">
      <c r="A300" s="29">
        <f t="shared" si="38"/>
        <v>296</v>
      </c>
      <c r="B300" s="55" t="s">
        <v>1139</v>
      </c>
      <c r="C300" s="64" t="s">
        <v>1140</v>
      </c>
      <c r="D300" s="112">
        <v>42592</v>
      </c>
      <c r="E300" s="202">
        <v>1491692</v>
      </c>
      <c r="F300" s="192">
        <f t="shared" si="36"/>
        <v>1491692</v>
      </c>
      <c r="G300" s="55">
        <f t="shared" si="42"/>
        <v>1491692</v>
      </c>
      <c r="H300" s="61">
        <v>0</v>
      </c>
      <c r="I300" s="56">
        <v>1</v>
      </c>
      <c r="J300" s="197">
        <v>1</v>
      </c>
      <c r="K300" s="33">
        <f t="shared" si="37"/>
        <v>1491692</v>
      </c>
      <c r="L300" s="33">
        <f t="shared" si="43"/>
        <v>1491692</v>
      </c>
      <c r="M300" s="33">
        <f t="shared" si="44"/>
        <v>1491692</v>
      </c>
      <c r="N300" s="129"/>
      <c r="O300" s="42" t="s">
        <v>1698</v>
      </c>
      <c r="P300" s="135"/>
    </row>
    <row r="301" spans="1:16">
      <c r="A301" s="29">
        <f t="shared" si="38"/>
        <v>297</v>
      </c>
      <c r="B301" s="55" t="s">
        <v>1139</v>
      </c>
      <c r="C301" s="64" t="s">
        <v>1140</v>
      </c>
      <c r="D301" s="112">
        <v>42623</v>
      </c>
      <c r="E301" s="202">
        <v>1491692</v>
      </c>
      <c r="F301" s="192">
        <f t="shared" si="36"/>
        <v>1491692</v>
      </c>
      <c r="G301" s="55">
        <f t="shared" si="42"/>
        <v>1491692</v>
      </c>
      <c r="H301" s="61">
        <v>0</v>
      </c>
      <c r="I301" s="56">
        <v>1</v>
      </c>
      <c r="J301" s="197">
        <v>1</v>
      </c>
      <c r="K301" s="33">
        <f t="shared" si="37"/>
        <v>1491692</v>
      </c>
      <c r="L301" s="33">
        <f t="shared" si="43"/>
        <v>1491692</v>
      </c>
      <c r="M301" s="33">
        <f t="shared" si="44"/>
        <v>1491692</v>
      </c>
      <c r="N301" s="129"/>
      <c r="O301" s="42" t="s">
        <v>1699</v>
      </c>
      <c r="P301" s="135"/>
    </row>
    <row r="302" spans="1:16">
      <c r="A302" s="29">
        <f t="shared" si="38"/>
        <v>298</v>
      </c>
      <c r="B302" s="55" t="s">
        <v>1139</v>
      </c>
      <c r="C302" s="64" t="s">
        <v>1140</v>
      </c>
      <c r="D302" s="112">
        <v>42653</v>
      </c>
      <c r="E302" s="202">
        <v>1491692</v>
      </c>
      <c r="F302" s="192">
        <f t="shared" si="36"/>
        <v>1491692</v>
      </c>
      <c r="G302" s="55">
        <f t="shared" si="42"/>
        <v>1491692</v>
      </c>
      <c r="H302" s="61">
        <v>0</v>
      </c>
      <c r="I302" s="56">
        <v>1</v>
      </c>
      <c r="J302" s="197">
        <v>1</v>
      </c>
      <c r="K302" s="33">
        <f t="shared" si="37"/>
        <v>1491692</v>
      </c>
      <c r="L302" s="33">
        <f t="shared" si="43"/>
        <v>1491692</v>
      </c>
      <c r="M302" s="33">
        <f t="shared" si="44"/>
        <v>1491692</v>
      </c>
      <c r="N302" s="129"/>
      <c r="O302" s="42" t="s">
        <v>1700</v>
      </c>
      <c r="P302" s="135"/>
    </row>
    <row r="303" spans="1:16">
      <c r="A303" s="29">
        <f t="shared" si="38"/>
        <v>299</v>
      </c>
      <c r="B303" s="55" t="s">
        <v>1139</v>
      </c>
      <c r="C303" s="64" t="s">
        <v>1140</v>
      </c>
      <c r="D303" s="112">
        <v>42684</v>
      </c>
      <c r="E303" s="202">
        <v>1491692</v>
      </c>
      <c r="F303" s="192">
        <f t="shared" si="36"/>
        <v>1491692</v>
      </c>
      <c r="G303" s="55">
        <f t="shared" si="42"/>
        <v>1491692</v>
      </c>
      <c r="H303" s="61">
        <v>0</v>
      </c>
      <c r="I303" s="56">
        <v>1</v>
      </c>
      <c r="J303" s="197">
        <v>1</v>
      </c>
      <c r="K303" s="33">
        <f t="shared" si="37"/>
        <v>1491692</v>
      </c>
      <c r="L303" s="33">
        <f t="shared" si="43"/>
        <v>1491692</v>
      </c>
      <c r="M303" s="33">
        <f t="shared" si="44"/>
        <v>1491692</v>
      </c>
      <c r="N303" s="129"/>
      <c r="O303" s="42" t="s">
        <v>1701</v>
      </c>
      <c r="P303" s="135"/>
    </row>
    <row r="304" spans="1:16">
      <c r="A304" s="29">
        <f t="shared" si="38"/>
        <v>300</v>
      </c>
      <c r="B304" s="55" t="s">
        <v>1139</v>
      </c>
      <c r="C304" s="64" t="s">
        <v>1140</v>
      </c>
      <c r="D304" s="52">
        <v>42714</v>
      </c>
      <c r="E304" s="202">
        <v>1491692</v>
      </c>
      <c r="F304" s="192">
        <f t="shared" si="36"/>
        <v>1491692</v>
      </c>
      <c r="G304" s="55">
        <f t="shared" si="42"/>
        <v>1491692</v>
      </c>
      <c r="H304" s="61">
        <v>0</v>
      </c>
      <c r="I304" s="56">
        <v>1</v>
      </c>
      <c r="J304" s="197">
        <v>1</v>
      </c>
      <c r="K304" s="33">
        <f t="shared" si="37"/>
        <v>1491692</v>
      </c>
      <c r="L304" s="33">
        <f t="shared" si="43"/>
        <v>1491692</v>
      </c>
      <c r="M304" s="33">
        <f t="shared" si="44"/>
        <v>1491692</v>
      </c>
      <c r="N304" s="129"/>
      <c r="O304" s="42" t="s">
        <v>1702</v>
      </c>
      <c r="P304" s="135"/>
    </row>
    <row r="305" spans="1:16">
      <c r="A305" s="29">
        <f t="shared" si="38"/>
        <v>301</v>
      </c>
      <c r="B305" s="55" t="s">
        <v>1139</v>
      </c>
      <c r="C305" s="64" t="s">
        <v>1140</v>
      </c>
      <c r="D305" s="52">
        <v>42745</v>
      </c>
      <c r="E305" s="202">
        <v>1491692</v>
      </c>
      <c r="F305" s="192">
        <f t="shared" si="36"/>
        <v>1491692</v>
      </c>
      <c r="G305" s="55">
        <f t="shared" si="42"/>
        <v>1491692</v>
      </c>
      <c r="H305" s="61">
        <v>0</v>
      </c>
      <c r="I305" s="56">
        <v>1</v>
      </c>
      <c r="J305" s="197">
        <v>1</v>
      </c>
      <c r="K305" s="33">
        <f t="shared" si="37"/>
        <v>1491692</v>
      </c>
      <c r="L305" s="33">
        <f t="shared" si="43"/>
        <v>1491692</v>
      </c>
      <c r="M305" s="33">
        <f t="shared" si="44"/>
        <v>1491692</v>
      </c>
      <c r="N305" s="129"/>
      <c r="O305" s="42" t="s">
        <v>1703</v>
      </c>
      <c r="P305" s="135"/>
    </row>
    <row r="306" spans="1:16">
      <c r="A306" s="29">
        <f t="shared" si="38"/>
        <v>302</v>
      </c>
      <c r="B306" s="55" t="s">
        <v>1139</v>
      </c>
      <c r="C306" s="64" t="s">
        <v>1140</v>
      </c>
      <c r="D306" s="52">
        <v>42776</v>
      </c>
      <c r="E306" s="202">
        <v>1491692</v>
      </c>
      <c r="F306" s="192">
        <f t="shared" si="36"/>
        <v>1491692</v>
      </c>
      <c r="G306" s="55">
        <f t="shared" si="42"/>
        <v>1491692</v>
      </c>
      <c r="H306" s="61">
        <v>0</v>
      </c>
      <c r="I306" s="56">
        <v>1</v>
      </c>
      <c r="J306" s="197">
        <v>1</v>
      </c>
      <c r="K306" s="33">
        <f t="shared" si="37"/>
        <v>1491692</v>
      </c>
      <c r="L306" s="33">
        <f t="shared" si="43"/>
        <v>1491692</v>
      </c>
      <c r="M306" s="33">
        <f t="shared" si="44"/>
        <v>1491692</v>
      </c>
      <c r="N306" s="129"/>
      <c r="O306" s="42" t="s">
        <v>1704</v>
      </c>
      <c r="P306" s="135"/>
    </row>
    <row r="307" spans="1:16">
      <c r="A307" s="29">
        <f t="shared" si="38"/>
        <v>303</v>
      </c>
      <c r="B307" s="55" t="s">
        <v>1139</v>
      </c>
      <c r="C307" s="64" t="s">
        <v>1140</v>
      </c>
      <c r="D307" s="52">
        <v>42804</v>
      </c>
      <c r="E307" s="202">
        <v>1491692</v>
      </c>
      <c r="F307" s="192">
        <f t="shared" si="36"/>
        <v>1491692</v>
      </c>
      <c r="G307" s="55">
        <f t="shared" si="42"/>
        <v>1491692</v>
      </c>
      <c r="H307" s="61">
        <v>0</v>
      </c>
      <c r="I307" s="56">
        <v>1</v>
      </c>
      <c r="J307" s="197">
        <v>1</v>
      </c>
      <c r="K307" s="33">
        <f t="shared" si="37"/>
        <v>1491692</v>
      </c>
      <c r="L307" s="33">
        <f t="shared" si="43"/>
        <v>1491692</v>
      </c>
      <c r="M307" s="33">
        <f t="shared" si="44"/>
        <v>1491692</v>
      </c>
      <c r="N307" s="129"/>
      <c r="O307" s="42" t="s">
        <v>1705</v>
      </c>
      <c r="P307" s="135"/>
    </row>
    <row r="308" spans="1:16">
      <c r="A308" s="29">
        <f t="shared" si="38"/>
        <v>304</v>
      </c>
      <c r="B308" s="55" t="s">
        <v>1139</v>
      </c>
      <c r="C308" s="64" t="s">
        <v>1140</v>
      </c>
      <c r="D308" s="52">
        <v>42835</v>
      </c>
      <c r="E308" s="202">
        <v>1491692</v>
      </c>
      <c r="F308" s="192">
        <f t="shared" si="36"/>
        <v>1491692</v>
      </c>
      <c r="G308" s="55">
        <f t="shared" si="42"/>
        <v>1491692</v>
      </c>
      <c r="H308" s="61">
        <v>0</v>
      </c>
      <c r="I308" s="56">
        <v>1</v>
      </c>
      <c r="J308" s="197">
        <v>1</v>
      </c>
      <c r="K308" s="33">
        <f t="shared" si="37"/>
        <v>1491692</v>
      </c>
      <c r="L308" s="33">
        <f t="shared" si="43"/>
        <v>1491692</v>
      </c>
      <c r="M308" s="33">
        <f t="shared" si="44"/>
        <v>1491692</v>
      </c>
      <c r="N308" s="129"/>
      <c r="O308" s="42" t="s">
        <v>1706</v>
      </c>
      <c r="P308" s="135"/>
    </row>
    <row r="309" spans="1:16">
      <c r="A309" s="29">
        <f t="shared" si="38"/>
        <v>305</v>
      </c>
      <c r="B309" s="55" t="s">
        <v>1139</v>
      </c>
      <c r="C309" s="64" t="s">
        <v>1140</v>
      </c>
      <c r="D309" s="52">
        <v>42865</v>
      </c>
      <c r="E309" s="53">
        <v>1491692</v>
      </c>
      <c r="F309" s="192">
        <f t="shared" si="36"/>
        <v>1491692</v>
      </c>
      <c r="G309" s="55">
        <f t="shared" si="42"/>
        <v>1491692</v>
      </c>
      <c r="H309" s="61">
        <v>0</v>
      </c>
      <c r="I309" s="56">
        <v>1</v>
      </c>
      <c r="J309" s="197">
        <v>1</v>
      </c>
      <c r="K309" s="33">
        <f t="shared" si="37"/>
        <v>1491692</v>
      </c>
      <c r="L309" s="33">
        <f t="shared" si="43"/>
        <v>1491692</v>
      </c>
      <c r="M309" s="185">
        <f t="shared" si="44"/>
        <v>1491692</v>
      </c>
      <c r="N309" s="129"/>
      <c r="O309" s="42" t="s">
        <v>1707</v>
      </c>
      <c r="P309" s="135"/>
    </row>
    <row r="310" spans="1:16">
      <c r="A310" s="29">
        <f t="shared" si="38"/>
        <v>306</v>
      </c>
      <c r="B310" s="55" t="s">
        <v>1139</v>
      </c>
      <c r="C310" s="64" t="s">
        <v>1140</v>
      </c>
      <c r="D310" s="52">
        <v>42896</v>
      </c>
      <c r="E310" s="209">
        <v>1491692</v>
      </c>
      <c r="F310" s="192">
        <f t="shared" si="36"/>
        <v>1491692</v>
      </c>
      <c r="G310" s="55">
        <f t="shared" si="42"/>
        <v>1491692</v>
      </c>
      <c r="H310" s="61">
        <v>0</v>
      </c>
      <c r="I310" s="56">
        <v>1</v>
      </c>
      <c r="J310" s="197">
        <v>1</v>
      </c>
      <c r="K310" s="33">
        <f t="shared" si="37"/>
        <v>1491692</v>
      </c>
      <c r="L310" s="33">
        <f t="shared" si="43"/>
        <v>1491692</v>
      </c>
      <c r="M310" s="185">
        <f t="shared" si="44"/>
        <v>1491692</v>
      </c>
      <c r="N310" s="129"/>
      <c r="O310" s="42" t="s">
        <v>1708</v>
      </c>
      <c r="P310" s="135"/>
    </row>
    <row r="311" spans="1:16">
      <c r="A311" s="29">
        <f t="shared" si="38"/>
        <v>307</v>
      </c>
      <c r="B311" s="55" t="s">
        <v>1139</v>
      </c>
      <c r="C311" s="64" t="s">
        <v>1140</v>
      </c>
      <c r="D311" s="52">
        <v>42926</v>
      </c>
      <c r="E311" s="210">
        <v>1491692</v>
      </c>
      <c r="F311" s="192">
        <f t="shared" si="36"/>
        <v>1491692</v>
      </c>
      <c r="G311" s="55">
        <f t="shared" si="42"/>
        <v>1491692</v>
      </c>
      <c r="H311" s="61">
        <v>0</v>
      </c>
      <c r="I311" s="56">
        <v>1</v>
      </c>
      <c r="J311" s="197">
        <v>1</v>
      </c>
      <c r="K311" s="33">
        <f t="shared" si="37"/>
        <v>1491692</v>
      </c>
      <c r="L311" s="33">
        <f t="shared" si="43"/>
        <v>1491692</v>
      </c>
      <c r="M311" s="185">
        <f t="shared" si="44"/>
        <v>1491692</v>
      </c>
      <c r="N311" s="129"/>
      <c r="O311" s="42" t="s">
        <v>1709</v>
      </c>
      <c r="P311" s="135"/>
    </row>
    <row r="312" spans="1:16">
      <c r="A312" s="29">
        <f t="shared" si="38"/>
        <v>308</v>
      </c>
      <c r="B312" s="55" t="s">
        <v>1139</v>
      </c>
      <c r="C312" s="64" t="s">
        <v>1140</v>
      </c>
      <c r="D312" s="52">
        <v>42957</v>
      </c>
      <c r="E312" s="210">
        <v>1491692</v>
      </c>
      <c r="F312" s="192">
        <f t="shared" si="36"/>
        <v>1491692</v>
      </c>
      <c r="G312" s="55">
        <f t="shared" si="42"/>
        <v>1491692</v>
      </c>
      <c r="H312" s="61">
        <v>0</v>
      </c>
      <c r="I312" s="56">
        <v>1</v>
      </c>
      <c r="J312" s="197">
        <v>1</v>
      </c>
      <c r="K312" s="33">
        <f t="shared" si="37"/>
        <v>1491692</v>
      </c>
      <c r="L312" s="33">
        <f t="shared" si="43"/>
        <v>1491692</v>
      </c>
      <c r="M312" s="185">
        <f t="shared" si="44"/>
        <v>1491692</v>
      </c>
      <c r="N312" s="129"/>
      <c r="O312" s="42" t="s">
        <v>1710</v>
      </c>
      <c r="P312" s="135"/>
    </row>
    <row r="313" spans="1:16">
      <c r="A313" s="29">
        <f t="shared" si="38"/>
        <v>309</v>
      </c>
      <c r="B313" s="55" t="s">
        <v>1139</v>
      </c>
      <c r="C313" s="64" t="s">
        <v>1140</v>
      </c>
      <c r="D313" s="52">
        <v>42988</v>
      </c>
      <c r="E313" s="214">
        <v>1491692</v>
      </c>
      <c r="F313" s="192">
        <f t="shared" si="36"/>
        <v>1491692</v>
      </c>
      <c r="G313" s="55">
        <f t="shared" si="42"/>
        <v>1491692</v>
      </c>
      <c r="H313" s="61">
        <v>0</v>
      </c>
      <c r="I313" s="56">
        <v>1</v>
      </c>
      <c r="J313" s="197">
        <v>1</v>
      </c>
      <c r="K313" s="33">
        <f t="shared" si="37"/>
        <v>1491692</v>
      </c>
      <c r="L313" s="33">
        <f t="shared" si="43"/>
        <v>1491692</v>
      </c>
      <c r="M313" s="185">
        <f t="shared" si="44"/>
        <v>1491692</v>
      </c>
      <c r="N313" s="186"/>
      <c r="O313" s="42" t="s">
        <v>1711</v>
      </c>
      <c r="P313" s="135"/>
    </row>
    <row r="314" spans="1:16">
      <c r="A314" s="29">
        <f t="shared" si="38"/>
        <v>310</v>
      </c>
      <c r="B314" s="55" t="s">
        <v>1139</v>
      </c>
      <c r="C314" s="64" t="s">
        <v>1140</v>
      </c>
      <c r="D314" s="52">
        <v>43018</v>
      </c>
      <c r="E314" s="214">
        <v>1491692</v>
      </c>
      <c r="F314" s="192">
        <f t="shared" si="36"/>
        <v>1491692</v>
      </c>
      <c r="G314" s="55">
        <f t="shared" si="42"/>
        <v>1491692</v>
      </c>
      <c r="H314" s="61">
        <v>0</v>
      </c>
      <c r="I314" s="56">
        <v>1</v>
      </c>
      <c r="J314" s="197">
        <v>1</v>
      </c>
      <c r="K314" s="33">
        <f t="shared" si="37"/>
        <v>1491692</v>
      </c>
      <c r="L314" s="33">
        <f t="shared" si="43"/>
        <v>1491692</v>
      </c>
      <c r="M314" s="185">
        <f t="shared" si="44"/>
        <v>1491692</v>
      </c>
      <c r="N314" s="129"/>
      <c r="O314" s="42" t="s">
        <v>1712</v>
      </c>
      <c r="P314" s="135"/>
    </row>
    <row r="315" spans="1:16">
      <c r="A315" s="29">
        <f t="shared" si="38"/>
        <v>311</v>
      </c>
      <c r="B315" s="55" t="s">
        <v>1139</v>
      </c>
      <c r="C315" s="64" t="s">
        <v>1140</v>
      </c>
      <c r="D315" s="52">
        <v>43049</v>
      </c>
      <c r="E315" s="210">
        <v>1491692</v>
      </c>
      <c r="F315" s="192">
        <f t="shared" si="36"/>
        <v>1491692</v>
      </c>
      <c r="G315" s="55">
        <f t="shared" si="42"/>
        <v>1491692</v>
      </c>
      <c r="H315" s="61">
        <v>0</v>
      </c>
      <c r="I315" s="56">
        <v>1</v>
      </c>
      <c r="J315" s="197">
        <v>1</v>
      </c>
      <c r="K315" s="33">
        <f t="shared" si="37"/>
        <v>1491692</v>
      </c>
      <c r="L315" s="33">
        <f t="shared" si="43"/>
        <v>1491692</v>
      </c>
      <c r="M315" s="185">
        <f t="shared" si="44"/>
        <v>1491692</v>
      </c>
      <c r="N315" s="129"/>
      <c r="O315" s="42" t="s">
        <v>1713</v>
      </c>
      <c r="P315" s="135"/>
    </row>
    <row r="316" spans="1:16">
      <c r="A316" s="29">
        <f t="shared" si="38"/>
        <v>312</v>
      </c>
      <c r="B316" s="55" t="s">
        <v>1139</v>
      </c>
      <c r="C316" s="64" t="s">
        <v>1140</v>
      </c>
      <c r="D316" s="52">
        <v>43079</v>
      </c>
      <c r="E316" s="191">
        <v>1491692</v>
      </c>
      <c r="F316" s="192">
        <f t="shared" si="36"/>
        <v>1491692</v>
      </c>
      <c r="G316" s="55">
        <f t="shared" si="42"/>
        <v>1491692</v>
      </c>
      <c r="H316" s="61">
        <v>0</v>
      </c>
      <c r="I316" s="56">
        <v>1</v>
      </c>
      <c r="J316" s="197">
        <v>1</v>
      </c>
      <c r="K316" s="33">
        <f t="shared" si="37"/>
        <v>1491692</v>
      </c>
      <c r="L316" s="33">
        <f t="shared" si="43"/>
        <v>1491692</v>
      </c>
      <c r="M316" s="185">
        <f t="shared" si="44"/>
        <v>1491692</v>
      </c>
      <c r="N316" s="129"/>
      <c r="O316" s="193" t="s">
        <v>1714</v>
      </c>
      <c r="P316" s="135"/>
    </row>
    <row r="317" spans="1:16">
      <c r="A317" s="29">
        <f t="shared" si="38"/>
        <v>313</v>
      </c>
      <c r="B317" s="55" t="s">
        <v>1139</v>
      </c>
      <c r="C317" s="64" t="s">
        <v>1140</v>
      </c>
      <c r="D317" s="52">
        <v>43110</v>
      </c>
      <c r="E317" s="191">
        <v>1491692</v>
      </c>
      <c r="F317" s="192">
        <f t="shared" si="36"/>
        <v>1491692</v>
      </c>
      <c r="G317" s="55">
        <f t="shared" si="42"/>
        <v>1491692</v>
      </c>
      <c r="H317" s="61">
        <v>0</v>
      </c>
      <c r="I317" s="56">
        <v>1</v>
      </c>
      <c r="J317" s="197">
        <v>1</v>
      </c>
      <c r="K317" s="33">
        <f t="shared" si="37"/>
        <v>1491692</v>
      </c>
      <c r="L317" s="33">
        <f t="shared" si="43"/>
        <v>1491692</v>
      </c>
      <c r="M317" s="185">
        <f t="shared" si="44"/>
        <v>1491692</v>
      </c>
      <c r="N317" s="129"/>
      <c r="O317" s="193" t="s">
        <v>1715</v>
      </c>
      <c r="P317" s="135"/>
    </row>
    <row r="318" spans="1:16">
      <c r="A318" s="29">
        <f t="shared" si="38"/>
        <v>314</v>
      </c>
      <c r="B318" s="55" t="s">
        <v>1139</v>
      </c>
      <c r="C318" s="64" t="s">
        <v>1140</v>
      </c>
      <c r="D318" s="52">
        <v>43141</v>
      </c>
      <c r="E318" s="191">
        <v>1491692</v>
      </c>
      <c r="F318" s="192">
        <f t="shared" si="36"/>
        <v>1491692</v>
      </c>
      <c r="G318" s="55">
        <f t="shared" si="42"/>
        <v>1491692</v>
      </c>
      <c r="H318" s="61">
        <v>0</v>
      </c>
      <c r="I318" s="56">
        <v>1</v>
      </c>
      <c r="J318" s="197">
        <v>1</v>
      </c>
      <c r="K318" s="33">
        <f t="shared" si="37"/>
        <v>1491692</v>
      </c>
      <c r="L318" s="33">
        <f t="shared" si="43"/>
        <v>1491692</v>
      </c>
      <c r="M318" s="185">
        <f t="shared" si="44"/>
        <v>1491692</v>
      </c>
      <c r="N318" s="129"/>
      <c r="O318" s="193" t="s">
        <v>1716</v>
      </c>
      <c r="P318" s="135"/>
    </row>
    <row r="319" spans="1:16">
      <c r="A319" s="29">
        <f t="shared" si="38"/>
        <v>315</v>
      </c>
      <c r="B319" s="55" t="s">
        <v>1139</v>
      </c>
      <c r="C319" s="64" t="s">
        <v>1140</v>
      </c>
      <c r="D319" s="52">
        <v>43169</v>
      </c>
      <c r="E319" s="210">
        <v>1491692</v>
      </c>
      <c r="F319" s="192">
        <f t="shared" si="36"/>
        <v>1491692</v>
      </c>
      <c r="G319" s="55">
        <f t="shared" si="42"/>
        <v>1491692</v>
      </c>
      <c r="H319" s="61">
        <v>0</v>
      </c>
      <c r="I319" s="56">
        <v>1</v>
      </c>
      <c r="J319" s="197">
        <v>1</v>
      </c>
      <c r="K319" s="33">
        <f t="shared" si="37"/>
        <v>1491692</v>
      </c>
      <c r="L319" s="33">
        <f t="shared" si="43"/>
        <v>1491692</v>
      </c>
      <c r="M319" s="185">
        <f t="shared" si="44"/>
        <v>1491692</v>
      </c>
      <c r="N319" s="213"/>
      <c r="O319" s="193" t="s">
        <v>1717</v>
      </c>
      <c r="P319" s="135"/>
    </row>
    <row r="320" spans="1:16">
      <c r="A320" s="29">
        <f t="shared" si="38"/>
        <v>316</v>
      </c>
      <c r="B320" s="55" t="s">
        <v>1139</v>
      </c>
      <c r="C320" s="64" t="s">
        <v>1140</v>
      </c>
      <c r="D320" s="52">
        <v>43200</v>
      </c>
      <c r="E320" s="210">
        <v>1491692</v>
      </c>
      <c r="F320" s="192">
        <f t="shared" si="36"/>
        <v>1491692</v>
      </c>
      <c r="G320" s="55">
        <f t="shared" si="42"/>
        <v>1491692</v>
      </c>
      <c r="H320" s="61">
        <v>0</v>
      </c>
      <c r="I320" s="56">
        <v>1</v>
      </c>
      <c r="J320" s="197">
        <v>1</v>
      </c>
      <c r="K320" s="33">
        <f t="shared" si="37"/>
        <v>1491692</v>
      </c>
      <c r="L320" s="33">
        <f t="shared" si="43"/>
        <v>1491692</v>
      </c>
      <c r="M320" s="185">
        <f t="shared" si="44"/>
        <v>1491692</v>
      </c>
      <c r="N320" s="186"/>
      <c r="O320" s="193" t="s">
        <v>1718</v>
      </c>
      <c r="P320" s="135"/>
    </row>
    <row r="321" spans="1:16">
      <c r="A321" s="29">
        <f t="shared" si="38"/>
        <v>317</v>
      </c>
      <c r="B321" s="55" t="s">
        <v>1139</v>
      </c>
      <c r="C321" s="64" t="s">
        <v>1140</v>
      </c>
      <c r="D321" s="102">
        <v>43230</v>
      </c>
      <c r="E321" s="202">
        <v>1491692</v>
      </c>
      <c r="F321" s="196">
        <f t="shared" si="36"/>
        <v>1491692</v>
      </c>
      <c r="G321" s="196">
        <f>E321/I321</f>
        <v>1491692</v>
      </c>
      <c r="H321" s="196">
        <v>0</v>
      </c>
      <c r="I321" s="197">
        <v>1</v>
      </c>
      <c r="J321" s="197">
        <v>1</v>
      </c>
      <c r="K321" s="198">
        <f t="shared" si="37"/>
        <v>1491692</v>
      </c>
      <c r="L321" s="198">
        <f>G321*J321</f>
        <v>1491692</v>
      </c>
      <c r="M321" s="199">
        <f>J321*K321</f>
        <v>1491692</v>
      </c>
      <c r="N321" s="187"/>
      <c r="O321" s="200" t="s">
        <v>1719</v>
      </c>
      <c r="P321" s="135"/>
    </row>
    <row r="322" spans="1:16">
      <c r="A322" s="29">
        <f t="shared" si="38"/>
        <v>318</v>
      </c>
      <c r="B322" s="55" t="s">
        <v>1139</v>
      </c>
      <c r="C322" s="64" t="s">
        <v>1140</v>
      </c>
      <c r="D322" s="52">
        <v>43261</v>
      </c>
      <c r="E322" s="202">
        <v>1491692</v>
      </c>
      <c r="F322" s="196">
        <f t="shared" si="36"/>
        <v>1491692</v>
      </c>
      <c r="G322" s="196">
        <f>E322/I322</f>
        <v>1491692</v>
      </c>
      <c r="H322" s="196">
        <v>0</v>
      </c>
      <c r="I322" s="197">
        <v>1</v>
      </c>
      <c r="J322" s="197">
        <v>1</v>
      </c>
      <c r="K322" s="198">
        <f t="shared" si="37"/>
        <v>1491692</v>
      </c>
      <c r="L322" s="198">
        <f>G322*J322</f>
        <v>1491692</v>
      </c>
      <c r="M322" s="199">
        <f>J322*K322</f>
        <v>1491692</v>
      </c>
      <c r="N322" s="187"/>
      <c r="O322" s="200" t="s">
        <v>1720</v>
      </c>
      <c r="P322" s="135"/>
    </row>
    <row r="323" spans="1:16">
      <c r="A323" s="29">
        <f t="shared" si="38"/>
        <v>319</v>
      </c>
      <c r="B323" s="30" t="s">
        <v>110</v>
      </c>
      <c r="C323" s="31" t="s">
        <v>111</v>
      </c>
      <c r="D323" s="32">
        <v>43291</v>
      </c>
      <c r="E323" s="215">
        <v>60000</v>
      </c>
      <c r="F323" s="199">
        <f t="shared" si="36"/>
        <v>60000</v>
      </c>
      <c r="G323" s="199">
        <f t="shared" ref="G323:G369" si="45">E323/I323</f>
        <v>60000</v>
      </c>
      <c r="H323" s="199">
        <v>0</v>
      </c>
      <c r="I323" s="205">
        <v>1</v>
      </c>
      <c r="J323" s="205">
        <v>1</v>
      </c>
      <c r="K323" s="198">
        <f t="shared" si="37"/>
        <v>60000</v>
      </c>
      <c r="L323" s="198">
        <f t="shared" ref="L323:L369" si="46">G323*J323</f>
        <v>60000</v>
      </c>
      <c r="M323" s="199">
        <f t="shared" ref="M323:M369" si="47">J323*K323</f>
        <v>60000</v>
      </c>
      <c r="N323" s="200"/>
      <c r="O323" s="200" t="s">
        <v>1732</v>
      </c>
      <c r="P323" s="135"/>
    </row>
    <row r="324" spans="1:16">
      <c r="A324" s="29">
        <f t="shared" si="38"/>
        <v>320</v>
      </c>
      <c r="B324" s="30" t="s">
        <v>110</v>
      </c>
      <c r="C324" s="31" t="s">
        <v>111</v>
      </c>
      <c r="D324" s="32">
        <v>43291</v>
      </c>
      <c r="E324" s="216">
        <v>670543</v>
      </c>
      <c r="F324" s="199">
        <f t="shared" si="36"/>
        <v>670543</v>
      </c>
      <c r="G324" s="199">
        <f t="shared" si="45"/>
        <v>670543</v>
      </c>
      <c r="H324" s="199">
        <v>0</v>
      </c>
      <c r="I324" s="205">
        <v>1</v>
      </c>
      <c r="J324" s="205">
        <v>1</v>
      </c>
      <c r="K324" s="198">
        <f t="shared" si="37"/>
        <v>670543</v>
      </c>
      <c r="L324" s="198">
        <f t="shared" si="46"/>
        <v>670543</v>
      </c>
      <c r="M324" s="199">
        <f t="shared" si="47"/>
        <v>670543</v>
      </c>
      <c r="N324" s="187"/>
      <c r="O324" s="200" t="s">
        <v>1732</v>
      </c>
      <c r="P324" s="135"/>
    </row>
    <row r="325" spans="1:16">
      <c r="A325" s="29">
        <f t="shared" si="38"/>
        <v>321</v>
      </c>
      <c r="B325" s="30" t="s">
        <v>110</v>
      </c>
      <c r="C325" s="31" t="s">
        <v>111</v>
      </c>
      <c r="D325" s="32">
        <v>43291</v>
      </c>
      <c r="E325" s="216">
        <v>670543</v>
      </c>
      <c r="F325" s="199">
        <f t="shared" ref="F325:F369" si="48">+I325*K325</f>
        <v>670543</v>
      </c>
      <c r="G325" s="199">
        <f t="shared" si="45"/>
        <v>670543</v>
      </c>
      <c r="H325" s="199">
        <v>0</v>
      </c>
      <c r="I325" s="205">
        <v>1</v>
      </c>
      <c r="J325" s="205">
        <v>1</v>
      </c>
      <c r="K325" s="198">
        <f t="shared" ref="K325:K369" si="49">+G325+H325</f>
        <v>670543</v>
      </c>
      <c r="L325" s="198">
        <f t="shared" si="46"/>
        <v>670543</v>
      </c>
      <c r="M325" s="199">
        <f t="shared" si="47"/>
        <v>670543</v>
      </c>
      <c r="N325" s="187"/>
      <c r="O325" s="200" t="s">
        <v>1732</v>
      </c>
      <c r="P325" s="135"/>
    </row>
    <row r="326" spans="1:16">
      <c r="A326" s="29">
        <f t="shared" ref="A326:A369" si="50">+A325+1</f>
        <v>322</v>
      </c>
      <c r="B326" s="33" t="s">
        <v>140</v>
      </c>
      <c r="C326" s="84" t="s">
        <v>141</v>
      </c>
      <c r="D326" s="32">
        <v>43291</v>
      </c>
      <c r="E326" s="216">
        <v>360000</v>
      </c>
      <c r="F326" s="199">
        <f t="shared" si="48"/>
        <v>360000</v>
      </c>
      <c r="G326" s="199">
        <f t="shared" si="45"/>
        <v>360000</v>
      </c>
      <c r="H326" s="199">
        <v>0</v>
      </c>
      <c r="I326" s="205">
        <v>1</v>
      </c>
      <c r="J326" s="205">
        <v>1</v>
      </c>
      <c r="K326" s="198">
        <f t="shared" si="49"/>
        <v>360000</v>
      </c>
      <c r="L326" s="198">
        <f t="shared" si="46"/>
        <v>360000</v>
      </c>
      <c r="M326" s="199">
        <f t="shared" si="47"/>
        <v>360000</v>
      </c>
      <c r="N326" s="187"/>
      <c r="O326" s="200" t="s">
        <v>1732</v>
      </c>
      <c r="P326" s="135"/>
    </row>
    <row r="327" spans="1:16">
      <c r="A327" s="29">
        <f t="shared" si="50"/>
        <v>323</v>
      </c>
      <c r="B327" s="30" t="s">
        <v>290</v>
      </c>
      <c r="C327" s="45" t="s">
        <v>291</v>
      </c>
      <c r="D327" s="32">
        <v>43291</v>
      </c>
      <c r="E327" s="216">
        <v>4666068</v>
      </c>
      <c r="F327" s="199">
        <f t="shared" si="48"/>
        <v>4666068</v>
      </c>
      <c r="G327" s="199">
        <f t="shared" si="45"/>
        <v>4666068</v>
      </c>
      <c r="H327" s="199">
        <v>0</v>
      </c>
      <c r="I327" s="205">
        <v>1</v>
      </c>
      <c r="J327" s="205">
        <v>1</v>
      </c>
      <c r="K327" s="198">
        <f t="shared" si="49"/>
        <v>4666068</v>
      </c>
      <c r="L327" s="198">
        <f t="shared" si="46"/>
        <v>4666068</v>
      </c>
      <c r="M327" s="199">
        <f t="shared" si="47"/>
        <v>4666068</v>
      </c>
      <c r="N327" s="187"/>
      <c r="O327" s="200" t="s">
        <v>1732</v>
      </c>
      <c r="P327" s="135"/>
    </row>
    <row r="328" spans="1:16">
      <c r="A328" s="29">
        <f t="shared" si="50"/>
        <v>324</v>
      </c>
      <c r="B328" s="30" t="s">
        <v>322</v>
      </c>
      <c r="C328" s="45" t="s">
        <v>323</v>
      </c>
      <c r="D328" s="32">
        <v>43291</v>
      </c>
      <c r="E328" s="216">
        <v>120000</v>
      </c>
      <c r="F328" s="199">
        <f t="shared" si="48"/>
        <v>120000</v>
      </c>
      <c r="G328" s="199">
        <f t="shared" si="45"/>
        <v>120000</v>
      </c>
      <c r="H328" s="199">
        <v>0</v>
      </c>
      <c r="I328" s="205">
        <v>1</v>
      </c>
      <c r="J328" s="205">
        <v>1</v>
      </c>
      <c r="K328" s="198">
        <f t="shared" si="49"/>
        <v>120000</v>
      </c>
      <c r="L328" s="198">
        <f t="shared" si="46"/>
        <v>120000</v>
      </c>
      <c r="M328" s="199">
        <f t="shared" si="47"/>
        <v>120000</v>
      </c>
      <c r="N328" s="187"/>
      <c r="O328" s="200" t="s">
        <v>1732</v>
      </c>
      <c r="P328" s="135"/>
    </row>
    <row r="329" spans="1:16">
      <c r="A329" s="29">
        <f t="shared" si="50"/>
        <v>325</v>
      </c>
      <c r="B329" s="30" t="s">
        <v>322</v>
      </c>
      <c r="C329" s="31" t="s">
        <v>323</v>
      </c>
      <c r="D329" s="32">
        <v>43291</v>
      </c>
      <c r="E329" s="216">
        <v>185046</v>
      </c>
      <c r="F329" s="199">
        <f t="shared" si="48"/>
        <v>185046</v>
      </c>
      <c r="G329" s="199">
        <f t="shared" si="45"/>
        <v>185046</v>
      </c>
      <c r="H329" s="199">
        <v>0</v>
      </c>
      <c r="I329" s="205">
        <v>1</v>
      </c>
      <c r="J329" s="205">
        <v>1</v>
      </c>
      <c r="K329" s="198">
        <f t="shared" si="49"/>
        <v>185046</v>
      </c>
      <c r="L329" s="198">
        <f t="shared" si="46"/>
        <v>185046</v>
      </c>
      <c r="M329" s="199">
        <f t="shared" si="47"/>
        <v>185046</v>
      </c>
      <c r="N329" s="187"/>
      <c r="O329" s="200" t="s">
        <v>1732</v>
      </c>
      <c r="P329" s="135"/>
    </row>
    <row r="330" spans="1:16">
      <c r="A330" s="29">
        <f t="shared" si="50"/>
        <v>326</v>
      </c>
      <c r="B330" s="30" t="s">
        <v>322</v>
      </c>
      <c r="C330" s="31" t="s">
        <v>323</v>
      </c>
      <c r="D330" s="32">
        <v>43291</v>
      </c>
      <c r="E330" s="217">
        <v>185046</v>
      </c>
      <c r="F330" s="199">
        <f t="shared" si="48"/>
        <v>185046</v>
      </c>
      <c r="G330" s="199">
        <f t="shared" si="45"/>
        <v>185046</v>
      </c>
      <c r="H330" s="199">
        <v>0</v>
      </c>
      <c r="I330" s="205">
        <v>1</v>
      </c>
      <c r="J330" s="205">
        <v>1</v>
      </c>
      <c r="K330" s="198">
        <f t="shared" si="49"/>
        <v>185046</v>
      </c>
      <c r="L330" s="198">
        <f t="shared" si="46"/>
        <v>185046</v>
      </c>
      <c r="M330" s="199">
        <f t="shared" si="47"/>
        <v>185046</v>
      </c>
      <c r="N330" s="187"/>
      <c r="O330" s="200" t="s">
        <v>1732</v>
      </c>
      <c r="P330" s="135"/>
    </row>
    <row r="331" spans="1:16">
      <c r="A331" s="29">
        <f t="shared" si="50"/>
        <v>327</v>
      </c>
      <c r="B331" s="30" t="s">
        <v>342</v>
      </c>
      <c r="C331" s="31" t="s">
        <v>343</v>
      </c>
      <c r="D331" s="32">
        <v>43291</v>
      </c>
      <c r="E331" s="207">
        <v>30000</v>
      </c>
      <c r="F331" s="199">
        <f t="shared" si="48"/>
        <v>30000</v>
      </c>
      <c r="G331" s="199">
        <f t="shared" si="45"/>
        <v>30000</v>
      </c>
      <c r="H331" s="199">
        <v>0</v>
      </c>
      <c r="I331" s="205">
        <v>1</v>
      </c>
      <c r="J331" s="205">
        <v>1</v>
      </c>
      <c r="K331" s="198">
        <f t="shared" si="49"/>
        <v>30000</v>
      </c>
      <c r="L331" s="198">
        <f t="shared" si="46"/>
        <v>30000</v>
      </c>
      <c r="M331" s="199">
        <f t="shared" si="47"/>
        <v>30000</v>
      </c>
      <c r="N331" s="187"/>
      <c r="O331" s="200" t="s">
        <v>1732</v>
      </c>
      <c r="P331" s="135"/>
    </row>
    <row r="332" spans="1:16">
      <c r="A332" s="29">
        <f t="shared" si="50"/>
        <v>328</v>
      </c>
      <c r="B332" s="30" t="s">
        <v>342</v>
      </c>
      <c r="C332" s="31" t="s">
        <v>343</v>
      </c>
      <c r="D332" s="32">
        <v>43291</v>
      </c>
      <c r="E332" s="217">
        <v>421725</v>
      </c>
      <c r="F332" s="199">
        <f t="shared" si="48"/>
        <v>421725</v>
      </c>
      <c r="G332" s="199">
        <f t="shared" si="45"/>
        <v>421725</v>
      </c>
      <c r="H332" s="199">
        <v>0</v>
      </c>
      <c r="I332" s="205">
        <v>1</v>
      </c>
      <c r="J332" s="205">
        <v>1</v>
      </c>
      <c r="K332" s="198">
        <f t="shared" si="49"/>
        <v>421725</v>
      </c>
      <c r="L332" s="198">
        <f t="shared" si="46"/>
        <v>421725</v>
      </c>
      <c r="M332" s="199">
        <f t="shared" si="47"/>
        <v>421725</v>
      </c>
      <c r="N332" s="187"/>
      <c r="O332" s="200" t="s">
        <v>1732</v>
      </c>
      <c r="P332" s="135"/>
    </row>
    <row r="333" spans="1:16">
      <c r="A333" s="29">
        <f t="shared" si="50"/>
        <v>329</v>
      </c>
      <c r="B333" s="30" t="s">
        <v>342</v>
      </c>
      <c r="C333" s="31" t="s">
        <v>343</v>
      </c>
      <c r="D333" s="32">
        <v>43291</v>
      </c>
      <c r="E333" s="217">
        <v>421724</v>
      </c>
      <c r="F333" s="199">
        <f t="shared" si="48"/>
        <v>421724</v>
      </c>
      <c r="G333" s="199">
        <f t="shared" si="45"/>
        <v>421724</v>
      </c>
      <c r="H333" s="199">
        <v>0</v>
      </c>
      <c r="I333" s="205">
        <v>1</v>
      </c>
      <c r="J333" s="205">
        <v>1</v>
      </c>
      <c r="K333" s="198">
        <f t="shared" si="49"/>
        <v>421724</v>
      </c>
      <c r="L333" s="198">
        <f t="shared" si="46"/>
        <v>421724</v>
      </c>
      <c r="M333" s="199">
        <f t="shared" si="47"/>
        <v>421724</v>
      </c>
      <c r="N333" s="187"/>
      <c r="O333" s="200" t="s">
        <v>1732</v>
      </c>
      <c r="P333" s="135"/>
    </row>
    <row r="334" spans="1:16">
      <c r="A334" s="29">
        <f t="shared" si="50"/>
        <v>330</v>
      </c>
      <c r="B334" s="30" t="s">
        <v>359</v>
      </c>
      <c r="C334" s="31" t="s">
        <v>360</v>
      </c>
      <c r="D334" s="32">
        <v>43291</v>
      </c>
      <c r="E334" s="217">
        <v>288000</v>
      </c>
      <c r="F334" s="199">
        <f t="shared" si="48"/>
        <v>288000</v>
      </c>
      <c r="G334" s="199">
        <f t="shared" si="45"/>
        <v>288000</v>
      </c>
      <c r="H334" s="199">
        <v>0</v>
      </c>
      <c r="I334" s="205">
        <v>1</v>
      </c>
      <c r="J334" s="205">
        <v>1</v>
      </c>
      <c r="K334" s="198">
        <f t="shared" si="49"/>
        <v>288000</v>
      </c>
      <c r="L334" s="198">
        <f t="shared" si="46"/>
        <v>288000</v>
      </c>
      <c r="M334" s="199">
        <f t="shared" si="47"/>
        <v>288000</v>
      </c>
      <c r="N334" s="187"/>
      <c r="O334" s="200" t="s">
        <v>1732</v>
      </c>
      <c r="P334" s="135"/>
    </row>
    <row r="335" spans="1:16">
      <c r="A335" s="29">
        <f t="shared" si="50"/>
        <v>331</v>
      </c>
      <c r="B335" s="30" t="s">
        <v>359</v>
      </c>
      <c r="C335" s="31" t="s">
        <v>360</v>
      </c>
      <c r="D335" s="32">
        <v>43291</v>
      </c>
      <c r="E335" s="217">
        <v>1605601</v>
      </c>
      <c r="F335" s="199">
        <f t="shared" si="48"/>
        <v>1605601</v>
      </c>
      <c r="G335" s="199">
        <f t="shared" si="45"/>
        <v>1605601</v>
      </c>
      <c r="H335" s="199">
        <v>0</v>
      </c>
      <c r="I335" s="205">
        <v>1</v>
      </c>
      <c r="J335" s="205">
        <v>1</v>
      </c>
      <c r="K335" s="198">
        <f t="shared" si="49"/>
        <v>1605601</v>
      </c>
      <c r="L335" s="198">
        <f t="shared" si="46"/>
        <v>1605601</v>
      </c>
      <c r="M335" s="199">
        <f t="shared" si="47"/>
        <v>1605601</v>
      </c>
      <c r="N335" s="187"/>
      <c r="O335" s="200" t="s">
        <v>1732</v>
      </c>
      <c r="P335" s="135"/>
    </row>
    <row r="336" spans="1:16">
      <c r="A336" s="29">
        <f t="shared" si="50"/>
        <v>332</v>
      </c>
      <c r="B336" s="30" t="s">
        <v>404</v>
      </c>
      <c r="C336" s="31">
        <v>901781</v>
      </c>
      <c r="D336" s="32">
        <v>43291</v>
      </c>
      <c r="E336" s="217">
        <v>267998</v>
      </c>
      <c r="F336" s="199">
        <f t="shared" si="48"/>
        <v>267998</v>
      </c>
      <c r="G336" s="199">
        <f t="shared" si="45"/>
        <v>267998</v>
      </c>
      <c r="H336" s="199">
        <v>0</v>
      </c>
      <c r="I336" s="205">
        <v>1</v>
      </c>
      <c r="J336" s="205">
        <v>1</v>
      </c>
      <c r="K336" s="198">
        <f t="shared" si="49"/>
        <v>267998</v>
      </c>
      <c r="L336" s="198">
        <f t="shared" si="46"/>
        <v>267998</v>
      </c>
      <c r="M336" s="199">
        <f t="shared" si="47"/>
        <v>267998</v>
      </c>
      <c r="N336" s="187"/>
      <c r="O336" s="200" t="s">
        <v>1732</v>
      </c>
      <c r="P336" s="135"/>
    </row>
    <row r="337" spans="1:16">
      <c r="A337" s="29">
        <f t="shared" si="50"/>
        <v>333</v>
      </c>
      <c r="B337" s="30" t="s">
        <v>466</v>
      </c>
      <c r="C337" s="31" t="s">
        <v>467</v>
      </c>
      <c r="D337" s="32">
        <v>43291</v>
      </c>
      <c r="E337" s="217">
        <v>1954660</v>
      </c>
      <c r="F337" s="199">
        <f t="shared" si="48"/>
        <v>1954660</v>
      </c>
      <c r="G337" s="199">
        <f t="shared" si="45"/>
        <v>1954660</v>
      </c>
      <c r="H337" s="199">
        <v>0</v>
      </c>
      <c r="I337" s="205">
        <v>1</v>
      </c>
      <c r="J337" s="205">
        <v>1</v>
      </c>
      <c r="K337" s="198">
        <f t="shared" si="49"/>
        <v>1954660</v>
      </c>
      <c r="L337" s="198">
        <f t="shared" si="46"/>
        <v>1954660</v>
      </c>
      <c r="M337" s="199">
        <f t="shared" si="47"/>
        <v>1954660</v>
      </c>
      <c r="N337" s="187"/>
      <c r="O337" s="200" t="s">
        <v>1732</v>
      </c>
      <c r="P337" s="135"/>
    </row>
    <row r="338" spans="1:16">
      <c r="A338" s="29">
        <f t="shared" si="50"/>
        <v>334</v>
      </c>
      <c r="B338" s="30" t="s">
        <v>498</v>
      </c>
      <c r="C338" s="31" t="s">
        <v>499</v>
      </c>
      <c r="D338" s="32">
        <v>43291</v>
      </c>
      <c r="E338" s="217">
        <v>839255</v>
      </c>
      <c r="F338" s="199">
        <f t="shared" si="48"/>
        <v>839255</v>
      </c>
      <c r="G338" s="199">
        <f t="shared" si="45"/>
        <v>839255</v>
      </c>
      <c r="H338" s="199">
        <v>0</v>
      </c>
      <c r="I338" s="205">
        <v>1</v>
      </c>
      <c r="J338" s="205">
        <v>1</v>
      </c>
      <c r="K338" s="198">
        <f t="shared" si="49"/>
        <v>839255</v>
      </c>
      <c r="L338" s="198">
        <f t="shared" si="46"/>
        <v>839255</v>
      </c>
      <c r="M338" s="199">
        <f t="shared" si="47"/>
        <v>839255</v>
      </c>
      <c r="N338" s="187"/>
      <c r="O338" s="200" t="s">
        <v>1732</v>
      </c>
      <c r="P338" s="135"/>
    </row>
    <row r="339" spans="1:16">
      <c r="A339" s="29">
        <f t="shared" si="50"/>
        <v>335</v>
      </c>
      <c r="B339" s="30" t="s">
        <v>498</v>
      </c>
      <c r="C339" s="31" t="s">
        <v>499</v>
      </c>
      <c r="D339" s="32">
        <v>43291</v>
      </c>
      <c r="E339" s="217">
        <v>839256</v>
      </c>
      <c r="F339" s="199">
        <f t="shared" si="48"/>
        <v>839256</v>
      </c>
      <c r="G339" s="199">
        <f t="shared" si="45"/>
        <v>839256</v>
      </c>
      <c r="H339" s="199">
        <v>0</v>
      </c>
      <c r="I339" s="205">
        <v>1</v>
      </c>
      <c r="J339" s="205">
        <v>1</v>
      </c>
      <c r="K339" s="198">
        <f t="shared" si="49"/>
        <v>839256</v>
      </c>
      <c r="L339" s="198">
        <f t="shared" si="46"/>
        <v>839256</v>
      </c>
      <c r="M339" s="199">
        <f t="shared" si="47"/>
        <v>839256</v>
      </c>
      <c r="N339" s="187"/>
      <c r="O339" s="200" t="s">
        <v>1732</v>
      </c>
      <c r="P339" s="135"/>
    </row>
    <row r="340" spans="1:16">
      <c r="A340" s="29">
        <f t="shared" si="50"/>
        <v>336</v>
      </c>
      <c r="B340" s="30" t="s">
        <v>520</v>
      </c>
      <c r="C340" s="31" t="s">
        <v>521</v>
      </c>
      <c r="D340" s="32">
        <v>43291</v>
      </c>
      <c r="E340" s="217">
        <v>378213</v>
      </c>
      <c r="F340" s="199">
        <f t="shared" si="48"/>
        <v>378213</v>
      </c>
      <c r="G340" s="199">
        <f t="shared" si="45"/>
        <v>378213</v>
      </c>
      <c r="H340" s="199">
        <v>0</v>
      </c>
      <c r="I340" s="205">
        <v>1</v>
      </c>
      <c r="J340" s="205">
        <v>1</v>
      </c>
      <c r="K340" s="198">
        <f t="shared" si="49"/>
        <v>378213</v>
      </c>
      <c r="L340" s="198">
        <f t="shared" si="46"/>
        <v>378213</v>
      </c>
      <c r="M340" s="199">
        <f t="shared" si="47"/>
        <v>378213</v>
      </c>
      <c r="N340" s="187"/>
      <c r="O340" s="200" t="s">
        <v>1732</v>
      </c>
      <c r="P340" s="135"/>
    </row>
    <row r="341" spans="1:16">
      <c r="A341" s="29">
        <f t="shared" si="50"/>
        <v>337</v>
      </c>
      <c r="B341" s="30" t="s">
        <v>544</v>
      </c>
      <c r="C341" s="31" t="s">
        <v>545</v>
      </c>
      <c r="D341" s="32">
        <v>43291</v>
      </c>
      <c r="E341" s="217">
        <v>1019330</v>
      </c>
      <c r="F341" s="199">
        <f t="shared" si="48"/>
        <v>1019330</v>
      </c>
      <c r="G341" s="199">
        <f t="shared" si="45"/>
        <v>1019330</v>
      </c>
      <c r="H341" s="199">
        <v>0</v>
      </c>
      <c r="I341" s="205">
        <v>1</v>
      </c>
      <c r="J341" s="205">
        <v>1</v>
      </c>
      <c r="K341" s="198">
        <f t="shared" si="49"/>
        <v>1019330</v>
      </c>
      <c r="L341" s="198">
        <f t="shared" si="46"/>
        <v>1019330</v>
      </c>
      <c r="M341" s="199">
        <f t="shared" si="47"/>
        <v>1019330</v>
      </c>
      <c r="N341" s="187"/>
      <c r="O341" s="200" t="s">
        <v>1732</v>
      </c>
      <c r="P341" s="135"/>
    </row>
    <row r="342" spans="1:16">
      <c r="A342" s="29">
        <f t="shared" si="50"/>
        <v>338</v>
      </c>
      <c r="B342" s="30" t="s">
        <v>617</v>
      </c>
      <c r="C342" s="31" t="s">
        <v>618</v>
      </c>
      <c r="D342" s="32">
        <v>43291</v>
      </c>
      <c r="E342" s="217">
        <v>660000</v>
      </c>
      <c r="F342" s="199">
        <f t="shared" si="48"/>
        <v>660000</v>
      </c>
      <c r="G342" s="199">
        <f t="shared" si="45"/>
        <v>660000</v>
      </c>
      <c r="H342" s="199">
        <v>0</v>
      </c>
      <c r="I342" s="205">
        <v>1</v>
      </c>
      <c r="J342" s="205">
        <v>1</v>
      </c>
      <c r="K342" s="198">
        <f t="shared" si="49"/>
        <v>660000</v>
      </c>
      <c r="L342" s="198">
        <f t="shared" si="46"/>
        <v>660000</v>
      </c>
      <c r="M342" s="199">
        <f t="shared" si="47"/>
        <v>660000</v>
      </c>
      <c r="N342" s="187"/>
      <c r="O342" s="200" t="s">
        <v>1732</v>
      </c>
      <c r="P342" s="135"/>
    </row>
    <row r="343" spans="1:16">
      <c r="A343" s="29">
        <f t="shared" si="50"/>
        <v>339</v>
      </c>
      <c r="B343" s="30" t="s">
        <v>680</v>
      </c>
      <c r="C343" s="31" t="s">
        <v>681</v>
      </c>
      <c r="D343" s="32">
        <v>43291</v>
      </c>
      <c r="E343" s="217">
        <v>600000</v>
      </c>
      <c r="F343" s="199">
        <f t="shared" si="48"/>
        <v>600000</v>
      </c>
      <c r="G343" s="199">
        <f t="shared" si="45"/>
        <v>600000</v>
      </c>
      <c r="H343" s="199">
        <v>0</v>
      </c>
      <c r="I343" s="205">
        <v>1</v>
      </c>
      <c r="J343" s="205">
        <v>1</v>
      </c>
      <c r="K343" s="198">
        <f t="shared" si="49"/>
        <v>600000</v>
      </c>
      <c r="L343" s="198">
        <f t="shared" si="46"/>
        <v>600000</v>
      </c>
      <c r="M343" s="199">
        <f t="shared" si="47"/>
        <v>600000</v>
      </c>
      <c r="N343" s="187"/>
      <c r="O343" s="200" t="s">
        <v>1732</v>
      </c>
      <c r="P343" s="135"/>
    </row>
    <row r="344" spans="1:16">
      <c r="A344" s="29">
        <f t="shared" si="50"/>
        <v>340</v>
      </c>
      <c r="B344" s="30" t="s">
        <v>680</v>
      </c>
      <c r="C344" s="31" t="s">
        <v>681</v>
      </c>
      <c r="D344" s="32">
        <v>43291</v>
      </c>
      <c r="E344" s="217">
        <v>600000</v>
      </c>
      <c r="F344" s="199">
        <f t="shared" si="48"/>
        <v>600000</v>
      </c>
      <c r="G344" s="199">
        <f t="shared" si="45"/>
        <v>600000</v>
      </c>
      <c r="H344" s="199">
        <v>0</v>
      </c>
      <c r="I344" s="205">
        <v>1</v>
      </c>
      <c r="J344" s="205">
        <v>1</v>
      </c>
      <c r="K344" s="198">
        <f t="shared" si="49"/>
        <v>600000</v>
      </c>
      <c r="L344" s="198">
        <f t="shared" si="46"/>
        <v>600000</v>
      </c>
      <c r="M344" s="199">
        <f t="shared" si="47"/>
        <v>600000</v>
      </c>
      <c r="N344" s="187"/>
      <c r="O344" s="200" t="s">
        <v>1732</v>
      </c>
      <c r="P344" s="135"/>
    </row>
    <row r="345" spans="1:16">
      <c r="A345" s="29">
        <f t="shared" si="50"/>
        <v>341</v>
      </c>
      <c r="B345" s="30" t="s">
        <v>714</v>
      </c>
      <c r="C345" s="45" t="s">
        <v>715</v>
      </c>
      <c r="D345" s="32">
        <v>43291</v>
      </c>
      <c r="E345" s="217">
        <v>739623</v>
      </c>
      <c r="F345" s="199">
        <f t="shared" si="48"/>
        <v>739623</v>
      </c>
      <c r="G345" s="199">
        <f t="shared" si="45"/>
        <v>739623</v>
      </c>
      <c r="H345" s="199">
        <v>0</v>
      </c>
      <c r="I345" s="205">
        <v>1</v>
      </c>
      <c r="J345" s="205">
        <v>1</v>
      </c>
      <c r="K345" s="198">
        <f t="shared" si="49"/>
        <v>739623</v>
      </c>
      <c r="L345" s="198">
        <f t="shared" si="46"/>
        <v>739623</v>
      </c>
      <c r="M345" s="199">
        <f t="shared" si="47"/>
        <v>739623</v>
      </c>
      <c r="N345" s="187"/>
      <c r="O345" s="200" t="s">
        <v>1732</v>
      </c>
      <c r="P345" s="135"/>
    </row>
    <row r="346" spans="1:16">
      <c r="A346" s="29">
        <f t="shared" si="50"/>
        <v>342</v>
      </c>
      <c r="B346" s="30" t="s">
        <v>718</v>
      </c>
      <c r="C346" s="31">
        <v>921578</v>
      </c>
      <c r="D346" s="32">
        <v>43291</v>
      </c>
      <c r="E346" s="217">
        <v>638235</v>
      </c>
      <c r="F346" s="199">
        <f t="shared" si="48"/>
        <v>638235</v>
      </c>
      <c r="G346" s="199">
        <f t="shared" si="45"/>
        <v>638235</v>
      </c>
      <c r="H346" s="199">
        <v>0</v>
      </c>
      <c r="I346" s="205">
        <v>1</v>
      </c>
      <c r="J346" s="205">
        <v>1</v>
      </c>
      <c r="K346" s="198">
        <f t="shared" si="49"/>
        <v>638235</v>
      </c>
      <c r="L346" s="198">
        <f t="shared" si="46"/>
        <v>638235</v>
      </c>
      <c r="M346" s="199">
        <f t="shared" si="47"/>
        <v>638235</v>
      </c>
      <c r="N346" s="187"/>
      <c r="O346" s="200" t="s">
        <v>1732</v>
      </c>
      <c r="P346" s="135"/>
    </row>
    <row r="347" spans="1:16">
      <c r="A347" s="29">
        <f t="shared" si="50"/>
        <v>343</v>
      </c>
      <c r="B347" s="30" t="s">
        <v>725</v>
      </c>
      <c r="C347" s="31" t="s">
        <v>726</v>
      </c>
      <c r="D347" s="32">
        <v>43291</v>
      </c>
      <c r="E347" s="217">
        <v>44801</v>
      </c>
      <c r="F347" s="199">
        <f t="shared" si="48"/>
        <v>44801</v>
      </c>
      <c r="G347" s="199">
        <f t="shared" si="45"/>
        <v>44801</v>
      </c>
      <c r="H347" s="199">
        <v>0</v>
      </c>
      <c r="I347" s="205">
        <v>1</v>
      </c>
      <c r="J347" s="205">
        <v>1</v>
      </c>
      <c r="K347" s="198">
        <f t="shared" si="49"/>
        <v>44801</v>
      </c>
      <c r="L347" s="198">
        <f t="shared" si="46"/>
        <v>44801</v>
      </c>
      <c r="M347" s="199">
        <f t="shared" si="47"/>
        <v>44801</v>
      </c>
      <c r="N347" s="187"/>
      <c r="O347" s="200" t="s">
        <v>1732</v>
      </c>
      <c r="P347" s="135"/>
    </row>
    <row r="348" spans="1:16">
      <c r="A348" s="29">
        <f t="shared" si="50"/>
        <v>344</v>
      </c>
      <c r="B348" s="30" t="s">
        <v>725</v>
      </c>
      <c r="C348" s="31" t="s">
        <v>726</v>
      </c>
      <c r="D348" s="32">
        <v>43291</v>
      </c>
      <c r="E348" s="217">
        <v>652460</v>
      </c>
      <c r="F348" s="199">
        <f t="shared" si="48"/>
        <v>652460</v>
      </c>
      <c r="G348" s="199">
        <f t="shared" si="45"/>
        <v>652460</v>
      </c>
      <c r="H348" s="199">
        <v>0</v>
      </c>
      <c r="I348" s="205">
        <v>1</v>
      </c>
      <c r="J348" s="205">
        <v>1</v>
      </c>
      <c r="K348" s="198">
        <f t="shared" si="49"/>
        <v>652460</v>
      </c>
      <c r="L348" s="198">
        <f t="shared" si="46"/>
        <v>652460</v>
      </c>
      <c r="M348" s="199">
        <f t="shared" si="47"/>
        <v>652460</v>
      </c>
      <c r="N348" s="187"/>
      <c r="O348" s="200" t="s">
        <v>1732</v>
      </c>
      <c r="P348" s="135"/>
    </row>
    <row r="349" spans="1:16">
      <c r="A349" s="29">
        <f t="shared" si="50"/>
        <v>345</v>
      </c>
      <c r="B349" s="30" t="s">
        <v>737</v>
      </c>
      <c r="C349" s="31" t="s">
        <v>738</v>
      </c>
      <c r="D349" s="32">
        <v>43291</v>
      </c>
      <c r="E349" s="188">
        <v>2827012</v>
      </c>
      <c r="F349" s="199">
        <f t="shared" si="48"/>
        <v>2827012</v>
      </c>
      <c r="G349" s="199">
        <f t="shared" si="45"/>
        <v>2827012</v>
      </c>
      <c r="H349" s="199">
        <v>0</v>
      </c>
      <c r="I349" s="205">
        <v>1</v>
      </c>
      <c r="J349" s="205">
        <v>1</v>
      </c>
      <c r="K349" s="198">
        <f t="shared" si="49"/>
        <v>2827012</v>
      </c>
      <c r="L349" s="198">
        <f t="shared" si="46"/>
        <v>2827012</v>
      </c>
      <c r="M349" s="199">
        <f t="shared" si="47"/>
        <v>2827012</v>
      </c>
      <c r="N349" s="187"/>
      <c r="O349" s="200" t="s">
        <v>1732</v>
      </c>
      <c r="P349" s="135"/>
    </row>
    <row r="350" spans="1:16">
      <c r="A350" s="29">
        <f t="shared" si="50"/>
        <v>346</v>
      </c>
      <c r="B350" s="30" t="s">
        <v>737</v>
      </c>
      <c r="C350" s="45" t="s">
        <v>738</v>
      </c>
      <c r="D350" s="32">
        <v>43291</v>
      </c>
      <c r="E350" s="188">
        <v>192102</v>
      </c>
      <c r="F350" s="199">
        <f t="shared" si="48"/>
        <v>192102</v>
      </c>
      <c r="G350" s="199">
        <f t="shared" si="45"/>
        <v>192102</v>
      </c>
      <c r="H350" s="199">
        <v>0</v>
      </c>
      <c r="I350" s="205">
        <v>1</v>
      </c>
      <c r="J350" s="205">
        <v>1</v>
      </c>
      <c r="K350" s="198">
        <f t="shared" si="49"/>
        <v>192102</v>
      </c>
      <c r="L350" s="198">
        <f t="shared" si="46"/>
        <v>192102</v>
      </c>
      <c r="M350" s="199">
        <f t="shared" si="47"/>
        <v>192102</v>
      </c>
      <c r="N350" s="187"/>
      <c r="O350" s="200" t="s">
        <v>1732</v>
      </c>
      <c r="P350" s="135"/>
    </row>
    <row r="351" spans="1:16">
      <c r="A351" s="29">
        <f t="shared" si="50"/>
        <v>347</v>
      </c>
      <c r="B351" s="30" t="s">
        <v>806</v>
      </c>
      <c r="C351" s="31">
        <v>960616</v>
      </c>
      <c r="D351" s="32">
        <v>43291</v>
      </c>
      <c r="E351" s="188">
        <v>538685</v>
      </c>
      <c r="F351" s="199">
        <f t="shared" si="48"/>
        <v>538685</v>
      </c>
      <c r="G351" s="199">
        <f t="shared" si="45"/>
        <v>538685</v>
      </c>
      <c r="H351" s="199">
        <v>0</v>
      </c>
      <c r="I351" s="205">
        <v>1</v>
      </c>
      <c r="J351" s="205">
        <v>1</v>
      </c>
      <c r="K351" s="198">
        <f t="shared" si="49"/>
        <v>538685</v>
      </c>
      <c r="L351" s="198">
        <f t="shared" si="46"/>
        <v>538685</v>
      </c>
      <c r="M351" s="199">
        <f t="shared" si="47"/>
        <v>538685</v>
      </c>
      <c r="N351" s="187"/>
      <c r="O351" s="200" t="s">
        <v>1732</v>
      </c>
      <c r="P351" s="135"/>
    </row>
    <row r="352" spans="1:16">
      <c r="A352" s="29">
        <f t="shared" si="50"/>
        <v>348</v>
      </c>
      <c r="B352" s="30" t="s">
        <v>835</v>
      </c>
      <c r="C352" s="31" t="s">
        <v>836</v>
      </c>
      <c r="D352" s="32">
        <v>43291</v>
      </c>
      <c r="E352" s="208">
        <v>404615</v>
      </c>
      <c r="F352" s="199">
        <f t="shared" si="48"/>
        <v>404615</v>
      </c>
      <c r="G352" s="199">
        <f t="shared" si="45"/>
        <v>404615</v>
      </c>
      <c r="H352" s="199">
        <v>0</v>
      </c>
      <c r="I352" s="205">
        <v>1</v>
      </c>
      <c r="J352" s="205">
        <v>1</v>
      </c>
      <c r="K352" s="198">
        <f t="shared" si="49"/>
        <v>404615</v>
      </c>
      <c r="L352" s="198">
        <f t="shared" si="46"/>
        <v>404615</v>
      </c>
      <c r="M352" s="199">
        <f t="shared" si="47"/>
        <v>404615</v>
      </c>
      <c r="N352" s="187"/>
      <c r="O352" s="200" t="s">
        <v>1732</v>
      </c>
      <c r="P352" s="135"/>
    </row>
    <row r="353" spans="1:16">
      <c r="A353" s="29">
        <f t="shared" si="50"/>
        <v>349</v>
      </c>
      <c r="B353" s="30" t="s">
        <v>835</v>
      </c>
      <c r="C353" s="31" t="s">
        <v>836</v>
      </c>
      <c r="D353" s="32">
        <v>43291</v>
      </c>
      <c r="E353" s="188">
        <v>404615</v>
      </c>
      <c r="F353" s="199">
        <f t="shared" si="48"/>
        <v>404615</v>
      </c>
      <c r="G353" s="199">
        <f t="shared" si="45"/>
        <v>404615</v>
      </c>
      <c r="H353" s="199">
        <v>0</v>
      </c>
      <c r="I353" s="205">
        <v>1</v>
      </c>
      <c r="J353" s="205">
        <v>1</v>
      </c>
      <c r="K353" s="198">
        <f t="shared" si="49"/>
        <v>404615</v>
      </c>
      <c r="L353" s="198">
        <f t="shared" si="46"/>
        <v>404615</v>
      </c>
      <c r="M353" s="199">
        <f t="shared" si="47"/>
        <v>404615</v>
      </c>
      <c r="N353" s="187"/>
      <c r="O353" s="200" t="s">
        <v>1732</v>
      </c>
      <c r="P353" s="135"/>
    </row>
    <row r="354" spans="1:16">
      <c r="A354" s="29">
        <f t="shared" si="50"/>
        <v>350</v>
      </c>
      <c r="B354" s="30" t="s">
        <v>978</v>
      </c>
      <c r="C354" s="31" t="s">
        <v>979</v>
      </c>
      <c r="D354" s="32">
        <v>43291</v>
      </c>
      <c r="E354" s="188">
        <v>600000</v>
      </c>
      <c r="F354" s="199">
        <f t="shared" si="48"/>
        <v>600000</v>
      </c>
      <c r="G354" s="199">
        <f t="shared" si="45"/>
        <v>600000</v>
      </c>
      <c r="H354" s="199">
        <v>0</v>
      </c>
      <c r="I354" s="205">
        <v>1</v>
      </c>
      <c r="J354" s="205">
        <v>1</v>
      </c>
      <c r="K354" s="198">
        <f t="shared" si="49"/>
        <v>600000</v>
      </c>
      <c r="L354" s="198">
        <f t="shared" si="46"/>
        <v>600000</v>
      </c>
      <c r="M354" s="199">
        <f t="shared" si="47"/>
        <v>600000</v>
      </c>
      <c r="N354" s="187"/>
      <c r="O354" s="200" t="s">
        <v>1732</v>
      </c>
      <c r="P354" s="135"/>
    </row>
    <row r="355" spans="1:16">
      <c r="A355" s="29">
        <f t="shared" si="50"/>
        <v>351</v>
      </c>
      <c r="B355" s="30" t="s">
        <v>1021</v>
      </c>
      <c r="C355" s="31" t="s">
        <v>1022</v>
      </c>
      <c r="D355" s="32">
        <v>43291</v>
      </c>
      <c r="E355" s="208">
        <v>430097</v>
      </c>
      <c r="F355" s="199">
        <f t="shared" si="48"/>
        <v>430097</v>
      </c>
      <c r="G355" s="199">
        <f t="shared" si="45"/>
        <v>430097</v>
      </c>
      <c r="H355" s="199">
        <v>0</v>
      </c>
      <c r="I355" s="205">
        <v>1</v>
      </c>
      <c r="J355" s="205">
        <v>1</v>
      </c>
      <c r="K355" s="198">
        <f t="shared" si="49"/>
        <v>430097</v>
      </c>
      <c r="L355" s="198">
        <f t="shared" si="46"/>
        <v>430097</v>
      </c>
      <c r="M355" s="199">
        <f t="shared" si="47"/>
        <v>430097</v>
      </c>
      <c r="N355" s="187"/>
      <c r="O355" s="200" t="s">
        <v>1732</v>
      </c>
      <c r="P355" s="135"/>
    </row>
    <row r="356" spans="1:16">
      <c r="A356" s="29">
        <f t="shared" si="50"/>
        <v>352</v>
      </c>
      <c r="B356" s="30" t="s">
        <v>1021</v>
      </c>
      <c r="C356" s="31" t="s">
        <v>1022</v>
      </c>
      <c r="D356" s="32">
        <v>43291</v>
      </c>
      <c r="E356" s="188">
        <v>430096</v>
      </c>
      <c r="F356" s="199">
        <f t="shared" si="48"/>
        <v>430096</v>
      </c>
      <c r="G356" s="199">
        <f t="shared" si="45"/>
        <v>430096</v>
      </c>
      <c r="H356" s="199">
        <v>0</v>
      </c>
      <c r="I356" s="205">
        <v>1</v>
      </c>
      <c r="J356" s="205">
        <v>1</v>
      </c>
      <c r="K356" s="198">
        <f t="shared" si="49"/>
        <v>430096</v>
      </c>
      <c r="L356" s="198">
        <f t="shared" si="46"/>
        <v>430096</v>
      </c>
      <c r="M356" s="199">
        <f t="shared" si="47"/>
        <v>430096</v>
      </c>
      <c r="N356" s="187"/>
      <c r="O356" s="200" t="s">
        <v>1732</v>
      </c>
      <c r="P356" s="135"/>
    </row>
    <row r="357" spans="1:16">
      <c r="A357" s="29">
        <f t="shared" si="50"/>
        <v>353</v>
      </c>
      <c r="B357" s="30" t="s">
        <v>1036</v>
      </c>
      <c r="C357" s="31" t="s">
        <v>1037</v>
      </c>
      <c r="D357" s="32">
        <v>43291</v>
      </c>
      <c r="E357" s="188">
        <v>1164337</v>
      </c>
      <c r="F357" s="199">
        <f t="shared" si="48"/>
        <v>1164337</v>
      </c>
      <c r="G357" s="199">
        <f t="shared" si="45"/>
        <v>1164337</v>
      </c>
      <c r="H357" s="199">
        <v>0</v>
      </c>
      <c r="I357" s="205">
        <v>1</v>
      </c>
      <c r="J357" s="205">
        <v>1</v>
      </c>
      <c r="K357" s="198">
        <f t="shared" si="49"/>
        <v>1164337</v>
      </c>
      <c r="L357" s="198">
        <f t="shared" si="46"/>
        <v>1164337</v>
      </c>
      <c r="M357" s="199">
        <f t="shared" si="47"/>
        <v>1164337</v>
      </c>
      <c r="N357" s="187"/>
      <c r="O357" s="200" t="s">
        <v>1732</v>
      </c>
      <c r="P357" s="135"/>
    </row>
    <row r="358" spans="1:16">
      <c r="A358" s="29">
        <f t="shared" si="50"/>
        <v>354</v>
      </c>
      <c r="B358" s="30" t="s">
        <v>1065</v>
      </c>
      <c r="C358" s="45" t="s">
        <v>1066</v>
      </c>
      <c r="D358" s="32">
        <v>43291</v>
      </c>
      <c r="E358" s="188">
        <v>960000</v>
      </c>
      <c r="F358" s="199">
        <f t="shared" si="48"/>
        <v>960000</v>
      </c>
      <c r="G358" s="199">
        <f t="shared" si="45"/>
        <v>960000</v>
      </c>
      <c r="H358" s="199">
        <v>0</v>
      </c>
      <c r="I358" s="205">
        <v>1</v>
      </c>
      <c r="J358" s="205">
        <v>1</v>
      </c>
      <c r="K358" s="198">
        <f t="shared" si="49"/>
        <v>960000</v>
      </c>
      <c r="L358" s="198">
        <f t="shared" si="46"/>
        <v>960000</v>
      </c>
      <c r="M358" s="199">
        <f t="shared" si="47"/>
        <v>960000</v>
      </c>
      <c r="N358" s="187"/>
      <c r="O358" s="200" t="s">
        <v>1732</v>
      </c>
      <c r="P358" s="135"/>
    </row>
    <row r="359" spans="1:16">
      <c r="A359" s="29">
        <f t="shared" si="50"/>
        <v>355</v>
      </c>
      <c r="B359" s="30" t="s">
        <v>1078</v>
      </c>
      <c r="C359" s="31" t="s">
        <v>1079</v>
      </c>
      <c r="D359" s="32">
        <v>43291</v>
      </c>
      <c r="E359" s="188">
        <v>30000</v>
      </c>
      <c r="F359" s="199">
        <f t="shared" si="48"/>
        <v>30000</v>
      </c>
      <c r="G359" s="199">
        <f t="shared" si="45"/>
        <v>30000</v>
      </c>
      <c r="H359" s="199">
        <v>0</v>
      </c>
      <c r="I359" s="205">
        <v>1</v>
      </c>
      <c r="J359" s="205">
        <v>1</v>
      </c>
      <c r="K359" s="198">
        <f t="shared" si="49"/>
        <v>30000</v>
      </c>
      <c r="L359" s="198">
        <f t="shared" si="46"/>
        <v>30000</v>
      </c>
      <c r="M359" s="199">
        <f t="shared" si="47"/>
        <v>30000</v>
      </c>
      <c r="N359" s="187"/>
      <c r="O359" s="200" t="s">
        <v>1732</v>
      </c>
      <c r="P359" s="135"/>
    </row>
    <row r="360" spans="1:16">
      <c r="A360" s="29">
        <f t="shared" si="50"/>
        <v>356</v>
      </c>
      <c r="B360" s="30" t="s">
        <v>1078</v>
      </c>
      <c r="C360" s="31" t="s">
        <v>1079</v>
      </c>
      <c r="D360" s="32">
        <v>43291</v>
      </c>
      <c r="E360" s="188">
        <v>711865</v>
      </c>
      <c r="F360" s="199">
        <f t="shared" si="48"/>
        <v>711865</v>
      </c>
      <c r="G360" s="199">
        <f t="shared" si="45"/>
        <v>711865</v>
      </c>
      <c r="H360" s="199">
        <v>0</v>
      </c>
      <c r="I360" s="205">
        <v>1</v>
      </c>
      <c r="J360" s="205">
        <v>1</v>
      </c>
      <c r="K360" s="198">
        <f t="shared" si="49"/>
        <v>711865</v>
      </c>
      <c r="L360" s="198">
        <f t="shared" si="46"/>
        <v>711865</v>
      </c>
      <c r="M360" s="199">
        <f t="shared" si="47"/>
        <v>711865</v>
      </c>
      <c r="N360" s="187"/>
      <c r="O360" s="200" t="s">
        <v>1732</v>
      </c>
      <c r="P360" s="135"/>
    </row>
    <row r="361" spans="1:16">
      <c r="A361" s="29">
        <f t="shared" si="50"/>
        <v>357</v>
      </c>
      <c r="B361" s="30" t="s">
        <v>1078</v>
      </c>
      <c r="C361" s="31" t="s">
        <v>1079</v>
      </c>
      <c r="D361" s="32">
        <v>43291</v>
      </c>
      <c r="E361" s="188">
        <v>711865</v>
      </c>
      <c r="F361" s="199">
        <f t="shared" si="48"/>
        <v>711865</v>
      </c>
      <c r="G361" s="199">
        <f t="shared" si="45"/>
        <v>711865</v>
      </c>
      <c r="H361" s="199">
        <v>0</v>
      </c>
      <c r="I361" s="205">
        <v>1</v>
      </c>
      <c r="J361" s="205">
        <v>1</v>
      </c>
      <c r="K361" s="198">
        <f t="shared" si="49"/>
        <v>711865</v>
      </c>
      <c r="L361" s="198">
        <f t="shared" si="46"/>
        <v>711865</v>
      </c>
      <c r="M361" s="199">
        <f t="shared" si="47"/>
        <v>711865</v>
      </c>
      <c r="N361" s="187"/>
      <c r="O361" s="200" t="s">
        <v>1732</v>
      </c>
      <c r="P361" s="135"/>
    </row>
    <row r="362" spans="1:16">
      <c r="A362" s="29">
        <f t="shared" si="50"/>
        <v>358</v>
      </c>
      <c r="B362" s="30" t="s">
        <v>1115</v>
      </c>
      <c r="C362" s="31" t="s">
        <v>1116</v>
      </c>
      <c r="D362" s="32">
        <v>43291</v>
      </c>
      <c r="E362" s="188">
        <v>600000</v>
      </c>
      <c r="F362" s="199">
        <f t="shared" si="48"/>
        <v>600000</v>
      </c>
      <c r="G362" s="199">
        <f t="shared" si="45"/>
        <v>600000</v>
      </c>
      <c r="H362" s="199">
        <v>0</v>
      </c>
      <c r="I362" s="205">
        <v>1</v>
      </c>
      <c r="J362" s="205">
        <v>1</v>
      </c>
      <c r="K362" s="198">
        <f t="shared" si="49"/>
        <v>600000</v>
      </c>
      <c r="L362" s="198">
        <f t="shared" si="46"/>
        <v>600000</v>
      </c>
      <c r="M362" s="199">
        <f t="shared" si="47"/>
        <v>600000</v>
      </c>
      <c r="N362" s="187"/>
      <c r="O362" s="200" t="s">
        <v>1732</v>
      </c>
      <c r="P362" s="135"/>
    </row>
    <row r="363" spans="1:16">
      <c r="A363" s="29">
        <f t="shared" si="50"/>
        <v>359</v>
      </c>
      <c r="B363" s="30" t="s">
        <v>1115</v>
      </c>
      <c r="C363" s="31" t="s">
        <v>1116</v>
      </c>
      <c r="D363" s="32">
        <v>43291</v>
      </c>
      <c r="E363" s="188">
        <v>600000</v>
      </c>
      <c r="F363" s="199">
        <f t="shared" si="48"/>
        <v>600000</v>
      </c>
      <c r="G363" s="199">
        <f t="shared" si="45"/>
        <v>600000</v>
      </c>
      <c r="H363" s="199">
        <v>0</v>
      </c>
      <c r="I363" s="205">
        <v>1</v>
      </c>
      <c r="J363" s="205">
        <v>1</v>
      </c>
      <c r="K363" s="198">
        <f t="shared" si="49"/>
        <v>600000</v>
      </c>
      <c r="L363" s="198">
        <f t="shared" si="46"/>
        <v>600000</v>
      </c>
      <c r="M363" s="199">
        <f t="shared" si="47"/>
        <v>600000</v>
      </c>
      <c r="N363" s="187"/>
      <c r="O363" s="200" t="s">
        <v>1732</v>
      </c>
      <c r="P363" s="135"/>
    </row>
    <row r="364" spans="1:16">
      <c r="A364" s="29">
        <f t="shared" si="50"/>
        <v>360</v>
      </c>
      <c r="B364" s="30" t="s">
        <v>1133</v>
      </c>
      <c r="C364" s="31" t="s">
        <v>1134</v>
      </c>
      <c r="D364" s="32">
        <v>43291</v>
      </c>
      <c r="E364" s="188">
        <v>600000</v>
      </c>
      <c r="F364" s="199">
        <f t="shared" si="48"/>
        <v>600000</v>
      </c>
      <c r="G364" s="199">
        <f t="shared" si="45"/>
        <v>600000</v>
      </c>
      <c r="H364" s="199">
        <v>0</v>
      </c>
      <c r="I364" s="205">
        <v>1</v>
      </c>
      <c r="J364" s="205">
        <v>1</v>
      </c>
      <c r="K364" s="198">
        <f t="shared" si="49"/>
        <v>600000</v>
      </c>
      <c r="L364" s="198">
        <f t="shared" si="46"/>
        <v>600000</v>
      </c>
      <c r="M364" s="199">
        <f t="shared" si="47"/>
        <v>600000</v>
      </c>
      <c r="N364" s="187"/>
      <c r="O364" s="200" t="s">
        <v>1732</v>
      </c>
      <c r="P364" s="135"/>
    </row>
    <row r="365" spans="1:16">
      <c r="A365" s="29">
        <f t="shared" si="50"/>
        <v>361</v>
      </c>
      <c r="B365" s="30" t="s">
        <v>1133</v>
      </c>
      <c r="C365" s="31" t="s">
        <v>1134</v>
      </c>
      <c r="D365" s="32">
        <v>43291</v>
      </c>
      <c r="E365" s="188">
        <v>600000</v>
      </c>
      <c r="F365" s="199">
        <f t="shared" si="48"/>
        <v>600000</v>
      </c>
      <c r="G365" s="199">
        <f t="shared" si="45"/>
        <v>600000</v>
      </c>
      <c r="H365" s="199">
        <v>0</v>
      </c>
      <c r="I365" s="205">
        <v>1</v>
      </c>
      <c r="J365" s="205">
        <v>1</v>
      </c>
      <c r="K365" s="198">
        <f t="shared" si="49"/>
        <v>600000</v>
      </c>
      <c r="L365" s="198">
        <f t="shared" si="46"/>
        <v>600000</v>
      </c>
      <c r="M365" s="199">
        <f t="shared" si="47"/>
        <v>600000</v>
      </c>
      <c r="N365" s="187"/>
      <c r="O365" s="200" t="s">
        <v>1732</v>
      </c>
      <c r="P365" s="135"/>
    </row>
    <row r="366" spans="1:16">
      <c r="A366" s="29">
        <f t="shared" si="50"/>
        <v>362</v>
      </c>
      <c r="B366" s="33" t="s">
        <v>1139</v>
      </c>
      <c r="C366" s="84" t="s">
        <v>1140</v>
      </c>
      <c r="D366" s="32">
        <v>43291</v>
      </c>
      <c r="E366" s="188">
        <v>1491692</v>
      </c>
      <c r="F366" s="199">
        <f t="shared" si="48"/>
        <v>1491692</v>
      </c>
      <c r="G366" s="199">
        <f t="shared" si="45"/>
        <v>1491692</v>
      </c>
      <c r="H366" s="199">
        <v>0</v>
      </c>
      <c r="I366" s="205">
        <v>1</v>
      </c>
      <c r="J366" s="205">
        <v>1</v>
      </c>
      <c r="K366" s="198">
        <f t="shared" si="49"/>
        <v>1491692</v>
      </c>
      <c r="L366" s="198">
        <f t="shared" si="46"/>
        <v>1491692</v>
      </c>
      <c r="M366" s="199">
        <f t="shared" si="47"/>
        <v>1491692</v>
      </c>
      <c r="N366" s="187"/>
      <c r="O366" s="200" t="s">
        <v>1732</v>
      </c>
      <c r="P366" s="135"/>
    </row>
    <row r="367" spans="1:16">
      <c r="A367" s="29">
        <f t="shared" si="50"/>
        <v>363</v>
      </c>
      <c r="B367" s="30" t="s">
        <v>1179</v>
      </c>
      <c r="C367" s="45" t="s">
        <v>1180</v>
      </c>
      <c r="D367" s="32">
        <v>43291</v>
      </c>
      <c r="E367" s="188">
        <v>1620000</v>
      </c>
      <c r="F367" s="199">
        <f t="shared" si="48"/>
        <v>1620000</v>
      </c>
      <c r="G367" s="199">
        <f t="shared" si="45"/>
        <v>1620000</v>
      </c>
      <c r="H367" s="199">
        <v>0</v>
      </c>
      <c r="I367" s="205">
        <v>1</v>
      </c>
      <c r="J367" s="205">
        <v>1</v>
      </c>
      <c r="K367" s="198">
        <f t="shared" si="49"/>
        <v>1620000</v>
      </c>
      <c r="L367" s="198">
        <f t="shared" si="46"/>
        <v>1620000</v>
      </c>
      <c r="M367" s="199">
        <f t="shared" si="47"/>
        <v>1620000</v>
      </c>
      <c r="N367" s="187"/>
      <c r="O367" s="200" t="s">
        <v>1732</v>
      </c>
      <c r="P367" s="135"/>
    </row>
    <row r="368" spans="1:16">
      <c r="A368" s="29">
        <f t="shared" si="50"/>
        <v>364</v>
      </c>
      <c r="B368" s="30" t="s">
        <v>1183</v>
      </c>
      <c r="C368" s="45" t="s">
        <v>1184</v>
      </c>
      <c r="D368" s="32">
        <v>43291</v>
      </c>
      <c r="E368" s="188">
        <v>1080000</v>
      </c>
      <c r="F368" s="199">
        <f t="shared" si="48"/>
        <v>1080000</v>
      </c>
      <c r="G368" s="199">
        <f t="shared" si="45"/>
        <v>1080000</v>
      </c>
      <c r="H368" s="199">
        <v>0</v>
      </c>
      <c r="I368" s="205">
        <v>1</v>
      </c>
      <c r="J368" s="205">
        <v>1</v>
      </c>
      <c r="K368" s="198">
        <f t="shared" si="49"/>
        <v>1080000</v>
      </c>
      <c r="L368" s="198">
        <f t="shared" si="46"/>
        <v>1080000</v>
      </c>
      <c r="M368" s="199">
        <f t="shared" si="47"/>
        <v>1080000</v>
      </c>
      <c r="N368" s="187"/>
      <c r="O368" s="200" t="s">
        <v>1732</v>
      </c>
      <c r="P368" s="135"/>
    </row>
    <row r="369" spans="1:16">
      <c r="A369" s="29">
        <f t="shared" si="50"/>
        <v>365</v>
      </c>
      <c r="B369" s="30" t="s">
        <v>1183</v>
      </c>
      <c r="C369" s="45" t="s">
        <v>1184</v>
      </c>
      <c r="D369" s="32">
        <v>43291</v>
      </c>
      <c r="E369" s="188">
        <v>1080000</v>
      </c>
      <c r="F369" s="199">
        <f t="shared" si="48"/>
        <v>1080000</v>
      </c>
      <c r="G369" s="199">
        <f t="shared" si="45"/>
        <v>1080000</v>
      </c>
      <c r="H369" s="199">
        <v>0</v>
      </c>
      <c r="I369" s="205">
        <v>1</v>
      </c>
      <c r="J369" s="205">
        <v>1</v>
      </c>
      <c r="K369" s="198">
        <f t="shared" si="49"/>
        <v>1080000</v>
      </c>
      <c r="L369" s="198">
        <f t="shared" si="46"/>
        <v>1080000</v>
      </c>
      <c r="M369" s="199">
        <f t="shared" si="47"/>
        <v>1080000</v>
      </c>
      <c r="N369" s="187"/>
      <c r="O369" s="200" t="s">
        <v>1732</v>
      </c>
      <c r="P369" s="135"/>
    </row>
    <row r="370" spans="1:16">
      <c r="A370" s="29"/>
      <c r="B370" s="126"/>
      <c r="C370" s="127"/>
      <c r="D370" s="105"/>
      <c r="E370" s="5"/>
      <c r="F370" s="47"/>
      <c r="G370" s="33"/>
      <c r="H370" s="47"/>
      <c r="I370" s="29"/>
      <c r="J370" s="29"/>
      <c r="K370" s="128"/>
      <c r="L370" s="47"/>
      <c r="M370" s="33"/>
      <c r="N370" s="186"/>
      <c r="O370" s="33"/>
      <c r="P370" s="135"/>
    </row>
    <row r="371" spans="1:16">
      <c r="A371" s="30"/>
      <c r="B371" s="131" t="s">
        <v>7</v>
      </c>
      <c r="C371" s="29"/>
      <c r="D371" s="90"/>
      <c r="E371" s="40">
        <f>SUM(E5:E370)</f>
        <v>264555663</v>
      </c>
      <c r="F371" s="40">
        <f t="shared" ref="F371:M371" si="51">SUM(F5:F370)</f>
        <v>264555663</v>
      </c>
      <c r="G371" s="40">
        <f t="shared" si="51"/>
        <v>264555663</v>
      </c>
      <c r="H371" s="40">
        <f t="shared" si="51"/>
        <v>0</v>
      </c>
      <c r="I371" s="40">
        <f t="shared" si="51"/>
        <v>365</v>
      </c>
      <c r="J371" s="40">
        <f t="shared" si="51"/>
        <v>365</v>
      </c>
      <c r="K371" s="40">
        <f t="shared" si="51"/>
        <v>264555663</v>
      </c>
      <c r="L371" s="40">
        <f t="shared" si="51"/>
        <v>264555663</v>
      </c>
      <c r="M371" s="40">
        <f t="shared" si="51"/>
        <v>264555663</v>
      </c>
      <c r="N371" s="186"/>
      <c r="O371" s="33"/>
      <c r="P371" s="135"/>
    </row>
    <row r="547" spans="3:15">
      <c r="C547" s="14"/>
      <c r="D547" s="14"/>
      <c r="E547" s="14"/>
      <c r="I547" s="14"/>
      <c r="J547" s="14"/>
      <c r="K547" s="14"/>
      <c r="L547" s="14"/>
      <c r="M547" s="14"/>
      <c r="N547" s="14"/>
      <c r="O547" s="1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</vt:lpstr>
      <vt:lpstr>dend dn</vt:lpstr>
      <vt:lpstr>bg dn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Rina</cp:lastModifiedBy>
  <dcterms:created xsi:type="dcterms:W3CDTF">2018-07-19T06:31:41Z</dcterms:created>
  <dcterms:modified xsi:type="dcterms:W3CDTF">2018-07-19T06:35:47Z</dcterms:modified>
</cp:coreProperties>
</file>