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325" windowWidth="12120" windowHeight="2505" activeTab="7"/>
  </bookViews>
  <sheets>
    <sheet name="JAN'18" sheetId="63" r:id="rId1"/>
    <sheet name="FEB'18" sheetId="64" r:id="rId2"/>
    <sheet name="MAR'18" sheetId="65" r:id="rId3"/>
    <sheet name="APRIL'18" sheetId="66" r:id="rId4"/>
    <sheet name="MEI'18" sheetId="67" r:id="rId5"/>
    <sheet name="JUNI'18" sheetId="68" r:id="rId6"/>
    <sheet name="JULI'18" sheetId="69" r:id="rId7"/>
    <sheet name="AGT'18" sheetId="70" r:id="rId8"/>
  </sheets>
  <definedNames>
    <definedName name="_xlnm.Print_Area" localSheetId="7">'AGT''18'!$A$126:$R$144</definedName>
    <definedName name="_xlnm.Print_Area" localSheetId="3">'APRIL''18'!#REF!</definedName>
    <definedName name="_xlnm.Print_Area" localSheetId="1">'FEB''18'!$A$141:$Q$232</definedName>
    <definedName name="_xlnm.Print_Area" localSheetId="0">'JAN''18'!#REF!</definedName>
    <definedName name="_xlnm.Print_Area" localSheetId="6">'JULI''18'!$A$302:$R$547</definedName>
    <definedName name="_xlnm.Print_Area" localSheetId="5">'JUNI''18'!$A$265:$R$417</definedName>
    <definedName name="_xlnm.Print_Area" localSheetId="2">'MAR''18'!#REF!</definedName>
    <definedName name="_xlnm.Print_Area" localSheetId="4">'MEI''18'!$A$565:$R$574</definedName>
  </definedNames>
  <calcPr calcId="124519"/>
  <fileRecoveryPr autoRecover="0"/>
</workbook>
</file>

<file path=xl/calcChain.xml><?xml version="1.0" encoding="utf-8"?>
<calcChain xmlns="http://schemas.openxmlformats.org/spreadsheetml/2006/main">
  <c r="H76" i="70"/>
  <c r="J76" s="1"/>
  <c r="G76"/>
  <c r="D76"/>
  <c r="E76" s="1"/>
  <c r="O133"/>
  <c r="M135"/>
  <c r="L135"/>
  <c r="K135"/>
  <c r="J135"/>
  <c r="I135"/>
  <c r="H135"/>
  <c r="G135"/>
  <c r="N133"/>
  <c r="N135" s="1"/>
  <c r="O135" l="1"/>
  <c r="P133" l="1"/>
  <c r="P135" s="1"/>
  <c r="M115" l="1"/>
  <c r="L115"/>
  <c r="K115"/>
  <c r="J115"/>
  <c r="I115"/>
  <c r="H115"/>
  <c r="G115"/>
  <c r="N113"/>
  <c r="N115" s="1"/>
  <c r="O113" l="1"/>
  <c r="O115"/>
  <c r="P113" l="1"/>
  <c r="P115" s="1"/>
  <c r="O93" l="1"/>
  <c r="M95"/>
  <c r="L95"/>
  <c r="K95"/>
  <c r="J95"/>
  <c r="I95"/>
  <c r="H95"/>
  <c r="G95"/>
  <c r="N93"/>
  <c r="O95" s="1"/>
  <c r="P93" l="1"/>
  <c r="P95" s="1"/>
  <c r="N95"/>
  <c r="H33" l="1"/>
  <c r="I33"/>
  <c r="J33"/>
  <c r="K33"/>
  <c r="L33"/>
  <c r="M33"/>
  <c r="G33"/>
  <c r="N30"/>
  <c r="O30" s="1"/>
  <c r="P30" l="1"/>
  <c r="N53" l="1"/>
  <c r="O53" s="1"/>
  <c r="M75"/>
  <c r="L75"/>
  <c r="K75"/>
  <c r="J75"/>
  <c r="I75"/>
  <c r="H75"/>
  <c r="G75"/>
  <c r="N73"/>
  <c r="N29"/>
  <c r="O29" s="1"/>
  <c r="N51"/>
  <c r="O51" s="1"/>
  <c r="M55"/>
  <c r="L55"/>
  <c r="K55"/>
  <c r="J55"/>
  <c r="I55"/>
  <c r="H55"/>
  <c r="G55"/>
  <c r="N31"/>
  <c r="O31" s="1"/>
  <c r="N28"/>
  <c r="O28" l="1"/>
  <c r="O33" s="1"/>
  <c r="N33"/>
  <c r="O73"/>
  <c r="O75" s="1"/>
  <c r="P53"/>
  <c r="P73"/>
  <c r="P75" s="1"/>
  <c r="N75"/>
  <c r="P29"/>
  <c r="P51"/>
  <c r="O55"/>
  <c r="N55"/>
  <c r="P31"/>
  <c r="P28" l="1"/>
  <c r="P33" s="1"/>
  <c r="P55"/>
  <c r="H10" l="1"/>
  <c r="I10"/>
  <c r="J10"/>
  <c r="K10"/>
  <c r="L10"/>
  <c r="M10"/>
  <c r="G10"/>
  <c r="N8"/>
  <c r="O8" s="1"/>
  <c r="O10" s="1"/>
  <c r="N10" l="1"/>
  <c r="P8"/>
  <c r="P10" s="1"/>
  <c r="H547" i="69" l="1"/>
  <c r="I547"/>
  <c r="J547"/>
  <c r="K547"/>
  <c r="L547"/>
  <c r="M547"/>
  <c r="G547"/>
  <c r="N545"/>
  <c r="O545" s="1"/>
  <c r="N544"/>
  <c r="N547" s="1"/>
  <c r="O544" l="1"/>
  <c r="O547" s="1"/>
  <c r="P545"/>
  <c r="P544" l="1"/>
  <c r="P547" s="1"/>
  <c r="M526" l="1"/>
  <c r="L526"/>
  <c r="K526"/>
  <c r="J526"/>
  <c r="I526"/>
  <c r="H526"/>
  <c r="G526"/>
  <c r="N524"/>
  <c r="O524" l="1"/>
  <c r="O526" s="1"/>
  <c r="P524"/>
  <c r="P526" s="1"/>
  <c r="N526"/>
  <c r="M506" l="1"/>
  <c r="L506"/>
  <c r="K506"/>
  <c r="J506"/>
  <c r="I506"/>
  <c r="H506"/>
  <c r="G506"/>
  <c r="N504"/>
  <c r="O504" s="1"/>
  <c r="H486"/>
  <c r="I486"/>
  <c r="J486"/>
  <c r="K486"/>
  <c r="L486"/>
  <c r="M486"/>
  <c r="G486"/>
  <c r="N481"/>
  <c r="O481" s="1"/>
  <c r="P481" s="1"/>
  <c r="N480"/>
  <c r="N482"/>
  <c r="O482" s="1"/>
  <c r="N483"/>
  <c r="N484"/>
  <c r="N479"/>
  <c r="O483"/>
  <c r="N486" l="1"/>
  <c r="P504"/>
  <c r="N506"/>
  <c r="O479"/>
  <c r="P483"/>
  <c r="P482"/>
  <c r="P506" l="1"/>
  <c r="O506"/>
  <c r="P479"/>
  <c r="H441" l="1"/>
  <c r="I441"/>
  <c r="J441"/>
  <c r="K441"/>
  <c r="L441"/>
  <c r="M441"/>
  <c r="G441"/>
  <c r="N439"/>
  <c r="N441" s="1"/>
  <c r="I399"/>
  <c r="J399"/>
  <c r="K399"/>
  <c r="L399"/>
  <c r="M399"/>
  <c r="H399"/>
  <c r="O480"/>
  <c r="O439" l="1"/>
  <c r="O441" s="1"/>
  <c r="P480"/>
  <c r="O484"/>
  <c r="P484" s="1"/>
  <c r="G399"/>
  <c r="P486" l="1"/>
  <c r="O486"/>
  <c r="P439"/>
  <c r="P441" s="1"/>
  <c r="H421" l="1"/>
  <c r="I421"/>
  <c r="J421"/>
  <c r="K421"/>
  <c r="L421"/>
  <c r="M421"/>
  <c r="G421"/>
  <c r="N397"/>
  <c r="O397" s="1"/>
  <c r="N396"/>
  <c r="O396" s="1"/>
  <c r="N419"/>
  <c r="O419" s="1"/>
  <c r="N418"/>
  <c r="O418" s="1"/>
  <c r="N395"/>
  <c r="N417"/>
  <c r="N421" s="1"/>
  <c r="M461"/>
  <c r="L461"/>
  <c r="K461"/>
  <c r="J461"/>
  <c r="I461"/>
  <c r="H461"/>
  <c r="G461"/>
  <c r="N459"/>
  <c r="N399" l="1"/>
  <c r="O395"/>
  <c r="O399" s="1"/>
  <c r="P397"/>
  <c r="P396"/>
  <c r="P419"/>
  <c r="P418"/>
  <c r="O417"/>
  <c r="O421" s="1"/>
  <c r="O459"/>
  <c r="O461" s="1"/>
  <c r="N461"/>
  <c r="P395" l="1"/>
  <c r="P399" s="1"/>
  <c r="P417"/>
  <c r="P421" s="1"/>
  <c r="P459"/>
  <c r="P461" s="1"/>
  <c r="M377" l="1"/>
  <c r="L377"/>
  <c r="K377"/>
  <c r="J377"/>
  <c r="I377"/>
  <c r="H377"/>
  <c r="G377"/>
  <c r="N375"/>
  <c r="O375" s="1"/>
  <c r="P375" l="1"/>
  <c r="N377"/>
  <c r="P377" l="1"/>
  <c r="O377"/>
  <c r="H357" l="1"/>
  <c r="I357"/>
  <c r="J357"/>
  <c r="K357"/>
  <c r="L357"/>
  <c r="M357"/>
  <c r="G357"/>
  <c r="N355"/>
  <c r="O355" s="1"/>
  <c r="N354"/>
  <c r="O354" s="1"/>
  <c r="P354" s="1"/>
  <c r="N330"/>
  <c r="O330" s="1"/>
  <c r="N350"/>
  <c r="O350" s="1"/>
  <c r="N351"/>
  <c r="O351" s="1"/>
  <c r="P355" l="1"/>
  <c r="P330"/>
  <c r="P350"/>
  <c r="P351"/>
  <c r="N353" l="1"/>
  <c r="O353" s="1"/>
  <c r="P353" s="1"/>
  <c r="N352"/>
  <c r="M332"/>
  <c r="L332"/>
  <c r="K332"/>
  <c r="J332"/>
  <c r="I332"/>
  <c r="H332"/>
  <c r="G332"/>
  <c r="N329"/>
  <c r="M311"/>
  <c r="L311"/>
  <c r="K311"/>
  <c r="J311"/>
  <c r="I311"/>
  <c r="H311"/>
  <c r="G311"/>
  <c r="N309"/>
  <c r="O352" l="1"/>
  <c r="O357" s="1"/>
  <c r="N357"/>
  <c r="O309"/>
  <c r="O311" s="1"/>
  <c r="O329"/>
  <c r="O332" s="1"/>
  <c r="P352"/>
  <c r="P357" s="1"/>
  <c r="P329"/>
  <c r="P332" s="1"/>
  <c r="N332"/>
  <c r="N311"/>
  <c r="P309" l="1"/>
  <c r="P311" s="1"/>
  <c r="M291"/>
  <c r="L291"/>
  <c r="K291"/>
  <c r="J291"/>
  <c r="I291"/>
  <c r="H291"/>
  <c r="G291"/>
  <c r="N289"/>
  <c r="N291" s="1"/>
  <c r="O289" l="1"/>
  <c r="O291" s="1"/>
  <c r="P289" l="1"/>
  <c r="P291" s="1"/>
  <c r="M271" l="1"/>
  <c r="L271"/>
  <c r="K271"/>
  <c r="J271"/>
  <c r="I271"/>
  <c r="H271"/>
  <c r="G271"/>
  <c r="N269"/>
  <c r="O269" l="1"/>
  <c r="O271" s="1"/>
  <c r="N271"/>
  <c r="P269" l="1"/>
  <c r="P271" s="1"/>
  <c r="H251" l="1"/>
  <c r="I251"/>
  <c r="J251"/>
  <c r="K251"/>
  <c r="L251"/>
  <c r="M251"/>
  <c r="G251"/>
  <c r="N249"/>
  <c r="O249" s="1"/>
  <c r="N248"/>
  <c r="N251" s="1"/>
  <c r="H230"/>
  <c r="I230"/>
  <c r="J230"/>
  <c r="K230"/>
  <c r="L230"/>
  <c r="M230"/>
  <c r="G230"/>
  <c r="N228"/>
  <c r="O228" s="1"/>
  <c r="O230" s="1"/>
  <c r="N230" l="1"/>
  <c r="O248"/>
  <c r="O251" s="1"/>
  <c r="P249"/>
  <c r="P248"/>
  <c r="P251" l="1"/>
  <c r="P228"/>
  <c r="P230" s="1"/>
  <c r="M210" l="1"/>
  <c r="L210"/>
  <c r="K210"/>
  <c r="J210"/>
  <c r="I210"/>
  <c r="H210"/>
  <c r="G210"/>
  <c r="N208"/>
  <c r="O208" l="1"/>
  <c r="O210" s="1"/>
  <c r="N210"/>
  <c r="P208" l="1"/>
  <c r="P210" s="1"/>
  <c r="M190"/>
  <c r="L190"/>
  <c r="K190"/>
  <c r="J190"/>
  <c r="I190"/>
  <c r="H190"/>
  <c r="G190"/>
  <c r="N188"/>
  <c r="M254" i="68"/>
  <c r="L254"/>
  <c r="K254"/>
  <c r="J254"/>
  <c r="I254"/>
  <c r="H254"/>
  <c r="G254"/>
  <c r="N252"/>
  <c r="O252" s="1"/>
  <c r="O188" i="69" l="1"/>
  <c r="O190" s="1"/>
  <c r="N190"/>
  <c r="O254" i="68"/>
  <c r="P252"/>
  <c r="P254" s="1"/>
  <c r="N254"/>
  <c r="P188" i="69" l="1"/>
  <c r="P190" s="1"/>
  <c r="M170"/>
  <c r="L170"/>
  <c r="K170"/>
  <c r="J170"/>
  <c r="I170"/>
  <c r="H170"/>
  <c r="G170"/>
  <c r="N168"/>
  <c r="O168" s="1"/>
  <c r="O170" l="1"/>
  <c r="P168"/>
  <c r="P170" s="1"/>
  <c r="N170"/>
  <c r="N212" i="68" l="1"/>
  <c r="N293"/>
  <c r="N232"/>
  <c r="N273"/>
  <c r="N272"/>
  <c r="N335"/>
  <c r="N355"/>
  <c r="N375"/>
  <c r="N395"/>
  <c r="N314"/>
  <c r="N315"/>
  <c r="N313"/>
  <c r="M150" i="69"/>
  <c r="L150"/>
  <c r="K150"/>
  <c r="J150"/>
  <c r="I150"/>
  <c r="H150"/>
  <c r="G150"/>
  <c r="N148"/>
  <c r="O148" s="1"/>
  <c r="M130"/>
  <c r="L130"/>
  <c r="K130"/>
  <c r="J130"/>
  <c r="I130"/>
  <c r="H130"/>
  <c r="G130"/>
  <c r="N128"/>
  <c r="O128" l="1"/>
  <c r="O130" s="1"/>
  <c r="O150"/>
  <c r="P148"/>
  <c r="P150" s="1"/>
  <c r="N150"/>
  <c r="P128"/>
  <c r="P130" s="1"/>
  <c r="N130"/>
  <c r="M110" l="1"/>
  <c r="L110"/>
  <c r="K110"/>
  <c r="J110"/>
  <c r="I110"/>
  <c r="H110"/>
  <c r="G110"/>
  <c r="N108"/>
  <c r="O108" s="1"/>
  <c r="M90"/>
  <c r="L90"/>
  <c r="K90"/>
  <c r="J90"/>
  <c r="I90"/>
  <c r="H90"/>
  <c r="G90"/>
  <c r="N88"/>
  <c r="O88" s="1"/>
  <c r="O110" l="1"/>
  <c r="P108"/>
  <c r="P110" s="1"/>
  <c r="N110"/>
  <c r="O90"/>
  <c r="P88"/>
  <c r="P90" s="1"/>
  <c r="N90"/>
  <c r="N68" l="1"/>
  <c r="O68" s="1"/>
  <c r="M70"/>
  <c r="L70"/>
  <c r="K70"/>
  <c r="J70"/>
  <c r="I70"/>
  <c r="H70"/>
  <c r="G70"/>
  <c r="M50"/>
  <c r="L50"/>
  <c r="K50"/>
  <c r="J50"/>
  <c r="I50"/>
  <c r="H50"/>
  <c r="G50"/>
  <c r="N48"/>
  <c r="O48" s="1"/>
  <c r="M30"/>
  <c r="L30"/>
  <c r="K30"/>
  <c r="J30"/>
  <c r="I30"/>
  <c r="H30"/>
  <c r="G30"/>
  <c r="N28"/>
  <c r="O28" l="1"/>
  <c r="O30" s="1"/>
  <c r="O70"/>
  <c r="P68"/>
  <c r="P70" s="1"/>
  <c r="N70"/>
  <c r="O50"/>
  <c r="P48"/>
  <c r="P50" s="1"/>
  <c r="N50"/>
  <c r="N30"/>
  <c r="P28" l="1"/>
  <c r="P30" s="1"/>
  <c r="M10"/>
  <c r="L10"/>
  <c r="K10"/>
  <c r="J10"/>
  <c r="I10"/>
  <c r="H10"/>
  <c r="G10"/>
  <c r="N8"/>
  <c r="O8" l="1"/>
  <c r="O10" s="1"/>
  <c r="N10"/>
  <c r="P8" l="1"/>
  <c r="P10" s="1"/>
  <c r="N415" i="68"/>
  <c r="O415" s="1"/>
  <c r="O417" s="1"/>
  <c r="M417"/>
  <c r="L417"/>
  <c r="K417"/>
  <c r="J417"/>
  <c r="I417"/>
  <c r="H417"/>
  <c r="G417"/>
  <c r="P415" l="1"/>
  <c r="P417" s="1"/>
  <c r="N417"/>
  <c r="M397" l="1"/>
  <c r="L397"/>
  <c r="K397"/>
  <c r="J397"/>
  <c r="I397"/>
  <c r="H397"/>
  <c r="G397"/>
  <c r="O395"/>
  <c r="M377"/>
  <c r="L377"/>
  <c r="K377"/>
  <c r="J377"/>
  <c r="I377"/>
  <c r="H377"/>
  <c r="G377"/>
  <c r="O375"/>
  <c r="M357"/>
  <c r="L357"/>
  <c r="K357"/>
  <c r="J357"/>
  <c r="I357"/>
  <c r="H357"/>
  <c r="G357"/>
  <c r="O355"/>
  <c r="O357" l="1"/>
  <c r="O397"/>
  <c r="P395"/>
  <c r="P397" s="1"/>
  <c r="N397"/>
  <c r="O377"/>
  <c r="P375"/>
  <c r="P377" s="1"/>
  <c r="N377"/>
  <c r="P355"/>
  <c r="P357" s="1"/>
  <c r="N357"/>
  <c r="M337" l="1"/>
  <c r="L337"/>
  <c r="K337"/>
  <c r="J337"/>
  <c r="I337"/>
  <c r="H337"/>
  <c r="G337"/>
  <c r="O335"/>
  <c r="P335" l="1"/>
  <c r="O337"/>
  <c r="N337"/>
  <c r="P337" l="1"/>
  <c r="H317" l="1"/>
  <c r="I317"/>
  <c r="J317"/>
  <c r="K317"/>
  <c r="L317"/>
  <c r="M317"/>
  <c r="G317"/>
  <c r="H275" l="1"/>
  <c r="I275"/>
  <c r="J275"/>
  <c r="K275"/>
  <c r="L275"/>
  <c r="M275"/>
  <c r="G275"/>
  <c r="O315"/>
  <c r="O314"/>
  <c r="P315" l="1"/>
  <c r="P314"/>
  <c r="N317" l="1"/>
  <c r="O313" l="1"/>
  <c r="O317" s="1"/>
  <c r="P313" l="1"/>
  <c r="P317" s="1"/>
  <c r="O273" l="1"/>
  <c r="M295"/>
  <c r="L295"/>
  <c r="K295"/>
  <c r="J295"/>
  <c r="I295"/>
  <c r="H295"/>
  <c r="G295"/>
  <c r="O293"/>
  <c r="P273" l="1"/>
  <c r="P293"/>
  <c r="P295" s="1"/>
  <c r="O295"/>
  <c r="N295"/>
  <c r="N275" l="1"/>
  <c r="O272" l="1"/>
  <c r="O275" s="1"/>
  <c r="P272" l="1"/>
  <c r="P275" s="1"/>
  <c r="M234" l="1"/>
  <c r="L234"/>
  <c r="K234"/>
  <c r="J234"/>
  <c r="I234"/>
  <c r="H234"/>
  <c r="G234"/>
  <c r="N234"/>
  <c r="O232" l="1"/>
  <c r="O234" s="1"/>
  <c r="P232" l="1"/>
  <c r="P234" s="1"/>
  <c r="O212" l="1"/>
  <c r="M214"/>
  <c r="L214"/>
  <c r="K214"/>
  <c r="J214"/>
  <c r="I214"/>
  <c r="H214"/>
  <c r="G214"/>
  <c r="N214" l="1"/>
  <c r="O214"/>
  <c r="P212" l="1"/>
  <c r="P214" s="1"/>
  <c r="N128" l="1"/>
  <c r="M194" l="1"/>
  <c r="L194"/>
  <c r="K194"/>
  <c r="J194"/>
  <c r="I194"/>
  <c r="H194"/>
  <c r="G194"/>
  <c r="N192"/>
  <c r="N194" s="1"/>
  <c r="M174"/>
  <c r="L174"/>
  <c r="K174"/>
  <c r="J174"/>
  <c r="I174"/>
  <c r="H174"/>
  <c r="G174"/>
  <c r="N172"/>
  <c r="N174" s="1"/>
  <c r="O192" l="1"/>
  <c r="O194" s="1"/>
  <c r="O172"/>
  <c r="O174" s="1"/>
  <c r="P192" l="1"/>
  <c r="P194" s="1"/>
  <c r="P172"/>
  <c r="P174" s="1"/>
  <c r="H154" l="1"/>
  <c r="I154"/>
  <c r="J154"/>
  <c r="K154"/>
  <c r="L154"/>
  <c r="M154"/>
  <c r="G154"/>
  <c r="N152"/>
  <c r="O152" s="1"/>
  <c r="N150"/>
  <c r="O150" s="1"/>
  <c r="N148"/>
  <c r="M130"/>
  <c r="L130"/>
  <c r="K130"/>
  <c r="J130"/>
  <c r="I130"/>
  <c r="H130"/>
  <c r="G130"/>
  <c r="O128"/>
  <c r="O108"/>
  <c r="P108" s="1"/>
  <c r="P110" s="1"/>
  <c r="H110"/>
  <c r="I110"/>
  <c r="J110"/>
  <c r="K110"/>
  <c r="L110"/>
  <c r="M110"/>
  <c r="N110"/>
  <c r="G110"/>
  <c r="N154" l="1"/>
  <c r="O130"/>
  <c r="P152"/>
  <c r="P150"/>
  <c r="O148"/>
  <c r="O154" s="1"/>
  <c r="P128"/>
  <c r="P130" s="1"/>
  <c r="N130"/>
  <c r="O110"/>
  <c r="P148" l="1"/>
  <c r="P154" s="1"/>
  <c r="Q108"/>
  <c r="Q110" s="1"/>
  <c r="M90" l="1"/>
  <c r="L90"/>
  <c r="K90"/>
  <c r="J90"/>
  <c r="I90"/>
  <c r="H90"/>
  <c r="G90"/>
  <c r="N88"/>
  <c r="N90" s="1"/>
  <c r="O88" l="1"/>
  <c r="O90" s="1"/>
  <c r="P88" l="1"/>
  <c r="P90" s="1"/>
  <c r="M70" l="1"/>
  <c r="L70"/>
  <c r="K70"/>
  <c r="J70"/>
  <c r="I70"/>
  <c r="H70"/>
  <c r="G70"/>
  <c r="N68"/>
  <c r="N70" s="1"/>
  <c r="O68" l="1"/>
  <c r="O70" s="1"/>
  <c r="P68" l="1"/>
  <c r="P70" s="1"/>
  <c r="M50" l="1"/>
  <c r="L50"/>
  <c r="K50"/>
  <c r="J50"/>
  <c r="I50"/>
  <c r="H50"/>
  <c r="G50"/>
  <c r="N48"/>
  <c r="N50" s="1"/>
  <c r="O48" l="1"/>
  <c r="O50" s="1"/>
  <c r="P48" l="1"/>
  <c r="P50" s="1"/>
  <c r="M30" l="1"/>
  <c r="L30"/>
  <c r="K30"/>
  <c r="J30"/>
  <c r="I30"/>
  <c r="H30"/>
  <c r="G30"/>
  <c r="N28"/>
  <c r="N30" s="1"/>
  <c r="O28" l="1"/>
  <c r="O30" s="1"/>
  <c r="P28" l="1"/>
  <c r="P30" s="1"/>
  <c r="N8" l="1"/>
  <c r="O8" s="1"/>
  <c r="M10"/>
  <c r="L10"/>
  <c r="K10"/>
  <c r="J10"/>
  <c r="I10"/>
  <c r="H10"/>
  <c r="G10"/>
  <c r="N10"/>
  <c r="O10" l="1"/>
  <c r="P8" l="1"/>
  <c r="P10" s="1"/>
  <c r="M829" i="67" l="1"/>
  <c r="L829"/>
  <c r="K829"/>
  <c r="J829"/>
  <c r="I829"/>
  <c r="H829"/>
  <c r="G829"/>
  <c r="N827"/>
  <c r="N829" s="1"/>
  <c r="O827" l="1"/>
  <c r="O829" s="1"/>
  <c r="P827" l="1"/>
  <c r="P829" s="1"/>
  <c r="M809" l="1"/>
  <c r="L809"/>
  <c r="K809"/>
  <c r="J809"/>
  <c r="I809"/>
  <c r="H809"/>
  <c r="G809"/>
  <c r="N807"/>
  <c r="N809" s="1"/>
  <c r="O807" l="1"/>
  <c r="O809" s="1"/>
  <c r="P807" l="1"/>
  <c r="P809" s="1"/>
  <c r="H789" l="1"/>
  <c r="I789"/>
  <c r="J789"/>
  <c r="K789"/>
  <c r="L789"/>
  <c r="M789"/>
  <c r="G789"/>
  <c r="N785"/>
  <c r="O785" s="1"/>
  <c r="N787"/>
  <c r="O787" s="1"/>
  <c r="N786"/>
  <c r="O786" s="1"/>
  <c r="N784"/>
  <c r="N789" l="1"/>
  <c r="O784"/>
  <c r="O789" s="1"/>
  <c r="P785"/>
  <c r="P787"/>
  <c r="P786"/>
  <c r="P784" l="1"/>
  <c r="P789" s="1"/>
  <c r="M766"/>
  <c r="L766"/>
  <c r="K766"/>
  <c r="J766"/>
  <c r="I766"/>
  <c r="H766"/>
  <c r="G766"/>
  <c r="N764" l="1"/>
  <c r="O764" s="1"/>
  <c r="O766" l="1"/>
  <c r="N766"/>
  <c r="P764" l="1"/>
  <c r="P766" s="1"/>
  <c r="M746" l="1"/>
  <c r="L746"/>
  <c r="K746"/>
  <c r="J746"/>
  <c r="I746"/>
  <c r="H746"/>
  <c r="G744"/>
  <c r="G746" s="1"/>
  <c r="M720"/>
  <c r="L720"/>
  <c r="K720"/>
  <c r="J720"/>
  <c r="I720"/>
  <c r="H720"/>
  <c r="G720"/>
  <c r="N718"/>
  <c r="N744" l="1"/>
  <c r="N746" s="1"/>
  <c r="O718"/>
  <c r="O720" s="1"/>
  <c r="N720"/>
  <c r="P718" l="1"/>
  <c r="P720" s="1"/>
  <c r="O744"/>
  <c r="O746" s="1"/>
  <c r="P744" l="1"/>
  <c r="P746" s="1"/>
  <c r="M700" l="1"/>
  <c r="L700"/>
  <c r="K700"/>
  <c r="J700"/>
  <c r="I700"/>
  <c r="H700"/>
  <c r="G700"/>
  <c r="N698"/>
  <c r="O698" s="1"/>
  <c r="H680"/>
  <c r="I680"/>
  <c r="J680"/>
  <c r="K680"/>
  <c r="L680"/>
  <c r="M680"/>
  <c r="G680"/>
  <c r="P698" l="1"/>
  <c r="N700"/>
  <c r="N678"/>
  <c r="O678" s="1"/>
  <c r="N677"/>
  <c r="O677" s="1"/>
  <c r="N676"/>
  <c r="O676" l="1"/>
  <c r="O680" s="1"/>
  <c r="N680"/>
  <c r="O700"/>
  <c r="P700"/>
  <c r="P678"/>
  <c r="P677"/>
  <c r="P676"/>
  <c r="P680" s="1"/>
  <c r="H638" l="1"/>
  <c r="I638"/>
  <c r="J638"/>
  <c r="K638"/>
  <c r="L638"/>
  <c r="M638"/>
  <c r="G638"/>
  <c r="M658" l="1"/>
  <c r="L658"/>
  <c r="K658"/>
  <c r="J658"/>
  <c r="I658"/>
  <c r="H658"/>
  <c r="G658"/>
  <c r="N656"/>
  <c r="O656" s="1"/>
  <c r="N636"/>
  <c r="O636" s="1"/>
  <c r="N658" l="1"/>
  <c r="P656"/>
  <c r="O658"/>
  <c r="P636"/>
  <c r="P658" l="1"/>
  <c r="N634" l="1"/>
  <c r="O634" s="1"/>
  <c r="P634" l="1"/>
  <c r="N635"/>
  <c r="O635" s="1"/>
  <c r="N633"/>
  <c r="N638" l="1"/>
  <c r="O633"/>
  <c r="O638" s="1"/>
  <c r="P635"/>
  <c r="P633" l="1"/>
  <c r="P638" s="1"/>
  <c r="M615" l="1"/>
  <c r="L615"/>
  <c r="K615"/>
  <c r="J615"/>
  <c r="I615"/>
  <c r="H615"/>
  <c r="G615"/>
  <c r="N613"/>
  <c r="O613" s="1"/>
  <c r="H595"/>
  <c r="I595"/>
  <c r="J595"/>
  <c r="K595"/>
  <c r="L595"/>
  <c r="M595"/>
  <c r="G595"/>
  <c r="N593"/>
  <c r="O593" s="1"/>
  <c r="N592"/>
  <c r="O592" s="1"/>
  <c r="O595" l="1"/>
  <c r="N595"/>
  <c r="O615"/>
  <c r="N615"/>
  <c r="P593"/>
  <c r="P592"/>
  <c r="P595" l="1"/>
  <c r="P613"/>
  <c r="P615" s="1"/>
  <c r="M574" l="1"/>
  <c r="L574"/>
  <c r="K574"/>
  <c r="J574"/>
  <c r="I574"/>
  <c r="H574"/>
  <c r="G574"/>
  <c r="N572"/>
  <c r="N574" s="1"/>
  <c r="M554"/>
  <c r="L554"/>
  <c r="K554"/>
  <c r="J554"/>
  <c r="I554"/>
  <c r="H554"/>
  <c r="G554"/>
  <c r="N552"/>
  <c r="N554" s="1"/>
  <c r="O552" l="1"/>
  <c r="O554" s="1"/>
  <c r="O572"/>
  <c r="O574" s="1"/>
  <c r="P572" l="1"/>
  <c r="P574" s="1"/>
  <c r="P552"/>
  <c r="P554" s="1"/>
  <c r="M534" l="1"/>
  <c r="L534"/>
  <c r="K534"/>
  <c r="J534"/>
  <c r="I534"/>
  <c r="H534"/>
  <c r="G534"/>
  <c r="N532"/>
  <c r="N534" s="1"/>
  <c r="O532" l="1"/>
  <c r="O534" s="1"/>
  <c r="P532" l="1"/>
  <c r="P534" s="1"/>
  <c r="M513" l="1"/>
  <c r="L513"/>
  <c r="K513"/>
  <c r="J513"/>
  <c r="I513"/>
  <c r="H513"/>
  <c r="G513"/>
  <c r="N511"/>
  <c r="N513" l="1"/>
  <c r="O511"/>
  <c r="O513" s="1"/>
  <c r="P511" l="1"/>
  <c r="P513" s="1"/>
  <c r="M493" l="1"/>
  <c r="L493"/>
  <c r="K493"/>
  <c r="J493"/>
  <c r="I493"/>
  <c r="H493"/>
  <c r="G493"/>
  <c r="N491"/>
  <c r="M473"/>
  <c r="L473"/>
  <c r="K473"/>
  <c r="J473"/>
  <c r="I473"/>
  <c r="H473"/>
  <c r="G473"/>
  <c r="N471"/>
  <c r="N473" s="1"/>
  <c r="M453"/>
  <c r="L453"/>
  <c r="K453"/>
  <c r="J453"/>
  <c r="I453"/>
  <c r="H453"/>
  <c r="G453"/>
  <c r="N451"/>
  <c r="N453" s="1"/>
  <c r="M433"/>
  <c r="L433"/>
  <c r="K433"/>
  <c r="J433"/>
  <c r="I433"/>
  <c r="H433"/>
  <c r="G433"/>
  <c r="N431"/>
  <c r="N433" s="1"/>
  <c r="O431" l="1"/>
  <c r="O471"/>
  <c r="O473" s="1"/>
  <c r="N493"/>
  <c r="O491"/>
  <c r="O451"/>
  <c r="O453" s="1"/>
  <c r="O493"/>
  <c r="O433"/>
  <c r="P491" l="1"/>
  <c r="P493" s="1"/>
  <c r="P471"/>
  <c r="P473" s="1"/>
  <c r="P451"/>
  <c r="P453" s="1"/>
  <c r="P431"/>
  <c r="P433" s="1"/>
  <c r="M413" l="1"/>
  <c r="L413"/>
  <c r="K413"/>
  <c r="J413"/>
  <c r="I413"/>
  <c r="H413"/>
  <c r="G413"/>
  <c r="N411"/>
  <c r="N413" s="1"/>
  <c r="O411" l="1"/>
  <c r="O413" s="1"/>
  <c r="N391"/>
  <c r="O391" s="1"/>
  <c r="M393"/>
  <c r="L393"/>
  <c r="K393"/>
  <c r="J393"/>
  <c r="I393"/>
  <c r="H393"/>
  <c r="G393"/>
  <c r="P411" l="1"/>
  <c r="P413" s="1"/>
  <c r="N393"/>
  <c r="O393"/>
  <c r="P391" l="1"/>
  <c r="P393" s="1"/>
  <c r="M373" l="1"/>
  <c r="L373"/>
  <c r="K373"/>
  <c r="J373"/>
  <c r="I373"/>
  <c r="H373"/>
  <c r="G373"/>
  <c r="N371"/>
  <c r="N373" s="1"/>
  <c r="O371" l="1"/>
  <c r="O373" s="1"/>
  <c r="P371" l="1"/>
  <c r="P373" s="1"/>
  <c r="N351" l="1"/>
  <c r="O351" s="1"/>
  <c r="H353"/>
  <c r="I353"/>
  <c r="J353"/>
  <c r="K353"/>
  <c r="L353"/>
  <c r="M353"/>
  <c r="G353"/>
  <c r="N271"/>
  <c r="M291"/>
  <c r="M311"/>
  <c r="M331"/>
  <c r="N353" l="1"/>
  <c r="O353"/>
  <c r="N331"/>
  <c r="L333"/>
  <c r="K333"/>
  <c r="J333"/>
  <c r="I333"/>
  <c r="H333"/>
  <c r="G333"/>
  <c r="M333"/>
  <c r="L313"/>
  <c r="K313"/>
  <c r="J313"/>
  <c r="I313"/>
  <c r="H313"/>
  <c r="G313"/>
  <c r="M313"/>
  <c r="N291"/>
  <c r="L293"/>
  <c r="K293"/>
  <c r="J293"/>
  <c r="I293"/>
  <c r="H293"/>
  <c r="G293"/>
  <c r="M293"/>
  <c r="O271"/>
  <c r="J273"/>
  <c r="M273"/>
  <c r="L273"/>
  <c r="K273"/>
  <c r="I273"/>
  <c r="H273"/>
  <c r="G273"/>
  <c r="N273"/>
  <c r="P351" l="1"/>
  <c r="P353" s="1"/>
  <c r="N333"/>
  <c r="N311"/>
  <c r="N313" s="1"/>
  <c r="N293"/>
  <c r="O273"/>
  <c r="L232"/>
  <c r="K232"/>
  <c r="J232"/>
  <c r="I232"/>
  <c r="H232"/>
  <c r="G232"/>
  <c r="M230"/>
  <c r="M232" s="1"/>
  <c r="O331" l="1"/>
  <c r="O333" s="1"/>
  <c r="O311"/>
  <c r="O313" s="1"/>
  <c r="O291"/>
  <c r="O293" s="1"/>
  <c r="N230"/>
  <c r="N232" s="1"/>
  <c r="P271"/>
  <c r="P273" s="1"/>
  <c r="O230"/>
  <c r="O232" s="1"/>
  <c r="L253"/>
  <c r="K253"/>
  <c r="J253"/>
  <c r="I253"/>
  <c r="H253"/>
  <c r="G253"/>
  <c r="M251"/>
  <c r="M253" l="1"/>
  <c r="N251"/>
  <c r="N253" s="1"/>
  <c r="O251" l="1"/>
  <c r="O253" s="1"/>
  <c r="L212" l="1"/>
  <c r="K212"/>
  <c r="J212"/>
  <c r="I212"/>
  <c r="H212"/>
  <c r="G212"/>
  <c r="M210"/>
  <c r="M212" s="1"/>
  <c r="L192"/>
  <c r="K192"/>
  <c r="J192"/>
  <c r="I192"/>
  <c r="H192"/>
  <c r="G192"/>
  <c r="M190"/>
  <c r="M192" s="1"/>
  <c r="N190" l="1"/>
  <c r="N192" s="1"/>
  <c r="N210"/>
  <c r="N212" s="1"/>
  <c r="O210" l="1"/>
  <c r="O212" s="1"/>
  <c r="O190"/>
  <c r="O192" s="1"/>
  <c r="L172" l="1"/>
  <c r="K172"/>
  <c r="J172"/>
  <c r="I172"/>
  <c r="H172"/>
  <c r="G172"/>
  <c r="M170"/>
  <c r="M172" s="1"/>
  <c r="N170" l="1"/>
  <c r="N172" s="1"/>
  <c r="O170" l="1"/>
  <c r="O172" s="1"/>
  <c r="L152" l="1"/>
  <c r="K152"/>
  <c r="J152"/>
  <c r="I152"/>
  <c r="H152"/>
  <c r="G152"/>
  <c r="M150"/>
  <c r="N150" s="1"/>
  <c r="L132"/>
  <c r="K132"/>
  <c r="J132"/>
  <c r="I132"/>
  <c r="H132"/>
  <c r="G132"/>
  <c r="M130"/>
  <c r="N130" s="1"/>
  <c r="O150" l="1"/>
  <c r="O152" s="1"/>
  <c r="N152"/>
  <c r="M152"/>
  <c r="M132"/>
  <c r="N132"/>
  <c r="O130" l="1"/>
  <c r="O132" s="1"/>
  <c r="L112" l="1"/>
  <c r="K112"/>
  <c r="J112"/>
  <c r="I112"/>
  <c r="H112"/>
  <c r="G112"/>
  <c r="M110"/>
  <c r="N110" s="1"/>
  <c r="N112" l="1"/>
  <c r="M112"/>
  <c r="O110" l="1"/>
  <c r="O112" s="1"/>
  <c r="L91" l="1"/>
  <c r="K91"/>
  <c r="J91"/>
  <c r="I91"/>
  <c r="H91"/>
  <c r="G91"/>
  <c r="M89"/>
  <c r="N89" s="1"/>
  <c r="L71"/>
  <c r="K71"/>
  <c r="J71"/>
  <c r="I71"/>
  <c r="H71"/>
  <c r="G71"/>
  <c r="M69"/>
  <c r="N69" s="1"/>
  <c r="N91" l="1"/>
  <c r="M91"/>
  <c r="N71"/>
  <c r="M71"/>
  <c r="O89" l="1"/>
  <c r="O91" s="1"/>
  <c r="O69"/>
  <c r="O71" s="1"/>
  <c r="L51" l="1"/>
  <c r="K51"/>
  <c r="J51"/>
  <c r="I51"/>
  <c r="H51"/>
  <c r="G51"/>
  <c r="M49"/>
  <c r="N49" s="1"/>
  <c r="N51" l="1"/>
  <c r="M51"/>
  <c r="O49" l="1"/>
  <c r="O51" s="1"/>
  <c r="L31" l="1"/>
  <c r="K31"/>
  <c r="J31"/>
  <c r="I31"/>
  <c r="H31"/>
  <c r="G31"/>
  <c r="M29"/>
  <c r="N29" s="1"/>
  <c r="N31" l="1"/>
  <c r="M31"/>
  <c r="O29" l="1"/>
  <c r="O31" s="1"/>
  <c r="L11" l="1"/>
  <c r="K11"/>
  <c r="J11"/>
  <c r="I11"/>
  <c r="H11"/>
  <c r="G11"/>
  <c r="M9"/>
  <c r="N9" s="1"/>
  <c r="M11" l="1"/>
  <c r="N11"/>
  <c r="O9" l="1"/>
  <c r="O11" s="1"/>
  <c r="M96" i="66" l="1"/>
  <c r="L96"/>
  <c r="K96"/>
  <c r="J96"/>
  <c r="I96"/>
  <c r="H96"/>
  <c r="G96"/>
  <c r="N94"/>
  <c r="O94" s="1"/>
  <c r="N96" l="1"/>
  <c r="P94"/>
  <c r="P96" l="1"/>
  <c r="O96"/>
  <c r="N71" l="1"/>
  <c r="O71" s="1"/>
  <c r="N72"/>
  <c r="N73"/>
  <c r="O73" s="1"/>
  <c r="N74"/>
  <c r="O74" s="1"/>
  <c r="N70"/>
  <c r="O70" s="1"/>
  <c r="H76"/>
  <c r="I76"/>
  <c r="J76"/>
  <c r="K76"/>
  <c r="L76"/>
  <c r="M76"/>
  <c r="G76"/>
  <c r="O72"/>
  <c r="P72" s="1"/>
  <c r="H52"/>
  <c r="I52"/>
  <c r="J52"/>
  <c r="K52"/>
  <c r="L52"/>
  <c r="G52"/>
  <c r="M50"/>
  <c r="N50" s="1"/>
  <c r="M49"/>
  <c r="N49" s="1"/>
  <c r="M48"/>
  <c r="N48" s="1"/>
  <c r="N52" l="1"/>
  <c r="O76"/>
  <c r="N76"/>
  <c r="M52"/>
  <c r="P74"/>
  <c r="P73"/>
  <c r="P71"/>
  <c r="O50"/>
  <c r="O49"/>
  <c r="O48"/>
  <c r="O52" l="1"/>
  <c r="P70"/>
  <c r="P76" s="1"/>
  <c r="L30" l="1"/>
  <c r="K30"/>
  <c r="J30"/>
  <c r="I30"/>
  <c r="H30"/>
  <c r="G30"/>
  <c r="M28"/>
  <c r="M30" s="1"/>
  <c r="L10"/>
  <c r="K10"/>
  <c r="J10"/>
  <c r="I10"/>
  <c r="H10"/>
  <c r="G10"/>
  <c r="M8"/>
  <c r="N8" s="1"/>
  <c r="N28" l="1"/>
  <c r="N30" s="1"/>
  <c r="M10"/>
  <c r="N10"/>
  <c r="O28" l="1"/>
  <c r="O30" s="1"/>
  <c r="O8"/>
  <c r="O10" s="1"/>
  <c r="L316" i="65" l="1"/>
  <c r="K316"/>
  <c r="J316"/>
  <c r="I316"/>
  <c r="H316"/>
  <c r="G316"/>
  <c r="M314"/>
  <c r="M316" s="1"/>
  <c r="N314" l="1"/>
  <c r="N316" s="1"/>
  <c r="O314" l="1"/>
  <c r="O316" s="1"/>
  <c r="L296" l="1"/>
  <c r="K296"/>
  <c r="J296"/>
  <c r="I296"/>
  <c r="H296"/>
  <c r="G296"/>
  <c r="M294"/>
  <c r="M296" s="1"/>
  <c r="N294" l="1"/>
  <c r="N296" s="1"/>
  <c r="O294" l="1"/>
  <c r="O296" s="1"/>
  <c r="L276"/>
  <c r="K276"/>
  <c r="J276"/>
  <c r="I276"/>
  <c r="H276"/>
  <c r="G276"/>
  <c r="M274"/>
  <c r="N274" s="1"/>
  <c r="O274" l="1"/>
  <c r="O276" s="1"/>
  <c r="M276"/>
  <c r="N276" l="1"/>
  <c r="H256" l="1"/>
  <c r="I256"/>
  <c r="J256"/>
  <c r="K256"/>
  <c r="L256"/>
  <c r="G256"/>
  <c r="M254"/>
  <c r="N254" s="1"/>
  <c r="M253"/>
  <c r="N253" s="1"/>
  <c r="O254" l="1"/>
  <c r="O253"/>
  <c r="L214"/>
  <c r="K214"/>
  <c r="J214"/>
  <c r="I214"/>
  <c r="H214"/>
  <c r="G214"/>
  <c r="M212"/>
  <c r="N212" s="1"/>
  <c r="M252"/>
  <c r="L234"/>
  <c r="K234"/>
  <c r="J234"/>
  <c r="I234"/>
  <c r="H234"/>
  <c r="G234"/>
  <c r="M232"/>
  <c r="M234" s="1"/>
  <c r="N252" l="1"/>
  <c r="N256" s="1"/>
  <c r="M256"/>
  <c r="N232"/>
  <c r="N234" s="1"/>
  <c r="M214"/>
  <c r="N214"/>
  <c r="L194"/>
  <c r="K194"/>
  <c r="J194"/>
  <c r="I194"/>
  <c r="H194"/>
  <c r="G194"/>
  <c r="M192"/>
  <c r="M194" s="1"/>
  <c r="O252" l="1"/>
  <c r="O256" s="1"/>
  <c r="O212"/>
  <c r="O214" s="1"/>
  <c r="O232"/>
  <c r="O234" s="1"/>
  <c r="N192"/>
  <c r="N194" s="1"/>
  <c r="O192" l="1"/>
  <c r="O194" s="1"/>
  <c r="M172" l="1"/>
  <c r="N172" s="1"/>
  <c r="O172" s="1"/>
  <c r="L174" l="1"/>
  <c r="K174"/>
  <c r="J174"/>
  <c r="H174"/>
  <c r="I174"/>
  <c r="G174"/>
  <c r="M171" l="1"/>
  <c r="N171" s="1"/>
  <c r="L153"/>
  <c r="K153"/>
  <c r="J153"/>
  <c r="H153"/>
  <c r="I151"/>
  <c r="I153" s="1"/>
  <c r="G151"/>
  <c r="G153" s="1"/>
  <c r="M174" l="1"/>
  <c r="N174"/>
  <c r="O171"/>
  <c r="O174" s="1"/>
  <c r="M151"/>
  <c r="L133"/>
  <c r="K133"/>
  <c r="J133"/>
  <c r="I133"/>
  <c r="H133"/>
  <c r="G133"/>
  <c r="M131"/>
  <c r="M133" s="1"/>
  <c r="N131" l="1"/>
  <c r="N133" s="1"/>
  <c r="M153"/>
  <c r="N151"/>
  <c r="N153" s="1"/>
  <c r="O151" l="1"/>
  <c r="O153" s="1"/>
  <c r="O131"/>
  <c r="O133" s="1"/>
  <c r="L113" l="1"/>
  <c r="K113"/>
  <c r="J113"/>
  <c r="I113"/>
  <c r="H113"/>
  <c r="G113"/>
  <c r="M111"/>
  <c r="N111" s="1"/>
  <c r="M113" l="1"/>
  <c r="N113"/>
  <c r="O111"/>
  <c r="O113" s="1"/>
  <c r="L92" l="1"/>
  <c r="K92"/>
  <c r="J92"/>
  <c r="I92"/>
  <c r="H92"/>
  <c r="G92"/>
  <c r="M89"/>
  <c r="M92" l="1"/>
  <c r="N89"/>
  <c r="N92" s="1"/>
  <c r="O89" l="1"/>
  <c r="O92" s="1"/>
  <c r="M69" l="1"/>
  <c r="L71"/>
  <c r="K71"/>
  <c r="J71"/>
  <c r="I71"/>
  <c r="H71"/>
  <c r="G71"/>
  <c r="M68"/>
  <c r="L50"/>
  <c r="K50"/>
  <c r="J50"/>
  <c r="I50"/>
  <c r="H50"/>
  <c r="G50"/>
  <c r="M48"/>
  <c r="M50" s="1"/>
  <c r="N48" l="1"/>
  <c r="N69"/>
  <c r="O69" s="1"/>
  <c r="M71"/>
  <c r="N68"/>
  <c r="N71" s="1"/>
  <c r="N50"/>
  <c r="L30"/>
  <c r="K30"/>
  <c r="J30"/>
  <c r="I30"/>
  <c r="H30"/>
  <c r="G30"/>
  <c r="M28"/>
  <c r="M30" s="1"/>
  <c r="N28" l="1"/>
  <c r="N30" s="1"/>
  <c r="O68"/>
  <c r="O71" s="1"/>
  <c r="O48"/>
  <c r="O50" s="1"/>
  <c r="O28" l="1"/>
  <c r="O30" s="1"/>
  <c r="L10" l="1"/>
  <c r="K10"/>
  <c r="J10"/>
  <c r="I10"/>
  <c r="H10"/>
  <c r="G10"/>
  <c r="M8"/>
  <c r="M10" s="1"/>
  <c r="N8" l="1"/>
  <c r="N10" s="1"/>
  <c r="O8" l="1"/>
  <c r="O10" s="1"/>
  <c r="H232" i="64" l="1"/>
  <c r="I232"/>
  <c r="J232"/>
  <c r="K232"/>
  <c r="L232"/>
  <c r="G232"/>
  <c r="M230"/>
  <c r="N230" s="1"/>
  <c r="M229"/>
  <c r="M232" l="1"/>
  <c r="N229"/>
  <c r="N232" s="1"/>
  <c r="O230"/>
  <c r="O229" l="1"/>
  <c r="O232" s="1"/>
  <c r="L211" l="1"/>
  <c r="K211"/>
  <c r="J211"/>
  <c r="I211"/>
  <c r="H211"/>
  <c r="G211"/>
  <c r="M209"/>
  <c r="N209" l="1"/>
  <c r="N211" s="1"/>
  <c r="M211"/>
  <c r="O209" l="1"/>
  <c r="O211" s="1"/>
  <c r="L191" l="1"/>
  <c r="K191"/>
  <c r="J191"/>
  <c r="I191"/>
  <c r="H191"/>
  <c r="G191"/>
  <c r="M189"/>
  <c r="M191" s="1"/>
  <c r="L171"/>
  <c r="K171"/>
  <c r="J171"/>
  <c r="I171"/>
  <c r="H171"/>
  <c r="G171"/>
  <c r="M169"/>
  <c r="M171" s="1"/>
  <c r="N189" l="1"/>
  <c r="N191" s="1"/>
  <c r="N169"/>
  <c r="O169" s="1"/>
  <c r="O171" s="1"/>
  <c r="N171" l="1"/>
  <c r="O189"/>
  <c r="O191" s="1"/>
  <c r="M149" l="1"/>
  <c r="L151"/>
  <c r="K151"/>
  <c r="J151"/>
  <c r="I151"/>
  <c r="H151"/>
  <c r="G151"/>
  <c r="M148"/>
  <c r="M151" l="1"/>
  <c r="N148"/>
  <c r="N149"/>
  <c r="O149" s="1"/>
  <c r="L130"/>
  <c r="K130"/>
  <c r="J130"/>
  <c r="I130"/>
  <c r="H130"/>
  <c r="G130"/>
  <c r="M128"/>
  <c r="N151" l="1"/>
  <c r="O148"/>
  <c r="O151" s="1"/>
  <c r="M130"/>
  <c r="N128"/>
  <c r="N130" s="1"/>
  <c r="O128" l="1"/>
  <c r="O130" s="1"/>
  <c r="L110" l="1"/>
  <c r="K110"/>
  <c r="J110"/>
  <c r="I110"/>
  <c r="H110"/>
  <c r="G110"/>
  <c r="M108"/>
  <c r="M110" s="1"/>
  <c r="L90"/>
  <c r="K90"/>
  <c r="J90"/>
  <c r="I90"/>
  <c r="H90"/>
  <c r="G90"/>
  <c r="M88"/>
  <c r="M90" s="1"/>
  <c r="N88" l="1"/>
  <c r="N108"/>
  <c r="N110" s="1"/>
  <c r="N90"/>
  <c r="L70"/>
  <c r="K70"/>
  <c r="J70"/>
  <c r="I70"/>
  <c r="H70"/>
  <c r="G70"/>
  <c r="M68"/>
  <c r="M70" s="1"/>
  <c r="N68" l="1"/>
  <c r="N70" s="1"/>
  <c r="O108"/>
  <c r="O110" s="1"/>
  <c r="O88"/>
  <c r="O90" s="1"/>
  <c r="O68" l="1"/>
  <c r="O70" s="1"/>
  <c r="L50" l="1"/>
  <c r="K50"/>
  <c r="J50"/>
  <c r="I50"/>
  <c r="H50"/>
  <c r="G50"/>
  <c r="M48"/>
  <c r="M50" s="1"/>
  <c r="N48" l="1"/>
  <c r="N50" s="1"/>
  <c r="O48" l="1"/>
  <c r="O50" s="1"/>
  <c r="L30" l="1"/>
  <c r="K30"/>
  <c r="J30"/>
  <c r="I30"/>
  <c r="H30"/>
  <c r="G30"/>
  <c r="M28"/>
  <c r="M30" s="1"/>
  <c r="N28" l="1"/>
  <c r="N30" s="1"/>
  <c r="O28" l="1"/>
  <c r="O30" s="1"/>
  <c r="L10" l="1"/>
  <c r="K10"/>
  <c r="J10"/>
  <c r="I10"/>
  <c r="H10"/>
  <c r="G10"/>
  <c r="M8"/>
  <c r="M10" s="1"/>
  <c r="N8" l="1"/>
  <c r="N10" s="1"/>
  <c r="O8" l="1"/>
  <c r="O10" s="1"/>
  <c r="L272" i="63" l="1"/>
  <c r="K272"/>
  <c r="J272"/>
  <c r="I272"/>
  <c r="H272"/>
  <c r="G272"/>
  <c r="M270"/>
  <c r="M272" s="1"/>
  <c r="L252"/>
  <c r="K252"/>
  <c r="J252"/>
  <c r="I252"/>
  <c r="H252"/>
  <c r="G252"/>
  <c r="M250"/>
  <c r="N270" l="1"/>
  <c r="N272" s="1"/>
  <c r="M252"/>
  <c r="N250"/>
  <c r="N252" s="1"/>
  <c r="L232"/>
  <c r="K232"/>
  <c r="J232"/>
  <c r="I232"/>
  <c r="H232"/>
  <c r="G232"/>
  <c r="M229"/>
  <c r="M232" s="1"/>
  <c r="O270" l="1"/>
  <c r="O272" s="1"/>
  <c r="O250"/>
  <c r="O252" s="1"/>
  <c r="N229"/>
  <c r="N232" s="1"/>
  <c r="M209"/>
  <c r="N209" s="1"/>
  <c r="L211"/>
  <c r="K211"/>
  <c r="J211"/>
  <c r="I211"/>
  <c r="H211"/>
  <c r="G211"/>
  <c r="M208"/>
  <c r="M211" l="1"/>
  <c r="N208"/>
  <c r="N211" s="1"/>
  <c r="O229"/>
  <c r="O232" s="1"/>
  <c r="O209"/>
  <c r="L190"/>
  <c r="K190"/>
  <c r="J190"/>
  <c r="I190"/>
  <c r="H190"/>
  <c r="G190"/>
  <c r="M188"/>
  <c r="N188" s="1"/>
  <c r="O208" l="1"/>
  <c r="O211" s="1"/>
  <c r="N190"/>
  <c r="O188"/>
  <c r="O190" s="1"/>
  <c r="M190"/>
  <c r="K170"/>
  <c r="J170"/>
  <c r="I170"/>
  <c r="H170"/>
  <c r="G170"/>
  <c r="L168"/>
  <c r="L170" s="1"/>
  <c r="M168" l="1"/>
  <c r="M170" s="1"/>
  <c r="N168" l="1"/>
  <c r="N170" s="1"/>
  <c r="L150" l="1"/>
  <c r="K150"/>
  <c r="J150"/>
  <c r="I150"/>
  <c r="H150"/>
  <c r="G150"/>
  <c r="M148"/>
  <c r="M150" s="1"/>
  <c r="N148" l="1"/>
  <c r="N150" s="1"/>
  <c r="L130"/>
  <c r="K130"/>
  <c r="J130"/>
  <c r="I130"/>
  <c r="H130"/>
  <c r="G130"/>
  <c r="M128"/>
  <c r="M130" s="1"/>
  <c r="N128" l="1"/>
  <c r="O148"/>
  <c r="O150" s="1"/>
  <c r="N130"/>
  <c r="L110"/>
  <c r="K110"/>
  <c r="J110"/>
  <c r="I110"/>
  <c r="H110"/>
  <c r="G110"/>
  <c r="M108"/>
  <c r="N108" s="1"/>
  <c r="L90"/>
  <c r="K90"/>
  <c r="J90"/>
  <c r="I90"/>
  <c r="H90"/>
  <c r="G90"/>
  <c r="M88"/>
  <c r="M90" s="1"/>
  <c r="N88" l="1"/>
  <c r="O128"/>
  <c r="O130" s="1"/>
  <c r="N110"/>
  <c r="M110"/>
  <c r="N90"/>
  <c r="O108" l="1"/>
  <c r="O110" s="1"/>
  <c r="O88"/>
  <c r="O90" s="1"/>
  <c r="L70" l="1"/>
  <c r="K70"/>
  <c r="J70"/>
  <c r="I70"/>
  <c r="H70"/>
  <c r="G70"/>
  <c r="M68"/>
  <c r="M70" s="1"/>
  <c r="N68" l="1"/>
  <c r="N70" s="1"/>
  <c r="L50"/>
  <c r="K50"/>
  <c r="J50"/>
  <c r="I50"/>
  <c r="H50"/>
  <c r="G50"/>
  <c r="M48"/>
  <c r="M50" s="1"/>
  <c r="N48" l="1"/>
  <c r="O68"/>
  <c r="O70" s="1"/>
  <c r="N50"/>
  <c r="O48" l="1"/>
  <c r="O50" s="1"/>
  <c r="L30" l="1"/>
  <c r="K30"/>
  <c r="J30"/>
  <c r="I30"/>
  <c r="H30"/>
  <c r="G30"/>
  <c r="M28"/>
  <c r="M30" s="1"/>
  <c r="N28" l="1"/>
  <c r="N30" s="1"/>
  <c r="O28" l="1"/>
  <c r="O30" s="1"/>
  <c r="L10" l="1"/>
  <c r="K10"/>
  <c r="J10"/>
  <c r="I10"/>
  <c r="H10"/>
  <c r="G10"/>
  <c r="M8"/>
  <c r="N8" s="1"/>
  <c r="N10" l="1"/>
  <c r="O8"/>
  <c r="O10" s="1"/>
  <c r="M10"/>
</calcChain>
</file>

<file path=xl/sharedStrings.xml><?xml version="1.0" encoding="utf-8"?>
<sst xmlns="http://schemas.openxmlformats.org/spreadsheetml/2006/main" count="7542" uniqueCount="1013">
  <si>
    <t>KOPERASI KARYAWAN BCA MITRA SEJAHTERA</t>
  </si>
  <si>
    <t xml:space="preserve"> </t>
  </si>
  <si>
    <t xml:space="preserve">NIP </t>
  </si>
  <si>
    <t>TGL</t>
  </si>
  <si>
    <t>NO. REK</t>
  </si>
  <si>
    <t>PELUNASAN</t>
  </si>
  <si>
    <t>BUNGA</t>
  </si>
  <si>
    <t>PENALTY 2.5%</t>
  </si>
  <si>
    <t>TRANSFER</t>
  </si>
  <si>
    <t>PLAFON</t>
  </si>
  <si>
    <t>CABANG</t>
  </si>
  <si>
    <t xml:space="preserve">PINJAMAN </t>
  </si>
  <si>
    <t>PINJAMAN</t>
  </si>
  <si>
    <t>KE KOPERASI</t>
  </si>
  <si>
    <t>KE KARYAWAN</t>
  </si>
  <si>
    <t>DIATAS MAX</t>
  </si>
  <si>
    <t>M. Arief Kaprawi</t>
  </si>
  <si>
    <t>Ketua Koperasi</t>
  </si>
  <si>
    <t xml:space="preserve"> PELUNASAN </t>
  </si>
  <si>
    <t xml:space="preserve">DARI </t>
  </si>
  <si>
    <t>Kabag Simpan Pinjam</t>
  </si>
  <si>
    <t>BY ADM</t>
  </si>
  <si>
    <t>DL NORM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</si>
  <si>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</si>
  <si>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</si>
  <si>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</si>
  <si>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Menyetujui,</t>
  </si>
  <si>
    <t>Isparina T</t>
  </si>
  <si>
    <t>Pemeriksa,</t>
  </si>
  <si>
    <t>BY PROVISI 1%</t>
  </si>
  <si>
    <t>Wina Saraswati</t>
  </si>
  <si>
    <t xml:space="preserve">Staf Simpan Pinjam </t>
  </si>
  <si>
    <t xml:space="preserve">Pembuat, </t>
  </si>
  <si>
    <t>KET</t>
  </si>
  <si>
    <t>NO. FORM</t>
  </si>
  <si>
    <t>BERJALAN</t>
  </si>
  <si>
    <t>HENY RUSDIANA</t>
  </si>
  <si>
    <t>975392</t>
  </si>
  <si>
    <t>7900000060</t>
  </si>
  <si>
    <t>LOG KW3</t>
  </si>
  <si>
    <t>TAMB</t>
  </si>
  <si>
    <t>DILUAR NORM</t>
  </si>
  <si>
    <t>NORMATIF</t>
  </si>
  <si>
    <t>REALISASI PINJAMAN DILUAR NORMATIF TGL 02 JANUARI 2018</t>
  </si>
  <si>
    <t>002207</t>
  </si>
  <si>
    <t>Surabaya, 02 JANUARI 2018</t>
  </si>
  <si>
    <t>REALISASI PINJAMAN DILUAR NORMATIF TGL 04 JANUARI 2018</t>
  </si>
  <si>
    <t>ANUGERAHWATI PUJI</t>
  </si>
  <si>
    <t>980801</t>
  </si>
  <si>
    <t>002115</t>
  </si>
  <si>
    <t>3422445533</t>
  </si>
  <si>
    <t>PIKW KW3</t>
  </si>
  <si>
    <t>RECOV</t>
  </si>
  <si>
    <t>Surabaya, 04 JANUARI 2018</t>
  </si>
  <si>
    <t>TJATUR IDA HARIYATI</t>
  </si>
  <si>
    <t>973171</t>
  </si>
  <si>
    <t>001967</t>
  </si>
  <si>
    <t>7880060079</t>
  </si>
  <si>
    <t>DLN</t>
  </si>
  <si>
    <t>KCU GALAXY</t>
  </si>
  <si>
    <t>REALISASI PINJAMAN DILUAR NORMATIF TGL 05 JANUARI 2018</t>
  </si>
  <si>
    <t>Surabaya, 05 JANUARI 2018</t>
  </si>
  <si>
    <t>batal mintanya 2,650,000,- transaksi tgl 05 jan 2018</t>
  </si>
  <si>
    <t>ENDANG INDERA</t>
  </si>
  <si>
    <t>963653</t>
  </si>
  <si>
    <t>002120</t>
  </si>
  <si>
    <t>0100304643</t>
  </si>
  <si>
    <t>KCP MARGOMULYO</t>
  </si>
  <si>
    <t>REALISASI PINJAMAN DILUAR NORMATIF TGL 09 JANUARI 2018</t>
  </si>
  <si>
    <t>TRI MAULANA D</t>
  </si>
  <si>
    <t>899557</t>
  </si>
  <si>
    <t>002141</t>
  </si>
  <si>
    <t>2131039150</t>
  </si>
  <si>
    <t>KCU HRM</t>
  </si>
  <si>
    <t>TAMBAHAN</t>
  </si>
  <si>
    <t>Surabaya, 09 JANUARI 2018</t>
  </si>
  <si>
    <t>REALISASI PINJAMAN DILUAR NORMATIF TGL 10 JANUARI 2018</t>
  </si>
  <si>
    <t>MARDJUKI</t>
  </si>
  <si>
    <t>962069</t>
  </si>
  <si>
    <t>001886</t>
  </si>
  <si>
    <t>8290121141</t>
  </si>
  <si>
    <t>BARANG</t>
  </si>
  <si>
    <t>Surabaya, 10 JANUARI 2018</t>
  </si>
  <si>
    <t>RECOVERY</t>
  </si>
  <si>
    <t>REALISASI PINJAMAN DILUAR NORMATIF TGL 11 JANUARI 2018</t>
  </si>
  <si>
    <t>SUGIJARTO</t>
  </si>
  <si>
    <t>913375</t>
  </si>
  <si>
    <t>002173</t>
  </si>
  <si>
    <t>0101139386</t>
  </si>
  <si>
    <t>Surabaya, 11 JANUARI 2018</t>
  </si>
  <si>
    <t>NORM</t>
  </si>
  <si>
    <t/>
  </si>
  <si>
    <t>WANDA PUSPITASARI</t>
  </si>
  <si>
    <t>063324</t>
  </si>
  <si>
    <t>002256</t>
  </si>
  <si>
    <t>1880423017</t>
  </si>
  <si>
    <t>KCU DIPONEGORO</t>
  </si>
  <si>
    <t>REALISASI PINJAMAN DL NORMATIF TGL 12 JANUARI 2018</t>
  </si>
  <si>
    <t>Surabaya, 12 JANUARI 2018</t>
  </si>
  <si>
    <t>ini yang ke dua yang pertam tgl 11 jan 2018 total 35jt</t>
  </si>
  <si>
    <t>REALISASI PINJAMAN DILUAR NORMATIF TGL 19 JANUARI 2018</t>
  </si>
  <si>
    <t>ENDARTO</t>
  </si>
  <si>
    <t>896621</t>
  </si>
  <si>
    <t>002557</t>
  </si>
  <si>
    <t>0101142271</t>
  </si>
  <si>
    <t>Surabaya, 19 JANUARI 2018</t>
  </si>
  <si>
    <t>BATAS PRINT</t>
  </si>
  <si>
    <t>REALISASI PINJAMAN DILUAR NORMATIF TGL 25 JANUARI 2018</t>
  </si>
  <si>
    <t>ANTO PRIYO M</t>
  </si>
  <si>
    <t>912127</t>
  </si>
  <si>
    <t>008135</t>
  </si>
  <si>
    <t>1130509882</t>
  </si>
  <si>
    <t>KCU JOMBANG</t>
  </si>
  <si>
    <t>FIFY SOEHENDRA</t>
  </si>
  <si>
    <t>974040</t>
  </si>
  <si>
    <t>002053</t>
  </si>
  <si>
    <t>1010688368</t>
  </si>
  <si>
    <t>KCP SEMUT</t>
  </si>
  <si>
    <t>Surabaya, 25 JANUARI 2018</t>
  </si>
  <si>
    <t>REALISASI PINJAMAN DILUAR NORMATIF TGL 30 JANUARI 2018</t>
  </si>
  <si>
    <t>YOPIE KOLOSIES</t>
  </si>
  <si>
    <t>962810</t>
  </si>
  <si>
    <t>001909</t>
  </si>
  <si>
    <t>2581422204</t>
  </si>
  <si>
    <t>SOY KW3</t>
  </si>
  <si>
    <t>RIFAI</t>
  </si>
  <si>
    <t>913373</t>
  </si>
  <si>
    <t>002329</t>
  </si>
  <si>
    <t>8290107408</t>
  </si>
  <si>
    <t>Surabaya, 30 JANUARI 2018</t>
  </si>
  <si>
    <t>MARZUKI</t>
  </si>
  <si>
    <t>897091</t>
  </si>
  <si>
    <t>002328</t>
  </si>
  <si>
    <t>0101093858</t>
  </si>
  <si>
    <t>KCU VETERAN</t>
  </si>
  <si>
    <t>REALISASI PINJAMAN DILUAR NORMATIF TGL 01 FEBRUARI 2018</t>
  </si>
  <si>
    <t>HESTI DWI A</t>
  </si>
  <si>
    <t>010464</t>
  </si>
  <si>
    <t>009976</t>
  </si>
  <si>
    <t>2560134200</t>
  </si>
  <si>
    <t>Surabaya, 01 FEBRUARI 2018</t>
  </si>
  <si>
    <t>REALISASI PINJAMAN DILUAR NORMATIF TGL 02 FEBRUARI 2018</t>
  </si>
  <si>
    <t>CHIN BUI LIONG</t>
  </si>
  <si>
    <t>972647</t>
  </si>
  <si>
    <t>009484</t>
  </si>
  <si>
    <t>0880765574</t>
  </si>
  <si>
    <t>KCP PONDOK CHANDRA</t>
  </si>
  <si>
    <t>Surabaya, 02 FEBRUARI 2018</t>
  </si>
  <si>
    <t>REALISASI PINJAMAN DILUAR NORMATIF TGL 05 FEBRUARI 2018</t>
  </si>
  <si>
    <t>SUWARNO ARIFIN</t>
  </si>
  <si>
    <t>970748</t>
  </si>
  <si>
    <t>002572</t>
  </si>
  <si>
    <t>4686500870</t>
  </si>
  <si>
    <t>PEMB KW3</t>
  </si>
  <si>
    <t>Surabaya, 05 FEBRUARI 2018</t>
  </si>
  <si>
    <t>YOHANES ANDI S</t>
  </si>
  <si>
    <t>914072</t>
  </si>
  <si>
    <t>002348</t>
  </si>
  <si>
    <t>0641001456</t>
  </si>
  <si>
    <t>KCU DARMO</t>
  </si>
  <si>
    <t>REALISASI PINJAMAN DILUAR NORMATIF TGL 09 FEBRUARI 2018</t>
  </si>
  <si>
    <t>DJOKO PRIYO U</t>
  </si>
  <si>
    <t>900257</t>
  </si>
  <si>
    <t>010267</t>
  </si>
  <si>
    <t>2160032076</t>
  </si>
  <si>
    <t>KHUSUS</t>
  </si>
  <si>
    <t>KCU RUNGKUT</t>
  </si>
  <si>
    <t>Surabaya, 09 FEBRUARI 2018</t>
  </si>
  <si>
    <t>MUKAFFI</t>
  </si>
  <si>
    <t>922012</t>
  </si>
  <si>
    <t>002013</t>
  </si>
  <si>
    <t>2581422336</t>
  </si>
  <si>
    <t>M DADANG PRIJONGGO</t>
  </si>
  <si>
    <t>912806</t>
  </si>
  <si>
    <t>009249</t>
  </si>
  <si>
    <t>2581422662</t>
  </si>
  <si>
    <t>KK KEDUNGDORO</t>
  </si>
  <si>
    <t>KRISTINA DWI MAYA</t>
  </si>
  <si>
    <t>973274</t>
  </si>
  <si>
    <t>002195</t>
  </si>
  <si>
    <t>7880065151</t>
  </si>
  <si>
    <t>KCP KLAMPIS</t>
  </si>
  <si>
    <t>SRI UNTARI</t>
  </si>
  <si>
    <t>911201</t>
  </si>
  <si>
    <t>002268</t>
  </si>
  <si>
    <t>7880060109</t>
  </si>
  <si>
    <t>Surabaya, 23 FEBRUARI 2018</t>
  </si>
  <si>
    <t>REALISASI PINJAMAN DILUAR NORMATIF TGL 23 FEBRUARI 2018</t>
  </si>
  <si>
    <t>REALISASI PINJAMAN DILUAR NORMATIF TGL 26 FEBRUARI 2018</t>
  </si>
  <si>
    <t>MULYADI</t>
  </si>
  <si>
    <t>911814</t>
  </si>
  <si>
    <t>002458</t>
  </si>
  <si>
    <t>SLK KW3</t>
  </si>
  <si>
    <t>1020331883</t>
  </si>
  <si>
    <t>Surabaya, 26 FEBRUARI 2018</t>
  </si>
  <si>
    <t>KUSWANDI</t>
  </si>
  <si>
    <t>900835</t>
  </si>
  <si>
    <t>002349</t>
  </si>
  <si>
    <t>1520295409</t>
  </si>
  <si>
    <t>ANGG LUAR BIASA</t>
  </si>
  <si>
    <t>REALISASI PINJAMAN DILUAR NORMATIF TGL 27 FEBRUARI 2018</t>
  </si>
  <si>
    <t>IRA WAHYU H</t>
  </si>
  <si>
    <t>951559</t>
  </si>
  <si>
    <t>002410</t>
  </si>
  <si>
    <t>0640411970</t>
  </si>
  <si>
    <t>KCP NGAGEL JAYA</t>
  </si>
  <si>
    <t>Surabaya, 27 FEBRUARI 2018</t>
  </si>
  <si>
    <t>ANDIKA PANGESTU</t>
  </si>
  <si>
    <t>960951</t>
  </si>
  <si>
    <t>002451</t>
  </si>
  <si>
    <t>8290107271</t>
  </si>
  <si>
    <t>ELYANY</t>
  </si>
  <si>
    <t>898345</t>
  </si>
  <si>
    <t>002370</t>
  </si>
  <si>
    <t>2151035151</t>
  </si>
  <si>
    <t>KCP MEGA GROSIR</t>
  </si>
  <si>
    <t>IRA SHANTY</t>
  </si>
  <si>
    <t>975044</t>
  </si>
  <si>
    <t>009431</t>
  </si>
  <si>
    <t>0100358191</t>
  </si>
  <si>
    <t>KVU VETERAN</t>
  </si>
  <si>
    <t>REALISASI PINJAMAN DILUAR NORMATIF TGL 02 MARET 2018</t>
  </si>
  <si>
    <t>Surabaya, 02 MARET 2018</t>
  </si>
  <si>
    <t>MARGARETHA HENNY K</t>
  </si>
  <si>
    <t>971772</t>
  </si>
  <si>
    <t>002032</t>
  </si>
  <si>
    <t>5090001835</t>
  </si>
  <si>
    <t>KCP RUNGKUT MAPAN</t>
  </si>
  <si>
    <t>REALISASI PINJAMAN DILUAR NORMATIF TGL 06 MARET 2018</t>
  </si>
  <si>
    <t>002480</t>
  </si>
  <si>
    <t>Surabaya, 06 MARET 2018</t>
  </si>
  <si>
    <t>HENDRA</t>
  </si>
  <si>
    <t>960196</t>
  </si>
  <si>
    <t>002488</t>
  </si>
  <si>
    <t>1870360378</t>
  </si>
  <si>
    <t>KCU INDRAPURA</t>
  </si>
  <si>
    <t>EKA NURHAYATI</t>
  </si>
  <si>
    <t>885249</t>
  </si>
  <si>
    <t>002485</t>
  </si>
  <si>
    <t>0880420640</t>
  </si>
  <si>
    <t>KCP KUSUMA BANGSA</t>
  </si>
  <si>
    <t>REALISASI PINJAMAN DILUAR NORMATIF TGL 07 MARET 2018</t>
  </si>
  <si>
    <t>CHOIRIYA CHRISDIANI</t>
  </si>
  <si>
    <t>975298</t>
  </si>
  <si>
    <t>002402</t>
  </si>
  <si>
    <t>7880017173</t>
  </si>
  <si>
    <t>KCP BABATAN PANTAI</t>
  </si>
  <si>
    <t>SETYO WIDARTI</t>
  </si>
  <si>
    <t>921694</t>
  </si>
  <si>
    <t>002450</t>
  </si>
  <si>
    <t>1071046341</t>
  </si>
  <si>
    <t>Surabaya, 07 MARET 2018</t>
  </si>
  <si>
    <t>REALISASI PINJAMAN DILUAR NORMATIF TGL 08 MARET 2018</t>
  </si>
  <si>
    <t>ANA REKASARI</t>
  </si>
  <si>
    <t>970337</t>
  </si>
  <si>
    <t>002196</t>
  </si>
  <si>
    <t>0101227200</t>
  </si>
  <si>
    <t>Surabaya, 08 MARET 2018</t>
  </si>
  <si>
    <t>REALISASI PINJAMAN DILUAR NORMATIF TGL 12 MARET 2018</t>
  </si>
  <si>
    <t xml:space="preserve">VERONICA LINDA </t>
  </si>
  <si>
    <t>974032</t>
  </si>
  <si>
    <t>007711</t>
  </si>
  <si>
    <t>4681121808</t>
  </si>
  <si>
    <t>BO INDRAPURA</t>
  </si>
  <si>
    <t>Surabaya, 12 MARET 2018</t>
  </si>
  <si>
    <t>REALISASI PINJAMAN DILUAR NORMATIF TGL 14 MARET 2018</t>
  </si>
  <si>
    <t>GERADINA ROSA</t>
  </si>
  <si>
    <t>005979</t>
  </si>
  <si>
    <t>001434</t>
  </si>
  <si>
    <t>8290109621</t>
  </si>
  <si>
    <t>KCP SUNGKONO</t>
  </si>
  <si>
    <t>Surabaya, 14 MARET 2018</t>
  </si>
  <si>
    <t>JONY YACUBUS</t>
  </si>
  <si>
    <t>970677</t>
  </si>
  <si>
    <t>002603</t>
  </si>
  <si>
    <t>4681127288</t>
  </si>
  <si>
    <t>REALISASI PINJAMAN DILUAR NORMATIF TGL 23 MARET 2018</t>
  </si>
  <si>
    <t>SURJONO</t>
  </si>
  <si>
    <t>898840</t>
  </si>
  <si>
    <t>002651</t>
  </si>
  <si>
    <t>2581427711</t>
  </si>
  <si>
    <t>Surabaya, 23 MARET 2018</t>
  </si>
  <si>
    <t>FENNY JOHAN MULYONO</t>
  </si>
  <si>
    <t>910353</t>
  </si>
  <si>
    <t>002461</t>
  </si>
  <si>
    <t>1921043487</t>
  </si>
  <si>
    <t>KCP PAMEKASAN</t>
  </si>
  <si>
    <t>KCP DELTA PLAZA</t>
  </si>
  <si>
    <t>RONY OWEN DINATA</t>
  </si>
  <si>
    <t>911099</t>
  </si>
  <si>
    <t>002414</t>
  </si>
  <si>
    <t>0884880889</t>
  </si>
  <si>
    <t>KCU SIDOARJO</t>
  </si>
  <si>
    <t>REALISASI PINJAMAN DILUAR NORMATIF TGL 26 MARET 2018</t>
  </si>
  <si>
    <t>Surabaya, 26 MARET 2018</t>
  </si>
  <si>
    <t>SUPARIADJI</t>
  </si>
  <si>
    <t>853365</t>
  </si>
  <si>
    <t>002505</t>
  </si>
  <si>
    <t>0180793500</t>
  </si>
  <si>
    <t>WAKHIDAH N</t>
  </si>
  <si>
    <t>902248</t>
  </si>
  <si>
    <t>002668</t>
  </si>
  <si>
    <t>0101137618</t>
  </si>
  <si>
    <t>CAHYANINGTYAS</t>
  </si>
  <si>
    <t>973149</t>
  </si>
  <si>
    <t>010057</t>
  </si>
  <si>
    <t>0180699996</t>
  </si>
  <si>
    <t>ISPARINA T</t>
  </si>
  <si>
    <t>040310</t>
  </si>
  <si>
    <t>002670</t>
  </si>
  <si>
    <t>0885186641</t>
  </si>
  <si>
    <t xml:space="preserve"> DL NORM</t>
  </si>
  <si>
    <t>KOMITSE</t>
  </si>
  <si>
    <t>REALISASI PINJAMAN DILUAR NORMATIF TGL 27 MARET 2018</t>
  </si>
  <si>
    <t>ROBBY SETIAWAN</t>
  </si>
  <si>
    <t>899085</t>
  </si>
  <si>
    <t>002365</t>
  </si>
  <si>
    <t>0881212080</t>
  </si>
  <si>
    <t>Surabaya, 27 MARET 2018</t>
  </si>
  <si>
    <t>REALISASI PINJAMAN DILUAR NORMATIF TGL 28 MARET 2018</t>
  </si>
  <si>
    <t>OCTAVIANUS JWS</t>
  </si>
  <si>
    <t>963685</t>
  </si>
  <si>
    <t>002375</t>
  </si>
  <si>
    <t>1881500600</t>
  </si>
  <si>
    <t>Surabaya, 28 MARET 2018</t>
  </si>
  <si>
    <t>REALISASI PINJAMAN DILUAR NORMATIF TGL 13 APRIL 2018</t>
  </si>
  <si>
    <t>RUDI HANDOKO</t>
  </si>
  <si>
    <t>977398</t>
  </si>
  <si>
    <t>002662</t>
  </si>
  <si>
    <t>1880310000</t>
  </si>
  <si>
    <t>Surabaya, 13 APRIL 2018</t>
  </si>
  <si>
    <t>DIJAH RUKMINI</t>
  </si>
  <si>
    <t>920413</t>
  </si>
  <si>
    <t>002685</t>
  </si>
  <si>
    <t>0881079151</t>
  </si>
  <si>
    <t>DLNORM</t>
  </si>
  <si>
    <t>REALISASI PINJAMAN DILUAR NORMATIF TGL 25 APRIL 2018</t>
  </si>
  <si>
    <t>-</t>
  </si>
  <si>
    <t>RESCEDULE</t>
  </si>
  <si>
    <t>INDIASWARI P</t>
  </si>
  <si>
    <t>896948</t>
  </si>
  <si>
    <t>002729</t>
  </si>
  <si>
    <t>KCP JAGALAN</t>
  </si>
  <si>
    <t>ATING RUKIYATI</t>
  </si>
  <si>
    <t>899458</t>
  </si>
  <si>
    <t>002492</t>
  </si>
  <si>
    <t>KCP MANYAR</t>
  </si>
  <si>
    <t>002679</t>
  </si>
  <si>
    <t>Surabaya, 25 APRIL 2018</t>
  </si>
  <si>
    <t>FRANSISCA MARIANI</t>
  </si>
  <si>
    <t>971751</t>
  </si>
  <si>
    <t>002706</t>
  </si>
  <si>
    <t>7880064244</t>
  </si>
  <si>
    <t>MULYONO</t>
  </si>
  <si>
    <t>901148</t>
  </si>
  <si>
    <t>002728</t>
  </si>
  <si>
    <t>0881079240</t>
  </si>
  <si>
    <t>SUHARTONO</t>
  </si>
  <si>
    <t>890031</t>
  </si>
  <si>
    <t>010603</t>
  </si>
  <si>
    <t>0361046993</t>
  </si>
  <si>
    <t>UPPA KW3</t>
  </si>
  <si>
    <t>JUNITA REBIKA</t>
  </si>
  <si>
    <t>970654</t>
  </si>
  <si>
    <t>002600</t>
  </si>
  <si>
    <t>0881074914</t>
  </si>
  <si>
    <t xml:space="preserve">NORM </t>
  </si>
  <si>
    <t xml:space="preserve">DL NORM </t>
  </si>
  <si>
    <t>RAGA TAUFANI</t>
  </si>
  <si>
    <t>050958</t>
  </si>
  <si>
    <t>002135</t>
  </si>
  <si>
    <t>2150227766</t>
  </si>
  <si>
    <t>REALISASI PINJAMAN DILUAR NORMATIF TGL 30 APRIL 2018</t>
  </si>
  <si>
    <t>OEKIK DHIAN D</t>
  </si>
  <si>
    <t>898830</t>
  </si>
  <si>
    <t>002596</t>
  </si>
  <si>
    <t>0101710644</t>
  </si>
  <si>
    <t>Surabaya, 30 APRIL 2018</t>
  </si>
  <si>
    <t>REALISASI PINJAMAN DILUAR NORMATIF TGL 02 MEI 2018</t>
  </si>
  <si>
    <t>MUJIANA</t>
  </si>
  <si>
    <t>921870</t>
  </si>
  <si>
    <t>002686</t>
  </si>
  <si>
    <t>BNS APRIL 2018</t>
  </si>
  <si>
    <t>KURANG KP</t>
  </si>
  <si>
    <t>ANGS DLN</t>
  </si>
  <si>
    <t>KFCC KW3</t>
  </si>
  <si>
    <t>Surabaya, 02 MEI 2018</t>
  </si>
  <si>
    <t>CICIL 36 BLN</t>
  </si>
  <si>
    <t>REALISASI PINJAMAN DILUAR NORMATIF TGL 03 MEI 2018</t>
  </si>
  <si>
    <t>SUGITO HARI S</t>
  </si>
  <si>
    <t>903076</t>
  </si>
  <si>
    <t>010838</t>
  </si>
  <si>
    <t>0101138673</t>
  </si>
  <si>
    <t>SLA KW3</t>
  </si>
  <si>
    <t>Surabaya, 03 MEI 2018</t>
  </si>
  <si>
    <t>REALISASI PINJAMAN DILUAR NORMATIF TGL 04 MEI 2018</t>
  </si>
  <si>
    <t>MOEDJI SANTOSO</t>
  </si>
  <si>
    <t>912769</t>
  </si>
  <si>
    <t>002347</t>
  </si>
  <si>
    <t>1500471006</t>
  </si>
  <si>
    <t>KCP SUNCITY</t>
  </si>
  <si>
    <t>Surabaya, 04 MEI 2018</t>
  </si>
  <si>
    <t>LISTIJOWATI SUTANTO</t>
  </si>
  <si>
    <t>912822</t>
  </si>
  <si>
    <t>002113</t>
  </si>
  <si>
    <t>2580909909</t>
  </si>
  <si>
    <t>TONY CH.Y TOWOLIU</t>
  </si>
  <si>
    <t>974069</t>
  </si>
  <si>
    <t>011011</t>
  </si>
  <si>
    <t>DL NORMATIF</t>
  </si>
  <si>
    <t>HI KW3</t>
  </si>
  <si>
    <t>REALISASI PINJAMAN DILUAR NORMATIF TGL 07 MEI 2018</t>
  </si>
  <si>
    <t>PRIANTONO S</t>
  </si>
  <si>
    <t>900781</t>
  </si>
  <si>
    <t>010481</t>
  </si>
  <si>
    <t>8290048088</t>
  </si>
  <si>
    <t xml:space="preserve">CICIL 24 BULAN </t>
  </si>
  <si>
    <t>HIW KW3</t>
  </si>
  <si>
    <t>Surabaya, 07 MEI 2018</t>
  </si>
  <si>
    <t>SONY SUMARSONO</t>
  </si>
  <si>
    <t>913433</t>
  </si>
  <si>
    <t>010270</t>
  </si>
  <si>
    <t>REALISASI PINJAMAN DILUAR NORMATIF TGL 08 MEI 2018</t>
  </si>
  <si>
    <t>0181068301</t>
  </si>
  <si>
    <t>Surabaya, 08 MEI 2018</t>
  </si>
  <si>
    <t>PRAYITNO</t>
  </si>
  <si>
    <t>899519</t>
  </si>
  <si>
    <t>002133</t>
  </si>
  <si>
    <t>1879667788</t>
  </si>
  <si>
    <t>KCP PERAK BARAT</t>
  </si>
  <si>
    <t>REALISASI PINJAMAN DILUAR NORMATIF TGL 11 MEI 2018</t>
  </si>
  <si>
    <t>010566</t>
  </si>
  <si>
    <t>Surabaya, 11 MEI 2018</t>
  </si>
  <si>
    <t>SUSMINI</t>
  </si>
  <si>
    <t>981059</t>
  </si>
  <si>
    <t>010794</t>
  </si>
  <si>
    <t>0884005970</t>
  </si>
  <si>
    <t>KCP KENJERAN</t>
  </si>
  <si>
    <t>NURUL MUKARROMAH</t>
  </si>
  <si>
    <t>902790</t>
  </si>
  <si>
    <t>002422</t>
  </si>
  <si>
    <t>KK PAGERWOJO</t>
  </si>
  <si>
    <t>CICIL 36 BULAN</t>
  </si>
  <si>
    <t>REALISASI PINJAMAN DILUAR NORMATIF TGL 14 MEI 2018</t>
  </si>
  <si>
    <t>011060</t>
  </si>
  <si>
    <t xml:space="preserve">GAGAL DEBET </t>
  </si>
  <si>
    <t xml:space="preserve">PIJ POT BNS APRIL </t>
  </si>
  <si>
    <t>2018 NORM</t>
  </si>
  <si>
    <t>Surabaya, 14 MEI 2018</t>
  </si>
  <si>
    <t>SRIJANI ISMULANDARI</t>
  </si>
  <si>
    <t>962203</t>
  </si>
  <si>
    <t>002486</t>
  </si>
  <si>
    <t>4681084848</t>
  </si>
  <si>
    <t>KK PGS</t>
  </si>
  <si>
    <t>DAVID LAMONGI</t>
  </si>
  <si>
    <t>975130</t>
  </si>
  <si>
    <t>011057</t>
  </si>
  <si>
    <t>GAGAL DEBET</t>
  </si>
  <si>
    <t>DENDA</t>
  </si>
  <si>
    <t>BNS APRIL</t>
  </si>
  <si>
    <t>2018</t>
  </si>
  <si>
    <t>ARDY MAWAR W</t>
  </si>
  <si>
    <t>904110</t>
  </si>
  <si>
    <t>010611</t>
  </si>
  <si>
    <t>0180864865</t>
  </si>
  <si>
    <t>GANDJAR WIDHI</t>
  </si>
  <si>
    <t>900842</t>
  </si>
  <si>
    <t>002653</t>
  </si>
  <si>
    <t>7880062080</t>
  </si>
  <si>
    <t>SIFERA TRISMINARTI</t>
  </si>
  <si>
    <t>010424</t>
  </si>
  <si>
    <t>011003</t>
  </si>
  <si>
    <t>4681157250</t>
  </si>
  <si>
    <t>002720</t>
  </si>
  <si>
    <t>1888855555</t>
  </si>
  <si>
    <t>REALISASI PINJAMAN DILUAR NORMATIF TGL 15 MEI 2018</t>
  </si>
  <si>
    <t>Surabaya, 15 MEI 2018</t>
  </si>
  <si>
    <t>AKINA LANNY S</t>
  </si>
  <si>
    <t>911195</t>
  </si>
  <si>
    <t>011055</t>
  </si>
  <si>
    <t>RIYANTI WULANDARI</t>
  </si>
  <si>
    <t>973200</t>
  </si>
  <si>
    <t>011004</t>
  </si>
  <si>
    <t>8290149798</t>
  </si>
  <si>
    <t>M YUSUF</t>
  </si>
  <si>
    <t>912195</t>
  </si>
  <si>
    <t>010847</t>
  </si>
  <si>
    <t>8290931119</t>
  </si>
  <si>
    <t>KCP DIT</t>
  </si>
  <si>
    <t>DYAH MIRNA ISWARI</t>
  </si>
  <si>
    <t>960953</t>
  </si>
  <si>
    <t>002428</t>
  </si>
  <si>
    <t>0180123318</t>
  </si>
  <si>
    <t>REALISASI PINJAMAN DILUAR NORMATIF TGL 16 MEI 2018</t>
  </si>
  <si>
    <t>MOCH SUUDI</t>
  </si>
  <si>
    <t>913918</t>
  </si>
  <si>
    <t>002664</t>
  </si>
  <si>
    <t>0181195257</t>
  </si>
  <si>
    <t>Surabaya, 16 MEI 2018</t>
  </si>
  <si>
    <t>SUDARMAWAN</t>
  </si>
  <si>
    <t>921354</t>
  </si>
  <si>
    <t>002665</t>
  </si>
  <si>
    <t>3251073595</t>
  </si>
  <si>
    <t>AGUS PURWANTO</t>
  </si>
  <si>
    <t>912784</t>
  </si>
  <si>
    <t>001902</t>
  </si>
  <si>
    <t>6170391177</t>
  </si>
  <si>
    <t>KK MANUKAN</t>
  </si>
  <si>
    <t>REALISASI PINJAMAN DILUAR NORMATIF TGL 17 MEI 2018</t>
  </si>
  <si>
    <t>EFIE LINDA JANI</t>
  </si>
  <si>
    <t>973211</t>
  </si>
  <si>
    <t>001713</t>
  </si>
  <si>
    <t>7250026565</t>
  </si>
  <si>
    <t>Surabaya, 17 MEI 2018</t>
  </si>
  <si>
    <t>RUDI KURNIAWAN</t>
  </si>
  <si>
    <t>973908</t>
  </si>
  <si>
    <t>011058</t>
  </si>
  <si>
    <t>GGL DBT</t>
  </si>
  <si>
    <t>KCP PERAK TIMUR</t>
  </si>
  <si>
    <t>MEMPERKECIL</t>
  </si>
  <si>
    <t>ANGSURAN</t>
  </si>
  <si>
    <t>REALISASI PINJAMAN DILUAR NORMATIF TGL 18 MEI 2018</t>
  </si>
  <si>
    <t>011006</t>
  </si>
  <si>
    <t>Surabaya, 18 MEI 2018</t>
  </si>
  <si>
    <t>MOCH ARIEF KAPRAWI</t>
  </si>
  <si>
    <t>901149</t>
  </si>
  <si>
    <t>011025</t>
  </si>
  <si>
    <t xml:space="preserve"> PEL PINJ KHUSUS </t>
  </si>
  <si>
    <t>A/N. M YOSI FIDAL</t>
  </si>
  <si>
    <t>NIP: 960690</t>
  </si>
  <si>
    <t>SRI NURUL H</t>
  </si>
  <si>
    <t>910050</t>
  </si>
  <si>
    <t>002145</t>
  </si>
  <si>
    <t>REALISASI PINJAMAN DILUAR NORMATIF TGL 25 MEI 2018</t>
  </si>
  <si>
    <t>MENG SENG</t>
  </si>
  <si>
    <t>973683</t>
  </si>
  <si>
    <t>010832</t>
  </si>
  <si>
    <t>BAMBANG KURNIAWAN</t>
  </si>
  <si>
    <t>898803</t>
  </si>
  <si>
    <t>011001</t>
  </si>
  <si>
    <t xml:space="preserve"> PEL </t>
  </si>
  <si>
    <t xml:space="preserve">PINJ KHUSUS </t>
  </si>
  <si>
    <t>KCP NGORO</t>
  </si>
  <si>
    <t>Surabaya, 25 MEI 2018</t>
  </si>
  <si>
    <t>PENALTY 1.5%</t>
  </si>
  <si>
    <t>ATM KW3</t>
  </si>
  <si>
    <t>R AGUS CHAIRUL Y</t>
  </si>
  <si>
    <t>912004</t>
  </si>
  <si>
    <t>002660</t>
  </si>
  <si>
    <t>2580729994</t>
  </si>
  <si>
    <t>KCP KEDUNGDORO</t>
  </si>
  <si>
    <t>TRI WIBOWO</t>
  </si>
  <si>
    <t>912202</t>
  </si>
  <si>
    <t>002118</t>
  </si>
  <si>
    <t>7880044910</t>
  </si>
  <si>
    <t>KCP KAPAS KRAMPUNG</t>
  </si>
  <si>
    <t>JAHRONI</t>
  </si>
  <si>
    <t>902097</t>
  </si>
  <si>
    <t>010831</t>
  </si>
  <si>
    <t>2560021090</t>
  </si>
  <si>
    <t>IRIANTI SRIASTUTI</t>
  </si>
  <si>
    <t>897725</t>
  </si>
  <si>
    <t>011059</t>
  </si>
  <si>
    <t>0360208966</t>
  </si>
  <si>
    <t>KCP PASAR ATUM</t>
  </si>
  <si>
    <t>SUKAMTO</t>
  </si>
  <si>
    <t>910552</t>
  </si>
  <si>
    <t>010608</t>
  </si>
  <si>
    <t>0181195931</t>
  </si>
  <si>
    <t>HENRY SETYO</t>
  </si>
  <si>
    <t>911094</t>
  </si>
  <si>
    <t>011127</t>
  </si>
  <si>
    <t>6710099993</t>
  </si>
  <si>
    <t>KCP JUANDA</t>
  </si>
  <si>
    <t>REALISASI PINJAMAN DILUAR NORMATIF TGL 28 MEI 2018</t>
  </si>
  <si>
    <t>AMAN SUNARYO</t>
  </si>
  <si>
    <t>896468</t>
  </si>
  <si>
    <t>001282</t>
  </si>
  <si>
    <t>0101173797</t>
  </si>
  <si>
    <t>011019</t>
  </si>
  <si>
    <t>VERY MARDA J</t>
  </si>
  <si>
    <t>973845</t>
  </si>
  <si>
    <t>001969</t>
  </si>
  <si>
    <t>0880429957</t>
  </si>
  <si>
    <t>ADM KREDIT KW3</t>
  </si>
  <si>
    <t>DWI AGUSTIN S</t>
  </si>
  <si>
    <t>963963</t>
  </si>
  <si>
    <t>002487</t>
  </si>
  <si>
    <t>1300131863</t>
  </si>
  <si>
    <t>KCP KERTAJAYA INDAH</t>
  </si>
  <si>
    <t>Surabaya, 28 MEI 2018</t>
  </si>
  <si>
    <t>FINDRA TANSJAH</t>
  </si>
  <si>
    <t>903080</t>
  </si>
  <si>
    <t>010623</t>
  </si>
  <si>
    <t>2131028000</t>
  </si>
  <si>
    <t>011270</t>
  </si>
  <si>
    <t>CICILAN 24 BULAN</t>
  </si>
  <si>
    <t>Potong Bonus-bonus untuk per tahun sebesar Rp. 4,000,000,- dengan rincian :</t>
  </si>
  <si>
    <t>- Potong April dimulai 2019 s/d…….. = Rp. 4,000,000,-</t>
  </si>
  <si>
    <t>- Potong THR dimulai 2019 s/d……..   = Rp. 0,-</t>
  </si>
  <si>
    <t>- Potong TAT dimulai 2018 s/d……...  = Rp. 0,-</t>
  </si>
  <si>
    <t>format jangan di pakai 1,5%</t>
  </si>
  <si>
    <t>REALISASI PINJAMAN DILUAR NORMATIF TGL 30 MEI 2018</t>
  </si>
  <si>
    <t>TOMMY ALFAN</t>
  </si>
  <si>
    <t>008887</t>
  </si>
  <si>
    <t>011287</t>
  </si>
  <si>
    <t>7900110400</t>
  </si>
  <si>
    <t>HAMZAH FANSURI</t>
  </si>
  <si>
    <t>974430</t>
  </si>
  <si>
    <t>011012</t>
  </si>
  <si>
    <t>0880448455</t>
  </si>
  <si>
    <t>DJUWADI</t>
  </si>
  <si>
    <t>973179</t>
  </si>
  <si>
    <t>002659</t>
  </si>
  <si>
    <t>0884342429</t>
  </si>
  <si>
    <t>SUMANTO</t>
  </si>
  <si>
    <t>962380</t>
  </si>
  <si>
    <t>002719</t>
  </si>
  <si>
    <t>0640063360</t>
  </si>
  <si>
    <t>Surabaya, 30 MEI 2018</t>
  </si>
  <si>
    <t>REALISASI PINJAMAN DILUAR NORMATIF TGL 31 MEI 2018</t>
  </si>
  <si>
    <t>BARFITTO</t>
  </si>
  <si>
    <t>964050</t>
  </si>
  <si>
    <t>010842</t>
  </si>
  <si>
    <t>Surabaya, 31 MEI 2018</t>
  </si>
  <si>
    <t>ARITA SUSANTI</t>
  </si>
  <si>
    <t>973334</t>
  </si>
  <si>
    <t>010640</t>
  </si>
  <si>
    <t>4681020513</t>
  </si>
  <si>
    <t>K3S</t>
  </si>
  <si>
    <t>POT. BNS APRIL 2019 Rp.17,000,000,-</t>
  </si>
  <si>
    <t>TENOR 23 BULAN</t>
  </si>
  <si>
    <t>denda</t>
  </si>
  <si>
    <t>REALISASI PINJAMAN DILUAR NORMATIF TGL 04 JUNI 2018</t>
  </si>
  <si>
    <t>MOCH IMRON</t>
  </si>
  <si>
    <t>921471</t>
  </si>
  <si>
    <t>010810</t>
  </si>
  <si>
    <t>0361035517</t>
  </si>
  <si>
    <t>Surabaya, 04 JUNI 2018</t>
  </si>
  <si>
    <t>REALISASI PINJAMAN DILUAR NORMATIF TGL 05 JUNI 2018</t>
  </si>
  <si>
    <t>GATOT SUBROTO</t>
  </si>
  <si>
    <t>932162</t>
  </si>
  <si>
    <t>001988</t>
  </si>
  <si>
    <t>0101353108</t>
  </si>
  <si>
    <t>Surabaya, 05 JUNI 2018</t>
  </si>
  <si>
    <t>ANDREAS SUMARLIANTO</t>
  </si>
  <si>
    <t>910846</t>
  </si>
  <si>
    <t>011023</t>
  </si>
  <si>
    <t>4681167778</t>
  </si>
  <si>
    <t>REALISASI PINJAMAN DILUAR NORMATIF TGL 06 JUNI 2018</t>
  </si>
  <si>
    <t>ANI SUMARNI</t>
  </si>
  <si>
    <t>921594</t>
  </si>
  <si>
    <t>011005</t>
  </si>
  <si>
    <t>8290107301</t>
  </si>
  <si>
    <t>Surabaya, 06 JUNI 2018</t>
  </si>
  <si>
    <t>975206</t>
  </si>
  <si>
    <t>LILIK SETYOWATI</t>
  </si>
  <si>
    <t>010843</t>
  </si>
  <si>
    <t>3300152715</t>
  </si>
  <si>
    <t>KCP GRESIK</t>
  </si>
  <si>
    <t>REALISASI PINJAMAN DILUAR NORMATIF TGL 07 JUNI 2018</t>
  </si>
  <si>
    <t>SULATIK</t>
  </si>
  <si>
    <t>920892</t>
  </si>
  <si>
    <t>001920</t>
  </si>
  <si>
    <t>APRIL 2017</t>
  </si>
  <si>
    <t>SW MEI'18</t>
  </si>
  <si>
    <t>Surabaya, 07 JUNI 2018</t>
  </si>
  <si>
    <t>INDRIYAWATI C</t>
  </si>
  <si>
    <t>911184</t>
  </si>
  <si>
    <t>011024</t>
  </si>
  <si>
    <t>2581422883</t>
  </si>
  <si>
    <t>011252</t>
  </si>
  <si>
    <t>WIDIAWATI T</t>
  </si>
  <si>
    <t>913619</t>
  </si>
  <si>
    <t>002149</t>
  </si>
  <si>
    <t>0101102440</t>
  </si>
  <si>
    <t>CICILIA W</t>
  </si>
  <si>
    <t>885571</t>
  </si>
  <si>
    <t>011120</t>
  </si>
  <si>
    <t>1801021056</t>
  </si>
  <si>
    <t>KCU JEMBER</t>
  </si>
  <si>
    <t>GUSTI NURMANSYAH</t>
  </si>
  <si>
    <t>896610</t>
  </si>
  <si>
    <t>011017</t>
  </si>
  <si>
    <t>8290142033</t>
  </si>
  <si>
    <t>EFI SUHERMAN</t>
  </si>
  <si>
    <t>972239</t>
  </si>
  <si>
    <t>011026</t>
  </si>
  <si>
    <t>2581437775</t>
  </si>
  <si>
    <t>KCU DIPO</t>
  </si>
  <si>
    <t>tenor 12 bln</t>
  </si>
  <si>
    <t>tenor 24 bln</t>
  </si>
  <si>
    <r>
      <t xml:space="preserve">NORM </t>
    </r>
    <r>
      <rPr>
        <sz val="6"/>
        <color rgb="FFFF0000"/>
        <rFont val="Times New Roman"/>
        <family val="1"/>
      </rPr>
      <t>10 MAR 2017</t>
    </r>
  </si>
  <si>
    <t>REALISASI PINJAMAN DILUAR NORMATIF TGL 08 JUNI 2018</t>
  </si>
  <si>
    <t>EDI PURWOKO</t>
  </si>
  <si>
    <t>897646</t>
  </si>
  <si>
    <t>002702</t>
  </si>
  <si>
    <t>330100063</t>
  </si>
  <si>
    <t>KCP BABAT</t>
  </si>
  <si>
    <t>Surabaya, 08 JUNI 2018</t>
  </si>
  <si>
    <t>EINSTEINA</t>
  </si>
  <si>
    <t>912056</t>
  </si>
  <si>
    <t>011038</t>
  </si>
  <si>
    <t>3881020309</t>
  </si>
  <si>
    <t>011035</t>
  </si>
  <si>
    <t>REALISASI PINJAMAN DILUAR NORMATIF TGL 26 JUNI 2018</t>
  </si>
  <si>
    <t>Surabaya, 26 JUNI 2018</t>
  </si>
  <si>
    <t>SAHAT MARULITUA</t>
  </si>
  <si>
    <t>975105</t>
  </si>
  <si>
    <t>010617</t>
  </si>
  <si>
    <t>4650299987</t>
  </si>
  <si>
    <t>NOENIK DYAH S</t>
  </si>
  <si>
    <t>970240</t>
  </si>
  <si>
    <t>010616</t>
  </si>
  <si>
    <t>0180239251</t>
  </si>
  <si>
    <t>EDDY MULYONO</t>
  </si>
  <si>
    <t>910538</t>
  </si>
  <si>
    <t>011507</t>
  </si>
  <si>
    <t>1000184442</t>
  </si>
  <si>
    <t>SUJARWO</t>
  </si>
  <si>
    <t>898787</t>
  </si>
  <si>
    <t>002655</t>
  </si>
  <si>
    <t>0101120391</t>
  </si>
  <si>
    <t>FENNY MARLINA</t>
  </si>
  <si>
    <t>973239</t>
  </si>
  <si>
    <t>011002</t>
  </si>
  <si>
    <t>8290121991</t>
  </si>
  <si>
    <t>MM LIANIWATI</t>
  </si>
  <si>
    <t>897042</t>
  </si>
  <si>
    <t>011054</t>
  </si>
  <si>
    <t>8220686869</t>
  </si>
  <si>
    <t>KK PONDOK CHANDRA</t>
  </si>
  <si>
    <t>REALISASI PINJAMAN DILUAR NORMATIF TGL 28 JUNI 2018</t>
  </si>
  <si>
    <t>ANDREJANTO A N</t>
  </si>
  <si>
    <t>897658</t>
  </si>
  <si>
    <t>011036</t>
  </si>
  <si>
    <t>0101213314</t>
  </si>
  <si>
    <t>Surabaya, 28 JUNI 2018</t>
  </si>
  <si>
    <t>HIMAWAN BUDI S</t>
  </si>
  <si>
    <t>940325</t>
  </si>
  <si>
    <t>002599</t>
  </si>
  <si>
    <t>0951398615</t>
  </si>
  <si>
    <r>
      <t>tenor 36 bln tanpa pot.bns</t>
    </r>
    <r>
      <rPr>
        <sz val="8"/>
        <rFont val="Calibri"/>
        <family val="2"/>
      </rPr>
      <t>²</t>
    </r>
  </si>
  <si>
    <t>ALIA AZIZA</t>
  </si>
  <si>
    <t>961152</t>
  </si>
  <si>
    <t>011293</t>
  </si>
  <si>
    <t>7880069696</t>
  </si>
  <si>
    <t>REALISASI PINJAMAN DILUAR NORMATIF TGL 29 JUNI 2018</t>
  </si>
  <si>
    <t>ANDRI LAKSONO</t>
  </si>
  <si>
    <t>962306</t>
  </si>
  <si>
    <t>011033</t>
  </si>
  <si>
    <t>8220213421</t>
  </si>
  <si>
    <t>Surabaya, 29 JUNI 2018</t>
  </si>
  <si>
    <t>REALISASI PINJAMAN DILUAR NORMATIF TGL 02 JULI 2018</t>
  </si>
  <si>
    <t>LU CUN CIAT</t>
  </si>
  <si>
    <t>973895</t>
  </si>
  <si>
    <t>011043</t>
  </si>
  <si>
    <t>0880425781</t>
  </si>
  <si>
    <t>KCP DHARMAHUSADA</t>
  </si>
  <si>
    <t>Surabaya, 02 JULI 2018</t>
  </si>
  <si>
    <t>EVA KURNIANASARI</t>
  </si>
  <si>
    <t>002674</t>
  </si>
  <si>
    <t>011509</t>
  </si>
  <si>
    <t>4689999805</t>
  </si>
  <si>
    <t>KCP RAJAWALI</t>
  </si>
  <si>
    <t>SULUH UTOMO</t>
  </si>
  <si>
    <t>902547</t>
  </si>
  <si>
    <t>011266</t>
  </si>
  <si>
    <t>1301075052</t>
  </si>
  <si>
    <t>KCP TUNJUNGAN</t>
  </si>
  <si>
    <t>REALISASI PINJAMAN DILUAR NORMATIF TGL 03 JULI 2018</t>
  </si>
  <si>
    <t>WAHYU PUTRI</t>
  </si>
  <si>
    <t>913365</t>
  </si>
  <si>
    <t>011404</t>
  </si>
  <si>
    <t>0101104001</t>
  </si>
  <si>
    <t>Surabaya, 03 JULI 2018</t>
  </si>
  <si>
    <t>REALISASI PINJAMAN DILUAR NORMATIF TGL 04 JULI 2018</t>
  </si>
  <si>
    <t>YUSTINA ELDA</t>
  </si>
  <si>
    <t>010610</t>
  </si>
  <si>
    <t>007980</t>
  </si>
  <si>
    <t>0884572556</t>
  </si>
  <si>
    <t>tenor 18 bln</t>
  </si>
  <si>
    <t>Surabaya, 04 JULI 2018</t>
  </si>
  <si>
    <t>MICHELSEN</t>
  </si>
  <si>
    <t>971755</t>
  </si>
  <si>
    <t>011041</t>
  </si>
  <si>
    <t>0880413929</t>
  </si>
  <si>
    <t>DOMINGGUS S</t>
  </si>
  <si>
    <t>975795</t>
  </si>
  <si>
    <t>010599</t>
  </si>
  <si>
    <t>0880303686</t>
  </si>
  <si>
    <t>HERLINA SAFITRI</t>
  </si>
  <si>
    <t>921602</t>
  </si>
  <si>
    <t>011044</t>
  </si>
  <si>
    <t>0881170522</t>
  </si>
  <si>
    <t>REALISASI PINJAMAN DILUAR NORMATIF TGL 06 JULI 2018</t>
  </si>
  <si>
    <t>AGUS DARMAWAN</t>
  </si>
  <si>
    <t>960227</t>
  </si>
  <si>
    <t>011112</t>
  </si>
  <si>
    <t>1920417171</t>
  </si>
  <si>
    <t>KCU BANGKALAN</t>
  </si>
  <si>
    <t>Surabaya, 06 JULI 2018</t>
  </si>
  <si>
    <t>MUHAMAD RUSLI</t>
  </si>
  <si>
    <t>970258</t>
  </si>
  <si>
    <t>BCA JKT</t>
  </si>
  <si>
    <t>REALISASI PINJAMAN DILUAR NORMATIF TGL 09 JULI 2018</t>
  </si>
  <si>
    <t>NANIEK MARLIAN D</t>
  </si>
  <si>
    <t>975772</t>
  </si>
  <si>
    <t>010619</t>
  </si>
  <si>
    <t>Surabaya, 09 JULI 2018</t>
  </si>
  <si>
    <t>REALISASI PINJAMAN DILUAR NORMATIF TGL 10 JULI 2018</t>
  </si>
  <si>
    <t>WINARTO</t>
  </si>
  <si>
    <t>970675</t>
  </si>
  <si>
    <t>011040</t>
  </si>
  <si>
    <t>0880742574</t>
  </si>
  <si>
    <t>Surabaya, 10 JULI 2018</t>
  </si>
  <si>
    <t>REALISASI PINJAMAN DILUAR NORMATIF TGL 11 JULI 2018</t>
  </si>
  <si>
    <t>ONNY SURYANI</t>
  </si>
  <si>
    <t>911095</t>
  </si>
  <si>
    <t>005086</t>
  </si>
  <si>
    <t>0881210982</t>
  </si>
  <si>
    <t>RETAIL</t>
  </si>
  <si>
    <t>KURANG BAYAR</t>
  </si>
  <si>
    <t>PIJ RETAIL</t>
  </si>
  <si>
    <t>A/N. HENRY SETYO</t>
  </si>
  <si>
    <t>KCP AMBENGAN</t>
  </si>
  <si>
    <t>WELYANTI</t>
  </si>
  <si>
    <t>976909</t>
  </si>
  <si>
    <t>010622</t>
  </si>
  <si>
    <t>0180480005</t>
  </si>
  <si>
    <t>Surabaya, 11 JULI 2018</t>
  </si>
  <si>
    <t>KK DELTASARI</t>
  </si>
  <si>
    <t>011028</t>
  </si>
  <si>
    <t>NASDJIANTO</t>
  </si>
  <si>
    <t>885752</t>
  </si>
  <si>
    <t>011042</t>
  </si>
  <si>
    <t>0881129581</t>
  </si>
  <si>
    <t>KCP MARGOREJO</t>
  </si>
  <si>
    <t>REALISASI PINJAMAN DILUAR NORMATIF TGL 19 JULI 2018</t>
  </si>
  <si>
    <t>011095</t>
  </si>
  <si>
    <t>Surabaya, 19 JULI 2018</t>
  </si>
  <si>
    <t>FITRIANA MEDIAWATI</t>
  </si>
  <si>
    <t>990555</t>
  </si>
  <si>
    <t>010600</t>
  </si>
  <si>
    <t>BARANG RETAIL</t>
  </si>
  <si>
    <t>REALISASI PINJAMAN DILUAR NORMATIF TGL 25 JULI 2018</t>
  </si>
  <si>
    <t>Surabaya, 25 JULI 2018</t>
  </si>
  <si>
    <t>FIFIE TJONDRO</t>
  </si>
  <si>
    <t>970067</t>
  </si>
  <si>
    <t>012055</t>
  </si>
  <si>
    <t>0884819888</t>
  </si>
  <si>
    <t>011103</t>
  </si>
  <si>
    <t>HIRAWATI K</t>
  </si>
  <si>
    <t>003739</t>
  </si>
  <si>
    <t>010806</t>
  </si>
  <si>
    <t>2581250993</t>
  </si>
  <si>
    <t>RONA LAWALUNINGSIH</t>
  </si>
  <si>
    <t>971062</t>
  </si>
  <si>
    <t>011102</t>
  </si>
  <si>
    <t>2581394944</t>
  </si>
  <si>
    <t>SALAMET</t>
  </si>
  <si>
    <t>896735</t>
  </si>
  <si>
    <t>002430</t>
  </si>
  <si>
    <t>6105004005</t>
  </si>
  <si>
    <t>KCP MOJOPAHIT</t>
  </si>
  <si>
    <t>ACHMAD DJAUHARI</t>
  </si>
  <si>
    <t>910535</t>
  </si>
  <si>
    <t>002308</t>
  </si>
  <si>
    <t>3301043684</t>
  </si>
  <si>
    <t>KCU GRESIK</t>
  </si>
  <si>
    <t>ERI ERLANGGA</t>
  </si>
  <si>
    <t>970109</t>
  </si>
  <si>
    <t>011047</t>
  </si>
  <si>
    <t>0100259737</t>
  </si>
  <si>
    <t>KCP SLOMPRETAN</t>
  </si>
  <si>
    <t>DEWI MILASARI</t>
  </si>
  <si>
    <t>970671</t>
  </si>
  <si>
    <t>010732</t>
  </si>
  <si>
    <t>3250234600</t>
  </si>
  <si>
    <t>KCP PORONG</t>
  </si>
  <si>
    <t>010578</t>
  </si>
  <si>
    <t>0880432508</t>
  </si>
  <si>
    <t>REALISASI PINJAMAN DILUAR NORMATIF TGL 26 JULI 2018</t>
  </si>
  <si>
    <t>DODY CATUR S</t>
  </si>
  <si>
    <t>897422</t>
  </si>
  <si>
    <t>009650</t>
  </si>
  <si>
    <t>0880413686</t>
  </si>
  <si>
    <t>PREMI ASURANSI</t>
  </si>
  <si>
    <t>SEPEDA MOTOR</t>
  </si>
  <si>
    <t>ISTI SURYANDINI</t>
  </si>
  <si>
    <t>950149</t>
  </si>
  <si>
    <t>011411</t>
  </si>
  <si>
    <t>0101207691</t>
  </si>
  <si>
    <t>TUNAS BASUKI</t>
  </si>
  <si>
    <t>899514</t>
  </si>
  <si>
    <t>011412</t>
  </si>
  <si>
    <t>0100189577</t>
  </si>
  <si>
    <t>Surabaya, 26 JULI 2018</t>
  </si>
  <si>
    <t>NOERLITA S</t>
  </si>
  <si>
    <t>885399</t>
  </si>
  <si>
    <t>002417</t>
  </si>
  <si>
    <t>0181041209</t>
  </si>
  <si>
    <t>KK PURI INDAH</t>
  </si>
  <si>
    <t>SANDY DEBORAH</t>
  </si>
  <si>
    <t>962795</t>
  </si>
  <si>
    <t>009206</t>
  </si>
  <si>
    <t>0880333011</t>
  </si>
  <si>
    <t>AGUNG SULAKSONO</t>
  </si>
  <si>
    <t>914242</t>
  </si>
  <si>
    <t>010572</t>
  </si>
  <si>
    <t>1461057263</t>
  </si>
  <si>
    <t>KFCC SBY</t>
  </si>
  <si>
    <t>EMY SRI HASTUTI</t>
  </si>
  <si>
    <t>902254</t>
  </si>
  <si>
    <t>011046</t>
  </si>
  <si>
    <t>0101138240</t>
  </si>
  <si>
    <t>010573</t>
  </si>
  <si>
    <t>0880779206</t>
  </si>
  <si>
    <t>SUNDORO</t>
  </si>
  <si>
    <t>972951</t>
  </si>
  <si>
    <t>010579</t>
  </si>
  <si>
    <t>0880412728</t>
  </si>
  <si>
    <t>SA KW3</t>
  </si>
  <si>
    <t>REALISASI PINJAMAN DILUAR NORMATIF TGL 27 JULI 2018</t>
  </si>
  <si>
    <t>Surabaya, 27 JULI 2018</t>
  </si>
  <si>
    <t>ENDRIA WAHJUDI</t>
  </si>
  <si>
    <t>920409</t>
  </si>
  <si>
    <t>010580</t>
  </si>
  <si>
    <t>2582201707</t>
  </si>
  <si>
    <t>TONY TOWOLIU</t>
  </si>
  <si>
    <t>011022</t>
  </si>
  <si>
    <t>0880898205</t>
  </si>
  <si>
    <t>JO KUI PU</t>
  </si>
  <si>
    <t>973875</t>
  </si>
  <si>
    <t>012056</t>
  </si>
  <si>
    <t>0880424599</t>
  </si>
  <si>
    <t>KEN FITRI</t>
  </si>
  <si>
    <t>913364</t>
  </si>
  <si>
    <t>011049</t>
  </si>
  <si>
    <t>1074567889</t>
  </si>
  <si>
    <t>KK MERR</t>
  </si>
  <si>
    <t>NUNUNG AMBIKA</t>
  </si>
  <si>
    <t>972154</t>
  </si>
  <si>
    <t>009488</t>
  </si>
  <si>
    <t>3640065060</t>
  </si>
  <si>
    <t>INA SUGIARTI</t>
  </si>
  <si>
    <t>972948</t>
  </si>
  <si>
    <t>002470</t>
  </si>
  <si>
    <t>6100012004</t>
  </si>
  <si>
    <t>KCP PONDAK CHANDRA</t>
  </si>
  <si>
    <t>IWAN SANTOSO</t>
  </si>
  <si>
    <t>911089</t>
  </si>
  <si>
    <t>2581515288</t>
  </si>
  <si>
    <t>KCP TP</t>
  </si>
  <si>
    <t>REALISASI PINJAMAN DILUAR NORMATIF TGL 31 JULI 2018</t>
  </si>
  <si>
    <t>LILIK SETYAWATI</t>
  </si>
  <si>
    <t>962690</t>
  </si>
  <si>
    <t>011957</t>
  </si>
  <si>
    <t>1130091179</t>
  </si>
  <si>
    <t>RIA APRILIYANA</t>
  </si>
  <si>
    <t>051237</t>
  </si>
  <si>
    <t>010475</t>
  </si>
  <si>
    <t>0844302718</t>
  </si>
  <si>
    <t>SBK KW3</t>
  </si>
  <si>
    <t>Surabaya, 31 JULI 2018</t>
  </si>
  <si>
    <t>REALISASI PINJAMAN DILUAR NORMATIF TGL 01 AGUSTUS 2018</t>
  </si>
  <si>
    <t>SRI RAHAYU</t>
  </si>
  <si>
    <t>910056</t>
  </si>
  <si>
    <t>002727</t>
  </si>
  <si>
    <t>0101484288</t>
  </si>
  <si>
    <t>KEU KW3</t>
  </si>
  <si>
    <t>Surabaya, 01 AGUSTUS 2018</t>
  </si>
  <si>
    <t>REALISASI PINJAMAN DILUAR NORMATIF TGL 07 AGUSTUS 2018</t>
  </si>
  <si>
    <t>WAHYU UTOMO</t>
  </si>
  <si>
    <t>973267</t>
  </si>
  <si>
    <t>002726</t>
  </si>
  <si>
    <t>0880420321</t>
  </si>
  <si>
    <t>INDAH RATNA W</t>
  </si>
  <si>
    <t>007689</t>
  </si>
  <si>
    <t>011456</t>
  </si>
  <si>
    <t>7880060702</t>
  </si>
  <si>
    <t>SETYO BUDI W</t>
  </si>
  <si>
    <t>973099</t>
  </si>
  <si>
    <t>600283</t>
  </si>
  <si>
    <t>0880422821</t>
  </si>
  <si>
    <t>NUR CHAYATI</t>
  </si>
  <si>
    <t>010585</t>
  </si>
  <si>
    <t>0101397148</t>
  </si>
  <si>
    <t>ELLYDA YULIAWATI</t>
  </si>
  <si>
    <t>009682</t>
  </si>
  <si>
    <t>010584</t>
  </si>
  <si>
    <t>1920206201</t>
  </si>
  <si>
    <t>MAMIK TJITRARASMI</t>
  </si>
  <si>
    <t>920032</t>
  </si>
  <si>
    <t>010583</t>
  </si>
  <si>
    <t>0101448869</t>
  </si>
  <si>
    <t>ENDANG POERWANTINI</t>
  </si>
  <si>
    <t>930113</t>
  </si>
  <si>
    <t>003091</t>
  </si>
  <si>
    <t>0881072822</t>
  </si>
  <si>
    <t>Surabaya, 07 AGUSTUS 2018</t>
  </si>
  <si>
    <t>912209</t>
  </si>
  <si>
    <t>CICILIA WIDIARTI</t>
  </si>
  <si>
    <t>010568</t>
  </si>
  <si>
    <t>REALISASI PINJAMAN DILUAR NORMATIF TGL 08 AGUSTUS 2018</t>
  </si>
  <si>
    <t>MARGARETHA HENNY</t>
  </si>
  <si>
    <t>002031</t>
  </si>
  <si>
    <t>Surabaya, 08 AGUSTUS 2018</t>
  </si>
  <si>
    <t>ERMYN SOESY</t>
  </si>
  <si>
    <t>900265</t>
  </si>
  <si>
    <t>011605</t>
  </si>
  <si>
    <t>6740021000</t>
  </si>
  <si>
    <t>tenor 15 bln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</si>
</sst>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21]dd\ mmmm\ yy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10"/>
      <name val="Calibri"/>
      <family val="2"/>
      <scheme val="minor"/>
    </font>
    <font>
      <b/>
      <sz val="1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sz val="6"/>
      <name val="Times New Roman"/>
      <family val="1"/>
    </font>
    <font>
      <sz val="7"/>
      <name val="Calibri"/>
      <family val="2"/>
      <scheme val="minor"/>
    </font>
    <font>
      <i/>
      <sz val="8"/>
      <name val="Arial Black"/>
      <family val="2"/>
    </font>
    <font>
      <sz val="6"/>
      <name val="Calibri"/>
      <family val="2"/>
      <scheme val="minor"/>
    </font>
    <font>
      <i/>
      <sz val="7"/>
      <name val="Arial Black"/>
      <family val="2"/>
    </font>
    <font>
      <i/>
      <sz val="12"/>
      <color rgb="FFFF0000"/>
      <name val="Times New Roman"/>
      <family val="1"/>
    </font>
    <font>
      <sz val="5"/>
      <name val="Times New Roman"/>
      <family val="1"/>
    </font>
    <font>
      <sz val="11"/>
      <name val="Times New Roman"/>
      <family val="1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i/>
      <sz val="5"/>
      <name val="Arial Black"/>
      <family val="2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rgb="FFFF0000"/>
      <name val="Times New Roman"/>
      <family val="1"/>
    </font>
    <font>
      <sz val="4"/>
      <name val="Times New Roman"/>
      <family val="1"/>
    </font>
    <font>
      <sz val="6"/>
      <color rgb="FFFF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41" fontId="2" fillId="0" borderId="2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41" fontId="2" fillId="0" borderId="4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49" fontId="2" fillId="0" borderId="2" xfId="0" quotePrefix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0" fontId="3" fillId="0" borderId="0" xfId="0" applyNumberFormat="1" applyFont="1" applyFill="1" applyAlignment="1">
      <alignment horizontal="left"/>
    </xf>
    <xf numFmtId="164" fontId="2" fillId="0" borderId="0" xfId="1" applyNumberFormat="1" applyFont="1" applyFill="1"/>
    <xf numFmtId="41" fontId="2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0" fontId="5" fillId="0" borderId="0" xfId="0" applyFont="1" applyFill="1"/>
    <xf numFmtId="0" fontId="7" fillId="0" borderId="2" xfId="0" applyFont="1" applyFill="1" applyBorder="1"/>
    <xf numFmtId="164" fontId="2" fillId="0" borderId="2" xfId="2" applyNumberFormat="1" applyFont="1" applyFill="1" applyBorder="1"/>
    <xf numFmtId="0" fontId="11" fillId="0" borderId="2" xfId="0" applyFont="1" applyFill="1" applyBorder="1"/>
    <xf numFmtId="0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8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/>
    <xf numFmtId="0" fontId="9" fillId="0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2" xfId="0" quotePrefix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164" fontId="2" fillId="0" borderId="4" xfId="1" quotePrefix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2" xfId="0" applyNumberFormat="1" applyFont="1" applyFill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14" fillId="0" borderId="2" xfId="0" applyFont="1" applyFill="1" applyBorder="1"/>
    <xf numFmtId="0" fontId="15" fillId="0" borderId="2" xfId="0" applyFont="1" applyFill="1" applyBorder="1"/>
    <xf numFmtId="0" fontId="16" fillId="0" borderId="2" xfId="0" applyFont="1" applyFill="1" applyBorder="1"/>
    <xf numFmtId="164" fontId="13" fillId="0" borderId="2" xfId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6" fillId="0" borderId="10" xfId="1" applyNumberFormat="1" applyFont="1" applyFill="1" applyBorder="1" applyAlignment="1">
      <alignment horizontal="center"/>
    </xf>
    <xf numFmtId="0" fontId="5" fillId="0" borderId="0" xfId="0" applyFont="1"/>
    <xf numFmtId="164" fontId="13" fillId="0" borderId="1" xfId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7" fillId="0" borderId="0" xfId="0" quotePrefix="1" applyFont="1" applyFill="1" applyAlignment="1">
      <alignment horizontal="center"/>
    </xf>
    <xf numFmtId="0" fontId="2" fillId="0" borderId="7" xfId="0" applyFont="1" applyFill="1" applyBorder="1"/>
    <xf numFmtId="0" fontId="14" fillId="0" borderId="0" xfId="0" applyFont="1" applyFill="1" applyBorder="1"/>
    <xf numFmtId="0" fontId="16" fillId="0" borderId="9" xfId="0" applyFont="1" applyFill="1" applyBorder="1"/>
    <xf numFmtId="0" fontId="19" fillId="0" borderId="1" xfId="0" applyFont="1" applyFill="1" applyBorder="1" applyAlignment="1">
      <alignment horizontal="center"/>
    </xf>
    <xf numFmtId="0" fontId="16" fillId="0" borderId="4" xfId="0" applyFont="1" applyFill="1" applyBorder="1"/>
    <xf numFmtId="0" fontId="16" fillId="0" borderId="0" xfId="0" applyFont="1" applyFill="1"/>
    <xf numFmtId="0" fontId="5" fillId="0" borderId="8" xfId="0" applyFont="1" applyFill="1" applyBorder="1"/>
    <xf numFmtId="0" fontId="5" fillId="0" borderId="4" xfId="0" applyFont="1" applyFill="1" applyBorder="1"/>
    <xf numFmtId="41" fontId="20" fillId="0" borderId="0" xfId="0" applyNumberFormat="1" applyFont="1" applyFill="1" applyAlignment="1">
      <alignment horizontal="center"/>
    </xf>
    <xf numFmtId="0" fontId="21" fillId="0" borderId="2" xfId="0" applyFont="1" applyFill="1" applyBorder="1"/>
    <xf numFmtId="0" fontId="19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6" fillId="0" borderId="2" xfId="0" applyFont="1" applyBorder="1"/>
    <xf numFmtId="0" fontId="16" fillId="0" borderId="4" xfId="0" applyFont="1" applyBorder="1"/>
    <xf numFmtId="164" fontId="7" fillId="0" borderId="4" xfId="1" applyNumberFormat="1" applyFont="1" applyFill="1" applyBorder="1" applyAlignment="1">
      <alignment horizontal="center"/>
    </xf>
    <xf numFmtId="0" fontId="16" fillId="0" borderId="0" xfId="0" applyFont="1"/>
    <xf numFmtId="0" fontId="22" fillId="0" borderId="0" xfId="0" applyFont="1" applyFill="1" applyBorder="1"/>
    <xf numFmtId="0" fontId="15" fillId="0" borderId="11" xfId="0" applyFont="1" applyFill="1" applyBorder="1"/>
    <xf numFmtId="0" fontId="5" fillId="0" borderId="2" xfId="0" applyFont="1" applyFill="1" applyBorder="1"/>
    <xf numFmtId="0" fontId="5" fillId="0" borderId="8" xfId="0" applyFont="1" applyBorder="1"/>
    <xf numFmtId="0" fontId="2" fillId="0" borderId="6" xfId="0" applyFont="1" applyFill="1" applyBorder="1"/>
    <xf numFmtId="41" fontId="20" fillId="0" borderId="0" xfId="0" applyNumberFormat="1" applyFont="1" applyFill="1" applyAlignment="1">
      <alignment horizontal="left"/>
    </xf>
    <xf numFmtId="0" fontId="23" fillId="0" borderId="0" xfId="0" applyFont="1"/>
    <xf numFmtId="0" fontId="13" fillId="0" borderId="0" xfId="0" applyFont="1" applyFill="1" applyBorder="1"/>
    <xf numFmtId="0" fontId="24" fillId="0" borderId="0" xfId="0" applyFont="1" applyFill="1"/>
    <xf numFmtId="49" fontId="10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center"/>
    </xf>
    <xf numFmtId="164" fontId="10" fillId="0" borderId="10" xfId="1" applyNumberFormat="1" applyFont="1" applyFill="1" applyBorder="1" applyAlignment="1">
      <alignment horizontal="center"/>
    </xf>
    <xf numFmtId="41" fontId="10" fillId="0" borderId="1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0" fontId="26" fillId="0" borderId="2" xfId="0" applyFont="1" applyFill="1" applyBorder="1"/>
    <xf numFmtId="165" fontId="10" fillId="0" borderId="2" xfId="0" applyNumberFormat="1" applyFont="1" applyFill="1" applyBorder="1" applyAlignment="1">
      <alignment horizontal="center"/>
    </xf>
    <xf numFmtId="164" fontId="10" fillId="0" borderId="2" xfId="1" applyNumberFormat="1" applyFont="1" applyFill="1" applyBorder="1" applyAlignment="1">
      <alignment horizontal="center"/>
    </xf>
    <xf numFmtId="41" fontId="10" fillId="0" borderId="2" xfId="0" applyNumberFormat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/>
    </xf>
    <xf numFmtId="0" fontId="26" fillId="0" borderId="4" xfId="0" applyFont="1" applyFill="1" applyBorder="1"/>
    <xf numFmtId="165" fontId="10" fillId="0" borderId="4" xfId="0" applyNumberFormat="1" applyFont="1" applyFill="1" applyBorder="1" applyAlignment="1">
      <alignment horizontal="center"/>
    </xf>
    <xf numFmtId="49" fontId="10" fillId="0" borderId="4" xfId="0" applyNumberFormat="1" applyFont="1" applyFill="1" applyBorder="1" applyAlignment="1">
      <alignment horizontal="center"/>
    </xf>
    <xf numFmtId="164" fontId="10" fillId="0" borderId="4" xfId="1" applyNumberFormat="1" applyFont="1" applyFill="1" applyBorder="1" applyAlignment="1">
      <alignment horizontal="center"/>
    </xf>
    <xf numFmtId="164" fontId="10" fillId="0" borderId="4" xfId="1" quotePrefix="1" applyNumberFormat="1" applyFont="1" applyFill="1" applyBorder="1" applyAlignment="1">
      <alignment horizontal="center"/>
    </xf>
    <xf numFmtId="164" fontId="27" fillId="0" borderId="4" xfId="1" applyNumberFormat="1" applyFont="1" applyFill="1" applyBorder="1" applyAlignment="1">
      <alignment horizontal="center"/>
    </xf>
    <xf numFmtId="41" fontId="10" fillId="0" borderId="4" xfId="0" applyNumberFormat="1" applyFont="1" applyFill="1" applyBorder="1" applyAlignment="1">
      <alignment horizontal="center"/>
    </xf>
    <xf numFmtId="0" fontId="23" fillId="0" borderId="0" xfId="0" applyFont="1" applyFill="1"/>
    <xf numFmtId="0" fontId="6" fillId="0" borderId="0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0" xfId="0" applyFont="1" applyFill="1"/>
    <xf numFmtId="164" fontId="10" fillId="0" borderId="3" xfId="1" applyNumberFormat="1" applyFont="1" applyFill="1" applyBorder="1" applyAlignment="1">
      <alignment horizontal="center"/>
    </xf>
    <xf numFmtId="164" fontId="10" fillId="0" borderId="5" xfId="1" applyNumberFormat="1" applyFont="1" applyFill="1" applyBorder="1" applyAlignment="1">
      <alignment horizontal="center"/>
    </xf>
    <xf numFmtId="0" fontId="5" fillId="0" borderId="6" xfId="0" applyFont="1" applyFill="1" applyBorder="1"/>
    <xf numFmtId="0" fontId="30" fillId="0" borderId="0" xfId="0" applyFont="1" applyFill="1"/>
    <xf numFmtId="164" fontId="2" fillId="2" borderId="2" xfId="1" applyNumberFormat="1" applyFont="1" applyFill="1" applyBorder="1" applyAlignment="1">
      <alignment horizontal="center"/>
    </xf>
    <xf numFmtId="41" fontId="31" fillId="0" borderId="0" xfId="0" applyNumberFormat="1" applyFont="1" applyFill="1" applyAlignment="1">
      <alignment horizontal="center"/>
    </xf>
    <xf numFmtId="0" fontId="5" fillId="0" borderId="1" xfId="0" applyFont="1" applyFill="1" applyBorder="1"/>
    <xf numFmtId="49" fontId="7" fillId="0" borderId="1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32" fillId="0" borderId="2" xfId="0" applyFont="1" applyFill="1" applyBorder="1"/>
    <xf numFmtId="0" fontId="2" fillId="0" borderId="0" xfId="0" quotePrefix="1" applyFont="1" applyFill="1"/>
    <xf numFmtId="164" fontId="7" fillId="0" borderId="10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164" fontId="7" fillId="0" borderId="5" xfId="1" applyNumberFormat="1" applyFont="1" applyFill="1" applyBorder="1" applyAlignment="1">
      <alignment horizontal="center"/>
    </xf>
    <xf numFmtId="0" fontId="5" fillId="3" borderId="0" xfId="0" applyFont="1" applyFill="1"/>
    <xf numFmtId="0" fontId="5" fillId="0" borderId="0" xfId="0" applyFont="1" applyFill="1" applyBorder="1"/>
    <xf numFmtId="0" fontId="24" fillId="0" borderId="0" xfId="0" applyFont="1"/>
    <xf numFmtId="164" fontId="10" fillId="0" borderId="2" xfId="1" quotePrefix="1" applyNumberFormat="1" applyFont="1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/>
    </xf>
    <xf numFmtId="0" fontId="9" fillId="0" borderId="0" xfId="0" applyFont="1" applyFill="1" applyBorder="1"/>
    <xf numFmtId="0" fontId="11" fillId="0" borderId="4" xfId="0" applyFont="1" applyFill="1" applyBorder="1"/>
    <xf numFmtId="164" fontId="15" fillId="0" borderId="2" xfId="1" applyNumberFormat="1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41" fontId="2" fillId="0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1"/>
  <sheetViews>
    <sheetView topLeftCell="A280" workbookViewId="0">
      <selection activeCell="G277" sqref="G277"/>
    </sheetView>
  </sheetViews>
  <sheetFormatPr defaultRowHeight="15"/>
  <cols>
    <col min="1" max="1" width="2.28515625" style="64" customWidth="1"/>
    <col min="2" max="2" width="13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19" style="64" customWidth="1"/>
    <col min="9" max="9" width="16.28515625" style="64" customWidth="1"/>
    <col min="10" max="10" width="11.42578125" style="64" customWidth="1"/>
    <col min="11" max="11" width="14.28515625" style="64" bestFit="1" customWidth="1"/>
    <col min="12" max="12" width="12.7109375" style="64" customWidth="1"/>
    <col min="13" max="13" width="17.28515625" style="34" bestFit="1" customWidth="1"/>
    <col min="14" max="14" width="18.28515625" style="34" customWidth="1"/>
    <col min="15" max="15" width="17.140625" style="64" customWidth="1"/>
    <col min="16" max="16" width="9" style="64" customWidth="1"/>
    <col min="17" max="17" width="5.42578125" style="64" customWidth="1"/>
    <col min="18" max="18" width="5.85546875" style="64" customWidth="1"/>
    <col min="19" max="16384" width="9.140625" style="64"/>
  </cols>
  <sheetData>
    <row r="1" spans="1:17" ht="15.75">
      <c r="A1" s="21" t="s">
        <v>0</v>
      </c>
      <c r="B1" s="22"/>
      <c r="C1" s="23"/>
      <c r="D1" s="23"/>
      <c r="E1" s="23"/>
      <c r="F1" s="24"/>
      <c r="G1" s="76" t="s">
        <v>62</v>
      </c>
      <c r="H1" s="24"/>
      <c r="I1" s="24"/>
      <c r="J1" s="24"/>
      <c r="K1" s="24"/>
      <c r="L1" s="25"/>
      <c r="O1" s="34"/>
      <c r="P1" s="34"/>
      <c r="Q1" s="34"/>
    </row>
    <row r="2" spans="1:17" ht="15.75">
      <c r="A2" s="26" t="s">
        <v>43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>
      <c r="A5" s="5"/>
      <c r="B5" s="5"/>
      <c r="C5" s="10"/>
      <c r="D5" s="60"/>
      <c r="E5" s="7"/>
      <c r="F5" s="6"/>
      <c r="G5" s="8" t="s">
        <v>41</v>
      </c>
      <c r="H5" s="8" t="s">
        <v>42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>
      <c r="A8" s="52">
        <v>1</v>
      </c>
      <c r="B8" s="51" t="s">
        <v>36</v>
      </c>
      <c r="C8" s="48" t="s">
        <v>37</v>
      </c>
      <c r="D8" s="67" t="s">
        <v>44</v>
      </c>
      <c r="E8" s="17">
        <v>43102</v>
      </c>
      <c r="F8" s="20" t="s">
        <v>38</v>
      </c>
      <c r="G8" s="36">
        <v>0</v>
      </c>
      <c r="H8" s="36">
        <v>0</v>
      </c>
      <c r="I8" s="8">
        <v>0</v>
      </c>
      <c r="J8" s="8">
        <v>0</v>
      </c>
      <c r="K8" s="8">
        <v>21500</v>
      </c>
      <c r="L8" s="8">
        <v>0</v>
      </c>
      <c r="M8" s="8">
        <f>SUM(G8:L8)</f>
        <v>21500</v>
      </c>
      <c r="N8" s="8">
        <f>2150000-M8</f>
        <v>2128500</v>
      </c>
      <c r="O8" s="8">
        <f t="shared" ref="O8" si="0">+M8+N8</f>
        <v>2150000</v>
      </c>
      <c r="P8" s="35" t="s">
        <v>39</v>
      </c>
      <c r="Q8" s="58" t="s">
        <v>40</v>
      </c>
    </row>
    <row r="9" spans="1:17" ht="15.7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" si="1">SUM(G8:G9)</f>
        <v>0</v>
      </c>
      <c r="H10" s="19">
        <f t="shared" ref="H10:O10" si="2">SUM(H8:H9)</f>
        <v>0</v>
      </c>
      <c r="I10" s="19">
        <f t="shared" si="2"/>
        <v>0</v>
      </c>
      <c r="J10" s="19">
        <f t="shared" si="2"/>
        <v>0</v>
      </c>
      <c r="K10" s="19">
        <f t="shared" si="2"/>
        <v>21500</v>
      </c>
      <c r="L10" s="19">
        <f t="shared" si="2"/>
        <v>0</v>
      </c>
      <c r="M10" s="19">
        <f t="shared" si="2"/>
        <v>21500</v>
      </c>
      <c r="N10" s="19">
        <f t="shared" si="2"/>
        <v>2128500</v>
      </c>
      <c r="O10" s="19">
        <f t="shared" si="2"/>
        <v>2150000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45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>
      <c r="A13" s="38"/>
      <c r="B13" s="40" t="s">
        <v>32</v>
      </c>
      <c r="C13" s="28" t="s">
        <v>28</v>
      </c>
      <c r="D13" s="39"/>
      <c r="E13" s="34"/>
      <c r="F13" s="41"/>
      <c r="G13" s="143" t="s">
        <v>26</v>
      </c>
      <c r="H13" s="143"/>
      <c r="I13" s="143"/>
      <c r="J13" s="34"/>
      <c r="K13" s="41"/>
      <c r="L13" s="34"/>
      <c r="O13" s="34"/>
      <c r="P13" s="34"/>
      <c r="Q13" s="34"/>
    </row>
    <row r="14" spans="1:17" ht="15.7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>
      <c r="A22" s="26" t="s">
        <v>46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>
      <c r="A25" s="5"/>
      <c r="B25" s="5"/>
      <c r="C25" s="10"/>
      <c r="D25" s="60"/>
      <c r="E25" s="7"/>
      <c r="F25" s="6"/>
      <c r="G25" s="8" t="s">
        <v>41</v>
      </c>
      <c r="H25" s="8" t="s">
        <v>42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>
      <c r="A28" s="52">
        <v>1</v>
      </c>
      <c r="B28" s="51" t="s">
        <v>47</v>
      </c>
      <c r="C28" s="48" t="s">
        <v>48</v>
      </c>
      <c r="D28" s="67" t="s">
        <v>49</v>
      </c>
      <c r="E28" s="17">
        <v>43104</v>
      </c>
      <c r="F28" s="20" t="s">
        <v>50</v>
      </c>
      <c r="G28" s="36">
        <v>35856738</v>
      </c>
      <c r="H28" s="36">
        <v>0</v>
      </c>
      <c r="I28" s="8">
        <v>896418</v>
      </c>
      <c r="J28" s="8">
        <v>257642</v>
      </c>
      <c r="K28" s="8">
        <v>250000</v>
      </c>
      <c r="L28" s="8">
        <v>200000</v>
      </c>
      <c r="M28" s="8">
        <f>SUM(G28:L28)</f>
        <v>37460798</v>
      </c>
      <c r="N28" s="8">
        <f>62460798-M28</f>
        <v>25000000</v>
      </c>
      <c r="O28" s="8">
        <f t="shared" ref="O28" si="3">+M28+N28</f>
        <v>62460798</v>
      </c>
      <c r="P28" s="35" t="s">
        <v>51</v>
      </c>
      <c r="Q28" s="58" t="s">
        <v>52</v>
      </c>
    </row>
    <row r="29" spans="1:17" ht="15.7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" si="4">SUM(G28:G29)</f>
        <v>35856738</v>
      </c>
      <c r="H30" s="19">
        <f t="shared" ref="H30:O30" si="5">SUM(H28:H29)</f>
        <v>0</v>
      </c>
      <c r="I30" s="19">
        <f t="shared" si="5"/>
        <v>896418</v>
      </c>
      <c r="J30" s="19">
        <f t="shared" si="5"/>
        <v>257642</v>
      </c>
      <c r="K30" s="19">
        <f t="shared" si="5"/>
        <v>250000</v>
      </c>
      <c r="L30" s="19">
        <f t="shared" si="5"/>
        <v>200000</v>
      </c>
      <c r="M30" s="19">
        <f t="shared" si="5"/>
        <v>37460798</v>
      </c>
      <c r="N30" s="19">
        <f t="shared" si="5"/>
        <v>25000000</v>
      </c>
      <c r="O30" s="19">
        <f t="shared" si="5"/>
        <v>62460798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53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>
      <c r="A33" s="38"/>
      <c r="B33" s="40" t="s">
        <v>32</v>
      </c>
      <c r="C33" s="28" t="s">
        <v>28</v>
      </c>
      <c r="D33" s="39"/>
      <c r="E33" s="34"/>
      <c r="F33" s="41"/>
      <c r="G33" s="143" t="s">
        <v>26</v>
      </c>
      <c r="H33" s="143"/>
      <c r="I33" s="143"/>
      <c r="J33" s="34"/>
      <c r="K33" s="41"/>
      <c r="L33" s="34"/>
      <c r="O33" s="34"/>
      <c r="P33" s="34"/>
      <c r="Q33" s="34"/>
    </row>
    <row r="34" spans="1:17" ht="15.7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>
      <c r="A42" s="26" t="s">
        <v>46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>
      <c r="A45" s="5"/>
      <c r="B45" s="5"/>
      <c r="C45" s="10"/>
      <c r="D45" s="60"/>
      <c r="E45" s="7"/>
      <c r="F45" s="6"/>
      <c r="G45" s="8" t="s">
        <v>58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>
      <c r="A48" s="52">
        <v>1</v>
      </c>
      <c r="B48" s="51" t="s">
        <v>54</v>
      </c>
      <c r="C48" s="48" t="s">
        <v>55</v>
      </c>
      <c r="D48" s="67" t="s">
        <v>56</v>
      </c>
      <c r="E48" s="17">
        <v>43104</v>
      </c>
      <c r="F48" s="20" t="s">
        <v>57</v>
      </c>
      <c r="G48" s="36">
        <v>13938770</v>
      </c>
      <c r="H48" s="36">
        <v>1887500</v>
      </c>
      <c r="I48" s="8">
        <v>395657</v>
      </c>
      <c r="J48" s="8">
        <v>413224</v>
      </c>
      <c r="K48" s="8">
        <v>550000</v>
      </c>
      <c r="L48" s="8">
        <v>200000</v>
      </c>
      <c r="M48" s="8">
        <f>SUM(G48:L48)</f>
        <v>17385151</v>
      </c>
      <c r="N48" s="8">
        <f>85000000-M48</f>
        <v>67614849</v>
      </c>
      <c r="O48" s="8">
        <f t="shared" ref="O48" si="6">+M48+N48</f>
        <v>85000000</v>
      </c>
      <c r="P48" s="35" t="s">
        <v>59</v>
      </c>
      <c r="Q48" s="58" t="s">
        <v>52</v>
      </c>
    </row>
    <row r="49" spans="1:17" ht="15.7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>
      <c r="A50" s="18"/>
      <c r="B50" s="55"/>
      <c r="C50" s="56"/>
      <c r="D50" s="74"/>
      <c r="E50" s="56"/>
      <c r="F50" s="57"/>
      <c r="G50" s="19">
        <f t="shared" ref="G50" si="7">SUM(G48:G49)</f>
        <v>13938770</v>
      </c>
      <c r="H50" s="19">
        <f t="shared" ref="H50:O50" si="8">SUM(H48:H49)</f>
        <v>1887500</v>
      </c>
      <c r="I50" s="19">
        <f t="shared" si="8"/>
        <v>395657</v>
      </c>
      <c r="J50" s="19">
        <f t="shared" si="8"/>
        <v>413224</v>
      </c>
      <c r="K50" s="19">
        <f t="shared" si="8"/>
        <v>550000</v>
      </c>
      <c r="L50" s="19">
        <f t="shared" si="8"/>
        <v>200000</v>
      </c>
      <c r="M50" s="19">
        <f t="shared" si="8"/>
        <v>17385151</v>
      </c>
      <c r="N50" s="19">
        <f t="shared" si="8"/>
        <v>67614849</v>
      </c>
      <c r="O50" s="19">
        <f t="shared" si="8"/>
        <v>85000000</v>
      </c>
      <c r="P50" s="68"/>
      <c r="Q50" s="70"/>
    </row>
    <row r="51" spans="1:17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>
      <c r="A52" s="23"/>
      <c r="B52" s="28" t="s">
        <v>53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>
      <c r="A53" s="38"/>
      <c r="B53" s="40" t="s">
        <v>32</v>
      </c>
      <c r="C53" s="28" t="s">
        <v>28</v>
      </c>
      <c r="D53" s="39"/>
      <c r="E53" s="34"/>
      <c r="F53" s="41"/>
      <c r="G53" s="143" t="s">
        <v>26</v>
      </c>
      <c r="H53" s="143"/>
      <c r="I53" s="143"/>
      <c r="J53" s="34"/>
      <c r="K53" s="41"/>
      <c r="L53" s="34"/>
      <c r="O53" s="34"/>
      <c r="P53" s="34"/>
      <c r="Q53" s="34"/>
    </row>
    <row r="54" spans="1:17" ht="15.7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>
      <c r="A62" s="26" t="s">
        <v>60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>
      <c r="A65" s="5"/>
      <c r="B65" s="5"/>
      <c r="C65" s="10"/>
      <c r="D65" s="60"/>
      <c r="E65" s="7"/>
      <c r="F65" s="6"/>
      <c r="G65" s="8" t="s">
        <v>41</v>
      </c>
      <c r="H65" s="8" t="s">
        <v>42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>
      <c r="A68" s="52">
        <v>1</v>
      </c>
      <c r="B68" s="51" t="s">
        <v>36</v>
      </c>
      <c r="C68" s="48" t="s">
        <v>37</v>
      </c>
      <c r="D68" s="67" t="s">
        <v>44</v>
      </c>
      <c r="E68" s="17">
        <v>43105</v>
      </c>
      <c r="F68" s="20" t="s">
        <v>38</v>
      </c>
      <c r="G68" s="36">
        <v>0</v>
      </c>
      <c r="H68" s="36">
        <v>0</v>
      </c>
      <c r="I68" s="8">
        <v>0</v>
      </c>
      <c r="J68" s="8">
        <v>0</v>
      </c>
      <c r="K68" s="8">
        <v>26500</v>
      </c>
      <c r="L68" s="8">
        <v>0</v>
      </c>
      <c r="M68" s="8">
        <f>SUM(G68:L68)</f>
        <v>26500</v>
      </c>
      <c r="N68" s="8">
        <f>2650000-M68</f>
        <v>2623500</v>
      </c>
      <c r="O68" s="8">
        <f t="shared" ref="O68" si="9">+M68+N68</f>
        <v>2650000</v>
      </c>
      <c r="P68" s="35" t="s">
        <v>39</v>
      </c>
      <c r="Q68" s="58" t="s">
        <v>40</v>
      </c>
    </row>
    <row r="69" spans="1:17" ht="15.7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>
      <c r="A70" s="18"/>
      <c r="B70" s="55"/>
      <c r="C70" s="56"/>
      <c r="D70" s="74"/>
      <c r="E70" s="56"/>
      <c r="F70" s="57"/>
      <c r="G70" s="19">
        <f t="shared" ref="G70" si="10">SUM(G68:G69)</f>
        <v>0</v>
      </c>
      <c r="H70" s="19">
        <f t="shared" ref="H70:O70" si="11">SUM(H68:H69)</f>
        <v>0</v>
      </c>
      <c r="I70" s="19">
        <f t="shared" si="11"/>
        <v>0</v>
      </c>
      <c r="J70" s="19">
        <f t="shared" si="11"/>
        <v>0</v>
      </c>
      <c r="K70" s="19">
        <f t="shared" si="11"/>
        <v>26500</v>
      </c>
      <c r="L70" s="19">
        <f t="shared" si="11"/>
        <v>0</v>
      </c>
      <c r="M70" s="19">
        <f t="shared" si="11"/>
        <v>26500</v>
      </c>
      <c r="N70" s="19">
        <f t="shared" si="11"/>
        <v>2623500</v>
      </c>
      <c r="O70" s="19">
        <f t="shared" si="11"/>
        <v>2650000</v>
      </c>
      <c r="P70" s="68"/>
      <c r="Q70" s="70"/>
    </row>
    <row r="71" spans="1:17" ht="16.5" thickTop="1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>
      <c r="A72" s="23"/>
      <c r="B72" s="28" t="s">
        <v>61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>
      <c r="A73" s="38"/>
      <c r="B73" s="40" t="s">
        <v>32</v>
      </c>
      <c r="C73" s="28" t="s">
        <v>28</v>
      </c>
      <c r="D73" s="39"/>
      <c r="E73" s="34"/>
      <c r="F73" s="41"/>
      <c r="G73" s="143" t="s">
        <v>26</v>
      </c>
      <c r="H73" s="143"/>
      <c r="I73" s="143"/>
      <c r="J73" s="34"/>
      <c r="K73" s="41"/>
      <c r="L73" s="34"/>
      <c r="O73" s="34"/>
      <c r="P73" s="34"/>
      <c r="Q73" s="34"/>
    </row>
    <row r="74" spans="1:17" ht="15.7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>
      <c r="A82" s="26" t="s">
        <v>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>
      <c r="A85" s="5"/>
      <c r="B85" s="5"/>
      <c r="C85" s="10"/>
      <c r="D85" s="60"/>
      <c r="E85" s="7"/>
      <c r="F85" s="6"/>
      <c r="G85" s="8" t="s">
        <v>41</v>
      </c>
      <c r="H85" s="8" t="s">
        <v>42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>
      <c r="A88" s="52">
        <v>1</v>
      </c>
      <c r="B88" s="51" t="s">
        <v>63</v>
      </c>
      <c r="C88" s="48" t="s">
        <v>64</v>
      </c>
      <c r="D88" s="67" t="s">
        <v>65</v>
      </c>
      <c r="E88" s="17">
        <v>43105</v>
      </c>
      <c r="F88" s="20" t="s">
        <v>66</v>
      </c>
      <c r="G88" s="36">
        <v>47480000</v>
      </c>
      <c r="H88" s="36">
        <v>0</v>
      </c>
      <c r="I88" s="8">
        <v>1187000</v>
      </c>
      <c r="J88" s="8">
        <v>232258</v>
      </c>
      <c r="K88" s="8">
        <v>450000</v>
      </c>
      <c r="L88" s="8">
        <v>200000</v>
      </c>
      <c r="M88" s="8">
        <f>SUM(G88:L88)</f>
        <v>49549258</v>
      </c>
      <c r="N88" s="8">
        <f>94549258-M88</f>
        <v>45000000</v>
      </c>
      <c r="O88" s="8">
        <f t="shared" ref="O88" si="12">+M88+N88</f>
        <v>94549258</v>
      </c>
      <c r="P88" s="77" t="s">
        <v>67</v>
      </c>
      <c r="Q88" s="58" t="s">
        <v>52</v>
      </c>
    </row>
    <row r="89" spans="1:17" ht="15.7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>
      <c r="A90" s="18"/>
      <c r="B90" s="55"/>
      <c r="C90" s="56"/>
      <c r="D90" s="74"/>
      <c r="E90" s="56"/>
      <c r="F90" s="57"/>
      <c r="G90" s="19">
        <f t="shared" ref="G90" si="13">SUM(G88:G89)</f>
        <v>47480000</v>
      </c>
      <c r="H90" s="19">
        <f t="shared" ref="H90:O90" si="14">SUM(H88:H89)</f>
        <v>0</v>
      </c>
      <c r="I90" s="19">
        <f t="shared" si="14"/>
        <v>1187000</v>
      </c>
      <c r="J90" s="19">
        <f t="shared" si="14"/>
        <v>232258</v>
      </c>
      <c r="K90" s="19">
        <f t="shared" si="14"/>
        <v>450000</v>
      </c>
      <c r="L90" s="19">
        <f t="shared" si="14"/>
        <v>200000</v>
      </c>
      <c r="M90" s="19">
        <f t="shared" si="14"/>
        <v>49549258</v>
      </c>
      <c r="N90" s="19">
        <f t="shared" si="14"/>
        <v>45000000</v>
      </c>
      <c r="O90" s="19">
        <f t="shared" si="14"/>
        <v>94549258</v>
      </c>
      <c r="P90" s="68"/>
      <c r="Q90" s="70"/>
    </row>
    <row r="91" spans="1:17" ht="16.5" thickTop="1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>
      <c r="A92" s="23"/>
      <c r="B92" s="28" t="s">
        <v>61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>
      <c r="A93" s="38"/>
      <c r="B93" s="40" t="s">
        <v>32</v>
      </c>
      <c r="C93" s="28" t="s">
        <v>28</v>
      </c>
      <c r="D93" s="39"/>
      <c r="E93" s="34"/>
      <c r="F93" s="41"/>
      <c r="G93" s="143" t="s">
        <v>26</v>
      </c>
      <c r="H93" s="143"/>
      <c r="I93" s="143"/>
      <c r="J93" s="34"/>
      <c r="K93" s="41"/>
      <c r="L93" s="34"/>
      <c r="O93" s="34"/>
      <c r="P93" s="34"/>
      <c r="Q93" s="34"/>
    </row>
    <row r="94" spans="1:17" ht="15.7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>
      <c r="A102" s="26" t="s">
        <v>68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>
      <c r="A105" s="5"/>
      <c r="B105" s="5"/>
      <c r="C105" s="10"/>
      <c r="D105" s="60"/>
      <c r="E105" s="7"/>
      <c r="F105" s="6"/>
      <c r="G105" s="8" t="s">
        <v>41</v>
      </c>
      <c r="H105" s="8" t="s">
        <v>42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>
      <c r="A108" s="52">
        <v>1</v>
      </c>
      <c r="B108" s="51" t="s">
        <v>69</v>
      </c>
      <c r="C108" s="48" t="s">
        <v>70</v>
      </c>
      <c r="D108" s="67" t="s">
        <v>71</v>
      </c>
      <c r="E108" s="17">
        <v>43109</v>
      </c>
      <c r="F108" s="20" t="s">
        <v>72</v>
      </c>
      <c r="G108" s="36">
        <v>0</v>
      </c>
      <c r="H108" s="36">
        <v>0</v>
      </c>
      <c r="I108" s="8">
        <v>0</v>
      </c>
      <c r="J108" s="8">
        <v>0</v>
      </c>
      <c r="K108" s="8">
        <v>25000</v>
      </c>
      <c r="L108" s="8">
        <v>0</v>
      </c>
      <c r="M108" s="8">
        <f>SUM(G108:L108)</f>
        <v>25000</v>
      </c>
      <c r="N108" s="8">
        <f>2500000-M108</f>
        <v>2475000</v>
      </c>
      <c r="O108" s="8">
        <f t="shared" ref="O108" si="15">+M108+N108</f>
        <v>2500000</v>
      </c>
      <c r="P108" s="35" t="s">
        <v>73</v>
      </c>
      <c r="Q108" s="58" t="s">
        <v>74</v>
      </c>
    </row>
    <row r="109" spans="1:17" ht="15.7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>
      <c r="A110" s="18"/>
      <c r="B110" s="55"/>
      <c r="C110" s="56"/>
      <c r="D110" s="74"/>
      <c r="E110" s="56"/>
      <c r="F110" s="57"/>
      <c r="G110" s="19">
        <f t="shared" ref="G110" si="16">SUM(G108:G109)</f>
        <v>0</v>
      </c>
      <c r="H110" s="19">
        <f t="shared" ref="H110:O110" si="17">SUM(H108:H109)</f>
        <v>0</v>
      </c>
      <c r="I110" s="19">
        <f t="shared" si="17"/>
        <v>0</v>
      </c>
      <c r="J110" s="19">
        <f t="shared" si="17"/>
        <v>0</v>
      </c>
      <c r="K110" s="19">
        <f t="shared" si="17"/>
        <v>25000</v>
      </c>
      <c r="L110" s="19">
        <f t="shared" si="17"/>
        <v>0</v>
      </c>
      <c r="M110" s="19">
        <f t="shared" si="17"/>
        <v>25000</v>
      </c>
      <c r="N110" s="19">
        <f t="shared" si="17"/>
        <v>2475000</v>
      </c>
      <c r="O110" s="19">
        <f t="shared" si="17"/>
        <v>2500000</v>
      </c>
      <c r="P110" s="68"/>
      <c r="Q110" s="70"/>
    </row>
    <row r="111" spans="1:17" ht="16.5" thickTop="1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>
      <c r="A112" s="23"/>
      <c r="B112" s="28" t="s">
        <v>75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>
      <c r="A113" s="38"/>
      <c r="B113" s="40" t="s">
        <v>32</v>
      </c>
      <c r="C113" s="28" t="s">
        <v>28</v>
      </c>
      <c r="D113" s="39"/>
      <c r="E113" s="34"/>
      <c r="F113" s="41"/>
      <c r="G113" s="143" t="s">
        <v>26</v>
      </c>
      <c r="H113" s="143"/>
      <c r="I113" s="143"/>
      <c r="J113" s="34"/>
      <c r="K113" s="41"/>
      <c r="L113" s="34"/>
      <c r="O113" s="34"/>
      <c r="P113" s="34"/>
      <c r="Q113" s="34"/>
    </row>
    <row r="114" spans="1:17" ht="15.7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>
      <c r="A122" s="26" t="s">
        <v>76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>
      <c r="A125" s="5"/>
      <c r="B125" s="5"/>
      <c r="C125" s="10"/>
      <c r="D125" s="60"/>
      <c r="E125" s="7"/>
      <c r="F125" s="6"/>
      <c r="G125" s="8" t="s">
        <v>81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>
      <c r="A128" s="52">
        <v>1</v>
      </c>
      <c r="B128" s="51" t="s">
        <v>77</v>
      </c>
      <c r="C128" s="48" t="s">
        <v>78</v>
      </c>
      <c r="D128" s="67" t="s">
        <v>79</v>
      </c>
      <c r="E128" s="17">
        <v>43110</v>
      </c>
      <c r="F128" s="20" t="s">
        <v>80</v>
      </c>
      <c r="G128" s="36">
        <v>2099250</v>
      </c>
      <c r="H128" s="36">
        <v>75519657</v>
      </c>
      <c r="I128" s="8">
        <v>1940473</v>
      </c>
      <c r="J128" s="8">
        <v>544869</v>
      </c>
      <c r="K128" s="8">
        <v>150000</v>
      </c>
      <c r="L128" s="8">
        <v>200000</v>
      </c>
      <c r="M128" s="8">
        <f>SUM(G128:L128)</f>
        <v>80454249</v>
      </c>
      <c r="N128" s="8">
        <f>95454249-M128</f>
        <v>15000000</v>
      </c>
      <c r="O128" s="8">
        <f t="shared" ref="O128" si="18">+M128+N128</f>
        <v>95454249</v>
      </c>
      <c r="P128" s="35" t="s">
        <v>73</v>
      </c>
      <c r="Q128" s="58" t="s">
        <v>83</v>
      </c>
    </row>
    <row r="129" spans="1:17" ht="15.7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>
      <c r="A130" s="18"/>
      <c r="B130" s="55"/>
      <c r="C130" s="56"/>
      <c r="D130" s="74"/>
      <c r="E130" s="56"/>
      <c r="F130" s="57"/>
      <c r="G130" s="19">
        <f t="shared" ref="G130" si="19">SUM(G128:G129)</f>
        <v>2099250</v>
      </c>
      <c r="H130" s="19">
        <f t="shared" ref="H130:O130" si="20">SUM(H128:H129)</f>
        <v>75519657</v>
      </c>
      <c r="I130" s="19">
        <f t="shared" si="20"/>
        <v>1940473</v>
      </c>
      <c r="J130" s="19">
        <f t="shared" si="20"/>
        <v>544869</v>
      </c>
      <c r="K130" s="19">
        <f t="shared" si="20"/>
        <v>150000</v>
      </c>
      <c r="L130" s="19">
        <f t="shared" si="20"/>
        <v>200000</v>
      </c>
      <c r="M130" s="19">
        <f t="shared" si="20"/>
        <v>80454249</v>
      </c>
      <c r="N130" s="19">
        <f t="shared" si="20"/>
        <v>15000000</v>
      </c>
      <c r="O130" s="19">
        <f t="shared" si="20"/>
        <v>95454249</v>
      </c>
      <c r="P130" s="68"/>
      <c r="Q130" s="70"/>
    </row>
    <row r="131" spans="1:17" ht="16.5" thickTop="1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>
      <c r="A132" s="23"/>
      <c r="B132" s="28" t="s">
        <v>82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>
      <c r="A133" s="38"/>
      <c r="B133" s="40" t="s">
        <v>32</v>
      </c>
      <c r="C133" s="28" t="s">
        <v>28</v>
      </c>
      <c r="D133" s="39"/>
      <c r="E133" s="34"/>
      <c r="F133" s="41"/>
      <c r="G133" s="143" t="s">
        <v>26</v>
      </c>
      <c r="H133" s="143"/>
      <c r="I133" s="143"/>
      <c r="J133" s="34"/>
      <c r="K133" s="41"/>
      <c r="L133" s="34"/>
      <c r="O133" s="34"/>
      <c r="P133" s="34"/>
      <c r="Q133" s="34"/>
    </row>
    <row r="134" spans="1:17" ht="15.7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1" spans="1:17" ht="15.7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>
      <c r="A142" s="26" t="s">
        <v>84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>
      <c r="A145" s="5"/>
      <c r="B145" s="5"/>
      <c r="C145" s="10"/>
      <c r="D145" s="60"/>
      <c r="E145" s="7"/>
      <c r="F145" s="6"/>
      <c r="G145" s="8" t="s">
        <v>81</v>
      </c>
      <c r="H145" s="8" t="s">
        <v>58</v>
      </c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>
      <c r="A148" s="52">
        <v>1</v>
      </c>
      <c r="B148" s="51" t="s">
        <v>85</v>
      </c>
      <c r="C148" s="48" t="s">
        <v>86</v>
      </c>
      <c r="D148" s="67" t="s">
        <v>87</v>
      </c>
      <c r="E148" s="17">
        <v>43111</v>
      </c>
      <c r="F148" s="20" t="s">
        <v>88</v>
      </c>
      <c r="G148" s="36">
        <v>0</v>
      </c>
      <c r="H148" s="36">
        <v>43719000</v>
      </c>
      <c r="I148" s="8">
        <v>1092975</v>
      </c>
      <c r="J148" s="8">
        <v>445161</v>
      </c>
      <c r="K148" s="8">
        <v>170000</v>
      </c>
      <c r="L148" s="8">
        <v>200000</v>
      </c>
      <c r="M148" s="8">
        <f>SUM(G148:L148)</f>
        <v>45627136</v>
      </c>
      <c r="N148" s="8">
        <f>62627136-M148</f>
        <v>17000000</v>
      </c>
      <c r="O148" s="8">
        <f t="shared" ref="O148" si="21">+M148+N148</f>
        <v>62627136</v>
      </c>
      <c r="P148" s="59" t="s">
        <v>59</v>
      </c>
      <c r="Q148" s="58" t="s">
        <v>83</v>
      </c>
    </row>
    <row r="149" spans="1:17" ht="15.75">
      <c r="A149" s="52"/>
      <c r="B149" s="51"/>
      <c r="C149" s="48"/>
      <c r="D149" s="34"/>
      <c r="E149" s="17"/>
      <c r="F149" s="48"/>
      <c r="G149" s="36"/>
      <c r="H149" s="36"/>
      <c r="I149" s="36"/>
      <c r="J149" s="36"/>
      <c r="K149" s="36"/>
      <c r="L149" s="34"/>
      <c r="M149" s="8"/>
      <c r="N149" s="8"/>
      <c r="O149" s="8"/>
      <c r="P149" s="59"/>
      <c r="Q149" s="66"/>
    </row>
    <row r="150" spans="1:17" ht="16.5" thickBot="1">
      <c r="A150" s="18"/>
      <c r="B150" s="55"/>
      <c r="C150" s="56"/>
      <c r="D150" s="74"/>
      <c r="E150" s="56"/>
      <c r="F150" s="57"/>
      <c r="G150" s="19">
        <f t="shared" ref="G150" si="22">SUM(G148:G149)</f>
        <v>0</v>
      </c>
      <c r="H150" s="19">
        <f t="shared" ref="H150:O150" si="23">SUM(H148:H149)</f>
        <v>43719000</v>
      </c>
      <c r="I150" s="19">
        <f t="shared" si="23"/>
        <v>1092975</v>
      </c>
      <c r="J150" s="19">
        <f t="shared" si="23"/>
        <v>445161</v>
      </c>
      <c r="K150" s="19">
        <f t="shared" si="23"/>
        <v>170000</v>
      </c>
      <c r="L150" s="19">
        <f t="shared" si="23"/>
        <v>200000</v>
      </c>
      <c r="M150" s="19">
        <f t="shared" si="23"/>
        <v>45627136</v>
      </c>
      <c r="N150" s="19">
        <f t="shared" si="23"/>
        <v>17000000</v>
      </c>
      <c r="O150" s="19">
        <f t="shared" si="23"/>
        <v>62627136</v>
      </c>
      <c r="P150" s="68"/>
      <c r="Q150" s="70"/>
    </row>
    <row r="151" spans="1:17" ht="16.5" thickTop="1">
      <c r="A151" s="23"/>
      <c r="B151" s="22"/>
      <c r="C151" s="22"/>
      <c r="D151" s="23"/>
      <c r="E151" s="22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2"/>
      <c r="Q151" s="69"/>
    </row>
    <row r="152" spans="1:17" ht="15.75">
      <c r="A152" s="23"/>
      <c r="B152" s="28" t="s">
        <v>89</v>
      </c>
      <c r="C152" s="22"/>
      <c r="D152" s="39"/>
      <c r="E152" s="34"/>
      <c r="F152" s="27"/>
      <c r="G152" s="28"/>
      <c r="H152" s="28"/>
      <c r="I152" s="28"/>
      <c r="J152" s="28"/>
      <c r="K152" s="28"/>
      <c r="L152" s="28"/>
      <c r="O152" s="34"/>
      <c r="P152" s="34"/>
      <c r="Q152" s="51"/>
    </row>
    <row r="153" spans="1:17" ht="15.75">
      <c r="A153" s="38"/>
      <c r="B153" s="40" t="s">
        <v>32</v>
      </c>
      <c r="C153" s="28" t="s">
        <v>28</v>
      </c>
      <c r="D153" s="39"/>
      <c r="E153" s="34"/>
      <c r="F153" s="41"/>
      <c r="G153" s="143" t="s">
        <v>26</v>
      </c>
      <c r="H153" s="143"/>
      <c r="I153" s="143"/>
      <c r="J153" s="34"/>
      <c r="K153" s="41"/>
      <c r="L153" s="34"/>
      <c r="O153" s="34"/>
      <c r="P153" s="34"/>
      <c r="Q153" s="34"/>
    </row>
    <row r="154" spans="1:17" ht="15.75">
      <c r="A154" s="38"/>
      <c r="B154" s="40"/>
      <c r="C154" s="28"/>
      <c r="D154" s="39"/>
      <c r="E154" s="34"/>
      <c r="F154" s="28"/>
      <c r="G154" s="28"/>
      <c r="H154" s="28"/>
      <c r="I154" s="28"/>
      <c r="J154" s="28"/>
      <c r="K154" s="28"/>
      <c r="L154" s="28"/>
      <c r="O154" s="34"/>
      <c r="P154" s="34"/>
      <c r="Q154" s="34"/>
    </row>
    <row r="155" spans="1:17" ht="15.7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34"/>
      <c r="O156" s="34"/>
      <c r="P156" s="34"/>
      <c r="Q156" s="34"/>
    </row>
    <row r="157" spans="1:17" ht="15.7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28"/>
      <c r="O157" s="34"/>
      <c r="P157" s="34"/>
      <c r="Q157" s="34"/>
    </row>
    <row r="158" spans="1:17" ht="15.75">
      <c r="A158" s="38" t="s">
        <v>23</v>
      </c>
      <c r="B158" s="42" t="s">
        <v>27</v>
      </c>
      <c r="C158" s="43" t="s">
        <v>24</v>
      </c>
      <c r="D158" s="39"/>
      <c r="E158" s="34"/>
      <c r="F158" s="29"/>
      <c r="G158" s="29" t="s">
        <v>16</v>
      </c>
      <c r="H158" s="29"/>
      <c r="I158" s="29" t="s">
        <v>30</v>
      </c>
      <c r="J158" s="34"/>
      <c r="K158" s="34"/>
      <c r="L158" s="34"/>
      <c r="O158" s="34"/>
      <c r="P158" s="34"/>
      <c r="Q158" s="34"/>
    </row>
    <row r="159" spans="1:17" ht="15.75">
      <c r="A159" s="38"/>
      <c r="B159" s="44" t="s">
        <v>31</v>
      </c>
      <c r="C159" s="45" t="s">
        <v>20</v>
      </c>
      <c r="D159" s="39"/>
      <c r="E159" s="34"/>
      <c r="F159" s="46"/>
      <c r="G159" s="46" t="s">
        <v>17</v>
      </c>
      <c r="H159" s="46"/>
      <c r="I159" s="46" t="s">
        <v>25</v>
      </c>
      <c r="J159" s="34"/>
      <c r="K159" s="34"/>
      <c r="L159" s="34"/>
      <c r="O159" s="34"/>
      <c r="P159" s="34"/>
      <c r="Q159" s="34"/>
    </row>
    <row r="161" spans="1:16" customFormat="1" ht="15.75">
      <c r="A161" s="21" t="s">
        <v>0</v>
      </c>
      <c r="B161" s="22"/>
      <c r="C161" s="23"/>
      <c r="D161" s="23"/>
      <c r="E161" s="23"/>
      <c r="F161" s="89" t="s">
        <v>99</v>
      </c>
      <c r="G161" s="24"/>
      <c r="H161" s="24"/>
      <c r="I161" s="24"/>
      <c r="J161" s="24"/>
      <c r="K161" s="24"/>
      <c r="L161" s="25"/>
      <c r="M161" s="34"/>
      <c r="N161" s="34"/>
      <c r="O161" s="34"/>
      <c r="P161" s="34"/>
    </row>
    <row r="162" spans="1:16" customFormat="1" ht="15.75">
      <c r="A162" s="26" t="s">
        <v>97</v>
      </c>
      <c r="B162" s="21"/>
      <c r="C162" s="21"/>
      <c r="D162" s="21"/>
      <c r="E162" s="21"/>
      <c r="F162" s="24"/>
      <c r="G162" s="76"/>
      <c r="H162" s="24"/>
      <c r="I162" s="24"/>
      <c r="J162" s="24"/>
      <c r="K162" s="24"/>
      <c r="L162" s="25"/>
      <c r="M162" s="34"/>
      <c r="N162" s="34"/>
      <c r="O162" s="34"/>
      <c r="P162" s="34"/>
    </row>
    <row r="163" spans="1:16" customFormat="1" ht="15.75">
      <c r="A163" s="1"/>
      <c r="B163" s="1" t="s">
        <v>1</v>
      </c>
      <c r="C163" s="2" t="s">
        <v>2</v>
      </c>
      <c r="D163" s="78" t="s">
        <v>34</v>
      </c>
      <c r="E163" s="3" t="s">
        <v>3</v>
      </c>
      <c r="F163" s="2" t="s">
        <v>4</v>
      </c>
      <c r="G163" s="4" t="s">
        <v>18</v>
      </c>
      <c r="H163" s="4" t="s">
        <v>18</v>
      </c>
      <c r="I163" s="63" t="s">
        <v>7</v>
      </c>
      <c r="J163" s="32" t="s">
        <v>29</v>
      </c>
      <c r="K163" s="32" t="s">
        <v>21</v>
      </c>
      <c r="L163" s="4" t="s">
        <v>8</v>
      </c>
      <c r="M163" s="30" t="s">
        <v>8</v>
      </c>
      <c r="N163" s="4" t="s">
        <v>9</v>
      </c>
      <c r="O163" s="79" t="s">
        <v>10</v>
      </c>
      <c r="P163" s="54" t="s">
        <v>33</v>
      </c>
    </row>
    <row r="164" spans="1:16" customFormat="1" ht="15.75">
      <c r="A164" s="5"/>
      <c r="B164" s="5"/>
      <c r="C164" s="6"/>
      <c r="D164" s="80"/>
      <c r="E164" s="7"/>
      <c r="F164" s="6"/>
      <c r="G164" s="8" t="s">
        <v>11</v>
      </c>
      <c r="H164" s="8" t="s">
        <v>11</v>
      </c>
      <c r="I164" s="31" t="s">
        <v>19</v>
      </c>
      <c r="J164" s="33" t="s">
        <v>22</v>
      </c>
      <c r="K164" s="33" t="s">
        <v>15</v>
      </c>
      <c r="L164" s="8" t="s">
        <v>13</v>
      </c>
      <c r="M164" s="31" t="s">
        <v>14</v>
      </c>
      <c r="N164" s="8" t="s">
        <v>12</v>
      </c>
      <c r="O164" s="5"/>
      <c r="P164" s="9"/>
    </row>
    <row r="165" spans="1:16" customFormat="1" ht="15.75">
      <c r="A165" s="5"/>
      <c r="B165" s="5"/>
      <c r="C165" s="10"/>
      <c r="D165" s="80"/>
      <c r="E165" s="7"/>
      <c r="F165" s="6"/>
      <c r="G165" s="8" t="s">
        <v>90</v>
      </c>
      <c r="H165" s="8" t="s">
        <v>81</v>
      </c>
      <c r="I165" s="31" t="s">
        <v>5</v>
      </c>
      <c r="J165" s="8"/>
      <c r="K165" s="8"/>
      <c r="L165" s="8"/>
      <c r="M165" s="8"/>
      <c r="N165" s="8"/>
      <c r="O165" s="5"/>
      <c r="P165" s="9"/>
    </row>
    <row r="166" spans="1:16" customFormat="1" ht="15.75">
      <c r="A166" s="11"/>
      <c r="B166" s="11"/>
      <c r="C166" s="12"/>
      <c r="D166" s="81"/>
      <c r="E166" s="13"/>
      <c r="F166" s="14"/>
      <c r="G166" s="15"/>
      <c r="H166" s="82"/>
      <c r="I166" s="50"/>
      <c r="J166" s="15"/>
      <c r="K166" s="49"/>
      <c r="L166" s="15"/>
      <c r="M166" s="15"/>
      <c r="N166" s="15"/>
      <c r="O166" s="11"/>
      <c r="P166" s="16"/>
    </row>
    <row r="167" spans="1:16" customFormat="1" ht="15.75">
      <c r="A167" s="52"/>
      <c r="B167" s="47"/>
      <c r="C167" s="48" t="s">
        <v>91</v>
      </c>
      <c r="D167" s="83"/>
      <c r="E167" s="17"/>
      <c r="F167" s="48"/>
      <c r="G167" s="36"/>
      <c r="H167" s="36"/>
      <c r="I167" s="36"/>
      <c r="J167" s="36"/>
      <c r="K167" s="36"/>
      <c r="L167" s="8"/>
      <c r="M167" s="8"/>
      <c r="N167" s="8"/>
      <c r="O167" s="35"/>
      <c r="P167" s="37"/>
    </row>
    <row r="168" spans="1:16" customFormat="1" ht="15.75">
      <c r="A168" s="52">
        <v>1</v>
      </c>
      <c r="B168" s="84" t="s">
        <v>92</v>
      </c>
      <c r="C168" s="48" t="s">
        <v>93</v>
      </c>
      <c r="D168" s="67" t="s">
        <v>94</v>
      </c>
      <c r="E168" s="17">
        <v>43112</v>
      </c>
      <c r="F168" s="48" t="s">
        <v>95</v>
      </c>
      <c r="G168" s="36">
        <v>0</v>
      </c>
      <c r="H168" s="36">
        <v>0</v>
      </c>
      <c r="I168" s="36">
        <v>0</v>
      </c>
      <c r="J168" s="8">
        <v>50000</v>
      </c>
      <c r="K168" s="8">
        <v>0</v>
      </c>
      <c r="L168" s="8">
        <f t="shared" ref="L168" si="24">SUM(G168:K168)</f>
        <v>50000</v>
      </c>
      <c r="M168" s="8">
        <f>15000000-L168</f>
        <v>14950000</v>
      </c>
      <c r="N168" s="8">
        <f t="shared" ref="N168" si="25">+L168+M168</f>
        <v>15000000</v>
      </c>
      <c r="O168" s="85" t="s">
        <v>96</v>
      </c>
      <c r="P168" s="60" t="s">
        <v>22</v>
      </c>
    </row>
    <row r="169" spans="1:16" customFormat="1" ht="15.75">
      <c r="A169" s="52"/>
      <c r="B169" s="51"/>
      <c r="C169" s="48"/>
      <c r="D169" s="64"/>
      <c r="E169" s="17"/>
      <c r="F169" s="48"/>
      <c r="G169" s="36"/>
      <c r="H169" s="36"/>
      <c r="I169" s="36"/>
      <c r="J169" s="36"/>
      <c r="K169" s="36"/>
      <c r="L169" s="8"/>
      <c r="M169" s="8"/>
      <c r="N169" s="8"/>
      <c r="O169" s="77"/>
      <c r="P169" s="86"/>
    </row>
    <row r="170" spans="1:16" customFormat="1" ht="16.5" thickBot="1">
      <c r="A170" s="18"/>
      <c r="B170" s="55"/>
      <c r="C170" s="56"/>
      <c r="D170" s="87"/>
      <c r="E170" s="56"/>
      <c r="F170" s="57"/>
      <c r="G170" s="19">
        <f t="shared" ref="G170:N170" si="26">SUM(G168:G169)</f>
        <v>0</v>
      </c>
      <c r="H170" s="19">
        <f t="shared" si="26"/>
        <v>0</v>
      </c>
      <c r="I170" s="19">
        <f t="shared" si="26"/>
        <v>0</v>
      </c>
      <c r="J170" s="19">
        <f t="shared" si="26"/>
        <v>50000</v>
      </c>
      <c r="K170" s="19">
        <f t="shared" si="26"/>
        <v>0</v>
      </c>
      <c r="L170" s="19">
        <f t="shared" si="26"/>
        <v>50000</v>
      </c>
      <c r="M170" s="19">
        <f t="shared" si="26"/>
        <v>14950000</v>
      </c>
      <c r="N170" s="19">
        <f t="shared" si="26"/>
        <v>15000000</v>
      </c>
      <c r="O170" s="88"/>
      <c r="P170" s="88"/>
    </row>
    <row r="171" spans="1:16" customFormat="1" ht="16.5" thickTop="1">
      <c r="A171" s="23"/>
      <c r="B171" s="22"/>
      <c r="C171" s="22"/>
      <c r="D171" s="23"/>
      <c r="E171" s="22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2"/>
    </row>
    <row r="172" spans="1:16" customFormat="1" ht="15.75">
      <c r="A172" s="23"/>
      <c r="B172" s="28" t="s">
        <v>98</v>
      </c>
      <c r="C172" s="22"/>
      <c r="D172" s="39"/>
      <c r="E172" s="34"/>
      <c r="F172" s="27"/>
      <c r="G172" s="28"/>
      <c r="H172" s="28"/>
      <c r="I172" s="28"/>
      <c r="J172" s="28"/>
      <c r="K172" s="28"/>
      <c r="L172" s="28"/>
      <c r="M172" s="34"/>
      <c r="N172" s="34"/>
      <c r="O172" s="34"/>
      <c r="P172" s="34"/>
    </row>
    <row r="173" spans="1:16" customFormat="1" ht="15.75">
      <c r="A173" s="38"/>
      <c r="B173" s="40" t="s">
        <v>32</v>
      </c>
      <c r="C173" s="28" t="s">
        <v>28</v>
      </c>
      <c r="D173" s="39"/>
      <c r="E173" s="64"/>
      <c r="F173" s="41"/>
      <c r="G173" s="143" t="s">
        <v>26</v>
      </c>
      <c r="H173" s="143"/>
      <c r="I173" s="143"/>
      <c r="J173" s="34"/>
      <c r="K173" s="41"/>
      <c r="L173" s="34"/>
      <c r="M173" s="34"/>
      <c r="N173" s="34"/>
      <c r="O173" s="34"/>
      <c r="P173" s="34"/>
    </row>
    <row r="174" spans="1:16" customFormat="1" ht="15.75">
      <c r="A174" s="38"/>
      <c r="B174" s="40"/>
      <c r="C174" s="28"/>
      <c r="D174" s="39"/>
      <c r="E174" s="64"/>
      <c r="F174" s="28"/>
      <c r="G174" s="28"/>
      <c r="H174" s="28"/>
      <c r="I174" s="28"/>
      <c r="J174" s="28"/>
      <c r="K174" s="28"/>
      <c r="L174" s="28"/>
      <c r="M174" s="34"/>
      <c r="N174" s="34"/>
      <c r="O174" s="34"/>
      <c r="P174" s="34"/>
    </row>
    <row r="175" spans="1:16" customFormat="1" ht="15.75">
      <c r="A175" s="38"/>
      <c r="B175" s="40"/>
      <c r="C175" s="28"/>
      <c r="D175" s="39"/>
      <c r="E175" s="64"/>
      <c r="F175" s="28"/>
      <c r="G175" s="28"/>
      <c r="H175" s="28"/>
      <c r="I175" s="28"/>
      <c r="J175" s="28"/>
      <c r="K175" s="28"/>
      <c r="L175" s="28"/>
      <c r="M175" s="34"/>
      <c r="N175" s="34"/>
      <c r="O175" s="34"/>
      <c r="P175" s="34"/>
    </row>
    <row r="176" spans="1:16" customFormat="1" ht="15.75">
      <c r="A176" s="38"/>
      <c r="B176" s="40"/>
      <c r="C176" s="28"/>
      <c r="D176" s="39"/>
      <c r="E176" s="64"/>
      <c r="F176" s="28"/>
      <c r="G176" s="28"/>
      <c r="H176" s="28"/>
      <c r="I176" s="28"/>
      <c r="J176" s="28"/>
      <c r="K176" s="28"/>
      <c r="L176" s="34"/>
      <c r="M176" s="34"/>
      <c r="N176" s="34"/>
      <c r="O176" s="34"/>
      <c r="P176" s="34"/>
    </row>
    <row r="177" spans="1:17" customFormat="1" ht="15.75">
      <c r="A177" s="38"/>
      <c r="B177" s="40"/>
      <c r="C177" s="28"/>
      <c r="D177" s="39"/>
      <c r="E177" s="64"/>
      <c r="F177" s="28"/>
      <c r="G177" s="28"/>
      <c r="H177" s="28"/>
      <c r="I177" s="28"/>
      <c r="J177" s="28"/>
      <c r="K177" s="28"/>
      <c r="L177" s="28"/>
      <c r="M177" s="34"/>
      <c r="N177" s="34"/>
      <c r="O177" s="34"/>
      <c r="P177" s="34"/>
    </row>
    <row r="178" spans="1:17" customFormat="1" ht="15.75">
      <c r="A178" s="38" t="s">
        <v>23</v>
      </c>
      <c r="B178" s="42" t="s">
        <v>27</v>
      </c>
      <c r="C178" s="43" t="s">
        <v>24</v>
      </c>
      <c r="D178" s="39"/>
      <c r="E178" s="64"/>
      <c r="F178" s="29"/>
      <c r="G178" s="29" t="s">
        <v>16</v>
      </c>
      <c r="H178" s="29"/>
      <c r="I178" s="29" t="s">
        <v>30</v>
      </c>
      <c r="J178" s="34"/>
      <c r="K178" s="34"/>
      <c r="L178" s="34"/>
      <c r="M178" s="34"/>
      <c r="N178" s="34"/>
      <c r="O178" s="34"/>
      <c r="P178" s="34"/>
    </row>
    <row r="179" spans="1:17" customFormat="1" ht="15.75">
      <c r="A179" s="38"/>
      <c r="B179" s="44" t="s">
        <v>31</v>
      </c>
      <c r="C179" s="45" t="s">
        <v>20</v>
      </c>
      <c r="D179" s="39"/>
      <c r="E179" s="64"/>
      <c r="F179" s="46"/>
      <c r="G179" s="46" t="s">
        <v>17</v>
      </c>
      <c r="H179" s="46"/>
      <c r="I179" s="46" t="s">
        <v>25</v>
      </c>
      <c r="J179" s="34"/>
      <c r="K179" s="34"/>
      <c r="L179" s="34"/>
      <c r="M179" s="34"/>
      <c r="N179" s="34"/>
      <c r="O179" s="34"/>
      <c r="P179" s="34"/>
    </row>
    <row r="181" spans="1:17" ht="15.75">
      <c r="A181" s="21" t="s">
        <v>0</v>
      </c>
      <c r="B181" s="22"/>
      <c r="C181" s="23"/>
      <c r="D181" s="23"/>
      <c r="E181" s="23"/>
      <c r="F181" s="24"/>
      <c r="G181" s="24"/>
      <c r="H181" s="24"/>
      <c r="I181" s="24"/>
      <c r="J181" s="24"/>
      <c r="K181" s="24"/>
      <c r="L181" s="25"/>
      <c r="O181" s="34"/>
      <c r="P181" s="34"/>
      <c r="Q181" s="34"/>
    </row>
    <row r="182" spans="1:17" ht="15.75">
      <c r="A182" s="26" t="s">
        <v>100</v>
      </c>
      <c r="B182" s="21"/>
      <c r="C182" s="21"/>
      <c r="D182" s="21"/>
      <c r="E182" s="21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>
      <c r="A183" s="1"/>
      <c r="B183" s="1" t="s">
        <v>1</v>
      </c>
      <c r="C183" s="2" t="s">
        <v>2</v>
      </c>
      <c r="D183" s="71" t="s">
        <v>34</v>
      </c>
      <c r="E183" s="3" t="s">
        <v>3</v>
      </c>
      <c r="F183" s="2" t="s">
        <v>4</v>
      </c>
      <c r="G183" s="4" t="s">
        <v>18</v>
      </c>
      <c r="H183" s="4" t="s">
        <v>18</v>
      </c>
      <c r="I183" s="63" t="s">
        <v>7</v>
      </c>
      <c r="J183" s="65" t="s">
        <v>6</v>
      </c>
      <c r="K183" s="32" t="s">
        <v>29</v>
      </c>
      <c r="L183" s="32" t="s">
        <v>21</v>
      </c>
      <c r="M183" s="4" t="s">
        <v>8</v>
      </c>
      <c r="N183" s="30" t="s">
        <v>8</v>
      </c>
      <c r="O183" s="4" t="s">
        <v>9</v>
      </c>
      <c r="P183" s="62" t="s">
        <v>10</v>
      </c>
      <c r="Q183" s="54" t="s">
        <v>33</v>
      </c>
    </row>
    <row r="184" spans="1:17" ht="15.75">
      <c r="A184" s="5"/>
      <c r="B184" s="5"/>
      <c r="C184" s="6"/>
      <c r="D184" s="60"/>
      <c r="E184" s="7"/>
      <c r="F184" s="6"/>
      <c r="G184" s="8" t="s">
        <v>11</v>
      </c>
      <c r="H184" s="8" t="s">
        <v>11</v>
      </c>
      <c r="I184" s="31" t="s">
        <v>19</v>
      </c>
      <c r="J184" s="61" t="s">
        <v>35</v>
      </c>
      <c r="K184" s="33" t="s">
        <v>22</v>
      </c>
      <c r="L184" s="33" t="s">
        <v>15</v>
      </c>
      <c r="M184" s="8" t="s">
        <v>13</v>
      </c>
      <c r="N184" s="31" t="s">
        <v>14</v>
      </c>
      <c r="O184" s="8" t="s">
        <v>12</v>
      </c>
      <c r="P184" s="5"/>
      <c r="Q184" s="9"/>
    </row>
    <row r="185" spans="1:17" ht="15.75">
      <c r="A185" s="5"/>
      <c r="B185" s="5"/>
      <c r="C185" s="10"/>
      <c r="D185" s="60"/>
      <c r="E185" s="7"/>
      <c r="F185" s="6"/>
      <c r="G185" s="8" t="s">
        <v>81</v>
      </c>
      <c r="H185" s="8" t="s">
        <v>58</v>
      </c>
      <c r="I185" s="31" t="s">
        <v>5</v>
      </c>
      <c r="J185" s="8"/>
      <c r="K185" s="8"/>
      <c r="L185" s="8"/>
      <c r="M185" s="8"/>
      <c r="N185" s="8"/>
      <c r="O185" s="8"/>
      <c r="P185" s="5"/>
      <c r="Q185" s="9"/>
    </row>
    <row r="186" spans="1:17" ht="15.75">
      <c r="A186" s="11"/>
      <c r="B186" s="11"/>
      <c r="C186" s="12"/>
      <c r="D186" s="72"/>
      <c r="E186" s="13"/>
      <c r="F186" s="14"/>
      <c r="G186" s="15"/>
      <c r="H186" s="50"/>
      <c r="I186" s="15"/>
      <c r="J186" s="49"/>
      <c r="K186" s="53"/>
      <c r="L186" s="75"/>
      <c r="M186" s="15"/>
      <c r="N186" s="15"/>
      <c r="O186" s="15"/>
      <c r="P186" s="11"/>
      <c r="Q186" s="16"/>
    </row>
    <row r="187" spans="1:17" ht="15.75">
      <c r="A187" s="52"/>
      <c r="B187" s="47"/>
      <c r="C187" s="48"/>
      <c r="D187" s="73"/>
      <c r="E187" s="17"/>
      <c r="F187" s="48"/>
      <c r="G187" s="36"/>
      <c r="H187" s="36"/>
      <c r="I187" s="36"/>
      <c r="J187" s="36"/>
      <c r="K187" s="8"/>
      <c r="L187" s="34"/>
      <c r="M187" s="8"/>
      <c r="N187" s="8"/>
      <c r="O187" s="8"/>
      <c r="P187" s="35"/>
      <c r="Q187" s="37"/>
    </row>
    <row r="188" spans="1:17" ht="15.75">
      <c r="A188" s="52">
        <v>1</v>
      </c>
      <c r="B188" s="51" t="s">
        <v>101</v>
      </c>
      <c r="C188" s="48" t="s">
        <v>102</v>
      </c>
      <c r="D188" s="67" t="s">
        <v>103</v>
      </c>
      <c r="E188" s="17">
        <v>43119</v>
      </c>
      <c r="F188" s="20" t="s">
        <v>104</v>
      </c>
      <c r="G188" s="36">
        <v>0</v>
      </c>
      <c r="H188" s="36">
        <v>2000000</v>
      </c>
      <c r="I188" s="8">
        <v>50000</v>
      </c>
      <c r="J188" s="8">
        <v>0</v>
      </c>
      <c r="K188" s="8">
        <v>0</v>
      </c>
      <c r="L188" s="8">
        <v>0</v>
      </c>
      <c r="M188" s="8">
        <f>SUM(G188:L188)</f>
        <v>2050000</v>
      </c>
      <c r="N188" s="8">
        <f>7000000-M188</f>
        <v>4950000</v>
      </c>
      <c r="O188" s="8">
        <f t="shared" ref="O188" si="27">+M188+N188</f>
        <v>7000000</v>
      </c>
      <c r="P188" s="59" t="s">
        <v>51</v>
      </c>
      <c r="Q188" s="58" t="s">
        <v>83</v>
      </c>
    </row>
    <row r="189" spans="1:17" ht="15.75">
      <c r="A189" s="52"/>
      <c r="B189" s="51"/>
      <c r="C189" s="48"/>
      <c r="D189" s="34"/>
      <c r="E189" s="17"/>
      <c r="F189" s="48"/>
      <c r="G189" s="36"/>
      <c r="H189" s="36"/>
      <c r="I189" s="36"/>
      <c r="J189" s="36"/>
      <c r="K189" s="36"/>
      <c r="L189" s="34"/>
      <c r="M189" s="8"/>
      <c r="N189" s="8"/>
      <c r="O189" s="8"/>
      <c r="P189" s="59"/>
      <c r="Q189" s="66"/>
    </row>
    <row r="190" spans="1:17" ht="16.5" thickBot="1">
      <c r="A190" s="18"/>
      <c r="B190" s="55"/>
      <c r="C190" s="56"/>
      <c r="D190" s="74"/>
      <c r="E190" s="56"/>
      <c r="F190" s="57"/>
      <c r="G190" s="19">
        <f t="shared" ref="G190" si="28">SUM(G188:G189)</f>
        <v>0</v>
      </c>
      <c r="H190" s="19">
        <f t="shared" ref="H190:O190" si="29">SUM(H188:H189)</f>
        <v>2000000</v>
      </c>
      <c r="I190" s="19">
        <f t="shared" si="29"/>
        <v>50000</v>
      </c>
      <c r="J190" s="19">
        <f t="shared" si="29"/>
        <v>0</v>
      </c>
      <c r="K190" s="19">
        <f t="shared" si="29"/>
        <v>0</v>
      </c>
      <c r="L190" s="19">
        <f t="shared" si="29"/>
        <v>0</v>
      </c>
      <c r="M190" s="19">
        <f t="shared" si="29"/>
        <v>2050000</v>
      </c>
      <c r="N190" s="19">
        <f t="shared" si="29"/>
        <v>4950000</v>
      </c>
      <c r="O190" s="19">
        <f t="shared" si="29"/>
        <v>7000000</v>
      </c>
      <c r="P190" s="68"/>
      <c r="Q190" s="70"/>
    </row>
    <row r="191" spans="1:17" ht="16.5" thickTop="1">
      <c r="A191" s="23"/>
      <c r="B191" s="22"/>
      <c r="C191" s="22"/>
      <c r="D191" s="23"/>
      <c r="E191" s="22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2"/>
      <c r="Q191" s="69"/>
    </row>
    <row r="192" spans="1:17" ht="15.75">
      <c r="A192" s="23"/>
      <c r="B192" s="28" t="s">
        <v>105</v>
      </c>
      <c r="C192" s="22"/>
      <c r="D192" s="39"/>
      <c r="E192" s="34"/>
      <c r="F192" s="27"/>
      <c r="G192" s="28"/>
      <c r="H192" s="28"/>
      <c r="I192" s="28"/>
      <c r="J192" s="28"/>
      <c r="K192" s="28"/>
      <c r="L192" s="28"/>
      <c r="O192" s="34"/>
      <c r="P192" s="34"/>
      <c r="Q192" s="51"/>
    </row>
    <row r="193" spans="1:17" ht="15.75">
      <c r="A193" s="38"/>
      <c r="B193" s="40" t="s">
        <v>32</v>
      </c>
      <c r="C193" s="28" t="s">
        <v>28</v>
      </c>
      <c r="D193" s="39"/>
      <c r="E193" s="34"/>
      <c r="F193" s="41"/>
      <c r="G193" s="143" t="s">
        <v>26</v>
      </c>
      <c r="H193" s="143"/>
      <c r="I193" s="143"/>
      <c r="J193" s="34"/>
      <c r="K193" s="41"/>
      <c r="L193" s="34"/>
      <c r="O193" s="34"/>
      <c r="P193" s="34"/>
      <c r="Q193" s="34"/>
    </row>
    <row r="194" spans="1:17" ht="15.75">
      <c r="A194" s="38"/>
      <c r="B194" s="40"/>
      <c r="C194" s="28"/>
      <c r="D194" s="39"/>
      <c r="E194" s="34"/>
      <c r="F194" s="28"/>
      <c r="G194" s="28"/>
      <c r="H194" s="28"/>
      <c r="I194" s="28"/>
      <c r="J194" s="28"/>
      <c r="K194" s="28"/>
      <c r="L194" s="28"/>
      <c r="O194" s="34"/>
      <c r="P194" s="34"/>
      <c r="Q194" s="34"/>
    </row>
    <row r="195" spans="1:17" ht="15.7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34"/>
      <c r="O196" s="34"/>
      <c r="P196" s="34"/>
      <c r="Q196" s="34"/>
    </row>
    <row r="197" spans="1:17" ht="15.7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28"/>
      <c r="O197" s="34"/>
      <c r="P197" s="34"/>
      <c r="Q197" s="34"/>
    </row>
    <row r="198" spans="1:17" ht="15.75">
      <c r="A198" s="38" t="s">
        <v>23</v>
      </c>
      <c r="B198" s="42" t="s">
        <v>27</v>
      </c>
      <c r="C198" s="43" t="s">
        <v>24</v>
      </c>
      <c r="D198" s="39"/>
      <c r="E198" s="34"/>
      <c r="F198" s="29"/>
      <c r="G198" s="29" t="s">
        <v>16</v>
      </c>
      <c r="H198" s="29"/>
      <c r="I198" s="29" t="s">
        <v>30</v>
      </c>
      <c r="J198" s="34"/>
      <c r="K198" s="34"/>
      <c r="L198" s="34"/>
      <c r="O198" s="34"/>
      <c r="P198" s="34"/>
      <c r="Q198" s="34"/>
    </row>
    <row r="199" spans="1:17" ht="15.75">
      <c r="A199" s="38"/>
      <c r="B199" s="44" t="s">
        <v>31</v>
      </c>
      <c r="C199" s="45" t="s">
        <v>20</v>
      </c>
      <c r="D199" s="39"/>
      <c r="E199" s="34"/>
      <c r="F199" s="46"/>
      <c r="G199" s="46" t="s">
        <v>17</v>
      </c>
      <c r="H199" s="46"/>
      <c r="I199" s="46" t="s">
        <v>25</v>
      </c>
      <c r="J199" s="34"/>
      <c r="K199" s="34"/>
      <c r="L199" s="34"/>
      <c r="O199" s="34"/>
      <c r="P199" s="34"/>
      <c r="Q199" s="34"/>
    </row>
    <row r="200" spans="1:17">
      <c r="A200" s="90" t="s">
        <v>106</v>
      </c>
    </row>
    <row r="201" spans="1:17" ht="15.75">
      <c r="A201" s="21" t="s">
        <v>0</v>
      </c>
      <c r="B201" s="22"/>
      <c r="C201" s="23"/>
      <c r="D201" s="23"/>
      <c r="E201" s="23"/>
      <c r="F201" s="24"/>
      <c r="G201" s="24"/>
      <c r="H201" s="24"/>
      <c r="I201" s="24"/>
      <c r="J201" s="24"/>
      <c r="K201" s="24"/>
      <c r="L201" s="25"/>
      <c r="O201" s="34"/>
      <c r="P201" s="34"/>
      <c r="Q201" s="34"/>
    </row>
    <row r="202" spans="1:17" ht="15.75">
      <c r="A202" s="26" t="s">
        <v>107</v>
      </c>
      <c r="B202" s="21"/>
      <c r="C202" s="21"/>
      <c r="D202" s="21"/>
      <c r="E202" s="21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>
      <c r="A203" s="1"/>
      <c r="B203" s="1" t="s">
        <v>1</v>
      </c>
      <c r="C203" s="2" t="s">
        <v>2</v>
      </c>
      <c r="D203" s="71" t="s">
        <v>34</v>
      </c>
      <c r="E203" s="3" t="s">
        <v>3</v>
      </c>
      <c r="F203" s="2" t="s">
        <v>4</v>
      </c>
      <c r="G203" s="4" t="s">
        <v>18</v>
      </c>
      <c r="H203" s="4" t="s">
        <v>18</v>
      </c>
      <c r="I203" s="63" t="s">
        <v>7</v>
      </c>
      <c r="J203" s="65" t="s">
        <v>6</v>
      </c>
      <c r="K203" s="32" t="s">
        <v>29</v>
      </c>
      <c r="L203" s="32" t="s">
        <v>21</v>
      </c>
      <c r="M203" s="4" t="s">
        <v>8</v>
      </c>
      <c r="N203" s="30" t="s">
        <v>8</v>
      </c>
      <c r="O203" s="4" t="s">
        <v>9</v>
      </c>
      <c r="P203" s="62" t="s">
        <v>10</v>
      </c>
      <c r="Q203" s="54" t="s">
        <v>33</v>
      </c>
    </row>
    <row r="204" spans="1:17" ht="15.75">
      <c r="A204" s="5"/>
      <c r="B204" s="5"/>
      <c r="C204" s="6"/>
      <c r="D204" s="60"/>
      <c r="E204" s="7"/>
      <c r="F204" s="6"/>
      <c r="G204" s="8" t="s">
        <v>11</v>
      </c>
      <c r="H204" s="8" t="s">
        <v>11</v>
      </c>
      <c r="I204" s="31" t="s">
        <v>19</v>
      </c>
      <c r="J204" s="61" t="s">
        <v>35</v>
      </c>
      <c r="K204" s="33" t="s">
        <v>22</v>
      </c>
      <c r="L204" s="33" t="s">
        <v>15</v>
      </c>
      <c r="M204" s="8" t="s">
        <v>13</v>
      </c>
      <c r="N204" s="31" t="s">
        <v>14</v>
      </c>
      <c r="O204" s="8" t="s">
        <v>12</v>
      </c>
      <c r="P204" s="5"/>
      <c r="Q204" s="9"/>
    </row>
    <row r="205" spans="1:17" ht="15.75">
      <c r="A205" s="5"/>
      <c r="B205" s="5"/>
      <c r="C205" s="10"/>
      <c r="D205" s="60"/>
      <c r="E205" s="7"/>
      <c r="F205" s="6"/>
      <c r="G205" s="8" t="s">
        <v>81</v>
      </c>
      <c r="H205" s="8" t="s">
        <v>58</v>
      </c>
      <c r="I205" s="31" t="s">
        <v>5</v>
      </c>
      <c r="J205" s="8"/>
      <c r="K205" s="8"/>
      <c r="L205" s="8"/>
      <c r="M205" s="8"/>
      <c r="N205" s="8"/>
      <c r="O205" s="8"/>
      <c r="P205" s="5"/>
      <c r="Q205" s="9"/>
    </row>
    <row r="206" spans="1:17" ht="15.75">
      <c r="A206" s="11"/>
      <c r="B206" s="11"/>
      <c r="C206" s="12"/>
      <c r="D206" s="72"/>
      <c r="E206" s="13"/>
      <c r="F206" s="14"/>
      <c r="G206" s="15"/>
      <c r="H206" s="50"/>
      <c r="I206" s="15"/>
      <c r="J206" s="49"/>
      <c r="K206" s="53"/>
      <c r="L206" s="75"/>
      <c r="M206" s="15"/>
      <c r="N206" s="15"/>
      <c r="O206" s="15"/>
      <c r="P206" s="11"/>
      <c r="Q206" s="16"/>
    </row>
    <row r="207" spans="1:17" ht="15.75">
      <c r="A207" s="52"/>
      <c r="B207" s="47"/>
      <c r="C207" s="48"/>
      <c r="D207" s="73"/>
      <c r="E207" s="17"/>
      <c r="F207" s="48"/>
      <c r="G207" s="36"/>
      <c r="H207" s="36"/>
      <c r="I207" s="36"/>
      <c r="J207" s="36"/>
      <c r="K207" s="8"/>
      <c r="L207" s="34"/>
      <c r="M207" s="8"/>
      <c r="N207" s="8"/>
      <c r="O207" s="8"/>
      <c r="P207" s="35"/>
      <c r="Q207" s="37"/>
    </row>
    <row r="208" spans="1:17" ht="15.75">
      <c r="A208" s="52">
        <v>1</v>
      </c>
      <c r="B208" s="51" t="s">
        <v>108</v>
      </c>
      <c r="C208" s="48" t="s">
        <v>109</v>
      </c>
      <c r="D208" s="67" t="s">
        <v>110</v>
      </c>
      <c r="E208" s="17">
        <v>43125</v>
      </c>
      <c r="F208" s="20" t="s">
        <v>111</v>
      </c>
      <c r="G208" s="36">
        <v>0</v>
      </c>
      <c r="H208" s="36">
        <v>32212500</v>
      </c>
      <c r="I208" s="8">
        <v>805313</v>
      </c>
      <c r="J208" s="8">
        <v>0</v>
      </c>
      <c r="K208" s="8">
        <v>100000</v>
      </c>
      <c r="L208" s="8">
        <v>200000</v>
      </c>
      <c r="M208" s="8">
        <f>SUM(G208:L208)</f>
        <v>33317813</v>
      </c>
      <c r="N208" s="8">
        <f>43317813-M208</f>
        <v>10000000</v>
      </c>
      <c r="O208" s="8">
        <f t="shared" ref="O208" si="30">+M208+N208</f>
        <v>43317813</v>
      </c>
      <c r="P208" s="59" t="s">
        <v>112</v>
      </c>
      <c r="Q208" s="58" t="s">
        <v>83</v>
      </c>
    </row>
    <row r="209" spans="1:17" ht="15.75">
      <c r="A209" s="52">
        <v>2</v>
      </c>
      <c r="B209" s="51" t="s">
        <v>113</v>
      </c>
      <c r="C209" s="48" t="s">
        <v>114</v>
      </c>
      <c r="D209" s="67" t="s">
        <v>115</v>
      </c>
      <c r="E209" s="17">
        <v>43125</v>
      </c>
      <c r="F209" s="20" t="s">
        <v>116</v>
      </c>
      <c r="G209" s="36">
        <v>0</v>
      </c>
      <c r="H209" s="36">
        <v>81767858</v>
      </c>
      <c r="I209" s="8">
        <v>2044196</v>
      </c>
      <c r="J209" s="8">
        <v>0</v>
      </c>
      <c r="K209" s="8">
        <v>100000</v>
      </c>
      <c r="L209" s="8">
        <v>200000</v>
      </c>
      <c r="M209" s="8">
        <f>SUM(G209:L209)</f>
        <v>84112054</v>
      </c>
      <c r="N209" s="8">
        <f>94112054-M209</f>
        <v>10000000</v>
      </c>
      <c r="O209" s="8">
        <f t="shared" ref="O209" si="31">+M209+N209</f>
        <v>94112054</v>
      </c>
      <c r="P209" s="59" t="s">
        <v>117</v>
      </c>
      <c r="Q209" s="58" t="s">
        <v>83</v>
      </c>
    </row>
    <row r="210" spans="1:17" ht="15.7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>
      <c r="A211" s="18"/>
      <c r="B211" s="55"/>
      <c r="C211" s="56"/>
      <c r="D211" s="74"/>
      <c r="E211" s="56"/>
      <c r="F211" s="57"/>
      <c r="G211" s="19">
        <f t="shared" ref="G211" si="32">SUM(G208:G210)</f>
        <v>0</v>
      </c>
      <c r="H211" s="19">
        <f t="shared" ref="H211:O211" si="33">SUM(H208:H210)</f>
        <v>113980358</v>
      </c>
      <c r="I211" s="19">
        <f t="shared" si="33"/>
        <v>2849509</v>
      </c>
      <c r="J211" s="19">
        <f t="shared" si="33"/>
        <v>0</v>
      </c>
      <c r="K211" s="19">
        <f t="shared" si="33"/>
        <v>200000</v>
      </c>
      <c r="L211" s="19">
        <f t="shared" si="33"/>
        <v>400000</v>
      </c>
      <c r="M211" s="19">
        <f t="shared" si="33"/>
        <v>117429867</v>
      </c>
      <c r="N211" s="19">
        <f t="shared" si="33"/>
        <v>20000000</v>
      </c>
      <c r="O211" s="19">
        <f t="shared" si="33"/>
        <v>137429867</v>
      </c>
      <c r="P211" s="68"/>
      <c r="Q211" s="70"/>
    </row>
    <row r="212" spans="1:17" ht="16.5" thickTop="1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>
      <c r="A213" s="23"/>
      <c r="B213" s="28" t="s">
        <v>118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>
      <c r="A214" s="38"/>
      <c r="B214" s="40" t="s">
        <v>32</v>
      </c>
      <c r="C214" s="28" t="s">
        <v>28</v>
      </c>
      <c r="D214" s="39"/>
      <c r="E214" s="34"/>
      <c r="F214" s="41"/>
      <c r="G214" s="143" t="s">
        <v>26</v>
      </c>
      <c r="H214" s="143"/>
      <c r="I214" s="143"/>
      <c r="J214" s="34"/>
      <c r="K214" s="41"/>
      <c r="L214" s="34"/>
      <c r="O214" s="34"/>
      <c r="P214" s="34"/>
      <c r="Q214" s="34"/>
    </row>
    <row r="215" spans="1:17" ht="15.7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2" spans="1:17" ht="15.7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>
      <c r="A223" s="26" t="s">
        <v>119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>
      <c r="A226" s="5"/>
      <c r="B226" s="5"/>
      <c r="C226" s="10"/>
      <c r="D226" s="60"/>
      <c r="E226" s="7"/>
      <c r="F226" s="6"/>
      <c r="G226" s="8" t="s">
        <v>81</v>
      </c>
      <c r="H226" s="8" t="s">
        <v>58</v>
      </c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>
      <c r="A229" s="52">
        <v>1</v>
      </c>
      <c r="B229" s="51" t="s">
        <v>120</v>
      </c>
      <c r="C229" s="48" t="s">
        <v>121</v>
      </c>
      <c r="D229" s="67" t="s">
        <v>122</v>
      </c>
      <c r="E229" s="17">
        <v>43130</v>
      </c>
      <c r="F229" s="20" t="s">
        <v>123</v>
      </c>
      <c r="G229" s="36">
        <v>0</v>
      </c>
      <c r="H229" s="36">
        <v>214396380</v>
      </c>
      <c r="I229" s="8">
        <v>5359910</v>
      </c>
      <c r="J229" s="8">
        <v>0</v>
      </c>
      <c r="K229" s="8">
        <v>2000000</v>
      </c>
      <c r="L229" s="8">
        <v>200000</v>
      </c>
      <c r="M229" s="8">
        <f>SUM(G229:L229)</f>
        <v>221956290</v>
      </c>
      <c r="N229" s="8">
        <f>421956290-M229</f>
        <v>200000000</v>
      </c>
      <c r="O229" s="8">
        <f t="shared" ref="O229" si="34">+M229+N229</f>
        <v>421956290</v>
      </c>
      <c r="P229" s="59" t="s">
        <v>124</v>
      </c>
      <c r="Q229" s="58" t="s">
        <v>83</v>
      </c>
    </row>
    <row r="230" spans="1:17" ht="15.75">
      <c r="A230" s="52"/>
      <c r="B230" s="51"/>
      <c r="C230" s="48"/>
      <c r="D230" s="67"/>
      <c r="E230" s="17"/>
      <c r="F230" s="20"/>
      <c r="G230" s="36"/>
      <c r="H230" s="36"/>
      <c r="I230" s="8"/>
      <c r="J230" s="8"/>
      <c r="K230" s="8"/>
      <c r="L230" s="8"/>
      <c r="M230" s="8"/>
      <c r="N230" s="8"/>
      <c r="O230" s="8"/>
      <c r="P230" s="59"/>
      <c r="Q230" s="58"/>
    </row>
    <row r="231" spans="1:17" ht="15.7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>
      <c r="A232" s="18"/>
      <c r="B232" s="55"/>
      <c r="C232" s="56"/>
      <c r="D232" s="74"/>
      <c r="E232" s="56"/>
      <c r="F232" s="57"/>
      <c r="G232" s="19">
        <f t="shared" ref="G232" si="35">SUM(G229:G231)</f>
        <v>0</v>
      </c>
      <c r="H232" s="19">
        <f t="shared" ref="H232:O232" si="36">SUM(H229:H231)</f>
        <v>214396380</v>
      </c>
      <c r="I232" s="19">
        <f t="shared" si="36"/>
        <v>5359910</v>
      </c>
      <c r="J232" s="19">
        <f t="shared" si="36"/>
        <v>0</v>
      </c>
      <c r="K232" s="19">
        <f t="shared" si="36"/>
        <v>2000000</v>
      </c>
      <c r="L232" s="19">
        <f t="shared" si="36"/>
        <v>200000</v>
      </c>
      <c r="M232" s="19">
        <f t="shared" si="36"/>
        <v>221956290</v>
      </c>
      <c r="N232" s="19">
        <f t="shared" si="36"/>
        <v>200000000</v>
      </c>
      <c r="O232" s="19">
        <f t="shared" si="36"/>
        <v>421956290</v>
      </c>
      <c r="P232" s="68"/>
      <c r="Q232" s="70"/>
    </row>
    <row r="233" spans="1:17" ht="16.5" thickTop="1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>
      <c r="A234" s="23"/>
      <c r="B234" s="28" t="s">
        <v>129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>
      <c r="A235" s="38"/>
      <c r="B235" s="40" t="s">
        <v>32</v>
      </c>
      <c r="C235" s="28" t="s">
        <v>28</v>
      </c>
      <c r="D235" s="39"/>
      <c r="E235" s="34"/>
      <c r="F235" s="41"/>
      <c r="G235" s="143" t="s">
        <v>26</v>
      </c>
      <c r="H235" s="143"/>
      <c r="I235" s="143"/>
      <c r="J235" s="34"/>
      <c r="K235" s="41"/>
      <c r="L235" s="34"/>
      <c r="O235" s="34"/>
      <c r="P235" s="34"/>
      <c r="Q235" s="34"/>
    </row>
    <row r="236" spans="1:17" ht="15.7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  <row r="243" spans="1:17" ht="15.75">
      <c r="A243" s="21" t="s">
        <v>0</v>
      </c>
      <c r="B243" s="22"/>
      <c r="C243" s="23"/>
      <c r="D243" s="23"/>
      <c r="E243" s="23"/>
      <c r="F243" s="24"/>
      <c r="G243" s="24"/>
      <c r="H243" s="24"/>
      <c r="I243" s="24"/>
      <c r="J243" s="24"/>
      <c r="K243" s="24"/>
      <c r="L243" s="25"/>
      <c r="O243" s="34"/>
      <c r="P243" s="34"/>
      <c r="Q243" s="34"/>
    </row>
    <row r="244" spans="1:17" ht="15.75">
      <c r="A244" s="26" t="s">
        <v>119</v>
      </c>
      <c r="B244" s="21"/>
      <c r="C244" s="21"/>
      <c r="D244" s="21"/>
      <c r="E244" s="21"/>
      <c r="F244" s="24"/>
      <c r="G244" s="24"/>
      <c r="H244" s="24"/>
      <c r="I244" s="24"/>
      <c r="J244" s="24"/>
      <c r="K244" s="24"/>
      <c r="L244" s="25"/>
      <c r="O244" s="34"/>
      <c r="P244" s="34"/>
      <c r="Q244" s="34"/>
    </row>
    <row r="245" spans="1:17" ht="15.75">
      <c r="A245" s="1"/>
      <c r="B245" s="1" t="s">
        <v>1</v>
      </c>
      <c r="C245" s="2" t="s">
        <v>2</v>
      </c>
      <c r="D245" s="71" t="s">
        <v>34</v>
      </c>
      <c r="E245" s="3" t="s">
        <v>3</v>
      </c>
      <c r="F245" s="2" t="s">
        <v>4</v>
      </c>
      <c r="G245" s="4" t="s">
        <v>18</v>
      </c>
      <c r="H245" s="4" t="s">
        <v>18</v>
      </c>
      <c r="I245" s="63" t="s">
        <v>7</v>
      </c>
      <c r="J245" s="65" t="s">
        <v>6</v>
      </c>
      <c r="K245" s="32" t="s">
        <v>29</v>
      </c>
      <c r="L245" s="32" t="s">
        <v>21</v>
      </c>
      <c r="M245" s="4" t="s">
        <v>8</v>
      </c>
      <c r="N245" s="30" t="s">
        <v>8</v>
      </c>
      <c r="O245" s="4" t="s">
        <v>9</v>
      </c>
      <c r="P245" s="62" t="s">
        <v>10</v>
      </c>
      <c r="Q245" s="54" t="s">
        <v>33</v>
      </c>
    </row>
    <row r="246" spans="1:17" ht="15.75">
      <c r="A246" s="5"/>
      <c r="B246" s="5"/>
      <c r="C246" s="6"/>
      <c r="D246" s="60"/>
      <c r="E246" s="7"/>
      <c r="F246" s="6"/>
      <c r="G246" s="8" t="s">
        <v>11</v>
      </c>
      <c r="H246" s="8" t="s">
        <v>11</v>
      </c>
      <c r="I246" s="31" t="s">
        <v>19</v>
      </c>
      <c r="J246" s="61" t="s">
        <v>35</v>
      </c>
      <c r="K246" s="33" t="s">
        <v>22</v>
      </c>
      <c r="L246" s="33" t="s">
        <v>15</v>
      </c>
      <c r="M246" s="8" t="s">
        <v>13</v>
      </c>
      <c r="N246" s="31" t="s">
        <v>14</v>
      </c>
      <c r="O246" s="8" t="s">
        <v>12</v>
      </c>
      <c r="P246" s="5"/>
      <c r="Q246" s="9"/>
    </row>
    <row r="247" spans="1:17" ht="15.75">
      <c r="A247" s="5"/>
      <c r="B247" s="5"/>
      <c r="C247" s="10"/>
      <c r="D247" s="60"/>
      <c r="E247" s="7"/>
      <c r="F247" s="6"/>
      <c r="G247" s="8" t="s">
        <v>81</v>
      </c>
      <c r="H247" s="8" t="s">
        <v>58</v>
      </c>
      <c r="I247" s="31" t="s">
        <v>5</v>
      </c>
      <c r="J247" s="8"/>
      <c r="K247" s="8"/>
      <c r="L247" s="8"/>
      <c r="M247" s="8"/>
      <c r="N247" s="8"/>
      <c r="O247" s="8"/>
      <c r="P247" s="5"/>
      <c r="Q247" s="9"/>
    </row>
    <row r="248" spans="1:17" ht="15.75">
      <c r="A248" s="11"/>
      <c r="B248" s="11"/>
      <c r="C248" s="12"/>
      <c r="D248" s="72"/>
      <c r="E248" s="13"/>
      <c r="F248" s="14"/>
      <c r="G248" s="15"/>
      <c r="H248" s="50"/>
      <c r="I248" s="15"/>
      <c r="J248" s="49"/>
      <c r="K248" s="53"/>
      <c r="L248" s="75"/>
      <c r="M248" s="15"/>
      <c r="N248" s="15"/>
      <c r="O248" s="15"/>
      <c r="P248" s="11"/>
      <c r="Q248" s="16"/>
    </row>
    <row r="249" spans="1:17" ht="15.75">
      <c r="A249" s="52"/>
      <c r="B249" s="47"/>
      <c r="C249" s="48"/>
      <c r="D249" s="73"/>
      <c r="E249" s="17"/>
      <c r="F249" s="48"/>
      <c r="G249" s="36"/>
      <c r="H249" s="36"/>
      <c r="I249" s="36"/>
      <c r="J249" s="36"/>
      <c r="K249" s="8"/>
      <c r="L249" s="34"/>
      <c r="M249" s="8"/>
      <c r="N249" s="8"/>
      <c r="O249" s="8"/>
      <c r="P249" s="35"/>
      <c r="Q249" s="37"/>
    </row>
    <row r="250" spans="1:17" ht="15.75">
      <c r="A250" s="52">
        <v>1</v>
      </c>
      <c r="B250" s="51" t="s">
        <v>125</v>
      </c>
      <c r="C250" s="48" t="s">
        <v>126</v>
      </c>
      <c r="D250" s="67" t="s">
        <v>127</v>
      </c>
      <c r="E250" s="17">
        <v>43130</v>
      </c>
      <c r="F250" s="20" t="s">
        <v>128</v>
      </c>
      <c r="G250" s="36">
        <v>0</v>
      </c>
      <c r="H250" s="36">
        <v>0</v>
      </c>
      <c r="I250" s="8">
        <v>0</v>
      </c>
      <c r="J250" s="8">
        <v>0</v>
      </c>
      <c r="K250" s="8">
        <v>25000</v>
      </c>
      <c r="L250" s="8">
        <v>0</v>
      </c>
      <c r="M250" s="8">
        <f>SUM(G250:L250)</f>
        <v>25000</v>
      </c>
      <c r="N250" s="8">
        <f>2500000-M250</f>
        <v>2475000</v>
      </c>
      <c r="O250" s="8">
        <f t="shared" ref="O250" si="37">+M250+N250</f>
        <v>2500000</v>
      </c>
      <c r="P250" s="59" t="s">
        <v>73</v>
      </c>
      <c r="Q250" s="60" t="s">
        <v>74</v>
      </c>
    </row>
    <row r="251" spans="1:17" ht="15.75">
      <c r="A251" s="52"/>
      <c r="B251" s="51"/>
      <c r="C251" s="48"/>
      <c r="D251" s="34"/>
      <c r="E251" s="17"/>
      <c r="F251" s="48"/>
      <c r="G251" s="36"/>
      <c r="H251" s="36"/>
      <c r="I251" s="36"/>
      <c r="J251" s="36"/>
      <c r="K251" s="36"/>
      <c r="L251" s="34"/>
      <c r="M251" s="8"/>
      <c r="N251" s="8"/>
      <c r="O251" s="8"/>
      <c r="P251" s="59"/>
      <c r="Q251" s="66"/>
    </row>
    <row r="252" spans="1:17" ht="16.5" thickBot="1">
      <c r="A252" s="18"/>
      <c r="B252" s="55"/>
      <c r="C252" s="56"/>
      <c r="D252" s="74"/>
      <c r="E252" s="56"/>
      <c r="F252" s="57"/>
      <c r="G252" s="19">
        <f t="shared" ref="G252:O252" si="38">SUM(G250:G251)</f>
        <v>0</v>
      </c>
      <c r="H252" s="19">
        <f t="shared" si="38"/>
        <v>0</v>
      </c>
      <c r="I252" s="19">
        <f t="shared" si="38"/>
        <v>0</v>
      </c>
      <c r="J252" s="19">
        <f t="shared" si="38"/>
        <v>0</v>
      </c>
      <c r="K252" s="19">
        <f t="shared" si="38"/>
        <v>25000</v>
      </c>
      <c r="L252" s="19">
        <f t="shared" si="38"/>
        <v>0</v>
      </c>
      <c r="M252" s="19">
        <f t="shared" si="38"/>
        <v>25000</v>
      </c>
      <c r="N252" s="19">
        <f t="shared" si="38"/>
        <v>2475000</v>
      </c>
      <c r="O252" s="19">
        <f t="shared" si="38"/>
        <v>2500000</v>
      </c>
      <c r="P252" s="68"/>
      <c r="Q252" s="70"/>
    </row>
    <row r="253" spans="1:17" ht="16.5" thickTop="1">
      <c r="A253" s="23"/>
      <c r="B253" s="22"/>
      <c r="C253" s="22"/>
      <c r="D253" s="23"/>
      <c r="E253" s="22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2"/>
      <c r="Q253" s="69"/>
    </row>
    <row r="254" spans="1:17" ht="15.75">
      <c r="A254" s="23"/>
      <c r="B254" s="28" t="s">
        <v>129</v>
      </c>
      <c r="C254" s="22"/>
      <c r="D254" s="39"/>
      <c r="E254" s="34"/>
      <c r="F254" s="27"/>
      <c r="G254" s="28"/>
      <c r="H254" s="28"/>
      <c r="I254" s="28"/>
      <c r="J254" s="28"/>
      <c r="K254" s="28"/>
      <c r="L254" s="28"/>
      <c r="O254" s="34"/>
      <c r="P254" s="34"/>
      <c r="Q254" s="51"/>
    </row>
    <row r="255" spans="1:17" ht="15.75">
      <c r="A255" s="38"/>
      <c r="B255" s="40" t="s">
        <v>32</v>
      </c>
      <c r="C255" s="28" t="s">
        <v>28</v>
      </c>
      <c r="D255" s="39"/>
      <c r="E255" s="34"/>
      <c r="F255" s="41"/>
      <c r="G255" s="143" t="s">
        <v>26</v>
      </c>
      <c r="H255" s="143"/>
      <c r="I255" s="143"/>
      <c r="J255" s="34"/>
      <c r="K255" s="41"/>
      <c r="L255" s="34"/>
      <c r="O255" s="34"/>
      <c r="P255" s="34"/>
      <c r="Q255" s="34"/>
    </row>
    <row r="256" spans="1:17" ht="15.75">
      <c r="A256" s="38"/>
      <c r="B256" s="40"/>
      <c r="C256" s="28"/>
      <c r="D256" s="39"/>
      <c r="E256" s="34"/>
      <c r="F256" s="28"/>
      <c r="G256" s="28"/>
      <c r="H256" s="28"/>
      <c r="I256" s="28"/>
      <c r="J256" s="28"/>
      <c r="K256" s="28"/>
      <c r="L256" s="28"/>
      <c r="O256" s="34"/>
      <c r="P256" s="34"/>
      <c r="Q256" s="34"/>
    </row>
    <row r="257" spans="1:17" ht="15.75">
      <c r="A257" s="38"/>
      <c r="B257" s="40"/>
      <c r="C257" s="28"/>
      <c r="D257" s="39"/>
      <c r="E257" s="34"/>
      <c r="F257" s="28"/>
      <c r="G257" s="28"/>
      <c r="H257" s="28"/>
      <c r="I257" s="28"/>
      <c r="J257" s="28"/>
      <c r="K257" s="28"/>
      <c r="L257" s="28"/>
      <c r="O257" s="34"/>
      <c r="P257" s="34"/>
      <c r="Q257" s="34"/>
    </row>
    <row r="258" spans="1:17" ht="15.75">
      <c r="A258" s="38"/>
      <c r="B258" s="40"/>
      <c r="C258" s="28"/>
      <c r="D258" s="39"/>
      <c r="E258" s="34"/>
      <c r="F258" s="28"/>
      <c r="G258" s="28"/>
      <c r="H258" s="28"/>
      <c r="I258" s="28"/>
      <c r="J258" s="28"/>
      <c r="K258" s="28"/>
      <c r="L258" s="34"/>
      <c r="O258" s="34"/>
      <c r="P258" s="34"/>
      <c r="Q258" s="34"/>
    </row>
    <row r="259" spans="1:17" ht="15.75">
      <c r="A259" s="38"/>
      <c r="B259" s="40"/>
      <c r="C259" s="28"/>
      <c r="D259" s="39"/>
      <c r="E259" s="34"/>
      <c r="F259" s="28"/>
      <c r="G259" s="28"/>
      <c r="H259" s="28"/>
      <c r="I259" s="28"/>
      <c r="J259" s="28"/>
      <c r="K259" s="28"/>
      <c r="L259" s="28"/>
      <c r="O259" s="34"/>
      <c r="P259" s="34"/>
      <c r="Q259" s="34"/>
    </row>
    <row r="260" spans="1:17" ht="15.75">
      <c r="A260" s="38" t="s">
        <v>23</v>
      </c>
      <c r="B260" s="42" t="s">
        <v>27</v>
      </c>
      <c r="C260" s="43" t="s">
        <v>24</v>
      </c>
      <c r="D260" s="39"/>
      <c r="E260" s="34"/>
      <c r="F260" s="29"/>
      <c r="G260" s="29" t="s">
        <v>16</v>
      </c>
      <c r="H260" s="29"/>
      <c r="I260" s="29" t="s">
        <v>30</v>
      </c>
      <c r="J260" s="34"/>
      <c r="K260" s="34"/>
      <c r="L260" s="34"/>
      <c r="O260" s="34"/>
      <c r="P260" s="34"/>
      <c r="Q260" s="34"/>
    </row>
    <row r="261" spans="1:17" ht="15.75">
      <c r="A261" s="38"/>
      <c r="B261" s="44" t="s">
        <v>31</v>
      </c>
      <c r="C261" s="45" t="s">
        <v>20</v>
      </c>
      <c r="D261" s="39"/>
      <c r="E261" s="34"/>
      <c r="F261" s="46"/>
      <c r="G261" s="46" t="s">
        <v>17</v>
      </c>
      <c r="H261" s="46"/>
      <c r="I261" s="46" t="s">
        <v>25</v>
      </c>
      <c r="J261" s="34"/>
      <c r="K261" s="34"/>
      <c r="L261" s="34"/>
      <c r="O261" s="34"/>
      <c r="P261" s="34"/>
      <c r="Q261" s="34"/>
    </row>
    <row r="263" spans="1:17" ht="15.75">
      <c r="A263" s="21" t="s">
        <v>0</v>
      </c>
      <c r="B263" s="22"/>
      <c r="C263" s="23"/>
      <c r="D263" s="23"/>
      <c r="E263" s="23"/>
      <c r="F263" s="24"/>
      <c r="G263" s="24"/>
      <c r="H263" s="24"/>
      <c r="I263" s="24"/>
      <c r="J263" s="24"/>
      <c r="K263" s="24"/>
      <c r="L263" s="25"/>
      <c r="O263" s="34"/>
      <c r="P263" s="34"/>
      <c r="Q263" s="34"/>
    </row>
    <row r="264" spans="1:17" ht="15.75">
      <c r="A264" s="26" t="s">
        <v>119</v>
      </c>
      <c r="B264" s="21"/>
      <c r="C264" s="21"/>
      <c r="D264" s="21"/>
      <c r="E264" s="21"/>
      <c r="F264" s="24"/>
      <c r="G264" s="24"/>
      <c r="H264" s="24"/>
      <c r="I264" s="24"/>
      <c r="J264" s="24"/>
      <c r="K264" s="24"/>
      <c r="L264" s="25"/>
      <c r="O264" s="34"/>
      <c r="P264" s="34"/>
      <c r="Q264" s="34"/>
    </row>
    <row r="265" spans="1:17" ht="15.75">
      <c r="A265" s="1"/>
      <c r="B265" s="1" t="s">
        <v>1</v>
      </c>
      <c r="C265" s="2" t="s">
        <v>2</v>
      </c>
      <c r="D265" s="71" t="s">
        <v>34</v>
      </c>
      <c r="E265" s="3" t="s">
        <v>3</v>
      </c>
      <c r="F265" s="2" t="s">
        <v>4</v>
      </c>
      <c r="G265" s="4" t="s">
        <v>18</v>
      </c>
      <c r="H265" s="4" t="s">
        <v>18</v>
      </c>
      <c r="I265" s="63" t="s">
        <v>7</v>
      </c>
      <c r="J265" s="65" t="s">
        <v>6</v>
      </c>
      <c r="K265" s="32" t="s">
        <v>29</v>
      </c>
      <c r="L265" s="32" t="s">
        <v>21</v>
      </c>
      <c r="M265" s="4" t="s">
        <v>8</v>
      </c>
      <c r="N265" s="30" t="s">
        <v>8</v>
      </c>
      <c r="O265" s="4" t="s">
        <v>9</v>
      </c>
      <c r="P265" s="62" t="s">
        <v>10</v>
      </c>
      <c r="Q265" s="54" t="s">
        <v>33</v>
      </c>
    </row>
    <row r="266" spans="1:17" ht="15.75">
      <c r="A266" s="5"/>
      <c r="B266" s="5"/>
      <c r="C266" s="6"/>
      <c r="D266" s="60"/>
      <c r="E266" s="7"/>
      <c r="F266" s="6"/>
      <c r="G266" s="8" t="s">
        <v>11</v>
      </c>
      <c r="H266" s="8" t="s">
        <v>11</v>
      </c>
      <c r="I266" s="31" t="s">
        <v>19</v>
      </c>
      <c r="J266" s="61" t="s">
        <v>35</v>
      </c>
      <c r="K266" s="33" t="s">
        <v>22</v>
      </c>
      <c r="L266" s="33" t="s">
        <v>15</v>
      </c>
      <c r="M266" s="8" t="s">
        <v>13</v>
      </c>
      <c r="N266" s="31" t="s">
        <v>14</v>
      </c>
      <c r="O266" s="8" t="s">
        <v>12</v>
      </c>
      <c r="P266" s="5"/>
      <c r="Q266" s="9"/>
    </row>
    <row r="267" spans="1:17" ht="15.75">
      <c r="A267" s="5"/>
      <c r="B267" s="5"/>
      <c r="C267" s="10"/>
      <c r="D267" s="60"/>
      <c r="E267" s="7"/>
      <c r="F267" s="6"/>
      <c r="G267" s="8" t="s">
        <v>81</v>
      </c>
      <c r="H267" s="8" t="s">
        <v>58</v>
      </c>
      <c r="I267" s="31" t="s">
        <v>5</v>
      </c>
      <c r="J267" s="8"/>
      <c r="K267" s="8"/>
      <c r="L267" s="8"/>
      <c r="M267" s="8"/>
      <c r="N267" s="8"/>
      <c r="O267" s="8"/>
      <c r="P267" s="5"/>
      <c r="Q267" s="9"/>
    </row>
    <row r="268" spans="1:17" ht="15.75">
      <c r="A268" s="11"/>
      <c r="B268" s="11"/>
      <c r="C268" s="12"/>
      <c r="D268" s="72"/>
      <c r="E268" s="13"/>
      <c r="F268" s="14"/>
      <c r="G268" s="15"/>
      <c r="H268" s="50"/>
      <c r="I268" s="15"/>
      <c r="J268" s="49"/>
      <c r="K268" s="53"/>
      <c r="L268" s="75"/>
      <c r="M268" s="15"/>
      <c r="N268" s="15"/>
      <c r="O268" s="15"/>
      <c r="P268" s="11"/>
      <c r="Q268" s="16"/>
    </row>
    <row r="269" spans="1:17" ht="15.75">
      <c r="A269" s="52"/>
      <c r="B269" s="47"/>
      <c r="C269" s="48"/>
      <c r="D269" s="73"/>
      <c r="E269" s="17"/>
      <c r="F269" s="48"/>
      <c r="G269" s="36"/>
      <c r="H269" s="36"/>
      <c r="I269" s="36"/>
      <c r="J269" s="36"/>
      <c r="K269" s="8"/>
      <c r="L269" s="34"/>
      <c r="M269" s="8"/>
      <c r="N269" s="8"/>
      <c r="O269" s="8"/>
      <c r="P269" s="35"/>
      <c r="Q269" s="37"/>
    </row>
    <row r="270" spans="1:17" ht="15.75">
      <c r="A270" s="52">
        <v>1</v>
      </c>
      <c r="B270" s="51" t="s">
        <v>130</v>
      </c>
      <c r="C270" s="48" t="s">
        <v>131</v>
      </c>
      <c r="D270" s="67" t="s">
        <v>132</v>
      </c>
      <c r="E270" s="17">
        <v>43130</v>
      </c>
      <c r="F270" s="20" t="s">
        <v>133</v>
      </c>
      <c r="G270" s="36">
        <v>1049840</v>
      </c>
      <c r="H270" s="36">
        <v>0</v>
      </c>
      <c r="I270" s="8">
        <v>26246</v>
      </c>
      <c r="J270" s="8">
        <v>0</v>
      </c>
      <c r="K270" s="8">
        <v>60000</v>
      </c>
      <c r="L270" s="8">
        <v>0</v>
      </c>
      <c r="M270" s="8">
        <f>SUM(G270:L270)</f>
        <v>1136086</v>
      </c>
      <c r="N270" s="8">
        <f>7136086-M270</f>
        <v>6000000</v>
      </c>
      <c r="O270" s="8">
        <f t="shared" ref="O270" si="39">+M270+N270</f>
        <v>7136086</v>
      </c>
      <c r="P270" s="59" t="s">
        <v>134</v>
      </c>
      <c r="Q270" s="60" t="s">
        <v>52</v>
      </c>
    </row>
    <row r="271" spans="1:17" ht="15.75">
      <c r="A271" s="52"/>
      <c r="B271" s="51"/>
      <c r="C271" s="48"/>
      <c r="D271" s="34"/>
      <c r="E271" s="17"/>
      <c r="F271" s="48"/>
      <c r="G271" s="36"/>
      <c r="H271" s="36"/>
      <c r="I271" s="36"/>
      <c r="J271" s="36"/>
      <c r="K271" s="36"/>
      <c r="L271" s="34"/>
      <c r="M271" s="8"/>
      <c r="N271" s="8"/>
      <c r="O271" s="8"/>
      <c r="P271" s="59"/>
      <c r="Q271" s="66"/>
    </row>
    <row r="272" spans="1:17" ht="16.5" thickBot="1">
      <c r="A272" s="18"/>
      <c r="B272" s="55"/>
      <c r="C272" s="56"/>
      <c r="D272" s="74"/>
      <c r="E272" s="56"/>
      <c r="F272" s="57"/>
      <c r="G272" s="19">
        <f t="shared" ref="G272:O272" si="40">SUM(G270:G271)</f>
        <v>1049840</v>
      </c>
      <c r="H272" s="19">
        <f t="shared" si="40"/>
        <v>0</v>
      </c>
      <c r="I272" s="19">
        <f t="shared" si="40"/>
        <v>26246</v>
      </c>
      <c r="J272" s="19">
        <f t="shared" si="40"/>
        <v>0</v>
      </c>
      <c r="K272" s="19">
        <f t="shared" si="40"/>
        <v>60000</v>
      </c>
      <c r="L272" s="19">
        <f t="shared" si="40"/>
        <v>0</v>
      </c>
      <c r="M272" s="19">
        <f t="shared" si="40"/>
        <v>1136086</v>
      </c>
      <c r="N272" s="19">
        <f t="shared" si="40"/>
        <v>6000000</v>
      </c>
      <c r="O272" s="19">
        <f t="shared" si="40"/>
        <v>7136086</v>
      </c>
      <c r="P272" s="68"/>
      <c r="Q272" s="70"/>
    </row>
    <row r="273" spans="1:17" ht="16.5" thickTop="1">
      <c r="A273" s="23"/>
      <c r="B273" s="22"/>
      <c r="C273" s="22"/>
      <c r="D273" s="23"/>
      <c r="E273" s="22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2"/>
      <c r="Q273" s="69"/>
    </row>
    <row r="274" spans="1:17" ht="15.75">
      <c r="A274" s="23"/>
      <c r="B274" s="28" t="s">
        <v>129</v>
      </c>
      <c r="C274" s="22"/>
      <c r="D274" s="39"/>
      <c r="E274" s="34"/>
      <c r="F274" s="27"/>
      <c r="G274" s="28"/>
      <c r="H274" s="28"/>
      <c r="I274" s="28"/>
      <c r="J274" s="28"/>
      <c r="K274" s="28"/>
      <c r="L274" s="28"/>
      <c r="O274" s="34"/>
      <c r="P274" s="34"/>
      <c r="Q274" s="51"/>
    </row>
    <row r="275" spans="1:17" ht="15.75">
      <c r="A275" s="38"/>
      <c r="B275" s="40" t="s">
        <v>32</v>
      </c>
      <c r="C275" s="28" t="s">
        <v>28</v>
      </c>
      <c r="D275" s="39"/>
      <c r="E275" s="34"/>
      <c r="F275" s="41"/>
      <c r="G275" s="143" t="s">
        <v>26</v>
      </c>
      <c r="H275" s="143"/>
      <c r="I275" s="143"/>
      <c r="J275" s="34"/>
      <c r="K275" s="41"/>
      <c r="L275" s="34"/>
      <c r="O275" s="34"/>
      <c r="P275" s="34"/>
      <c r="Q275" s="34"/>
    </row>
    <row r="276" spans="1:17" ht="15.75">
      <c r="A276" s="38"/>
      <c r="B276" s="40"/>
      <c r="C276" s="28"/>
      <c r="D276" s="39"/>
      <c r="E276" s="34"/>
      <c r="F276" s="28"/>
      <c r="G276" s="28"/>
      <c r="H276" s="28"/>
      <c r="I276" s="28"/>
      <c r="J276" s="28"/>
      <c r="K276" s="28"/>
      <c r="L276" s="28"/>
      <c r="O276" s="34"/>
      <c r="P276" s="34"/>
      <c r="Q276" s="34"/>
    </row>
    <row r="277" spans="1:17" ht="15.75">
      <c r="A277" s="38"/>
      <c r="B277" s="40"/>
      <c r="C277" s="28"/>
      <c r="D277" s="39"/>
      <c r="E277" s="34"/>
      <c r="F277" s="28"/>
      <c r="G277" s="28"/>
      <c r="H277" s="28"/>
      <c r="I277" s="28"/>
      <c r="J277" s="28"/>
      <c r="K277" s="28"/>
      <c r="L277" s="28"/>
      <c r="O277" s="34"/>
      <c r="P277" s="34"/>
      <c r="Q277" s="34"/>
    </row>
    <row r="278" spans="1:17" ht="15.75">
      <c r="A278" s="38"/>
      <c r="B278" s="40"/>
      <c r="C278" s="28"/>
      <c r="D278" s="39"/>
      <c r="E278" s="34"/>
      <c r="F278" s="28"/>
      <c r="G278" s="28"/>
      <c r="H278" s="28"/>
      <c r="I278" s="28"/>
      <c r="J278" s="28"/>
      <c r="K278" s="28"/>
      <c r="L278" s="34"/>
      <c r="O278" s="34"/>
      <c r="P278" s="34"/>
      <c r="Q278" s="34"/>
    </row>
    <row r="279" spans="1:17" ht="15.75">
      <c r="A279" s="38"/>
      <c r="B279" s="40"/>
      <c r="C279" s="28"/>
      <c r="D279" s="39"/>
      <c r="E279" s="34"/>
      <c r="F279" s="28"/>
      <c r="G279" s="28"/>
      <c r="H279" s="28"/>
      <c r="I279" s="28"/>
      <c r="J279" s="28"/>
      <c r="K279" s="28"/>
      <c r="L279" s="28"/>
      <c r="O279" s="34"/>
      <c r="P279" s="34"/>
      <c r="Q279" s="34"/>
    </row>
    <row r="280" spans="1:17" ht="15.75">
      <c r="A280" s="38" t="s">
        <v>23</v>
      </c>
      <c r="B280" s="42" t="s">
        <v>27</v>
      </c>
      <c r="C280" s="43" t="s">
        <v>24</v>
      </c>
      <c r="D280" s="39"/>
      <c r="E280" s="34"/>
      <c r="F280" s="29"/>
      <c r="G280" s="29" t="s">
        <v>16</v>
      </c>
      <c r="H280" s="29"/>
      <c r="I280" s="29" t="s">
        <v>30</v>
      </c>
      <c r="J280" s="34"/>
      <c r="K280" s="34"/>
      <c r="L280" s="34"/>
      <c r="O280" s="34"/>
      <c r="P280" s="34"/>
      <c r="Q280" s="34"/>
    </row>
    <row r="281" spans="1:17" ht="15.75">
      <c r="A281" s="38"/>
      <c r="B281" s="44" t="s">
        <v>31</v>
      </c>
      <c r="C281" s="45" t="s">
        <v>20</v>
      </c>
      <c r="D281" s="39"/>
      <c r="E281" s="34"/>
      <c r="F281" s="46"/>
      <c r="G281" s="46" t="s">
        <v>17</v>
      </c>
      <c r="H281" s="46"/>
      <c r="I281" s="46" t="s">
        <v>25</v>
      </c>
      <c r="J281" s="34"/>
      <c r="K281" s="34"/>
      <c r="L281" s="34"/>
      <c r="O281" s="34"/>
      <c r="P281" s="34"/>
      <c r="Q281" s="34"/>
    </row>
  </sheetData>
  <mergeCells count="14">
    <mergeCell ref="G255:I255"/>
    <mergeCell ref="G275:I275"/>
    <mergeCell ref="G133:I133"/>
    <mergeCell ref="G113:I113"/>
    <mergeCell ref="G235:I235"/>
    <mergeCell ref="G214:I214"/>
    <mergeCell ref="G193:I193"/>
    <mergeCell ref="G173:I173"/>
    <mergeCell ref="G153:I153"/>
    <mergeCell ref="G13:I13"/>
    <mergeCell ref="G33:I33"/>
    <mergeCell ref="G53:I53"/>
    <mergeCell ref="G73:I73"/>
    <mergeCell ref="G93:I93"/>
  </mergeCells>
  <printOptions horizontalCentered="1"/>
  <pageMargins left="7.874015748031496E-2" right="0.70866141732283472" top="0.74803149606299213" bottom="0.98425196850393704" header="0.31496062992125984" footer="0.31496062992125984"/>
  <pageSetup paperSize="5" scale="7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41"/>
  <sheetViews>
    <sheetView topLeftCell="A224" workbookViewId="0">
      <selection activeCell="F237" sqref="F237"/>
    </sheetView>
  </sheetViews>
  <sheetFormatPr defaultRowHeight="15"/>
  <cols>
    <col min="1" max="1" width="2.28515625" style="64" customWidth="1"/>
    <col min="2" max="2" width="16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5.85546875" style="64" customWidth="1"/>
    <col min="9" max="9" width="16.28515625" style="64" customWidth="1"/>
    <col min="10" max="10" width="9.28515625" style="64" customWidth="1"/>
    <col min="11" max="11" width="15" style="64" customWidth="1"/>
    <col min="12" max="12" width="12.42578125" style="64" bestFit="1" customWidth="1"/>
    <col min="13" max="13" width="16.42578125" style="34" customWidth="1"/>
    <col min="14" max="14" width="16.5703125" style="34" bestFit="1" customWidth="1"/>
    <col min="15" max="15" width="17.140625" style="64" customWidth="1"/>
    <col min="16" max="16" width="10" style="64" customWidth="1"/>
    <col min="17" max="17" width="6.140625" style="64" customWidth="1"/>
    <col min="18" max="18" width="5.85546875" style="64" customWidth="1"/>
    <col min="19" max="16384" width="9.140625" style="64"/>
  </cols>
  <sheetData>
    <row r="1" spans="1:17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  <c r="O1" s="34"/>
      <c r="P1" s="34"/>
      <c r="Q1" s="34"/>
    </row>
    <row r="2" spans="1:17" ht="15.75">
      <c r="A2" s="26" t="s">
        <v>135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>
      <c r="A5" s="5"/>
      <c r="B5" s="5"/>
      <c r="C5" s="10"/>
      <c r="D5" s="60"/>
      <c r="E5" s="7"/>
      <c r="F5" s="6"/>
      <c r="G5" s="8" t="s">
        <v>81</v>
      </c>
      <c r="H5" s="8" t="s">
        <v>58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>
      <c r="A8" s="52">
        <v>1</v>
      </c>
      <c r="B8" s="51" t="s">
        <v>136</v>
      </c>
      <c r="C8" s="48" t="s">
        <v>137</v>
      </c>
      <c r="D8" s="67" t="s">
        <v>138</v>
      </c>
      <c r="E8" s="17">
        <v>43132</v>
      </c>
      <c r="F8" s="20" t="s">
        <v>139</v>
      </c>
      <c r="G8" s="36">
        <v>0</v>
      </c>
      <c r="H8" s="36">
        <v>0</v>
      </c>
      <c r="I8" s="8">
        <v>0</v>
      </c>
      <c r="J8" s="8">
        <v>0</v>
      </c>
      <c r="K8" s="8">
        <v>62500</v>
      </c>
      <c r="L8" s="8">
        <v>0</v>
      </c>
      <c r="M8" s="8">
        <f>SUM(G8:L8)</f>
        <v>62500</v>
      </c>
      <c r="N8" s="8">
        <f>6250000-M8</f>
        <v>6187500</v>
      </c>
      <c r="O8" s="8">
        <f t="shared" ref="O8" si="0">+M8+N8</f>
        <v>6250000</v>
      </c>
      <c r="P8" s="59" t="s">
        <v>117</v>
      </c>
      <c r="Q8" s="60" t="s">
        <v>40</v>
      </c>
    </row>
    <row r="9" spans="1:17" ht="15.7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62500</v>
      </c>
      <c r="L10" s="19">
        <f t="shared" si="1"/>
        <v>0</v>
      </c>
      <c r="M10" s="19">
        <f t="shared" si="1"/>
        <v>62500</v>
      </c>
      <c r="N10" s="19">
        <f t="shared" si="1"/>
        <v>6187500</v>
      </c>
      <c r="O10" s="19">
        <f t="shared" si="1"/>
        <v>6250000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140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>
      <c r="A13" s="38"/>
      <c r="B13" s="40" t="s">
        <v>32</v>
      </c>
      <c r="C13" s="28" t="s">
        <v>28</v>
      </c>
      <c r="D13" s="39"/>
      <c r="E13" s="34"/>
      <c r="F13" s="41"/>
      <c r="G13" s="143" t="s">
        <v>26</v>
      </c>
      <c r="H13" s="143"/>
      <c r="I13" s="143"/>
      <c r="J13" s="34"/>
      <c r="K13" s="41"/>
      <c r="L13" s="34"/>
      <c r="O13" s="34"/>
      <c r="P13" s="34"/>
      <c r="Q13" s="34"/>
    </row>
    <row r="14" spans="1:17" ht="15.7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>
      <c r="A22" s="26" t="s">
        <v>141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>
      <c r="A25" s="5"/>
      <c r="B25" s="5"/>
      <c r="C25" s="10"/>
      <c r="D25" s="60"/>
      <c r="E25" s="7"/>
      <c r="F25" s="6"/>
      <c r="G25" s="8" t="s">
        <v>81</v>
      </c>
      <c r="H25" s="8" t="s">
        <v>58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>
      <c r="A28" s="52">
        <v>1</v>
      </c>
      <c r="B28" s="51" t="s">
        <v>142</v>
      </c>
      <c r="C28" s="48" t="s">
        <v>143</v>
      </c>
      <c r="D28" s="67" t="s">
        <v>144</v>
      </c>
      <c r="E28" s="17">
        <v>43133</v>
      </c>
      <c r="F28" s="20" t="s">
        <v>145</v>
      </c>
      <c r="G28" s="36">
        <v>0</v>
      </c>
      <c r="H28" s="36">
        <v>0</v>
      </c>
      <c r="I28" s="8">
        <v>0</v>
      </c>
      <c r="J28" s="8">
        <v>0</v>
      </c>
      <c r="K28" s="8">
        <v>200000</v>
      </c>
      <c r="L28" s="8">
        <v>200000</v>
      </c>
      <c r="M28" s="8">
        <f>SUM(G28:L28)</f>
        <v>400000</v>
      </c>
      <c r="N28" s="8">
        <f>50000000-M28</f>
        <v>49600000</v>
      </c>
      <c r="O28" s="8">
        <f t="shared" ref="O28" si="2">+M28+N28</f>
        <v>50000000</v>
      </c>
      <c r="P28" s="77" t="s">
        <v>146</v>
      </c>
      <c r="Q28" s="60" t="s">
        <v>58</v>
      </c>
    </row>
    <row r="29" spans="1:17" ht="15.7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:O30" si="3">SUM(G28:G29)</f>
        <v>0</v>
      </c>
      <c r="H30" s="19">
        <f t="shared" si="3"/>
        <v>0</v>
      </c>
      <c r="I30" s="19">
        <f t="shared" si="3"/>
        <v>0</v>
      </c>
      <c r="J30" s="19">
        <f t="shared" si="3"/>
        <v>0</v>
      </c>
      <c r="K30" s="19">
        <f t="shared" si="3"/>
        <v>200000</v>
      </c>
      <c r="L30" s="19">
        <f t="shared" si="3"/>
        <v>200000</v>
      </c>
      <c r="M30" s="19">
        <f t="shared" si="3"/>
        <v>400000</v>
      </c>
      <c r="N30" s="19">
        <f t="shared" si="3"/>
        <v>49600000</v>
      </c>
      <c r="O30" s="19">
        <f t="shared" si="3"/>
        <v>50000000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147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>
      <c r="A33" s="38"/>
      <c r="B33" s="40" t="s">
        <v>32</v>
      </c>
      <c r="C33" s="28" t="s">
        <v>28</v>
      </c>
      <c r="D33" s="39"/>
      <c r="E33" s="34"/>
      <c r="F33" s="41"/>
      <c r="G33" s="143" t="s">
        <v>26</v>
      </c>
      <c r="H33" s="143"/>
      <c r="I33" s="143"/>
      <c r="J33" s="34"/>
      <c r="K33" s="41"/>
      <c r="L33" s="34"/>
      <c r="O33" s="34"/>
      <c r="P33" s="34"/>
      <c r="Q33" s="34"/>
    </row>
    <row r="34" spans="1:17" ht="15.7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>
      <c r="A42" s="26" t="s">
        <v>148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>
      <c r="A45" s="5"/>
      <c r="B45" s="5"/>
      <c r="C45" s="10"/>
      <c r="D45" s="60"/>
      <c r="E45" s="7"/>
      <c r="F45" s="6"/>
      <c r="G45" s="8" t="s">
        <v>81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>
      <c r="A48" s="52">
        <v>1</v>
      </c>
      <c r="B48" s="51" t="s">
        <v>149</v>
      </c>
      <c r="C48" s="48" t="s">
        <v>150</v>
      </c>
      <c r="D48" s="67" t="s">
        <v>151</v>
      </c>
      <c r="E48" s="17">
        <v>43136</v>
      </c>
      <c r="F48" s="20" t="s">
        <v>152</v>
      </c>
      <c r="G48" s="36">
        <v>0</v>
      </c>
      <c r="H48" s="36">
        <v>0</v>
      </c>
      <c r="I48" s="8">
        <v>0</v>
      </c>
      <c r="J48" s="8">
        <v>0</v>
      </c>
      <c r="K48" s="8">
        <v>100000</v>
      </c>
      <c r="L48" s="8">
        <v>200000</v>
      </c>
      <c r="M48" s="8">
        <f>SUM(G48:L48)</f>
        <v>300000</v>
      </c>
      <c r="N48" s="8">
        <f>40000000-M48</f>
        <v>39700000</v>
      </c>
      <c r="O48" s="8">
        <f t="shared" ref="O48" si="4">+M48+N48</f>
        <v>40000000</v>
      </c>
      <c r="P48" s="77" t="s">
        <v>153</v>
      </c>
      <c r="Q48" s="60" t="s">
        <v>58</v>
      </c>
    </row>
    <row r="49" spans="1:17" ht="15.7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>
      <c r="A50" s="18"/>
      <c r="B50" s="55"/>
      <c r="C50" s="56"/>
      <c r="D50" s="74"/>
      <c r="E50" s="56"/>
      <c r="F50" s="57"/>
      <c r="G50" s="19">
        <f t="shared" ref="G50:O50" si="5">SUM(G48:G49)</f>
        <v>0</v>
      </c>
      <c r="H50" s="19">
        <f t="shared" si="5"/>
        <v>0</v>
      </c>
      <c r="I50" s="19">
        <f t="shared" si="5"/>
        <v>0</v>
      </c>
      <c r="J50" s="19">
        <f t="shared" si="5"/>
        <v>0</v>
      </c>
      <c r="K50" s="19">
        <f t="shared" si="5"/>
        <v>100000</v>
      </c>
      <c r="L50" s="19">
        <f t="shared" si="5"/>
        <v>200000</v>
      </c>
      <c r="M50" s="19">
        <f t="shared" si="5"/>
        <v>300000</v>
      </c>
      <c r="N50" s="19">
        <f t="shared" si="5"/>
        <v>39700000</v>
      </c>
      <c r="O50" s="19">
        <f t="shared" si="5"/>
        <v>40000000</v>
      </c>
      <c r="P50" s="68"/>
      <c r="Q50" s="70"/>
    </row>
    <row r="51" spans="1:17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>
      <c r="A52" s="23"/>
      <c r="B52" s="28" t="s">
        <v>154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>
      <c r="A53" s="38"/>
      <c r="B53" s="40" t="s">
        <v>32</v>
      </c>
      <c r="C53" s="28" t="s">
        <v>28</v>
      </c>
      <c r="D53" s="39"/>
      <c r="E53" s="34"/>
      <c r="F53" s="41"/>
      <c r="G53" s="143" t="s">
        <v>26</v>
      </c>
      <c r="H53" s="143"/>
      <c r="I53" s="143"/>
      <c r="J53" s="34"/>
      <c r="K53" s="41"/>
      <c r="L53" s="34"/>
      <c r="O53" s="34"/>
      <c r="P53" s="34"/>
      <c r="Q53" s="34"/>
    </row>
    <row r="54" spans="1:17" ht="15.7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>
      <c r="A62" s="26" t="s">
        <v>148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>
      <c r="A65" s="5"/>
      <c r="B65" s="5"/>
      <c r="C65" s="10"/>
      <c r="D65" s="60"/>
      <c r="E65" s="7"/>
      <c r="F65" s="6"/>
      <c r="G65" s="8" t="s">
        <v>41</v>
      </c>
      <c r="H65" s="8" t="s">
        <v>58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>
      <c r="A68" s="52">
        <v>1</v>
      </c>
      <c r="B68" s="51" t="s">
        <v>155</v>
      </c>
      <c r="C68" s="48" t="s">
        <v>156</v>
      </c>
      <c r="D68" s="67" t="s">
        <v>157</v>
      </c>
      <c r="E68" s="17">
        <v>43136</v>
      </c>
      <c r="F68" s="20" t="s">
        <v>158</v>
      </c>
      <c r="G68" s="36">
        <v>3493000</v>
      </c>
      <c r="H68" s="36">
        <v>0</v>
      </c>
      <c r="I68" s="8">
        <v>87325</v>
      </c>
      <c r="J68" s="8">
        <v>33968</v>
      </c>
      <c r="K68" s="8">
        <v>45070</v>
      </c>
      <c r="L68" s="8">
        <v>0</v>
      </c>
      <c r="M68" s="8">
        <f>SUM(G68:L68)</f>
        <v>3659363</v>
      </c>
      <c r="N68" s="8">
        <f>8000000-M68</f>
        <v>4340637</v>
      </c>
      <c r="O68" s="8">
        <f t="shared" ref="O68" si="6">+M68+N68</f>
        <v>8000000</v>
      </c>
      <c r="P68" s="77" t="s">
        <v>159</v>
      </c>
      <c r="Q68" s="60" t="s">
        <v>52</v>
      </c>
    </row>
    <row r="69" spans="1:17" ht="15.7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>
      <c r="A70" s="18"/>
      <c r="B70" s="55"/>
      <c r="C70" s="56"/>
      <c r="D70" s="74"/>
      <c r="E70" s="56"/>
      <c r="F70" s="57"/>
      <c r="G70" s="19">
        <f t="shared" ref="G70:O70" si="7">SUM(G68:G69)</f>
        <v>3493000</v>
      </c>
      <c r="H70" s="19">
        <f t="shared" si="7"/>
        <v>0</v>
      </c>
      <c r="I70" s="19">
        <f t="shared" si="7"/>
        <v>87325</v>
      </c>
      <c r="J70" s="19">
        <f t="shared" si="7"/>
        <v>33968</v>
      </c>
      <c r="K70" s="19">
        <f t="shared" si="7"/>
        <v>45070</v>
      </c>
      <c r="L70" s="19">
        <f t="shared" si="7"/>
        <v>0</v>
      </c>
      <c r="M70" s="19">
        <f t="shared" si="7"/>
        <v>3659363</v>
      </c>
      <c r="N70" s="19">
        <f t="shared" si="7"/>
        <v>4340637</v>
      </c>
      <c r="O70" s="19">
        <f t="shared" si="7"/>
        <v>8000000</v>
      </c>
      <c r="P70" s="68"/>
      <c r="Q70" s="70"/>
    </row>
    <row r="71" spans="1:17" ht="16.5" thickTop="1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>
      <c r="A72" s="23"/>
      <c r="B72" s="28" t="s">
        <v>154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>
      <c r="A73" s="38"/>
      <c r="B73" s="40" t="s">
        <v>32</v>
      </c>
      <c r="C73" s="28" t="s">
        <v>28</v>
      </c>
      <c r="D73" s="39"/>
      <c r="E73" s="34"/>
      <c r="F73" s="41"/>
      <c r="G73" s="143" t="s">
        <v>26</v>
      </c>
      <c r="H73" s="143"/>
      <c r="I73" s="143"/>
      <c r="J73" s="34"/>
      <c r="K73" s="41"/>
      <c r="L73" s="34"/>
      <c r="O73" s="34"/>
      <c r="P73" s="34"/>
      <c r="Q73" s="34"/>
    </row>
    <row r="74" spans="1:17" ht="15.7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>
      <c r="A82" s="26" t="s">
        <v>160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>
      <c r="A85" s="5"/>
      <c r="B85" s="5"/>
      <c r="C85" s="10"/>
      <c r="D85" s="60"/>
      <c r="E85" s="7"/>
      <c r="F85" s="6"/>
      <c r="G85" s="8" t="s">
        <v>165</v>
      </c>
      <c r="H85" s="8" t="s">
        <v>58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>
      <c r="A88" s="52">
        <v>1</v>
      </c>
      <c r="B88" s="51" t="s">
        <v>161</v>
      </c>
      <c r="C88" s="48" t="s">
        <v>162</v>
      </c>
      <c r="D88" s="67" t="s">
        <v>163</v>
      </c>
      <c r="E88" s="17">
        <v>43140</v>
      </c>
      <c r="F88" s="20" t="s">
        <v>164</v>
      </c>
      <c r="G88" s="36">
        <v>25000000</v>
      </c>
      <c r="H88" s="36">
        <v>0</v>
      </c>
      <c r="I88" s="8">
        <v>625000</v>
      </c>
      <c r="J88" s="8">
        <v>0</v>
      </c>
      <c r="K88" s="8">
        <v>150000</v>
      </c>
      <c r="L88" s="8">
        <v>0</v>
      </c>
      <c r="M88" s="8">
        <f>SUM(G88:L88)</f>
        <v>25775000</v>
      </c>
      <c r="N88" s="8">
        <f>40775000-M88</f>
        <v>15000000</v>
      </c>
      <c r="O88" s="8">
        <f t="shared" ref="O88" si="8">+M88+N88</f>
        <v>40775000</v>
      </c>
      <c r="P88" s="77" t="s">
        <v>166</v>
      </c>
      <c r="Q88" s="60" t="s">
        <v>52</v>
      </c>
    </row>
    <row r="89" spans="1:17" ht="15.7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>
      <c r="A90" s="18"/>
      <c r="B90" s="55"/>
      <c r="C90" s="56"/>
      <c r="D90" s="74"/>
      <c r="E90" s="56"/>
      <c r="F90" s="57"/>
      <c r="G90" s="19">
        <f t="shared" ref="G90:O90" si="9">SUM(G88:G89)</f>
        <v>25000000</v>
      </c>
      <c r="H90" s="19">
        <f t="shared" si="9"/>
        <v>0</v>
      </c>
      <c r="I90" s="19">
        <f t="shared" si="9"/>
        <v>625000</v>
      </c>
      <c r="J90" s="19">
        <f t="shared" si="9"/>
        <v>0</v>
      </c>
      <c r="K90" s="19">
        <f t="shared" si="9"/>
        <v>150000</v>
      </c>
      <c r="L90" s="19">
        <f t="shared" si="9"/>
        <v>0</v>
      </c>
      <c r="M90" s="19">
        <f t="shared" si="9"/>
        <v>25775000</v>
      </c>
      <c r="N90" s="19">
        <f t="shared" si="9"/>
        <v>15000000</v>
      </c>
      <c r="O90" s="19">
        <f t="shared" si="9"/>
        <v>40775000</v>
      </c>
      <c r="P90" s="68"/>
      <c r="Q90" s="70"/>
    </row>
    <row r="91" spans="1:17" ht="16.5" thickTop="1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>
      <c r="A92" s="23"/>
      <c r="B92" s="28" t="s">
        <v>167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>
      <c r="A93" s="38"/>
      <c r="B93" s="40" t="s">
        <v>32</v>
      </c>
      <c r="C93" s="28" t="s">
        <v>28</v>
      </c>
      <c r="D93" s="39"/>
      <c r="E93" s="34"/>
      <c r="F93" s="41"/>
      <c r="G93" s="143" t="s">
        <v>26</v>
      </c>
      <c r="H93" s="143"/>
      <c r="I93" s="143"/>
      <c r="J93" s="34"/>
      <c r="K93" s="41"/>
      <c r="L93" s="34"/>
      <c r="O93" s="34"/>
      <c r="P93" s="34"/>
      <c r="Q93" s="34"/>
    </row>
    <row r="94" spans="1:17" ht="15.7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>
      <c r="A102" s="26" t="s">
        <v>160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>
      <c r="A105" s="5"/>
      <c r="B105" s="5"/>
      <c r="C105" s="10"/>
      <c r="D105" s="60"/>
      <c r="E105" s="7"/>
      <c r="F105" s="6"/>
      <c r="G105" s="8" t="s">
        <v>41</v>
      </c>
      <c r="H105" s="8" t="s">
        <v>58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>
      <c r="A108" s="52">
        <v>1</v>
      </c>
      <c r="B108" s="51" t="s">
        <v>168</v>
      </c>
      <c r="C108" s="48" t="s">
        <v>169</v>
      </c>
      <c r="D108" s="67" t="s">
        <v>170</v>
      </c>
      <c r="E108" s="17">
        <v>43140</v>
      </c>
      <c r="F108" s="20" t="s">
        <v>171</v>
      </c>
      <c r="G108" s="36">
        <v>43750000</v>
      </c>
      <c r="H108" s="36">
        <v>0</v>
      </c>
      <c r="I108" s="8">
        <v>1093750</v>
      </c>
      <c r="J108" s="8">
        <v>706728</v>
      </c>
      <c r="K108" s="8">
        <v>462500</v>
      </c>
      <c r="L108" s="8">
        <v>200000</v>
      </c>
      <c r="M108" s="8">
        <f>SUM(G108:L108)</f>
        <v>46212978</v>
      </c>
      <c r="N108" s="8">
        <f>90000000-M108</f>
        <v>43787022</v>
      </c>
      <c r="O108" s="8">
        <f t="shared" ref="O108" si="10">+M108+N108</f>
        <v>90000000</v>
      </c>
      <c r="P108" s="77" t="s">
        <v>124</v>
      </c>
      <c r="Q108" s="60" t="s">
        <v>52</v>
      </c>
    </row>
    <row r="109" spans="1:17" ht="15.7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>
      <c r="A110" s="18"/>
      <c r="B110" s="55"/>
      <c r="C110" s="56"/>
      <c r="D110" s="74"/>
      <c r="E110" s="56"/>
      <c r="F110" s="57"/>
      <c r="G110" s="19">
        <f t="shared" ref="G110:O110" si="11">SUM(G108:G109)</f>
        <v>43750000</v>
      </c>
      <c r="H110" s="19">
        <f t="shared" si="11"/>
        <v>0</v>
      </c>
      <c r="I110" s="19">
        <f t="shared" si="11"/>
        <v>1093750</v>
      </c>
      <c r="J110" s="19">
        <f t="shared" si="11"/>
        <v>706728</v>
      </c>
      <c r="K110" s="19">
        <f t="shared" si="11"/>
        <v>462500</v>
      </c>
      <c r="L110" s="19">
        <f t="shared" si="11"/>
        <v>200000</v>
      </c>
      <c r="M110" s="19">
        <f t="shared" si="11"/>
        <v>46212978</v>
      </c>
      <c r="N110" s="19">
        <f t="shared" si="11"/>
        <v>43787022</v>
      </c>
      <c r="O110" s="19">
        <f t="shared" si="11"/>
        <v>90000000</v>
      </c>
      <c r="P110" s="68"/>
      <c r="Q110" s="70"/>
    </row>
    <row r="111" spans="1:17" ht="16.5" thickTop="1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>
      <c r="A112" s="23"/>
      <c r="B112" s="28" t="s">
        <v>167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>
      <c r="A113" s="38"/>
      <c r="B113" s="40" t="s">
        <v>32</v>
      </c>
      <c r="C113" s="28" t="s">
        <v>28</v>
      </c>
      <c r="D113" s="39"/>
      <c r="E113" s="34"/>
      <c r="F113" s="41"/>
      <c r="G113" s="143" t="s">
        <v>26</v>
      </c>
      <c r="H113" s="143"/>
      <c r="I113" s="143"/>
      <c r="J113" s="34"/>
      <c r="K113" s="41"/>
      <c r="L113" s="34"/>
      <c r="O113" s="34"/>
      <c r="P113" s="34"/>
      <c r="Q113" s="34"/>
    </row>
    <row r="114" spans="1:17" ht="15.7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>
      <c r="A122" s="26" t="s">
        <v>160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>
      <c r="A125" s="5"/>
      <c r="B125" s="5"/>
      <c r="C125" s="10"/>
      <c r="D125" s="60"/>
      <c r="E125" s="7"/>
      <c r="F125" s="6"/>
      <c r="G125" s="8" t="s">
        <v>41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>
      <c r="A128" s="52">
        <v>1</v>
      </c>
      <c r="B128" s="91" t="s">
        <v>172</v>
      </c>
      <c r="C128" s="48" t="s">
        <v>173</v>
      </c>
      <c r="D128" s="67" t="s">
        <v>174</v>
      </c>
      <c r="E128" s="17">
        <v>43140</v>
      </c>
      <c r="F128" s="20" t="s">
        <v>175</v>
      </c>
      <c r="G128" s="36">
        <v>48624767</v>
      </c>
      <c r="H128" s="36">
        <v>0</v>
      </c>
      <c r="I128" s="8">
        <v>1215619</v>
      </c>
      <c r="J128" s="8">
        <v>359287</v>
      </c>
      <c r="K128" s="8">
        <v>600000</v>
      </c>
      <c r="L128" s="8">
        <v>200000</v>
      </c>
      <c r="M128" s="8">
        <f>SUM(G128:L128)</f>
        <v>50999673</v>
      </c>
      <c r="N128" s="8">
        <f>110999673-M128</f>
        <v>60000000</v>
      </c>
      <c r="O128" s="8">
        <f t="shared" ref="O128" si="12">+M128+N128</f>
        <v>110999673</v>
      </c>
      <c r="P128" s="77" t="s">
        <v>176</v>
      </c>
      <c r="Q128" s="60" t="s">
        <v>52</v>
      </c>
    </row>
    <row r="129" spans="1:17" ht="15.7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>
      <c r="A130" s="18"/>
      <c r="B130" s="55"/>
      <c r="C130" s="56"/>
      <c r="D130" s="74"/>
      <c r="E130" s="56"/>
      <c r="F130" s="57"/>
      <c r="G130" s="19">
        <f t="shared" ref="G130:O130" si="13">SUM(G128:G129)</f>
        <v>48624767</v>
      </c>
      <c r="H130" s="19">
        <f t="shared" si="13"/>
        <v>0</v>
      </c>
      <c r="I130" s="19">
        <f t="shared" si="13"/>
        <v>1215619</v>
      </c>
      <c r="J130" s="19">
        <f t="shared" si="13"/>
        <v>359287</v>
      </c>
      <c r="K130" s="19">
        <f t="shared" si="13"/>
        <v>600000</v>
      </c>
      <c r="L130" s="19">
        <f t="shared" si="13"/>
        <v>200000</v>
      </c>
      <c r="M130" s="19">
        <f t="shared" si="13"/>
        <v>50999673</v>
      </c>
      <c r="N130" s="19">
        <f t="shared" si="13"/>
        <v>60000000</v>
      </c>
      <c r="O130" s="19">
        <f t="shared" si="13"/>
        <v>110999673</v>
      </c>
      <c r="P130" s="68"/>
      <c r="Q130" s="70"/>
    </row>
    <row r="131" spans="1:17" ht="16.5" thickTop="1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>
      <c r="A132" s="23"/>
      <c r="B132" s="28" t="s">
        <v>167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>
      <c r="A133" s="38"/>
      <c r="B133" s="40" t="s">
        <v>32</v>
      </c>
      <c r="C133" s="28" t="s">
        <v>28</v>
      </c>
      <c r="D133" s="39"/>
      <c r="E133" s="34"/>
      <c r="F133" s="41"/>
      <c r="G133" s="143" t="s">
        <v>26</v>
      </c>
      <c r="H133" s="143"/>
      <c r="I133" s="143"/>
      <c r="J133" s="34"/>
      <c r="K133" s="41"/>
      <c r="L133" s="34"/>
      <c r="O133" s="34"/>
      <c r="P133" s="34"/>
      <c r="Q133" s="34"/>
    </row>
    <row r="134" spans="1:17" ht="15.7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0" spans="1:17">
      <c r="A140" s="92" t="s">
        <v>106</v>
      </c>
    </row>
    <row r="141" spans="1:17" ht="15.7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>
      <c r="A142" s="26" t="s">
        <v>187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>
      <c r="A145" s="5"/>
      <c r="B145" s="5"/>
      <c r="C145" s="10"/>
      <c r="D145" s="60"/>
      <c r="E145" s="7"/>
      <c r="F145" s="6"/>
      <c r="G145" s="8" t="s">
        <v>41</v>
      </c>
      <c r="H145" s="8"/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>
      <c r="A148" s="52">
        <v>1</v>
      </c>
      <c r="B148" s="91" t="s">
        <v>177</v>
      </c>
      <c r="C148" s="48" t="s">
        <v>178</v>
      </c>
      <c r="D148" s="67" t="s">
        <v>179</v>
      </c>
      <c r="E148" s="17">
        <v>43154</v>
      </c>
      <c r="F148" s="20" t="s">
        <v>180</v>
      </c>
      <c r="G148" s="36">
        <v>37400000</v>
      </c>
      <c r="H148" s="36">
        <v>0</v>
      </c>
      <c r="I148" s="8">
        <v>935000</v>
      </c>
      <c r="J148" s="8">
        <v>0</v>
      </c>
      <c r="K148" s="8">
        <v>576000</v>
      </c>
      <c r="L148" s="8">
        <v>200000</v>
      </c>
      <c r="M148" s="8">
        <f>SUM(G148:L148)</f>
        <v>39111000</v>
      </c>
      <c r="N148" s="8">
        <f>95000000-M148</f>
        <v>55889000</v>
      </c>
      <c r="O148" s="8">
        <f t="shared" ref="O148" si="14">+M148+N148</f>
        <v>95000000</v>
      </c>
      <c r="P148" s="77" t="s">
        <v>181</v>
      </c>
      <c r="Q148" s="60" t="s">
        <v>52</v>
      </c>
    </row>
    <row r="149" spans="1:17" ht="15.75">
      <c r="A149" s="52">
        <v>2</v>
      </c>
      <c r="B149" s="91" t="s">
        <v>182</v>
      </c>
      <c r="C149" s="48" t="s">
        <v>183</v>
      </c>
      <c r="D149" s="67" t="s">
        <v>184</v>
      </c>
      <c r="E149" s="17">
        <v>43154</v>
      </c>
      <c r="F149" s="20" t="s">
        <v>185</v>
      </c>
      <c r="G149" s="36">
        <v>40273500</v>
      </c>
      <c r="H149" s="36">
        <v>0</v>
      </c>
      <c r="I149" s="8">
        <v>1006838</v>
      </c>
      <c r="J149" s="8">
        <v>0</v>
      </c>
      <c r="K149" s="8">
        <v>597265</v>
      </c>
      <c r="L149" s="8">
        <v>200000</v>
      </c>
      <c r="M149" s="8">
        <f>SUM(G149:L149)</f>
        <v>42077603</v>
      </c>
      <c r="N149" s="8">
        <f>100000000-M149</f>
        <v>57922397</v>
      </c>
      <c r="O149" s="8">
        <f t="shared" ref="O149" si="15">+M149+N149</f>
        <v>100000000</v>
      </c>
      <c r="P149" s="77" t="s">
        <v>181</v>
      </c>
      <c r="Q149" s="60" t="s">
        <v>52</v>
      </c>
    </row>
    <row r="150" spans="1:17" ht="15.75">
      <c r="A150" s="52"/>
      <c r="B150" s="51"/>
      <c r="C150" s="48"/>
      <c r="D150" s="34"/>
      <c r="E150" s="17"/>
      <c r="F150" s="48"/>
      <c r="G150" s="36"/>
      <c r="H150" s="36"/>
      <c r="I150" s="36"/>
      <c r="J150" s="36"/>
      <c r="K150" s="36"/>
      <c r="L150" s="34"/>
      <c r="M150" s="8"/>
      <c r="N150" s="8"/>
      <c r="O150" s="8"/>
      <c r="P150" s="59"/>
      <c r="Q150" s="66"/>
    </row>
    <row r="151" spans="1:17" ht="16.5" thickBot="1">
      <c r="A151" s="18"/>
      <c r="B151" s="55"/>
      <c r="C151" s="56"/>
      <c r="D151" s="74"/>
      <c r="E151" s="56"/>
      <c r="F151" s="57"/>
      <c r="G151" s="19">
        <f t="shared" ref="G151:O151" si="16">SUM(G148:G150)</f>
        <v>77673500</v>
      </c>
      <c r="H151" s="19">
        <f t="shared" si="16"/>
        <v>0</v>
      </c>
      <c r="I151" s="19">
        <f t="shared" si="16"/>
        <v>1941838</v>
      </c>
      <c r="J151" s="19">
        <f t="shared" si="16"/>
        <v>0</v>
      </c>
      <c r="K151" s="19">
        <f t="shared" si="16"/>
        <v>1173265</v>
      </c>
      <c r="L151" s="19">
        <f t="shared" si="16"/>
        <v>400000</v>
      </c>
      <c r="M151" s="19">
        <f t="shared" si="16"/>
        <v>81188603</v>
      </c>
      <c r="N151" s="19">
        <f t="shared" si="16"/>
        <v>113811397</v>
      </c>
      <c r="O151" s="19">
        <f t="shared" si="16"/>
        <v>195000000</v>
      </c>
      <c r="P151" s="68"/>
      <c r="Q151" s="70"/>
    </row>
    <row r="152" spans="1:17" ht="16.5" thickTop="1">
      <c r="A152" s="23"/>
      <c r="B152" s="22"/>
      <c r="C152" s="22"/>
      <c r="D152" s="23"/>
      <c r="E152" s="22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2"/>
      <c r="Q152" s="69"/>
    </row>
    <row r="153" spans="1:17" ht="15.75">
      <c r="A153" s="23"/>
      <c r="B153" s="28" t="s">
        <v>186</v>
      </c>
      <c r="C153" s="22"/>
      <c r="D153" s="39"/>
      <c r="E153" s="34"/>
      <c r="F153" s="27"/>
      <c r="G153" s="28"/>
      <c r="H153" s="28"/>
      <c r="I153" s="28"/>
      <c r="J153" s="28"/>
      <c r="K153" s="28"/>
      <c r="L153" s="28"/>
      <c r="O153" s="34"/>
      <c r="P153" s="34"/>
      <c r="Q153" s="51"/>
    </row>
    <row r="154" spans="1:17" ht="15.75">
      <c r="A154" s="38"/>
      <c r="B154" s="40" t="s">
        <v>32</v>
      </c>
      <c r="C154" s="28" t="s">
        <v>28</v>
      </c>
      <c r="D154" s="39"/>
      <c r="E154" s="34"/>
      <c r="F154" s="41"/>
      <c r="G154" s="143" t="s">
        <v>26</v>
      </c>
      <c r="H154" s="143"/>
      <c r="I154" s="143"/>
      <c r="J154" s="34"/>
      <c r="K154" s="41"/>
      <c r="L154" s="34"/>
      <c r="O154" s="34"/>
      <c r="P154" s="34"/>
      <c r="Q154" s="34"/>
    </row>
    <row r="155" spans="1:17" ht="15.7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28"/>
      <c r="O156" s="34"/>
      <c r="P156" s="34"/>
      <c r="Q156" s="34"/>
    </row>
    <row r="157" spans="1:17" ht="15.7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34"/>
      <c r="O157" s="34"/>
      <c r="P157" s="34"/>
      <c r="Q157" s="34"/>
    </row>
    <row r="158" spans="1:17" ht="15.75">
      <c r="A158" s="38"/>
      <c r="B158" s="40"/>
      <c r="C158" s="28"/>
      <c r="D158" s="39"/>
      <c r="E158" s="34"/>
      <c r="F158" s="28"/>
      <c r="G158" s="28"/>
      <c r="H158" s="28"/>
      <c r="I158" s="28"/>
      <c r="J158" s="28"/>
      <c r="K158" s="28"/>
      <c r="L158" s="28"/>
      <c r="O158" s="34"/>
      <c r="P158" s="34"/>
      <c r="Q158" s="34"/>
    </row>
    <row r="159" spans="1:17" ht="15.75">
      <c r="A159" s="38" t="s">
        <v>23</v>
      </c>
      <c r="B159" s="42" t="s">
        <v>27</v>
      </c>
      <c r="C159" s="43" t="s">
        <v>24</v>
      </c>
      <c r="D159" s="39"/>
      <c r="E159" s="34"/>
      <c r="F159" s="29"/>
      <c r="G159" s="29" t="s">
        <v>16</v>
      </c>
      <c r="H159" s="29"/>
      <c r="I159" s="29" t="s">
        <v>30</v>
      </c>
      <c r="J159" s="34"/>
      <c r="K159" s="34"/>
      <c r="L159" s="34"/>
      <c r="O159" s="34"/>
      <c r="P159" s="34"/>
      <c r="Q159" s="34"/>
    </row>
    <row r="160" spans="1:17" ht="15.75">
      <c r="A160" s="38"/>
      <c r="B160" s="44" t="s">
        <v>31</v>
      </c>
      <c r="C160" s="45" t="s">
        <v>20</v>
      </c>
      <c r="D160" s="39"/>
      <c r="E160" s="34"/>
      <c r="F160" s="46"/>
      <c r="G160" s="46" t="s">
        <v>17</v>
      </c>
      <c r="H160" s="46"/>
      <c r="I160" s="46" t="s">
        <v>25</v>
      </c>
      <c r="J160" s="34"/>
      <c r="K160" s="34"/>
      <c r="L160" s="34"/>
      <c r="O160" s="34"/>
      <c r="P160" s="34"/>
      <c r="Q160" s="34"/>
    </row>
    <row r="162" spans="1:17" ht="15.75">
      <c r="A162" s="21" t="s">
        <v>0</v>
      </c>
      <c r="B162" s="22"/>
      <c r="C162" s="23"/>
      <c r="D162" s="23"/>
      <c r="E162" s="23"/>
      <c r="F162" s="24"/>
      <c r="G162" s="24"/>
      <c r="H162" s="24"/>
      <c r="I162" s="24"/>
      <c r="J162" s="24"/>
      <c r="K162" s="24"/>
      <c r="L162" s="25"/>
      <c r="O162" s="34"/>
      <c r="P162" s="34"/>
      <c r="Q162" s="34"/>
    </row>
    <row r="163" spans="1:17" ht="15.75">
      <c r="A163" s="26" t="s">
        <v>188</v>
      </c>
      <c r="B163" s="21"/>
      <c r="C163" s="21"/>
      <c r="D163" s="21"/>
      <c r="E163" s="21"/>
      <c r="F163" s="24"/>
      <c r="G163" s="24"/>
      <c r="H163" s="24"/>
      <c r="I163" s="24"/>
      <c r="J163" s="24"/>
      <c r="K163" s="24"/>
      <c r="L163" s="25"/>
      <c r="O163" s="34"/>
      <c r="P163" s="34"/>
      <c r="Q163" s="34"/>
    </row>
    <row r="164" spans="1:17" ht="15.75">
      <c r="A164" s="1"/>
      <c r="B164" s="1" t="s">
        <v>1</v>
      </c>
      <c r="C164" s="2" t="s">
        <v>2</v>
      </c>
      <c r="D164" s="71" t="s">
        <v>34</v>
      </c>
      <c r="E164" s="3" t="s">
        <v>3</v>
      </c>
      <c r="F164" s="2" t="s">
        <v>4</v>
      </c>
      <c r="G164" s="4" t="s">
        <v>18</v>
      </c>
      <c r="H164" s="4" t="s">
        <v>18</v>
      </c>
      <c r="I164" s="63" t="s">
        <v>7</v>
      </c>
      <c r="J164" s="65" t="s">
        <v>6</v>
      </c>
      <c r="K164" s="32" t="s">
        <v>29</v>
      </c>
      <c r="L164" s="32" t="s">
        <v>21</v>
      </c>
      <c r="M164" s="4" t="s">
        <v>8</v>
      </c>
      <c r="N164" s="30" t="s">
        <v>8</v>
      </c>
      <c r="O164" s="4" t="s">
        <v>9</v>
      </c>
      <c r="P164" s="62" t="s">
        <v>10</v>
      </c>
      <c r="Q164" s="54" t="s">
        <v>33</v>
      </c>
    </row>
    <row r="165" spans="1:17" ht="15.75">
      <c r="A165" s="5"/>
      <c r="B165" s="5"/>
      <c r="C165" s="6"/>
      <c r="D165" s="60"/>
      <c r="E165" s="7"/>
      <c r="F165" s="6"/>
      <c r="G165" s="8" t="s">
        <v>11</v>
      </c>
      <c r="H165" s="8" t="s">
        <v>11</v>
      </c>
      <c r="I165" s="31" t="s">
        <v>19</v>
      </c>
      <c r="J165" s="61" t="s">
        <v>35</v>
      </c>
      <c r="K165" s="33" t="s">
        <v>22</v>
      </c>
      <c r="L165" s="33" t="s">
        <v>15</v>
      </c>
      <c r="M165" s="8" t="s">
        <v>13</v>
      </c>
      <c r="N165" s="31" t="s">
        <v>14</v>
      </c>
      <c r="O165" s="8" t="s">
        <v>12</v>
      </c>
      <c r="P165" s="5"/>
      <c r="Q165" s="9"/>
    </row>
    <row r="166" spans="1:17" ht="15.75">
      <c r="A166" s="5"/>
      <c r="B166" s="5"/>
      <c r="C166" s="10"/>
      <c r="D166" s="60"/>
      <c r="E166" s="7"/>
      <c r="F166" s="6"/>
      <c r="G166" s="8" t="s">
        <v>41</v>
      </c>
      <c r="H166" s="8"/>
      <c r="I166" s="31" t="s">
        <v>5</v>
      </c>
      <c r="J166" s="8"/>
      <c r="K166" s="8"/>
      <c r="L166" s="8"/>
      <c r="M166" s="8"/>
      <c r="N166" s="8"/>
      <c r="O166" s="8"/>
      <c r="P166" s="5"/>
      <c r="Q166" s="9"/>
    </row>
    <row r="167" spans="1:17" ht="15.75">
      <c r="A167" s="11"/>
      <c r="B167" s="11"/>
      <c r="C167" s="12"/>
      <c r="D167" s="72"/>
      <c r="E167" s="13"/>
      <c r="F167" s="14"/>
      <c r="G167" s="15"/>
      <c r="H167" s="50"/>
      <c r="I167" s="15"/>
      <c r="J167" s="49"/>
      <c r="K167" s="53"/>
      <c r="L167" s="75"/>
      <c r="M167" s="15"/>
      <c r="N167" s="15"/>
      <c r="O167" s="15"/>
      <c r="P167" s="11"/>
      <c r="Q167" s="16"/>
    </row>
    <row r="168" spans="1:17" ht="15.75">
      <c r="A168" s="52"/>
      <c r="B168" s="47"/>
      <c r="C168" s="48"/>
      <c r="D168" s="73"/>
      <c r="E168" s="17"/>
      <c r="F168" s="48"/>
      <c r="G168" s="36"/>
      <c r="H168" s="36"/>
      <c r="I168" s="36"/>
      <c r="J168" s="36"/>
      <c r="K168" s="8"/>
      <c r="L168" s="34"/>
      <c r="M168" s="8"/>
      <c r="N168" s="8"/>
      <c r="O168" s="8"/>
      <c r="P168" s="35"/>
      <c r="Q168" s="37"/>
    </row>
    <row r="169" spans="1:17" ht="15.75">
      <c r="A169" s="52">
        <v>1</v>
      </c>
      <c r="B169" s="51" t="s">
        <v>189</v>
      </c>
      <c r="C169" s="48" t="s">
        <v>190</v>
      </c>
      <c r="D169" s="67" t="s">
        <v>191</v>
      </c>
      <c r="E169" s="17">
        <v>43157</v>
      </c>
      <c r="F169" s="20" t="s">
        <v>193</v>
      </c>
      <c r="G169" s="36">
        <v>0</v>
      </c>
      <c r="H169" s="36">
        <v>0</v>
      </c>
      <c r="I169" s="8">
        <v>0</v>
      </c>
      <c r="J169" s="8">
        <v>0</v>
      </c>
      <c r="K169" s="8">
        <v>0</v>
      </c>
      <c r="L169" s="8">
        <v>0</v>
      </c>
      <c r="M169" s="8">
        <f>SUM(G169:L169)</f>
        <v>0</v>
      </c>
      <c r="N169" s="8">
        <f>5000000-M169</f>
        <v>5000000</v>
      </c>
      <c r="O169" s="8">
        <f t="shared" ref="O169" si="17">+M169+N169</f>
        <v>5000000</v>
      </c>
      <c r="P169" s="77" t="s">
        <v>192</v>
      </c>
      <c r="Q169" s="60" t="s">
        <v>74</v>
      </c>
    </row>
    <row r="170" spans="1:17" ht="15.75">
      <c r="A170" s="52"/>
      <c r="B170" s="51"/>
      <c r="C170" s="48"/>
      <c r="D170" s="34"/>
      <c r="E170" s="17"/>
      <c r="F170" s="48"/>
      <c r="G170" s="36"/>
      <c r="H170" s="36"/>
      <c r="I170" s="36"/>
      <c r="J170" s="36"/>
      <c r="K170" s="36"/>
      <c r="L170" s="34"/>
      <c r="M170" s="8"/>
      <c r="N170" s="8"/>
      <c r="O170" s="8"/>
      <c r="P170" s="59"/>
      <c r="Q170" s="66"/>
    </row>
    <row r="171" spans="1:17" ht="16.5" thickBot="1">
      <c r="A171" s="18"/>
      <c r="B171" s="55"/>
      <c r="C171" s="56"/>
      <c r="D171" s="74"/>
      <c r="E171" s="56"/>
      <c r="F171" s="57"/>
      <c r="G171" s="19">
        <f t="shared" ref="G171:O171" si="18">SUM(G169:G170)</f>
        <v>0</v>
      </c>
      <c r="H171" s="19">
        <f t="shared" si="18"/>
        <v>0</v>
      </c>
      <c r="I171" s="19">
        <f t="shared" si="18"/>
        <v>0</v>
      </c>
      <c r="J171" s="19">
        <f t="shared" si="18"/>
        <v>0</v>
      </c>
      <c r="K171" s="19">
        <f t="shared" si="18"/>
        <v>0</v>
      </c>
      <c r="L171" s="19">
        <f t="shared" si="18"/>
        <v>0</v>
      </c>
      <c r="M171" s="19">
        <f t="shared" si="18"/>
        <v>0</v>
      </c>
      <c r="N171" s="19">
        <f t="shared" si="18"/>
        <v>5000000</v>
      </c>
      <c r="O171" s="19">
        <f t="shared" si="18"/>
        <v>5000000</v>
      </c>
      <c r="P171" s="68"/>
      <c r="Q171" s="70"/>
    </row>
    <row r="172" spans="1:17" ht="16.5" thickTop="1">
      <c r="A172" s="23"/>
      <c r="B172" s="22"/>
      <c r="C172" s="22"/>
      <c r="D172" s="23"/>
      <c r="E172" s="22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2"/>
      <c r="Q172" s="69"/>
    </row>
    <row r="173" spans="1:17" ht="15.75">
      <c r="A173" s="23"/>
      <c r="B173" s="28" t="s">
        <v>194</v>
      </c>
      <c r="C173" s="22"/>
      <c r="D173" s="39"/>
      <c r="E173" s="34"/>
      <c r="F173" s="27"/>
      <c r="G173" s="28"/>
      <c r="H173" s="28"/>
      <c r="I173" s="28"/>
      <c r="J173" s="28"/>
      <c r="K173" s="28"/>
      <c r="L173" s="28"/>
      <c r="O173" s="34"/>
      <c r="P173" s="34"/>
      <c r="Q173" s="51"/>
    </row>
    <row r="174" spans="1:17" ht="15.75">
      <c r="A174" s="38"/>
      <c r="B174" s="40" t="s">
        <v>32</v>
      </c>
      <c r="C174" s="28" t="s">
        <v>28</v>
      </c>
      <c r="D174" s="39"/>
      <c r="E174" s="34"/>
      <c r="F174" s="41"/>
      <c r="G174" s="143" t="s">
        <v>26</v>
      </c>
      <c r="H174" s="143"/>
      <c r="I174" s="143"/>
      <c r="J174" s="34"/>
      <c r="K174" s="41"/>
      <c r="L174" s="34"/>
      <c r="O174" s="34"/>
      <c r="P174" s="34"/>
      <c r="Q174" s="34"/>
    </row>
    <row r="175" spans="1:17" ht="15.75">
      <c r="A175" s="38"/>
      <c r="B175" s="40"/>
      <c r="C175" s="28"/>
      <c r="D175" s="39"/>
      <c r="E175" s="34"/>
      <c r="F175" s="28"/>
      <c r="G175" s="28"/>
      <c r="H175" s="28"/>
      <c r="I175" s="28"/>
      <c r="J175" s="28"/>
      <c r="K175" s="28"/>
      <c r="L175" s="28"/>
      <c r="O175" s="34"/>
      <c r="P175" s="34"/>
      <c r="Q175" s="34"/>
    </row>
    <row r="176" spans="1:17" ht="15.75">
      <c r="A176" s="38"/>
      <c r="B176" s="40"/>
      <c r="C176" s="28"/>
      <c r="D176" s="39"/>
      <c r="E176" s="34"/>
      <c r="F176" s="28"/>
      <c r="G176" s="28"/>
      <c r="H176" s="28"/>
      <c r="I176" s="28"/>
      <c r="J176" s="28"/>
      <c r="K176" s="28"/>
      <c r="L176" s="28"/>
      <c r="O176" s="34"/>
      <c r="P176" s="34"/>
      <c r="Q176" s="34"/>
    </row>
    <row r="177" spans="1:17" ht="15.75">
      <c r="A177" s="38"/>
      <c r="B177" s="40"/>
      <c r="C177" s="28"/>
      <c r="D177" s="39"/>
      <c r="E177" s="34"/>
      <c r="F177" s="28"/>
      <c r="G177" s="28"/>
      <c r="H177" s="28"/>
      <c r="I177" s="28"/>
      <c r="J177" s="28"/>
      <c r="K177" s="28"/>
      <c r="L177" s="34"/>
      <c r="O177" s="34"/>
      <c r="P177" s="34"/>
      <c r="Q177" s="34"/>
    </row>
    <row r="178" spans="1:17" ht="15.75">
      <c r="A178" s="38"/>
      <c r="B178" s="40"/>
      <c r="C178" s="28"/>
      <c r="D178" s="39"/>
      <c r="E178" s="34"/>
      <c r="F178" s="28"/>
      <c r="G178" s="28"/>
      <c r="H178" s="28"/>
      <c r="I178" s="28"/>
      <c r="J178" s="28"/>
      <c r="K178" s="28"/>
      <c r="L178" s="28"/>
      <c r="O178" s="34"/>
      <c r="P178" s="34"/>
      <c r="Q178" s="34"/>
    </row>
    <row r="179" spans="1:17" ht="15.75">
      <c r="A179" s="38" t="s">
        <v>23</v>
      </c>
      <c r="B179" s="42" t="s">
        <v>27</v>
      </c>
      <c r="C179" s="43" t="s">
        <v>24</v>
      </c>
      <c r="D179" s="39"/>
      <c r="E179" s="34"/>
      <c r="F179" s="29"/>
      <c r="G179" s="29" t="s">
        <v>16</v>
      </c>
      <c r="H179" s="29"/>
      <c r="I179" s="29" t="s">
        <v>30</v>
      </c>
      <c r="J179" s="34"/>
      <c r="K179" s="34"/>
      <c r="L179" s="34"/>
      <c r="O179" s="34"/>
      <c r="P179" s="34"/>
      <c r="Q179" s="34"/>
    </row>
    <row r="180" spans="1:17" ht="15.75">
      <c r="A180" s="38"/>
      <c r="B180" s="44" t="s">
        <v>31</v>
      </c>
      <c r="C180" s="45" t="s">
        <v>20</v>
      </c>
      <c r="D180" s="39"/>
      <c r="E180" s="34"/>
      <c r="F180" s="46"/>
      <c r="G180" s="46" t="s">
        <v>17</v>
      </c>
      <c r="H180" s="46"/>
      <c r="I180" s="46" t="s">
        <v>25</v>
      </c>
      <c r="J180" s="34"/>
      <c r="K180" s="34"/>
      <c r="L180" s="34"/>
      <c r="O180" s="34"/>
      <c r="P180" s="34"/>
      <c r="Q180" s="34"/>
    </row>
    <row r="182" spans="1:17" ht="15.75">
      <c r="A182" s="21" t="s">
        <v>0</v>
      </c>
      <c r="B182" s="22"/>
      <c r="C182" s="23"/>
      <c r="D182" s="23"/>
      <c r="E182" s="23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>
      <c r="A183" s="26" t="s">
        <v>188</v>
      </c>
      <c r="B183" s="21"/>
      <c r="C183" s="21"/>
      <c r="D183" s="21"/>
      <c r="E183" s="21"/>
      <c r="F183" s="24"/>
      <c r="G183" s="24"/>
      <c r="H183" s="24"/>
      <c r="I183" s="24"/>
      <c r="J183" s="24"/>
      <c r="K183" s="24"/>
      <c r="L183" s="25"/>
      <c r="O183" s="34"/>
      <c r="P183" s="34"/>
      <c r="Q183" s="34"/>
    </row>
    <row r="184" spans="1:17" ht="15.75">
      <c r="A184" s="1"/>
      <c r="B184" s="1" t="s">
        <v>1</v>
      </c>
      <c r="C184" s="2" t="s">
        <v>2</v>
      </c>
      <c r="D184" s="71" t="s">
        <v>34</v>
      </c>
      <c r="E184" s="3" t="s">
        <v>3</v>
      </c>
      <c r="F184" s="2" t="s">
        <v>4</v>
      </c>
      <c r="G184" s="4" t="s">
        <v>18</v>
      </c>
      <c r="H184" s="4" t="s">
        <v>18</v>
      </c>
      <c r="I184" s="63" t="s">
        <v>7</v>
      </c>
      <c r="J184" s="65" t="s">
        <v>6</v>
      </c>
      <c r="K184" s="32" t="s">
        <v>29</v>
      </c>
      <c r="L184" s="32" t="s">
        <v>21</v>
      </c>
      <c r="M184" s="4" t="s">
        <v>8</v>
      </c>
      <c r="N184" s="30" t="s">
        <v>8</v>
      </c>
      <c r="O184" s="4" t="s">
        <v>9</v>
      </c>
      <c r="P184" s="62" t="s">
        <v>10</v>
      </c>
      <c r="Q184" s="54" t="s">
        <v>33</v>
      </c>
    </row>
    <row r="185" spans="1:17" ht="15.75">
      <c r="A185" s="5"/>
      <c r="B185" s="5"/>
      <c r="C185" s="6"/>
      <c r="D185" s="60"/>
      <c r="E185" s="7"/>
      <c r="F185" s="6"/>
      <c r="G185" s="8" t="s">
        <v>11</v>
      </c>
      <c r="H185" s="8" t="s">
        <v>11</v>
      </c>
      <c r="I185" s="31" t="s">
        <v>19</v>
      </c>
      <c r="J185" s="61" t="s">
        <v>35</v>
      </c>
      <c r="K185" s="33" t="s">
        <v>22</v>
      </c>
      <c r="L185" s="33" t="s">
        <v>15</v>
      </c>
      <c r="M185" s="8" t="s">
        <v>13</v>
      </c>
      <c r="N185" s="31" t="s">
        <v>14</v>
      </c>
      <c r="O185" s="8" t="s">
        <v>12</v>
      </c>
      <c r="P185" s="5"/>
      <c r="Q185" s="9"/>
    </row>
    <row r="186" spans="1:17" ht="15.75">
      <c r="A186" s="5"/>
      <c r="B186" s="5"/>
      <c r="C186" s="10"/>
      <c r="D186" s="60"/>
      <c r="E186" s="7"/>
      <c r="F186" s="6"/>
      <c r="G186" s="8" t="s">
        <v>41</v>
      </c>
      <c r="H186" s="8"/>
      <c r="I186" s="31" t="s">
        <v>5</v>
      </c>
      <c r="J186" s="8"/>
      <c r="K186" s="8"/>
      <c r="L186" s="8"/>
      <c r="M186" s="8"/>
      <c r="N186" s="8"/>
      <c r="O186" s="8"/>
      <c r="P186" s="5"/>
      <c r="Q186" s="9"/>
    </row>
    <row r="187" spans="1:17" ht="15.75">
      <c r="A187" s="11"/>
      <c r="B187" s="11"/>
      <c r="C187" s="12"/>
      <c r="D187" s="72"/>
      <c r="E187" s="13"/>
      <c r="F187" s="14"/>
      <c r="G187" s="15"/>
      <c r="H187" s="50"/>
      <c r="I187" s="15"/>
      <c r="J187" s="49"/>
      <c r="K187" s="53"/>
      <c r="L187" s="75"/>
      <c r="M187" s="15"/>
      <c r="N187" s="15"/>
      <c r="O187" s="15"/>
      <c r="P187" s="11"/>
      <c r="Q187" s="16"/>
    </row>
    <row r="188" spans="1:17" ht="15.75">
      <c r="A188" s="52"/>
      <c r="B188" s="47"/>
      <c r="C188" s="48"/>
      <c r="D188" s="73"/>
      <c r="E188" s="17"/>
      <c r="F188" s="48"/>
      <c r="G188" s="36"/>
      <c r="H188" s="36"/>
      <c r="I188" s="36"/>
      <c r="J188" s="36"/>
      <c r="K188" s="8"/>
      <c r="L188" s="34"/>
      <c r="M188" s="8"/>
      <c r="N188" s="8"/>
      <c r="O188" s="8"/>
      <c r="P188" s="35"/>
      <c r="Q188" s="37"/>
    </row>
    <row r="189" spans="1:17" ht="15.75">
      <c r="A189" s="52">
        <v>1</v>
      </c>
      <c r="B189" s="51" t="s">
        <v>195</v>
      </c>
      <c r="C189" s="48" t="s">
        <v>196</v>
      </c>
      <c r="D189" s="67" t="s">
        <v>197</v>
      </c>
      <c r="E189" s="17">
        <v>43157</v>
      </c>
      <c r="F189" s="20" t="s">
        <v>198</v>
      </c>
      <c r="G189" s="36">
        <v>0</v>
      </c>
      <c r="H189" s="36">
        <v>0</v>
      </c>
      <c r="I189" s="8">
        <v>0</v>
      </c>
      <c r="J189" s="8">
        <v>0</v>
      </c>
      <c r="K189" s="8">
        <v>0</v>
      </c>
      <c r="L189" s="8">
        <v>0</v>
      </c>
      <c r="M189" s="8">
        <f>SUM(G189:L189)</f>
        <v>0</v>
      </c>
      <c r="N189" s="8">
        <f>4000000-M189</f>
        <v>4000000</v>
      </c>
      <c r="O189" s="8">
        <f t="shared" ref="O189" si="19">+M189+N189</f>
        <v>4000000</v>
      </c>
      <c r="P189" s="77" t="s">
        <v>199</v>
      </c>
      <c r="Q189" s="60" t="s">
        <v>58</v>
      </c>
    </row>
    <row r="190" spans="1:17" ht="15.75">
      <c r="A190" s="52"/>
      <c r="B190" s="51"/>
      <c r="C190" s="48"/>
      <c r="D190" s="34"/>
      <c r="E190" s="17"/>
      <c r="F190" s="48"/>
      <c r="G190" s="36"/>
      <c r="H190" s="36"/>
      <c r="I190" s="36"/>
      <c r="J190" s="36"/>
      <c r="K190" s="36"/>
      <c r="L190" s="34"/>
      <c r="M190" s="8"/>
      <c r="N190" s="8"/>
      <c r="O190" s="8"/>
      <c r="P190" s="59"/>
      <c r="Q190" s="66"/>
    </row>
    <row r="191" spans="1:17" ht="16.5" thickBot="1">
      <c r="A191" s="18"/>
      <c r="B191" s="55"/>
      <c r="C191" s="56"/>
      <c r="D191" s="74"/>
      <c r="E191" s="56"/>
      <c r="F191" s="57"/>
      <c r="G191" s="19">
        <f t="shared" ref="G191:O191" si="20">SUM(G189:G190)</f>
        <v>0</v>
      </c>
      <c r="H191" s="19">
        <f t="shared" si="20"/>
        <v>0</v>
      </c>
      <c r="I191" s="19">
        <f t="shared" si="20"/>
        <v>0</v>
      </c>
      <c r="J191" s="19">
        <f t="shared" si="20"/>
        <v>0</v>
      </c>
      <c r="K191" s="19">
        <f t="shared" si="20"/>
        <v>0</v>
      </c>
      <c r="L191" s="19">
        <f t="shared" si="20"/>
        <v>0</v>
      </c>
      <c r="M191" s="19">
        <f t="shared" si="20"/>
        <v>0</v>
      </c>
      <c r="N191" s="19">
        <f t="shared" si="20"/>
        <v>4000000</v>
      </c>
      <c r="O191" s="19">
        <f t="shared" si="20"/>
        <v>4000000</v>
      </c>
      <c r="P191" s="68"/>
      <c r="Q191" s="70"/>
    </row>
    <row r="192" spans="1:17" ht="16.5" thickTop="1">
      <c r="A192" s="23"/>
      <c r="B192" s="22"/>
      <c r="C192" s="22"/>
      <c r="D192" s="23"/>
      <c r="E192" s="22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2"/>
      <c r="Q192" s="69"/>
    </row>
    <row r="193" spans="1:17" ht="15.75">
      <c r="A193" s="23"/>
      <c r="B193" s="28" t="s">
        <v>194</v>
      </c>
      <c r="C193" s="22"/>
      <c r="D193" s="39"/>
      <c r="E193" s="34"/>
      <c r="F193" s="27"/>
      <c r="G193" s="28"/>
      <c r="H193" s="28"/>
      <c r="I193" s="28"/>
      <c r="J193" s="28"/>
      <c r="K193" s="28"/>
      <c r="L193" s="28"/>
      <c r="O193" s="34"/>
      <c r="P193" s="34"/>
      <c r="Q193" s="51"/>
    </row>
    <row r="194" spans="1:17" ht="15.75">
      <c r="A194" s="38"/>
      <c r="B194" s="40" t="s">
        <v>32</v>
      </c>
      <c r="C194" s="28" t="s">
        <v>28</v>
      </c>
      <c r="D194" s="39"/>
      <c r="E194" s="34"/>
      <c r="F194" s="41"/>
      <c r="G194" s="143" t="s">
        <v>26</v>
      </c>
      <c r="H194" s="143"/>
      <c r="I194" s="143"/>
      <c r="J194" s="34"/>
      <c r="K194" s="41"/>
      <c r="L194" s="34"/>
      <c r="O194" s="34"/>
      <c r="P194" s="34"/>
      <c r="Q194" s="34"/>
    </row>
    <row r="195" spans="1:17" ht="15.7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28"/>
      <c r="O196" s="34"/>
      <c r="P196" s="34"/>
      <c r="Q196" s="34"/>
    </row>
    <row r="197" spans="1:17" ht="15.7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34"/>
      <c r="O197" s="34"/>
      <c r="P197" s="34"/>
      <c r="Q197" s="34"/>
    </row>
    <row r="198" spans="1:17" ht="15.75">
      <c r="A198" s="38"/>
      <c r="B198" s="40"/>
      <c r="C198" s="28"/>
      <c r="D198" s="39"/>
      <c r="E198" s="34"/>
      <c r="F198" s="28"/>
      <c r="G198" s="28"/>
      <c r="H198" s="28"/>
      <c r="I198" s="28"/>
      <c r="J198" s="28"/>
      <c r="K198" s="28"/>
      <c r="L198" s="28"/>
      <c r="O198" s="34"/>
      <c r="P198" s="34"/>
      <c r="Q198" s="34"/>
    </row>
    <row r="199" spans="1:17" ht="15.75">
      <c r="A199" s="38" t="s">
        <v>23</v>
      </c>
      <c r="B199" s="42" t="s">
        <v>27</v>
      </c>
      <c r="C199" s="43" t="s">
        <v>24</v>
      </c>
      <c r="D199" s="39"/>
      <c r="E199" s="34"/>
      <c r="F199" s="29"/>
      <c r="G199" s="29" t="s">
        <v>16</v>
      </c>
      <c r="H199" s="29"/>
      <c r="I199" s="29" t="s">
        <v>30</v>
      </c>
      <c r="J199" s="34"/>
      <c r="K199" s="34"/>
      <c r="L199" s="34"/>
      <c r="O199" s="34"/>
      <c r="P199" s="34"/>
      <c r="Q199" s="34"/>
    </row>
    <row r="200" spans="1:17" ht="15.75">
      <c r="A200" s="38"/>
      <c r="B200" s="44" t="s">
        <v>31</v>
      </c>
      <c r="C200" s="45" t="s">
        <v>20</v>
      </c>
      <c r="D200" s="39"/>
      <c r="E200" s="34"/>
      <c r="F200" s="46"/>
      <c r="G200" s="46" t="s">
        <v>17</v>
      </c>
      <c r="H200" s="46"/>
      <c r="I200" s="46" t="s">
        <v>25</v>
      </c>
      <c r="J200" s="34"/>
      <c r="K200" s="34"/>
      <c r="L200" s="34"/>
      <c r="O200" s="34"/>
      <c r="P200" s="34"/>
      <c r="Q200" s="34"/>
    </row>
    <row r="202" spans="1:17" ht="15.75">
      <c r="A202" s="21" t="s">
        <v>0</v>
      </c>
      <c r="B202" s="22"/>
      <c r="C202" s="23"/>
      <c r="D202" s="23"/>
      <c r="E202" s="23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>
      <c r="A203" s="26" t="s">
        <v>200</v>
      </c>
      <c r="B203" s="21"/>
      <c r="C203" s="21"/>
      <c r="D203" s="21"/>
      <c r="E203" s="21"/>
      <c r="F203" s="24"/>
      <c r="G203" s="24"/>
      <c r="H203" s="24"/>
      <c r="I203" s="24"/>
      <c r="J203" s="24"/>
      <c r="K203" s="24"/>
      <c r="L203" s="25"/>
      <c r="O203" s="34"/>
      <c r="P203" s="34"/>
      <c r="Q203" s="34"/>
    </row>
    <row r="204" spans="1:17" ht="15.75">
      <c r="A204" s="1"/>
      <c r="B204" s="1" t="s">
        <v>1</v>
      </c>
      <c r="C204" s="2" t="s">
        <v>2</v>
      </c>
      <c r="D204" s="71" t="s">
        <v>34</v>
      </c>
      <c r="E204" s="3" t="s">
        <v>3</v>
      </c>
      <c r="F204" s="2" t="s">
        <v>4</v>
      </c>
      <c r="G204" s="4" t="s">
        <v>18</v>
      </c>
      <c r="H204" s="4" t="s">
        <v>18</v>
      </c>
      <c r="I204" s="63" t="s">
        <v>7</v>
      </c>
      <c r="J204" s="65" t="s">
        <v>6</v>
      </c>
      <c r="K204" s="32" t="s">
        <v>29</v>
      </c>
      <c r="L204" s="32" t="s">
        <v>21</v>
      </c>
      <c r="M204" s="4" t="s">
        <v>8</v>
      </c>
      <c r="N204" s="30" t="s">
        <v>8</v>
      </c>
      <c r="O204" s="4" t="s">
        <v>9</v>
      </c>
      <c r="P204" s="62" t="s">
        <v>10</v>
      </c>
      <c r="Q204" s="54" t="s">
        <v>33</v>
      </c>
    </row>
    <row r="205" spans="1:17" ht="15.75">
      <c r="A205" s="5"/>
      <c r="B205" s="5"/>
      <c r="C205" s="6"/>
      <c r="D205" s="60"/>
      <c r="E205" s="7"/>
      <c r="F205" s="6"/>
      <c r="G205" s="8" t="s">
        <v>11</v>
      </c>
      <c r="H205" s="8" t="s">
        <v>11</v>
      </c>
      <c r="I205" s="31" t="s">
        <v>19</v>
      </c>
      <c r="J205" s="61" t="s">
        <v>35</v>
      </c>
      <c r="K205" s="33" t="s">
        <v>22</v>
      </c>
      <c r="L205" s="33" t="s">
        <v>15</v>
      </c>
      <c r="M205" s="8" t="s">
        <v>13</v>
      </c>
      <c r="N205" s="31" t="s">
        <v>14</v>
      </c>
      <c r="O205" s="8" t="s">
        <v>12</v>
      </c>
      <c r="P205" s="5"/>
      <c r="Q205" s="9"/>
    </row>
    <row r="206" spans="1:17" ht="15.75">
      <c r="A206" s="5"/>
      <c r="B206" s="5"/>
      <c r="C206" s="10"/>
      <c r="D206" s="60"/>
      <c r="E206" s="7"/>
      <c r="F206" s="6"/>
      <c r="G206" s="8" t="s">
        <v>41</v>
      </c>
      <c r="H206" s="8"/>
      <c r="I206" s="31" t="s">
        <v>5</v>
      </c>
      <c r="J206" s="8"/>
      <c r="K206" s="8"/>
      <c r="L206" s="8"/>
      <c r="M206" s="8"/>
      <c r="N206" s="8"/>
      <c r="O206" s="8"/>
      <c r="P206" s="5"/>
      <c r="Q206" s="9"/>
    </row>
    <row r="207" spans="1:17" ht="15.75">
      <c r="A207" s="11"/>
      <c r="B207" s="11"/>
      <c r="C207" s="12"/>
      <c r="D207" s="72"/>
      <c r="E207" s="13"/>
      <c r="F207" s="14"/>
      <c r="G207" s="15"/>
      <c r="H207" s="50"/>
      <c r="I207" s="15"/>
      <c r="J207" s="49"/>
      <c r="K207" s="53"/>
      <c r="L207" s="75"/>
      <c r="M207" s="15"/>
      <c r="N207" s="15"/>
      <c r="O207" s="15"/>
      <c r="P207" s="11"/>
      <c r="Q207" s="16"/>
    </row>
    <row r="208" spans="1:17" ht="15.75">
      <c r="A208" s="52"/>
      <c r="B208" s="47"/>
      <c r="C208" s="48"/>
      <c r="D208" s="73"/>
      <c r="E208" s="17"/>
      <c r="F208" s="48"/>
      <c r="G208" s="36"/>
      <c r="H208" s="36"/>
      <c r="I208" s="36"/>
      <c r="J208" s="36"/>
      <c r="K208" s="8"/>
      <c r="L208" s="34"/>
      <c r="M208" s="8"/>
      <c r="N208" s="8"/>
      <c r="O208" s="8"/>
      <c r="P208" s="35"/>
      <c r="Q208" s="37"/>
    </row>
    <row r="209" spans="1:17" ht="15.75">
      <c r="A209" s="52">
        <v>1</v>
      </c>
      <c r="B209" s="51" t="s">
        <v>201</v>
      </c>
      <c r="C209" s="48" t="s">
        <v>202</v>
      </c>
      <c r="D209" s="67" t="s">
        <v>203</v>
      </c>
      <c r="E209" s="17">
        <v>43158</v>
      </c>
      <c r="F209" s="20" t="s">
        <v>204</v>
      </c>
      <c r="G209" s="36">
        <v>0</v>
      </c>
      <c r="H209" s="36">
        <v>0</v>
      </c>
      <c r="I209" s="8">
        <v>0</v>
      </c>
      <c r="J209" s="8">
        <v>0</v>
      </c>
      <c r="K209" s="8">
        <v>50000</v>
      </c>
      <c r="L209" s="8">
        <v>0</v>
      </c>
      <c r="M209" s="8">
        <f>SUM(G209:L209)</f>
        <v>50000</v>
      </c>
      <c r="N209" s="8">
        <f>5000000-M209</f>
        <v>4950000</v>
      </c>
      <c r="O209" s="8">
        <f t="shared" ref="O209" si="21">+M209+N209</f>
        <v>5000000</v>
      </c>
      <c r="P209" s="77" t="s">
        <v>205</v>
      </c>
      <c r="Q209" s="60" t="s">
        <v>40</v>
      </c>
    </row>
    <row r="210" spans="1:17" ht="15.7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>
      <c r="A211" s="18"/>
      <c r="B211" s="55"/>
      <c r="C211" s="56"/>
      <c r="D211" s="74"/>
      <c r="E211" s="56"/>
      <c r="F211" s="57"/>
      <c r="G211" s="19">
        <f t="shared" ref="G211" si="22">SUM(G209:G210)</f>
        <v>0</v>
      </c>
      <c r="H211" s="19">
        <f t="shared" ref="H211" si="23">SUM(H209:H210)</f>
        <v>0</v>
      </c>
      <c r="I211" s="19">
        <f t="shared" ref="I211" si="24">SUM(I209:I210)</f>
        <v>0</v>
      </c>
      <c r="J211" s="19">
        <f t="shared" ref="J211" si="25">SUM(J209:J210)</f>
        <v>0</v>
      </c>
      <c r="K211" s="19">
        <f t="shared" ref="K211" si="26">SUM(K209:K210)</f>
        <v>50000</v>
      </c>
      <c r="L211" s="19">
        <f t="shared" ref="L211" si="27">SUM(L209:L210)</f>
        <v>0</v>
      </c>
      <c r="M211" s="19">
        <f t="shared" ref="M211" si="28">SUM(M209:M210)</f>
        <v>50000</v>
      </c>
      <c r="N211" s="19">
        <f t="shared" ref="N211" si="29">SUM(N209:N210)</f>
        <v>4950000</v>
      </c>
      <c r="O211" s="19">
        <f t="shared" ref="O211" si="30">SUM(O209:O210)</f>
        <v>5000000</v>
      </c>
      <c r="P211" s="68"/>
      <c r="Q211" s="70"/>
    </row>
    <row r="212" spans="1:17" ht="16.5" thickTop="1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>
      <c r="A213" s="23"/>
      <c r="B213" s="28" t="s">
        <v>206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>
      <c r="A214" s="38"/>
      <c r="B214" s="40" t="s">
        <v>32</v>
      </c>
      <c r="C214" s="28" t="s">
        <v>28</v>
      </c>
      <c r="D214" s="39"/>
      <c r="E214" s="34"/>
      <c r="F214" s="41"/>
      <c r="G214" s="143" t="s">
        <v>26</v>
      </c>
      <c r="H214" s="143"/>
      <c r="I214" s="143"/>
      <c r="J214" s="34"/>
      <c r="K214" s="41"/>
      <c r="L214" s="34"/>
      <c r="O214" s="34"/>
      <c r="P214" s="34"/>
      <c r="Q214" s="34"/>
    </row>
    <row r="215" spans="1:17" ht="15.7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2" spans="1:17" ht="15.7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>
      <c r="A223" s="26" t="s">
        <v>200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>
      <c r="A226" s="5"/>
      <c r="B226" s="5"/>
      <c r="C226" s="10"/>
      <c r="D226" s="60"/>
      <c r="E226" s="7"/>
      <c r="F226" s="6"/>
      <c r="G226" s="8" t="s">
        <v>90</v>
      </c>
      <c r="H226" s="8"/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>
      <c r="A229" s="52">
        <v>1</v>
      </c>
      <c r="B229" s="51" t="s">
        <v>207</v>
      </c>
      <c r="C229" s="48" t="s">
        <v>208</v>
      </c>
      <c r="D229" s="67" t="s">
        <v>209</v>
      </c>
      <c r="E229" s="17">
        <v>43158</v>
      </c>
      <c r="F229" s="20" t="s">
        <v>210</v>
      </c>
      <c r="G229" s="36">
        <v>23324000</v>
      </c>
      <c r="H229" s="36">
        <v>0</v>
      </c>
      <c r="I229" s="8">
        <v>583100</v>
      </c>
      <c r="J229" s="8">
        <v>0</v>
      </c>
      <c r="K229" s="8">
        <v>53240</v>
      </c>
      <c r="L229" s="8">
        <v>200000</v>
      </c>
      <c r="M229" s="8">
        <f>SUM(G229:L229)</f>
        <v>24160340</v>
      </c>
      <c r="N229" s="8">
        <f>36160340-M229</f>
        <v>12000000</v>
      </c>
      <c r="O229" s="8">
        <f t="shared" ref="O229" si="31">+M229+N229</f>
        <v>36160340</v>
      </c>
      <c r="P229" s="77" t="s">
        <v>159</v>
      </c>
      <c r="Q229" s="60" t="s">
        <v>52</v>
      </c>
    </row>
    <row r="230" spans="1:17" ht="15.75">
      <c r="A230" s="52">
        <v>2</v>
      </c>
      <c r="B230" s="51" t="s">
        <v>211</v>
      </c>
      <c r="C230" s="48" t="s">
        <v>212</v>
      </c>
      <c r="D230" s="67" t="s">
        <v>213</v>
      </c>
      <c r="E230" s="17">
        <v>43158</v>
      </c>
      <c r="F230" s="20" t="s">
        <v>214</v>
      </c>
      <c r="G230" s="36">
        <v>17500000</v>
      </c>
      <c r="H230" s="36">
        <v>0</v>
      </c>
      <c r="I230" s="8">
        <v>437500</v>
      </c>
      <c r="J230" s="8">
        <v>0</v>
      </c>
      <c r="K230" s="8">
        <v>200000</v>
      </c>
      <c r="L230" s="8">
        <v>200000</v>
      </c>
      <c r="M230" s="8">
        <f>SUM(G230:L230)</f>
        <v>18337500</v>
      </c>
      <c r="N230" s="8">
        <f>50000000-M230</f>
        <v>31662500</v>
      </c>
      <c r="O230" s="8">
        <f t="shared" ref="O230" si="32">+M230+N230</f>
        <v>50000000</v>
      </c>
      <c r="P230" s="77" t="s">
        <v>215</v>
      </c>
      <c r="Q230" s="60" t="s">
        <v>52</v>
      </c>
    </row>
    <row r="231" spans="1:17" ht="15.7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>
      <c r="A232" s="18"/>
      <c r="B232" s="55"/>
      <c r="C232" s="56"/>
      <c r="D232" s="74"/>
      <c r="E232" s="56"/>
      <c r="F232" s="57"/>
      <c r="G232" s="19">
        <f>SUM(G229:G231)</f>
        <v>40824000</v>
      </c>
      <c r="H232" s="19">
        <f t="shared" ref="H232:O232" si="33">SUM(H229:H231)</f>
        <v>0</v>
      </c>
      <c r="I232" s="19">
        <f t="shared" si="33"/>
        <v>1020600</v>
      </c>
      <c r="J232" s="19">
        <f t="shared" si="33"/>
        <v>0</v>
      </c>
      <c r="K232" s="19">
        <f t="shared" si="33"/>
        <v>253240</v>
      </c>
      <c r="L232" s="19">
        <f t="shared" si="33"/>
        <v>400000</v>
      </c>
      <c r="M232" s="19">
        <f t="shared" si="33"/>
        <v>42497840</v>
      </c>
      <c r="N232" s="19">
        <f t="shared" si="33"/>
        <v>43662500</v>
      </c>
      <c r="O232" s="19">
        <f t="shared" si="33"/>
        <v>86160340</v>
      </c>
      <c r="P232" s="68"/>
      <c r="Q232" s="70"/>
    </row>
    <row r="233" spans="1:17" ht="16.5" thickTop="1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>
      <c r="A234" s="23"/>
      <c r="B234" s="28" t="s">
        <v>206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>
      <c r="A235" s="38"/>
      <c r="B235" s="40" t="s">
        <v>32</v>
      </c>
      <c r="C235" s="28" t="s">
        <v>28</v>
      </c>
      <c r="D235" s="39"/>
      <c r="E235" s="34"/>
      <c r="F235" s="41"/>
      <c r="G235" s="143" t="s">
        <v>26</v>
      </c>
      <c r="H235" s="143"/>
      <c r="I235" s="143"/>
      <c r="J235" s="34"/>
      <c r="K235" s="41"/>
      <c r="L235" s="34"/>
      <c r="O235" s="34"/>
      <c r="P235" s="34"/>
      <c r="Q235" s="34"/>
    </row>
    <row r="236" spans="1:17" ht="15.7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</sheetData>
  <mergeCells count="12">
    <mergeCell ref="G214:I214"/>
    <mergeCell ref="G235:I235"/>
    <mergeCell ref="G13:I13"/>
    <mergeCell ref="G33:I33"/>
    <mergeCell ref="G53:I53"/>
    <mergeCell ref="G73:I73"/>
    <mergeCell ref="G93:I93"/>
    <mergeCell ref="G174:I174"/>
    <mergeCell ref="G194:I194"/>
    <mergeCell ref="G154:I154"/>
    <mergeCell ref="G113:I113"/>
    <mergeCell ref="G133:I133"/>
  </mergeCells>
  <pageMargins left="7.874015748031496E-2" right="0.70866141732283472" top="0.74803149606299213" bottom="0.98425196850393704" header="0.31496062992125984" footer="0.31496062992125984"/>
  <pageSetup paperSize="5" scale="7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25"/>
  <sheetViews>
    <sheetView topLeftCell="A202" workbookViewId="0">
      <selection activeCell="I218" sqref="I218"/>
    </sheetView>
  </sheetViews>
  <sheetFormatPr defaultRowHeight="15"/>
  <cols>
    <col min="1" max="1" width="2.28515625" style="34" customWidth="1"/>
    <col min="2" max="2" width="21" style="34" customWidth="1"/>
    <col min="3" max="3" width="9.140625" style="34"/>
    <col min="4" max="4" width="8.140625" style="34" customWidth="1"/>
    <col min="5" max="5" width="13.5703125" style="34" customWidth="1"/>
    <col min="6" max="6" width="14.42578125" style="34" customWidth="1"/>
    <col min="7" max="7" width="18.28515625" style="34" bestFit="1" customWidth="1"/>
    <col min="8" max="8" width="17" style="34" bestFit="1" customWidth="1"/>
    <col min="9" max="9" width="16.28515625" style="34" customWidth="1"/>
    <col min="10" max="10" width="14.42578125" style="34" customWidth="1"/>
    <col min="11" max="11" width="14.5703125" style="34" customWidth="1"/>
    <col min="12" max="12" width="13.28515625" style="34" customWidth="1"/>
    <col min="13" max="13" width="16.5703125" style="34" customWidth="1"/>
    <col min="14" max="14" width="16.5703125" style="34" bestFit="1" customWidth="1"/>
    <col min="15" max="15" width="16.28515625" style="34" customWidth="1"/>
    <col min="16" max="16" width="8" style="34" customWidth="1"/>
    <col min="17" max="17" width="6.140625" style="34" customWidth="1"/>
    <col min="18" max="18" width="5.85546875" style="34" customWidth="1"/>
    <col min="19" max="16384" width="9.140625" style="34"/>
  </cols>
  <sheetData>
    <row r="1" spans="1:17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7" ht="15.75">
      <c r="A2" s="26" t="s">
        <v>221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7" ht="15.7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>
      <c r="A5" s="5"/>
      <c r="B5" s="5"/>
      <c r="C5" s="10"/>
      <c r="D5" s="60"/>
      <c r="E5" s="7"/>
      <c r="F5" s="6"/>
      <c r="G5" s="8" t="s">
        <v>90</v>
      </c>
      <c r="H5" s="8"/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M7" s="8"/>
      <c r="N7" s="8"/>
      <c r="O7" s="8"/>
      <c r="P7" s="35"/>
      <c r="Q7" s="37"/>
    </row>
    <row r="8" spans="1:17" ht="15.75">
      <c r="A8" s="52">
        <v>1</v>
      </c>
      <c r="B8" s="51" t="s">
        <v>216</v>
      </c>
      <c r="C8" s="48" t="s">
        <v>217</v>
      </c>
      <c r="D8" s="67" t="s">
        <v>218</v>
      </c>
      <c r="E8" s="17">
        <v>43161</v>
      </c>
      <c r="F8" s="20" t="s">
        <v>219</v>
      </c>
      <c r="G8" s="36">
        <v>0</v>
      </c>
      <c r="H8" s="36">
        <v>0</v>
      </c>
      <c r="I8" s="8">
        <v>0</v>
      </c>
      <c r="J8" s="8">
        <v>0</v>
      </c>
      <c r="K8" s="8">
        <v>250000</v>
      </c>
      <c r="L8" s="8">
        <v>0</v>
      </c>
      <c r="M8" s="8">
        <f>SUM(G8:L8)</f>
        <v>250000</v>
      </c>
      <c r="N8" s="8">
        <f>25000000-M8</f>
        <v>24750000</v>
      </c>
      <c r="O8" s="8">
        <f t="shared" ref="O8" si="0">+M8+N8</f>
        <v>25000000</v>
      </c>
      <c r="P8" s="77" t="s">
        <v>220</v>
      </c>
      <c r="Q8" s="60" t="s">
        <v>40</v>
      </c>
    </row>
    <row r="9" spans="1:17" ht="15.75">
      <c r="A9" s="52"/>
      <c r="B9" s="51"/>
      <c r="C9" s="48"/>
      <c r="E9" s="17"/>
      <c r="F9" s="48"/>
      <c r="G9" s="36"/>
      <c r="H9" s="36"/>
      <c r="I9" s="36"/>
      <c r="J9" s="36"/>
      <c r="K9" s="36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250000</v>
      </c>
      <c r="L10" s="19">
        <f t="shared" si="1"/>
        <v>0</v>
      </c>
      <c r="M10" s="19">
        <f t="shared" si="1"/>
        <v>250000</v>
      </c>
      <c r="N10" s="19">
        <f t="shared" si="1"/>
        <v>24750000</v>
      </c>
      <c r="O10" s="19">
        <f t="shared" si="1"/>
        <v>25000000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222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7" ht="15.75">
      <c r="A13" s="38"/>
      <c r="B13" s="40" t="s">
        <v>32</v>
      </c>
      <c r="C13" s="28" t="s">
        <v>28</v>
      </c>
      <c r="D13" s="39"/>
      <c r="F13" s="41"/>
      <c r="G13" s="143" t="s">
        <v>26</v>
      </c>
      <c r="H13" s="143"/>
      <c r="I13" s="143"/>
      <c r="K13" s="41"/>
    </row>
    <row r="14" spans="1:17" ht="15.75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7" ht="15.7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7" ht="15.75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7" ht="15.75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7" ht="15.75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7" ht="15.75">
      <c r="A22" s="26" t="s">
        <v>221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</row>
    <row r="23" spans="1:17" ht="15.7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>
      <c r="A25" s="5"/>
      <c r="B25" s="5"/>
      <c r="C25" s="10"/>
      <c r="D25" s="60"/>
      <c r="E25" s="7"/>
      <c r="F25" s="6"/>
      <c r="G25" s="8" t="s">
        <v>90</v>
      </c>
      <c r="H25" s="8" t="s">
        <v>81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M27" s="8"/>
      <c r="N27" s="8"/>
      <c r="O27" s="8"/>
      <c r="P27" s="35"/>
      <c r="Q27" s="37"/>
    </row>
    <row r="28" spans="1:17" ht="15.75">
      <c r="A28" s="52">
        <v>1</v>
      </c>
      <c r="B28" s="91" t="s">
        <v>223</v>
      </c>
      <c r="C28" s="48" t="s">
        <v>224</v>
      </c>
      <c r="D28" s="67" t="s">
        <v>225</v>
      </c>
      <c r="E28" s="17">
        <v>43161</v>
      </c>
      <c r="F28" s="20" t="s">
        <v>226</v>
      </c>
      <c r="G28" s="36">
        <v>28332000</v>
      </c>
      <c r="H28" s="36">
        <v>270000</v>
      </c>
      <c r="I28" s="8">
        <v>715050</v>
      </c>
      <c r="J28" s="8">
        <v>150730</v>
      </c>
      <c r="K28" s="8">
        <v>100000</v>
      </c>
      <c r="L28" s="8">
        <v>200000</v>
      </c>
      <c r="M28" s="8">
        <f>SUM(G28:L28)</f>
        <v>29767780</v>
      </c>
      <c r="N28" s="8">
        <f>40000000-M28</f>
        <v>10232220</v>
      </c>
      <c r="O28" s="8">
        <f t="shared" ref="O28" si="2">+M28+N28</f>
        <v>40000000</v>
      </c>
      <c r="P28" s="77" t="s">
        <v>227</v>
      </c>
      <c r="Q28" s="60" t="s">
        <v>52</v>
      </c>
    </row>
    <row r="29" spans="1:17" ht="15.75">
      <c r="A29" s="52"/>
      <c r="B29" s="51"/>
      <c r="C29" s="48"/>
      <c r="E29" s="17"/>
      <c r="F29" s="48"/>
      <c r="G29" s="36"/>
      <c r="H29" s="36"/>
      <c r="I29" s="36"/>
      <c r="J29" s="36"/>
      <c r="K29" s="36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" si="3">SUM(G28:G29)</f>
        <v>28332000</v>
      </c>
      <c r="H30" s="19">
        <f t="shared" ref="H30" si="4">SUM(H28:H29)</f>
        <v>270000</v>
      </c>
      <c r="I30" s="19">
        <f t="shared" ref="I30" si="5">SUM(I28:I29)</f>
        <v>715050</v>
      </c>
      <c r="J30" s="19">
        <f t="shared" ref="J30" si="6">SUM(J28:J29)</f>
        <v>150730</v>
      </c>
      <c r="K30" s="19">
        <f t="shared" ref="K30" si="7">SUM(K28:K29)</f>
        <v>100000</v>
      </c>
      <c r="L30" s="19">
        <f t="shared" ref="L30" si="8">SUM(L28:L29)</f>
        <v>200000</v>
      </c>
      <c r="M30" s="19">
        <f t="shared" ref="M30" si="9">SUM(M28:M29)</f>
        <v>29767780</v>
      </c>
      <c r="N30" s="19">
        <f t="shared" ref="N30" si="10">SUM(N28:N29)</f>
        <v>10232220</v>
      </c>
      <c r="O30" s="19">
        <f t="shared" ref="O30" si="11">SUM(O28:O29)</f>
        <v>40000000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222</v>
      </c>
      <c r="C32" s="22"/>
      <c r="D32" s="39"/>
      <c r="F32" s="27"/>
      <c r="G32" s="28"/>
      <c r="H32" s="28"/>
      <c r="I32" s="28"/>
      <c r="J32" s="28"/>
      <c r="K32" s="28"/>
      <c r="L32" s="28"/>
      <c r="Q32" s="51"/>
    </row>
    <row r="33" spans="1:17" ht="15.75">
      <c r="A33" s="38"/>
      <c r="B33" s="40" t="s">
        <v>32</v>
      </c>
      <c r="C33" s="28" t="s">
        <v>28</v>
      </c>
      <c r="D33" s="39"/>
      <c r="F33" s="41"/>
      <c r="G33" s="143" t="s">
        <v>26</v>
      </c>
      <c r="H33" s="143"/>
      <c r="I33" s="143"/>
      <c r="K33" s="41"/>
    </row>
    <row r="34" spans="1:17" ht="15.75">
      <c r="A34" s="38"/>
      <c r="B34" s="40"/>
      <c r="C34" s="28"/>
      <c r="D34" s="39"/>
      <c r="F34" s="28"/>
      <c r="G34" s="28"/>
      <c r="H34" s="28"/>
      <c r="I34" s="28"/>
      <c r="J34" s="28"/>
      <c r="K34" s="28"/>
      <c r="L34" s="28"/>
    </row>
    <row r="35" spans="1:17" ht="15.7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>
      <c r="A36" s="38"/>
      <c r="B36" s="40"/>
      <c r="C36" s="28"/>
      <c r="D36" s="39"/>
      <c r="F36" s="28"/>
      <c r="G36" s="28"/>
      <c r="H36" s="28"/>
      <c r="I36" s="28"/>
      <c r="J36" s="28"/>
      <c r="K36" s="28"/>
    </row>
    <row r="37" spans="1:17" ht="15.75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7" ht="15.75">
      <c r="A38" s="38" t="s">
        <v>23</v>
      </c>
      <c r="B38" s="42" t="s">
        <v>27</v>
      </c>
      <c r="C38" s="43" t="s">
        <v>24</v>
      </c>
      <c r="D38" s="39"/>
      <c r="F38" s="29"/>
      <c r="G38" s="29" t="s">
        <v>16</v>
      </c>
      <c r="H38" s="29"/>
      <c r="I38" s="29" t="s">
        <v>30</v>
      </c>
    </row>
    <row r="39" spans="1:17" ht="15.75">
      <c r="A39" s="38"/>
      <c r="B39" s="44" t="s">
        <v>31</v>
      </c>
      <c r="C39" s="45" t="s">
        <v>20</v>
      </c>
      <c r="D39" s="39"/>
      <c r="F39" s="46"/>
      <c r="G39" s="46" t="s">
        <v>17</v>
      </c>
      <c r="H39" s="46"/>
      <c r="I39" s="46" t="s">
        <v>25</v>
      </c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</row>
    <row r="42" spans="1:17" ht="15.75">
      <c r="A42" s="26" t="s">
        <v>228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</row>
    <row r="43" spans="1:17" ht="15.7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>
      <c r="A45" s="5"/>
      <c r="B45" s="5"/>
      <c r="C45" s="10"/>
      <c r="D45" s="60"/>
      <c r="E45" s="7"/>
      <c r="F45" s="6"/>
      <c r="G45" s="8" t="s">
        <v>22</v>
      </c>
      <c r="H45" s="8" t="s">
        <v>81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M47" s="8"/>
      <c r="N47" s="8"/>
      <c r="O47" s="8"/>
      <c r="P47" s="35"/>
      <c r="Q47" s="37"/>
    </row>
    <row r="48" spans="1:17" ht="15.75">
      <c r="A48" s="52">
        <v>1</v>
      </c>
      <c r="B48" s="51" t="s">
        <v>36</v>
      </c>
      <c r="C48" s="48" t="s">
        <v>37</v>
      </c>
      <c r="D48" s="67" t="s">
        <v>229</v>
      </c>
      <c r="E48" s="17">
        <v>43165</v>
      </c>
      <c r="F48" s="20" t="s">
        <v>38</v>
      </c>
      <c r="G48" s="36">
        <v>34530826</v>
      </c>
      <c r="H48" s="36">
        <v>0</v>
      </c>
      <c r="I48" s="8">
        <v>863271</v>
      </c>
      <c r="J48" s="8">
        <v>222057</v>
      </c>
      <c r="K48" s="8">
        <v>154692</v>
      </c>
      <c r="L48" s="8">
        <v>200000</v>
      </c>
      <c r="M48" s="8">
        <f>SUM(G48:L48)</f>
        <v>35970846</v>
      </c>
      <c r="N48" s="8">
        <f>50000000-M48</f>
        <v>14029154</v>
      </c>
      <c r="O48" s="8">
        <f t="shared" ref="O48" si="12">+M48+N48</f>
        <v>50000000</v>
      </c>
      <c r="P48" s="77" t="s">
        <v>39</v>
      </c>
      <c r="Q48" s="60" t="s">
        <v>52</v>
      </c>
    </row>
    <row r="49" spans="1:17" ht="15.75">
      <c r="A49" s="52"/>
      <c r="B49" s="51"/>
      <c r="C49" s="48"/>
      <c r="E49" s="17"/>
      <c r="F49" s="48"/>
      <c r="G49" s="36"/>
      <c r="H49" s="36"/>
      <c r="I49" s="36"/>
      <c r="J49" s="36"/>
      <c r="K49" s="36"/>
      <c r="M49" s="8"/>
      <c r="N49" s="8"/>
      <c r="O49" s="8"/>
      <c r="P49" s="59"/>
      <c r="Q49" s="66"/>
    </row>
    <row r="50" spans="1:17" ht="16.5" thickBot="1">
      <c r="A50" s="18"/>
      <c r="B50" s="55"/>
      <c r="C50" s="56"/>
      <c r="D50" s="74"/>
      <c r="E50" s="56"/>
      <c r="F50" s="57"/>
      <c r="G50" s="19">
        <f t="shared" ref="G50" si="13">SUM(G48:G49)</f>
        <v>34530826</v>
      </c>
      <c r="H50" s="19">
        <f t="shared" ref="H50:O50" si="14">SUM(H48:H49)</f>
        <v>0</v>
      </c>
      <c r="I50" s="19">
        <f t="shared" si="14"/>
        <v>863271</v>
      </c>
      <c r="J50" s="19">
        <f t="shared" si="14"/>
        <v>222057</v>
      </c>
      <c r="K50" s="19">
        <f t="shared" si="14"/>
        <v>154692</v>
      </c>
      <c r="L50" s="19">
        <f t="shared" si="14"/>
        <v>200000</v>
      </c>
      <c r="M50" s="19">
        <f t="shared" si="14"/>
        <v>35970846</v>
      </c>
      <c r="N50" s="19">
        <f t="shared" si="14"/>
        <v>14029154</v>
      </c>
      <c r="O50" s="19">
        <f t="shared" si="14"/>
        <v>50000000</v>
      </c>
      <c r="P50" s="68"/>
      <c r="Q50" s="70"/>
    </row>
    <row r="51" spans="1:17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>
      <c r="A52" s="23"/>
      <c r="B52" s="28" t="s">
        <v>230</v>
      </c>
      <c r="C52" s="22"/>
      <c r="D52" s="39"/>
      <c r="F52" s="27"/>
      <c r="G52" s="28"/>
      <c r="H52" s="28"/>
      <c r="I52" s="28"/>
      <c r="J52" s="28"/>
      <c r="K52" s="28"/>
      <c r="L52" s="28"/>
      <c r="Q52" s="51"/>
    </row>
    <row r="53" spans="1:17" ht="15.75">
      <c r="A53" s="38"/>
      <c r="B53" s="40" t="s">
        <v>32</v>
      </c>
      <c r="C53" s="28" t="s">
        <v>28</v>
      </c>
      <c r="D53" s="39"/>
      <c r="F53" s="41"/>
      <c r="G53" s="143" t="s">
        <v>26</v>
      </c>
      <c r="H53" s="143"/>
      <c r="I53" s="143"/>
      <c r="K53" s="41"/>
    </row>
    <row r="54" spans="1:17" ht="15.75">
      <c r="A54" s="38"/>
      <c r="B54" s="40"/>
      <c r="C54" s="28"/>
      <c r="D54" s="39"/>
      <c r="F54" s="28"/>
      <c r="G54" s="28"/>
      <c r="H54" s="28"/>
      <c r="I54" s="28"/>
      <c r="J54" s="28"/>
      <c r="K54" s="28"/>
      <c r="L54" s="28"/>
    </row>
    <row r="55" spans="1:17" ht="15.75">
      <c r="A55" s="38"/>
      <c r="B55" s="40"/>
      <c r="C55" s="28"/>
      <c r="D55" s="39"/>
      <c r="F55" s="28"/>
      <c r="G55" s="28"/>
      <c r="H55" s="28"/>
      <c r="I55" s="28"/>
      <c r="J55" s="28"/>
      <c r="K55" s="28"/>
      <c r="L55" s="28"/>
    </row>
    <row r="56" spans="1:17" ht="15.75">
      <c r="A56" s="38"/>
      <c r="B56" s="40"/>
      <c r="C56" s="28"/>
      <c r="D56" s="39"/>
      <c r="F56" s="28"/>
      <c r="G56" s="28"/>
      <c r="H56" s="28"/>
      <c r="I56" s="28"/>
      <c r="J56" s="28"/>
      <c r="K56" s="28"/>
    </row>
    <row r="57" spans="1:17" ht="15.75">
      <c r="A57" s="38"/>
      <c r="B57" s="40"/>
      <c r="C57" s="28"/>
      <c r="D57" s="39"/>
      <c r="F57" s="28"/>
      <c r="G57" s="28"/>
      <c r="H57" s="28"/>
      <c r="I57" s="28"/>
      <c r="J57" s="28"/>
      <c r="K57" s="28"/>
      <c r="L57" s="28"/>
    </row>
    <row r="58" spans="1:17" ht="15.75">
      <c r="A58" s="38" t="s">
        <v>23</v>
      </c>
      <c r="B58" s="42" t="s">
        <v>27</v>
      </c>
      <c r="C58" s="43" t="s">
        <v>24</v>
      </c>
      <c r="D58" s="39"/>
      <c r="F58" s="29"/>
      <c r="G58" s="29" t="s">
        <v>16</v>
      </c>
      <c r="H58" s="29"/>
      <c r="I58" s="29" t="s">
        <v>30</v>
      </c>
    </row>
    <row r="59" spans="1:17" ht="15.75">
      <c r="A59" s="38"/>
      <c r="B59" s="44" t="s">
        <v>31</v>
      </c>
      <c r="C59" s="45" t="s">
        <v>20</v>
      </c>
      <c r="D59" s="39"/>
      <c r="F59" s="46"/>
      <c r="G59" s="46" t="s">
        <v>17</v>
      </c>
      <c r="H59" s="46"/>
      <c r="I59" s="46" t="s">
        <v>25</v>
      </c>
    </row>
    <row r="61" spans="1:17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</row>
    <row r="62" spans="1:17" ht="15.75">
      <c r="A62" s="26" t="s">
        <v>228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</row>
    <row r="63" spans="1:17" ht="15.7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>
      <c r="A65" s="5"/>
      <c r="B65" s="5"/>
      <c r="C65" s="10"/>
      <c r="D65" s="60"/>
      <c r="E65" s="7"/>
      <c r="F65" s="6"/>
      <c r="G65" s="8" t="s">
        <v>22</v>
      </c>
      <c r="H65" s="8" t="s">
        <v>81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M67" s="8"/>
      <c r="N67" s="8"/>
      <c r="O67" s="8"/>
      <c r="P67" s="35"/>
      <c r="Q67" s="37"/>
    </row>
    <row r="68" spans="1:17" ht="15.75">
      <c r="A68" s="52">
        <v>1</v>
      </c>
      <c r="B68" s="51" t="s">
        <v>231</v>
      </c>
      <c r="C68" s="48" t="s">
        <v>232</v>
      </c>
      <c r="D68" s="67" t="s">
        <v>233</v>
      </c>
      <c r="E68" s="17">
        <v>43165</v>
      </c>
      <c r="F68" s="20" t="s">
        <v>234</v>
      </c>
      <c r="G68" s="36">
        <v>0</v>
      </c>
      <c r="H68" s="36">
        <v>0</v>
      </c>
      <c r="I68" s="8">
        <v>0</v>
      </c>
      <c r="J68" s="8">
        <v>0</v>
      </c>
      <c r="K68" s="8">
        <v>100000</v>
      </c>
      <c r="L68" s="8">
        <v>0</v>
      </c>
      <c r="M68" s="8">
        <f>SUM(G68:L68)</f>
        <v>100000</v>
      </c>
      <c r="N68" s="8">
        <f>10000000-M68</f>
        <v>9900000</v>
      </c>
      <c r="O68" s="8">
        <f t="shared" ref="O68" si="15">+M68+N68</f>
        <v>10000000</v>
      </c>
      <c r="P68" s="77" t="s">
        <v>235</v>
      </c>
      <c r="Q68" s="60" t="s">
        <v>40</v>
      </c>
    </row>
    <row r="69" spans="1:17" ht="15.75">
      <c r="A69" s="52">
        <v>2</v>
      </c>
      <c r="B69" s="51" t="s">
        <v>236</v>
      </c>
      <c r="C69" s="48" t="s">
        <v>237</v>
      </c>
      <c r="D69" s="67" t="s">
        <v>238</v>
      </c>
      <c r="E69" s="17">
        <v>43165</v>
      </c>
      <c r="F69" s="20" t="s">
        <v>239</v>
      </c>
      <c r="G69" s="36">
        <v>0</v>
      </c>
      <c r="H69" s="36">
        <v>0</v>
      </c>
      <c r="I69" s="8">
        <v>0</v>
      </c>
      <c r="J69" s="8">
        <v>0</v>
      </c>
      <c r="K69" s="8">
        <v>300000</v>
      </c>
      <c r="L69" s="8">
        <v>0</v>
      </c>
      <c r="M69" s="8">
        <f>SUM(G69:L69)</f>
        <v>300000</v>
      </c>
      <c r="N69" s="8">
        <f>30000000-M69</f>
        <v>29700000</v>
      </c>
      <c r="O69" s="8">
        <f t="shared" ref="O69" si="16">+M69+N69</f>
        <v>30000000</v>
      </c>
      <c r="P69" s="77" t="s">
        <v>240</v>
      </c>
      <c r="Q69" s="60" t="s">
        <v>40</v>
      </c>
    </row>
    <row r="70" spans="1:17" ht="15.75">
      <c r="A70" s="52"/>
      <c r="B70" s="51"/>
      <c r="C70" s="48"/>
      <c r="E70" s="17"/>
      <c r="F70" s="48"/>
      <c r="G70" s="36"/>
      <c r="H70" s="36"/>
      <c r="I70" s="36"/>
      <c r="J70" s="36"/>
      <c r="K70" s="36"/>
      <c r="M70" s="8"/>
      <c r="N70" s="8"/>
      <c r="O70" s="8"/>
      <c r="P70" s="59"/>
      <c r="Q70" s="66"/>
    </row>
    <row r="71" spans="1:17" ht="16.5" thickBot="1">
      <c r="A71" s="18"/>
      <c r="B71" s="55"/>
      <c r="C71" s="56"/>
      <c r="D71" s="74"/>
      <c r="E71" s="56"/>
      <c r="F71" s="57"/>
      <c r="G71" s="19">
        <f t="shared" ref="G71" si="17">SUM(G68:G70)</f>
        <v>0</v>
      </c>
      <c r="H71" s="19">
        <f t="shared" ref="H71:O71" si="18">SUM(H68:H70)</f>
        <v>0</v>
      </c>
      <c r="I71" s="19">
        <f t="shared" si="18"/>
        <v>0</v>
      </c>
      <c r="J71" s="19">
        <f t="shared" si="18"/>
        <v>0</v>
      </c>
      <c r="K71" s="19">
        <f t="shared" si="18"/>
        <v>400000</v>
      </c>
      <c r="L71" s="19">
        <f t="shared" si="18"/>
        <v>0</v>
      </c>
      <c r="M71" s="19">
        <f t="shared" si="18"/>
        <v>400000</v>
      </c>
      <c r="N71" s="19">
        <f t="shared" si="18"/>
        <v>39600000</v>
      </c>
      <c r="O71" s="19">
        <f t="shared" si="18"/>
        <v>40000000</v>
      </c>
      <c r="P71" s="68"/>
      <c r="Q71" s="70"/>
    </row>
    <row r="72" spans="1:17" ht="16.5" thickTop="1">
      <c r="A72" s="23"/>
      <c r="B72" s="22"/>
      <c r="C72" s="22"/>
      <c r="D72" s="23"/>
      <c r="E72" s="22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2"/>
      <c r="Q72" s="69"/>
    </row>
    <row r="73" spans="1:17" ht="15.75">
      <c r="A73" s="23"/>
      <c r="B73" s="28" t="s">
        <v>230</v>
      </c>
      <c r="C73" s="22"/>
      <c r="D73" s="39"/>
      <c r="F73" s="27"/>
      <c r="G73" s="28"/>
      <c r="H73" s="28"/>
      <c r="I73" s="28"/>
      <c r="J73" s="28"/>
      <c r="K73" s="28"/>
      <c r="L73" s="28"/>
      <c r="Q73" s="51"/>
    </row>
    <row r="74" spans="1:17" ht="15.75">
      <c r="A74" s="38"/>
      <c r="B74" s="40" t="s">
        <v>32</v>
      </c>
      <c r="C74" s="28" t="s">
        <v>28</v>
      </c>
      <c r="D74" s="39"/>
      <c r="F74" s="41"/>
      <c r="G74" s="143" t="s">
        <v>26</v>
      </c>
      <c r="H74" s="143"/>
      <c r="I74" s="143"/>
      <c r="K74" s="41"/>
    </row>
    <row r="75" spans="1:17" ht="15.75">
      <c r="A75" s="38"/>
      <c r="B75" s="40"/>
      <c r="C75" s="28"/>
      <c r="D75" s="39"/>
      <c r="F75" s="28"/>
      <c r="G75" s="28"/>
      <c r="H75" s="28"/>
      <c r="I75" s="28"/>
      <c r="J75" s="28"/>
      <c r="K75" s="28"/>
      <c r="L75" s="28"/>
    </row>
    <row r="76" spans="1:17" ht="15.75">
      <c r="A76" s="38"/>
      <c r="B76" s="40"/>
      <c r="C76" s="28"/>
      <c r="D76" s="39"/>
      <c r="F76" s="28"/>
      <c r="G76" s="28"/>
      <c r="H76" s="28"/>
      <c r="I76" s="28"/>
      <c r="J76" s="28"/>
      <c r="K76" s="28"/>
      <c r="L76" s="28"/>
    </row>
    <row r="77" spans="1:17" ht="15.75">
      <c r="A77" s="38"/>
      <c r="B77" s="40"/>
      <c r="C77" s="28"/>
      <c r="D77" s="39"/>
      <c r="F77" s="28"/>
      <c r="G77" s="28"/>
      <c r="H77" s="28"/>
      <c r="I77" s="28"/>
      <c r="J77" s="28"/>
      <c r="K77" s="28"/>
    </row>
    <row r="78" spans="1:17" ht="15.75">
      <c r="A78" s="38"/>
      <c r="B78" s="40"/>
      <c r="C78" s="28"/>
      <c r="D78" s="39"/>
      <c r="F78" s="28"/>
      <c r="G78" s="28"/>
      <c r="H78" s="28"/>
      <c r="I78" s="28"/>
      <c r="J78" s="28"/>
      <c r="K78" s="28"/>
      <c r="L78" s="28"/>
    </row>
    <row r="79" spans="1:17" ht="15.75">
      <c r="A79" s="38" t="s">
        <v>23</v>
      </c>
      <c r="B79" s="42" t="s">
        <v>27</v>
      </c>
      <c r="C79" s="43" t="s">
        <v>24</v>
      </c>
      <c r="D79" s="39"/>
      <c r="F79" s="29"/>
      <c r="G79" s="29" t="s">
        <v>16</v>
      </c>
      <c r="H79" s="29"/>
      <c r="I79" s="29" t="s">
        <v>30</v>
      </c>
    </row>
    <row r="80" spans="1:17" ht="15.75">
      <c r="A80" s="38"/>
      <c r="B80" s="44" t="s">
        <v>31</v>
      </c>
      <c r="C80" s="45" t="s">
        <v>20</v>
      </c>
      <c r="D80" s="39"/>
      <c r="F80" s="46"/>
      <c r="G80" s="46" t="s">
        <v>17</v>
      </c>
      <c r="H80" s="46"/>
      <c r="I80" s="46" t="s">
        <v>25</v>
      </c>
    </row>
    <row r="81" spans="1:17">
      <c r="A81" s="115" t="s">
        <v>106</v>
      </c>
    </row>
    <row r="82" spans="1:17" ht="15.75">
      <c r="A82" s="21" t="s">
        <v>0</v>
      </c>
      <c r="B82" s="22"/>
      <c r="C82" s="23"/>
      <c r="D82" s="23"/>
      <c r="E82" s="23"/>
      <c r="F82" s="24"/>
      <c r="G82" s="24"/>
      <c r="H82" s="24"/>
      <c r="I82" s="24"/>
      <c r="J82" s="24"/>
      <c r="K82" s="24"/>
      <c r="L82" s="25"/>
    </row>
    <row r="83" spans="1:17" ht="15.75">
      <c r="A83" s="26" t="s">
        <v>241</v>
      </c>
      <c r="B83" s="21"/>
      <c r="C83" s="21"/>
      <c r="D83" s="21"/>
      <c r="E83" s="21"/>
      <c r="F83" s="24"/>
      <c r="G83" s="24"/>
      <c r="H83" s="24"/>
      <c r="I83" s="24"/>
      <c r="J83" s="24"/>
      <c r="K83" s="24"/>
      <c r="L83" s="25"/>
    </row>
    <row r="84" spans="1:17" ht="15.75">
      <c r="A84" s="1"/>
      <c r="B84" s="1" t="s">
        <v>1</v>
      </c>
      <c r="C84" s="2" t="s">
        <v>2</v>
      </c>
      <c r="D84" s="71" t="s">
        <v>34</v>
      </c>
      <c r="E84" s="3" t="s">
        <v>3</v>
      </c>
      <c r="F84" s="2" t="s">
        <v>4</v>
      </c>
      <c r="G84" s="4" t="s">
        <v>18</v>
      </c>
      <c r="H84" s="4" t="s">
        <v>18</v>
      </c>
      <c r="I84" s="63" t="s">
        <v>7</v>
      </c>
      <c r="J84" s="65" t="s">
        <v>6</v>
      </c>
      <c r="K84" s="32" t="s">
        <v>29</v>
      </c>
      <c r="L84" s="32" t="s">
        <v>21</v>
      </c>
      <c r="M84" s="4" t="s">
        <v>8</v>
      </c>
      <c r="N84" s="30" t="s">
        <v>8</v>
      </c>
      <c r="O84" s="4" t="s">
        <v>9</v>
      </c>
      <c r="P84" s="62" t="s">
        <v>10</v>
      </c>
      <c r="Q84" s="54" t="s">
        <v>33</v>
      </c>
    </row>
    <row r="85" spans="1:17" ht="15.75">
      <c r="A85" s="5"/>
      <c r="B85" s="5"/>
      <c r="C85" s="6"/>
      <c r="D85" s="60"/>
      <c r="E85" s="7"/>
      <c r="F85" s="6"/>
      <c r="G85" s="8" t="s">
        <v>11</v>
      </c>
      <c r="H85" s="8" t="s">
        <v>11</v>
      </c>
      <c r="I85" s="31" t="s">
        <v>19</v>
      </c>
      <c r="J85" s="61" t="s">
        <v>35</v>
      </c>
      <c r="K85" s="33" t="s">
        <v>22</v>
      </c>
      <c r="L85" s="33" t="s">
        <v>15</v>
      </c>
      <c r="M85" s="8" t="s">
        <v>13</v>
      </c>
      <c r="N85" s="31" t="s">
        <v>14</v>
      </c>
      <c r="O85" s="8" t="s">
        <v>12</v>
      </c>
      <c r="P85" s="5"/>
      <c r="Q85" s="9"/>
    </row>
    <row r="86" spans="1:17" ht="15.75">
      <c r="A86" s="5"/>
      <c r="B86" s="5"/>
      <c r="C86" s="10"/>
      <c r="D86" s="60"/>
      <c r="E86" s="7"/>
      <c r="F86" s="6"/>
      <c r="G86" s="8" t="s">
        <v>81</v>
      </c>
      <c r="H86" s="8" t="s">
        <v>90</v>
      </c>
      <c r="I86" s="31" t="s">
        <v>5</v>
      </c>
      <c r="J86" s="8"/>
      <c r="K86" s="8"/>
      <c r="L86" s="8"/>
      <c r="M86" s="8"/>
      <c r="N86" s="8"/>
      <c r="O86" s="8"/>
      <c r="P86" s="5"/>
      <c r="Q86" s="9"/>
    </row>
    <row r="87" spans="1:17" ht="15.75">
      <c r="A87" s="11"/>
      <c r="B87" s="11"/>
      <c r="C87" s="12"/>
      <c r="D87" s="72"/>
      <c r="E87" s="13"/>
      <c r="F87" s="14"/>
      <c r="G87" s="15"/>
      <c r="H87" s="50"/>
      <c r="I87" s="15"/>
      <c r="J87" s="49"/>
      <c r="K87" s="53"/>
      <c r="L87" s="75"/>
      <c r="M87" s="15"/>
      <c r="N87" s="15"/>
      <c r="O87" s="15"/>
      <c r="P87" s="11"/>
      <c r="Q87" s="16"/>
    </row>
    <row r="88" spans="1:17" ht="15.75">
      <c r="A88" s="52"/>
      <c r="B88" s="47"/>
      <c r="C88" s="48"/>
      <c r="D88" s="73"/>
      <c r="E88" s="17"/>
      <c r="F88" s="48"/>
      <c r="G88" s="36"/>
      <c r="H88" s="36"/>
      <c r="I88" s="36"/>
      <c r="J88" s="36"/>
      <c r="K88" s="8"/>
      <c r="M88" s="8"/>
      <c r="N88" s="8"/>
      <c r="O88" s="8"/>
      <c r="P88" s="35"/>
      <c r="Q88" s="37"/>
    </row>
    <row r="89" spans="1:17" ht="15.75">
      <c r="A89" s="52">
        <v>1</v>
      </c>
      <c r="B89" s="51" t="s">
        <v>242</v>
      </c>
      <c r="C89" s="48" t="s">
        <v>243</v>
      </c>
      <c r="D89" s="67" t="s">
        <v>244</v>
      </c>
      <c r="E89" s="17">
        <v>43166</v>
      </c>
      <c r="F89" s="20" t="s">
        <v>245</v>
      </c>
      <c r="G89" s="36">
        <v>0</v>
      </c>
      <c r="H89" s="36">
        <v>24158500</v>
      </c>
      <c r="I89" s="8">
        <v>603963</v>
      </c>
      <c r="J89" s="8">
        <v>171290</v>
      </c>
      <c r="K89" s="8">
        <v>200000</v>
      </c>
      <c r="L89" s="8">
        <v>200000</v>
      </c>
      <c r="M89" s="8">
        <f>SUM(G89:L89)</f>
        <v>25333753</v>
      </c>
      <c r="N89" s="8">
        <f>50000000-M89</f>
        <v>24666247</v>
      </c>
      <c r="O89" s="8">
        <f t="shared" ref="O89" si="19">+M89+N89</f>
        <v>50000000</v>
      </c>
      <c r="P89" s="77" t="s">
        <v>246</v>
      </c>
      <c r="Q89" s="60" t="s">
        <v>52</v>
      </c>
    </row>
    <row r="90" spans="1:17" ht="15.75">
      <c r="A90" s="52"/>
      <c r="B90" s="51"/>
      <c r="C90" s="48"/>
      <c r="D90" s="67"/>
      <c r="E90" s="17"/>
      <c r="F90" s="20"/>
      <c r="G90" s="36"/>
      <c r="H90" s="36"/>
      <c r="I90" s="8"/>
      <c r="J90" s="8"/>
      <c r="K90" s="8"/>
      <c r="L90" s="8"/>
      <c r="M90" s="8"/>
      <c r="N90" s="8"/>
      <c r="O90" s="8"/>
      <c r="P90" s="77"/>
      <c r="Q90" s="60"/>
    </row>
    <row r="91" spans="1:17" ht="15.75">
      <c r="A91" s="52"/>
      <c r="B91" s="51"/>
      <c r="C91" s="48"/>
      <c r="E91" s="17"/>
      <c r="F91" s="48"/>
      <c r="G91" s="36"/>
      <c r="H91" s="36"/>
      <c r="I91" s="36"/>
      <c r="J91" s="36"/>
      <c r="K91" s="36"/>
      <c r="M91" s="8"/>
      <c r="N91" s="8"/>
      <c r="O91" s="8"/>
      <c r="P91" s="59"/>
      <c r="Q91" s="66"/>
    </row>
    <row r="92" spans="1:17" ht="16.5" thickBot="1">
      <c r="A92" s="18"/>
      <c r="B92" s="55"/>
      <c r="C92" s="56"/>
      <c r="D92" s="74"/>
      <c r="E92" s="56"/>
      <c r="F92" s="57"/>
      <c r="G92" s="19">
        <f t="shared" ref="G92" si="20">SUM(G89:G91)</f>
        <v>0</v>
      </c>
      <c r="H92" s="19">
        <f t="shared" ref="H92:O92" si="21">SUM(H89:H91)</f>
        <v>24158500</v>
      </c>
      <c r="I92" s="19">
        <f t="shared" si="21"/>
        <v>603963</v>
      </c>
      <c r="J92" s="19">
        <f t="shared" si="21"/>
        <v>171290</v>
      </c>
      <c r="K92" s="19">
        <f t="shared" si="21"/>
        <v>200000</v>
      </c>
      <c r="L92" s="19">
        <f t="shared" si="21"/>
        <v>200000</v>
      </c>
      <c r="M92" s="19">
        <f t="shared" si="21"/>
        <v>25333753</v>
      </c>
      <c r="N92" s="19">
        <f t="shared" si="21"/>
        <v>24666247</v>
      </c>
      <c r="O92" s="19">
        <f t="shared" si="21"/>
        <v>50000000</v>
      </c>
      <c r="P92" s="68"/>
      <c r="Q92" s="70"/>
    </row>
    <row r="93" spans="1:17" ht="16.5" thickTop="1">
      <c r="A93" s="23"/>
      <c r="B93" s="22"/>
      <c r="C93" s="22"/>
      <c r="D93" s="23"/>
      <c r="E93" s="22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2"/>
      <c r="Q93" s="69"/>
    </row>
    <row r="94" spans="1:17" ht="15.75">
      <c r="A94" s="23"/>
      <c r="B94" s="28" t="s">
        <v>251</v>
      </c>
      <c r="C94" s="22"/>
      <c r="D94" s="39"/>
      <c r="F94" s="27"/>
      <c r="G94" s="28"/>
      <c r="H94" s="28"/>
      <c r="I94" s="28"/>
      <c r="J94" s="28"/>
      <c r="K94" s="28"/>
      <c r="L94" s="28"/>
      <c r="Q94" s="51"/>
    </row>
    <row r="95" spans="1:17" ht="15.75">
      <c r="A95" s="38"/>
      <c r="B95" s="40" t="s">
        <v>32</v>
      </c>
      <c r="C95" s="28" t="s">
        <v>28</v>
      </c>
      <c r="D95" s="39"/>
      <c r="F95" s="41"/>
      <c r="G95" s="143" t="s">
        <v>26</v>
      </c>
      <c r="H95" s="143"/>
      <c r="I95" s="143"/>
      <c r="K95" s="41"/>
    </row>
    <row r="96" spans="1:17" ht="15.75">
      <c r="A96" s="38"/>
      <c r="B96" s="40"/>
      <c r="C96" s="28"/>
      <c r="D96" s="39"/>
      <c r="F96" s="28"/>
      <c r="G96" s="28"/>
      <c r="H96" s="28"/>
      <c r="I96" s="28"/>
      <c r="J96" s="28"/>
      <c r="K96" s="28"/>
      <c r="L96" s="28"/>
    </row>
    <row r="97" spans="1:17" ht="15.75">
      <c r="A97" s="38"/>
      <c r="B97" s="40"/>
      <c r="C97" s="28"/>
      <c r="D97" s="39"/>
      <c r="F97" s="28"/>
      <c r="G97" s="28"/>
      <c r="H97" s="28"/>
      <c r="I97" s="28"/>
      <c r="J97" s="28"/>
      <c r="K97" s="28"/>
      <c r="L97" s="28"/>
    </row>
    <row r="98" spans="1:17" ht="15.75">
      <c r="A98" s="38"/>
      <c r="B98" s="40"/>
      <c r="C98" s="28"/>
      <c r="D98" s="39"/>
      <c r="F98" s="28"/>
      <c r="G98" s="28"/>
      <c r="H98" s="28"/>
      <c r="I98" s="28"/>
      <c r="J98" s="28"/>
      <c r="K98" s="28"/>
    </row>
    <row r="99" spans="1:17" ht="15.75">
      <c r="A99" s="38"/>
      <c r="B99" s="40"/>
      <c r="C99" s="28"/>
      <c r="D99" s="39"/>
      <c r="F99" s="28"/>
      <c r="G99" s="28"/>
      <c r="H99" s="28"/>
      <c r="I99" s="28"/>
      <c r="J99" s="28"/>
      <c r="K99" s="28"/>
      <c r="L99" s="28"/>
    </row>
    <row r="100" spans="1:17" ht="15.75">
      <c r="A100" s="38" t="s">
        <v>23</v>
      </c>
      <c r="B100" s="42" t="s">
        <v>27</v>
      </c>
      <c r="C100" s="43" t="s">
        <v>24</v>
      </c>
      <c r="D100" s="39"/>
      <c r="F100" s="29"/>
      <c r="G100" s="29" t="s">
        <v>16</v>
      </c>
      <c r="H100" s="29"/>
      <c r="I100" s="29" t="s">
        <v>30</v>
      </c>
    </row>
    <row r="101" spans="1:17" ht="15.75">
      <c r="A101" s="38"/>
      <c r="B101" s="44" t="s">
        <v>31</v>
      </c>
      <c r="C101" s="45" t="s">
        <v>20</v>
      </c>
      <c r="D101" s="39"/>
      <c r="F101" s="46"/>
      <c r="G101" s="46" t="s">
        <v>17</v>
      </c>
      <c r="H101" s="46"/>
      <c r="I101" s="46" t="s">
        <v>25</v>
      </c>
    </row>
    <row r="103" spans="1:17" ht="15.75">
      <c r="A103" s="21" t="s">
        <v>0</v>
      </c>
      <c r="B103" s="22"/>
      <c r="C103" s="23"/>
      <c r="D103" s="23"/>
      <c r="E103" s="23"/>
      <c r="F103" s="24"/>
      <c r="G103" s="24"/>
      <c r="H103" s="24"/>
      <c r="I103" s="24"/>
      <c r="J103" s="24"/>
      <c r="K103" s="24"/>
      <c r="L103" s="25"/>
    </row>
    <row r="104" spans="1:17" ht="15.75">
      <c r="A104" s="26" t="s">
        <v>241</v>
      </c>
      <c r="B104" s="21"/>
      <c r="C104" s="21"/>
      <c r="D104" s="21"/>
      <c r="E104" s="21"/>
      <c r="F104" s="24"/>
      <c r="G104" s="24"/>
      <c r="H104" s="24"/>
      <c r="I104" s="24"/>
      <c r="J104" s="24"/>
      <c r="K104" s="24"/>
      <c r="L104" s="25"/>
    </row>
    <row r="105" spans="1:17" ht="15.75">
      <c r="A105" s="1"/>
      <c r="B105" s="1" t="s">
        <v>1</v>
      </c>
      <c r="C105" s="2" t="s">
        <v>2</v>
      </c>
      <c r="D105" s="71" t="s">
        <v>34</v>
      </c>
      <c r="E105" s="3" t="s">
        <v>3</v>
      </c>
      <c r="F105" s="2" t="s">
        <v>4</v>
      </c>
      <c r="G105" s="4" t="s">
        <v>18</v>
      </c>
      <c r="H105" s="4" t="s">
        <v>18</v>
      </c>
      <c r="I105" s="63" t="s">
        <v>7</v>
      </c>
      <c r="J105" s="65" t="s">
        <v>6</v>
      </c>
      <c r="K105" s="32" t="s">
        <v>29</v>
      </c>
      <c r="L105" s="32" t="s">
        <v>21</v>
      </c>
      <c r="M105" s="4" t="s">
        <v>8</v>
      </c>
      <c r="N105" s="30" t="s">
        <v>8</v>
      </c>
      <c r="O105" s="4" t="s">
        <v>9</v>
      </c>
      <c r="P105" s="62" t="s">
        <v>10</v>
      </c>
      <c r="Q105" s="54" t="s">
        <v>33</v>
      </c>
    </row>
    <row r="106" spans="1:17" ht="15.75">
      <c r="A106" s="5"/>
      <c r="B106" s="5"/>
      <c r="C106" s="6"/>
      <c r="D106" s="60"/>
      <c r="E106" s="7"/>
      <c r="F106" s="6"/>
      <c r="G106" s="8" t="s">
        <v>11</v>
      </c>
      <c r="H106" s="8" t="s">
        <v>11</v>
      </c>
      <c r="I106" s="31" t="s">
        <v>19</v>
      </c>
      <c r="J106" s="61" t="s">
        <v>35</v>
      </c>
      <c r="K106" s="33" t="s">
        <v>22</v>
      </c>
      <c r="L106" s="33" t="s">
        <v>15</v>
      </c>
      <c r="M106" s="8" t="s">
        <v>13</v>
      </c>
      <c r="N106" s="31" t="s">
        <v>14</v>
      </c>
      <c r="O106" s="8" t="s">
        <v>12</v>
      </c>
      <c r="P106" s="5"/>
      <c r="Q106" s="9"/>
    </row>
    <row r="107" spans="1:17" ht="15.75">
      <c r="A107" s="5"/>
      <c r="B107" s="5"/>
      <c r="C107" s="10"/>
      <c r="D107" s="60"/>
      <c r="E107" s="7"/>
      <c r="F107" s="6"/>
      <c r="G107" s="8" t="s">
        <v>81</v>
      </c>
      <c r="H107" s="8" t="s">
        <v>22</v>
      </c>
      <c r="I107" s="31" t="s">
        <v>5</v>
      </c>
      <c r="J107" s="8"/>
      <c r="K107" s="8"/>
      <c r="L107" s="8"/>
      <c r="M107" s="8"/>
      <c r="N107" s="8"/>
      <c r="O107" s="8"/>
      <c r="P107" s="5"/>
      <c r="Q107" s="9"/>
    </row>
    <row r="108" spans="1:17" ht="15.75">
      <c r="A108" s="11"/>
      <c r="B108" s="11"/>
      <c r="C108" s="12"/>
      <c r="D108" s="72"/>
      <c r="E108" s="13"/>
      <c r="F108" s="14"/>
      <c r="G108" s="15"/>
      <c r="H108" s="50"/>
      <c r="I108" s="15"/>
      <c r="J108" s="49"/>
      <c r="K108" s="53"/>
      <c r="L108" s="75"/>
      <c r="M108" s="15"/>
      <c r="N108" s="15"/>
      <c r="O108" s="15"/>
      <c r="P108" s="11"/>
      <c r="Q108" s="16"/>
    </row>
    <row r="109" spans="1:17" ht="15.75">
      <c r="A109" s="52"/>
      <c r="B109" s="47"/>
      <c r="C109" s="48"/>
      <c r="D109" s="73"/>
      <c r="E109" s="17"/>
      <c r="F109" s="48"/>
      <c r="G109" s="36"/>
      <c r="H109" s="36"/>
      <c r="I109" s="36"/>
      <c r="J109" s="36"/>
      <c r="K109" s="8"/>
      <c r="M109" s="8"/>
      <c r="N109" s="8"/>
      <c r="O109" s="8"/>
      <c r="P109" s="35"/>
      <c r="Q109" s="37"/>
    </row>
    <row r="110" spans="1:17" ht="15.75">
      <c r="A110" s="52"/>
      <c r="B110" s="51"/>
      <c r="C110" s="48"/>
      <c r="D110" s="67"/>
      <c r="E110" s="17"/>
      <c r="F110" s="20"/>
      <c r="G110" s="36"/>
      <c r="H110" s="36"/>
      <c r="I110" s="8"/>
      <c r="J110" s="8"/>
      <c r="K110" s="8"/>
      <c r="L110" s="8"/>
      <c r="M110" s="8"/>
      <c r="N110" s="8"/>
      <c r="O110" s="8"/>
      <c r="P110" s="77"/>
      <c r="Q110" s="60"/>
    </row>
    <row r="111" spans="1:17" ht="15.75">
      <c r="A111" s="52">
        <v>1</v>
      </c>
      <c r="B111" s="51" t="s">
        <v>247</v>
      </c>
      <c r="C111" s="48" t="s">
        <v>248</v>
      </c>
      <c r="D111" s="67" t="s">
        <v>249</v>
      </c>
      <c r="E111" s="17">
        <v>43166</v>
      </c>
      <c r="F111" s="20" t="s">
        <v>250</v>
      </c>
      <c r="G111" s="36">
        <v>1870880</v>
      </c>
      <c r="H111" s="36">
        <v>53887000</v>
      </c>
      <c r="I111" s="8">
        <v>1393947</v>
      </c>
      <c r="J111" s="8">
        <v>635767</v>
      </c>
      <c r="K111" s="8">
        <v>442421</v>
      </c>
      <c r="L111" s="8">
        <v>200000</v>
      </c>
      <c r="M111" s="8">
        <f>SUM(G111:L111)</f>
        <v>58430015</v>
      </c>
      <c r="N111" s="8">
        <f>100000000-M111</f>
        <v>41569985</v>
      </c>
      <c r="O111" s="8">
        <f t="shared" ref="O111" si="22">+M111+N111</f>
        <v>100000000</v>
      </c>
      <c r="P111" s="77" t="s">
        <v>124</v>
      </c>
      <c r="Q111" s="60" t="s">
        <v>52</v>
      </c>
    </row>
    <row r="112" spans="1:17" ht="15.75">
      <c r="A112" s="52"/>
      <c r="B112" s="51"/>
      <c r="C112" s="48"/>
      <c r="E112" s="17"/>
      <c r="F112" s="48"/>
      <c r="G112" s="36"/>
      <c r="H112" s="36"/>
      <c r="I112" s="36"/>
      <c r="J112" s="36"/>
      <c r="K112" s="36"/>
      <c r="M112" s="8"/>
      <c r="N112" s="8"/>
      <c r="O112" s="8"/>
      <c r="P112" s="59"/>
      <c r="Q112" s="66"/>
    </row>
    <row r="113" spans="1:17" ht="16.5" thickBot="1">
      <c r="A113" s="18"/>
      <c r="B113" s="55"/>
      <c r="C113" s="56"/>
      <c r="D113" s="74"/>
      <c r="E113" s="56"/>
      <c r="F113" s="57"/>
      <c r="G113" s="19">
        <f t="shared" ref="G113" si="23">SUM(G110:G112)</f>
        <v>1870880</v>
      </c>
      <c r="H113" s="19">
        <f t="shared" ref="H113:O113" si="24">SUM(H110:H112)</f>
        <v>53887000</v>
      </c>
      <c r="I113" s="19">
        <f t="shared" si="24"/>
        <v>1393947</v>
      </c>
      <c r="J113" s="19">
        <f t="shared" si="24"/>
        <v>635767</v>
      </c>
      <c r="K113" s="19">
        <f t="shared" si="24"/>
        <v>442421</v>
      </c>
      <c r="L113" s="19">
        <f t="shared" si="24"/>
        <v>200000</v>
      </c>
      <c r="M113" s="19">
        <f t="shared" si="24"/>
        <v>58430015</v>
      </c>
      <c r="N113" s="19">
        <f t="shared" si="24"/>
        <v>41569985</v>
      </c>
      <c r="O113" s="19">
        <f t="shared" si="24"/>
        <v>100000000</v>
      </c>
      <c r="P113" s="68"/>
      <c r="Q113" s="70"/>
    </row>
    <row r="114" spans="1:17" ht="16.5" thickTop="1">
      <c r="A114" s="23"/>
      <c r="B114" s="22"/>
      <c r="C114" s="22"/>
      <c r="D114" s="23"/>
      <c r="E114" s="22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2"/>
      <c r="Q114" s="69"/>
    </row>
    <row r="115" spans="1:17" ht="15.75">
      <c r="A115" s="23"/>
      <c r="B115" s="28" t="s">
        <v>251</v>
      </c>
      <c r="C115" s="22"/>
      <c r="D115" s="39"/>
      <c r="F115" s="27"/>
      <c r="G115" s="28"/>
      <c r="H115" s="28"/>
      <c r="I115" s="28"/>
      <c r="J115" s="28"/>
      <c r="K115" s="28"/>
      <c r="L115" s="28"/>
      <c r="Q115" s="51"/>
    </row>
    <row r="116" spans="1:17" ht="15.75">
      <c r="A116" s="38"/>
      <c r="B116" s="40" t="s">
        <v>32</v>
      </c>
      <c r="C116" s="28" t="s">
        <v>28</v>
      </c>
      <c r="D116" s="39"/>
      <c r="F116" s="41"/>
      <c r="G116" s="143" t="s">
        <v>26</v>
      </c>
      <c r="H116" s="143"/>
      <c r="I116" s="143"/>
      <c r="K116" s="41"/>
    </row>
    <row r="117" spans="1:17" ht="15.75">
      <c r="A117" s="38"/>
      <c r="B117" s="40"/>
      <c r="C117" s="28"/>
      <c r="D117" s="39"/>
      <c r="F117" s="28"/>
      <c r="G117" s="28"/>
      <c r="H117" s="28"/>
      <c r="I117" s="28"/>
      <c r="J117" s="28"/>
      <c r="K117" s="28"/>
      <c r="L117" s="28"/>
    </row>
    <row r="118" spans="1:17" ht="15.75">
      <c r="A118" s="38"/>
      <c r="B118" s="40"/>
      <c r="C118" s="28"/>
      <c r="D118" s="39"/>
      <c r="F118" s="28"/>
      <c r="G118" s="28"/>
      <c r="H118" s="28"/>
      <c r="I118" s="28"/>
      <c r="J118" s="28"/>
      <c r="K118" s="28"/>
      <c r="L118" s="28"/>
    </row>
    <row r="119" spans="1:17" ht="15.75">
      <c r="A119" s="38"/>
      <c r="B119" s="40"/>
      <c r="C119" s="28"/>
      <c r="D119" s="39"/>
      <c r="F119" s="28"/>
      <c r="G119" s="28"/>
      <c r="H119" s="28"/>
      <c r="I119" s="28"/>
      <c r="J119" s="28"/>
      <c r="K119" s="28"/>
    </row>
    <row r="120" spans="1:17" ht="15.75">
      <c r="A120" s="38"/>
      <c r="B120" s="40"/>
      <c r="C120" s="28"/>
      <c r="D120" s="39"/>
      <c r="F120" s="28"/>
      <c r="G120" s="28"/>
      <c r="H120" s="28"/>
      <c r="I120" s="28"/>
      <c r="J120" s="28"/>
      <c r="K120" s="28"/>
      <c r="L120" s="28"/>
    </row>
    <row r="121" spans="1:17" ht="15.75">
      <c r="A121" s="38" t="s">
        <v>23</v>
      </c>
      <c r="B121" s="42" t="s">
        <v>27</v>
      </c>
      <c r="C121" s="43" t="s">
        <v>24</v>
      </c>
      <c r="D121" s="39"/>
      <c r="F121" s="29"/>
      <c r="G121" s="29" t="s">
        <v>16</v>
      </c>
      <c r="H121" s="29"/>
      <c r="I121" s="29" t="s">
        <v>30</v>
      </c>
    </row>
    <row r="122" spans="1:17" ht="15.75">
      <c r="A122" s="38"/>
      <c r="B122" s="44" t="s">
        <v>31</v>
      </c>
      <c r="C122" s="45" t="s">
        <v>20</v>
      </c>
      <c r="D122" s="39"/>
      <c r="F122" s="46"/>
      <c r="G122" s="46" t="s">
        <v>17</v>
      </c>
      <c r="H122" s="46"/>
      <c r="I122" s="46" t="s">
        <v>25</v>
      </c>
    </row>
    <row r="124" spans="1:17" ht="15.75">
      <c r="A124" s="21" t="s">
        <v>0</v>
      </c>
      <c r="B124" s="22"/>
      <c r="C124" s="23"/>
      <c r="D124" s="23"/>
      <c r="E124" s="23"/>
      <c r="F124" s="24"/>
      <c r="G124" s="24"/>
      <c r="H124" s="24"/>
      <c r="I124" s="24"/>
      <c r="J124" s="24"/>
      <c r="K124" s="24"/>
      <c r="L124" s="25"/>
    </row>
    <row r="125" spans="1:17" ht="15.75">
      <c r="A125" s="26" t="s">
        <v>252</v>
      </c>
      <c r="B125" s="21"/>
      <c r="C125" s="21"/>
      <c r="D125" s="21"/>
      <c r="E125" s="21"/>
      <c r="F125" s="24"/>
      <c r="G125" s="24"/>
      <c r="H125" s="24"/>
      <c r="I125" s="24"/>
      <c r="J125" s="24"/>
      <c r="K125" s="24"/>
      <c r="L125" s="25"/>
    </row>
    <row r="126" spans="1:17" ht="15.75">
      <c r="A126" s="1"/>
      <c r="B126" s="1" t="s">
        <v>1</v>
      </c>
      <c r="C126" s="2" t="s">
        <v>2</v>
      </c>
      <c r="D126" s="71" t="s">
        <v>34</v>
      </c>
      <c r="E126" s="3" t="s">
        <v>3</v>
      </c>
      <c r="F126" s="2" t="s">
        <v>4</v>
      </c>
      <c r="G126" s="4" t="s">
        <v>18</v>
      </c>
      <c r="H126" s="4" t="s">
        <v>18</v>
      </c>
      <c r="I126" s="63" t="s">
        <v>7</v>
      </c>
      <c r="J126" s="65" t="s">
        <v>6</v>
      </c>
      <c r="K126" s="32" t="s">
        <v>29</v>
      </c>
      <c r="L126" s="32" t="s">
        <v>21</v>
      </c>
      <c r="M126" s="4" t="s">
        <v>8</v>
      </c>
      <c r="N126" s="30" t="s">
        <v>8</v>
      </c>
      <c r="O126" s="4" t="s">
        <v>9</v>
      </c>
      <c r="P126" s="62" t="s">
        <v>10</v>
      </c>
      <c r="Q126" s="54" t="s">
        <v>33</v>
      </c>
    </row>
    <row r="127" spans="1:17" ht="15.75">
      <c r="A127" s="5"/>
      <c r="B127" s="5"/>
      <c r="C127" s="6"/>
      <c r="D127" s="60"/>
      <c r="E127" s="7"/>
      <c r="F127" s="6"/>
      <c r="G127" s="8" t="s">
        <v>11</v>
      </c>
      <c r="H127" s="8" t="s">
        <v>11</v>
      </c>
      <c r="I127" s="31" t="s">
        <v>19</v>
      </c>
      <c r="J127" s="61" t="s">
        <v>35</v>
      </c>
      <c r="K127" s="33" t="s">
        <v>22</v>
      </c>
      <c r="L127" s="33" t="s">
        <v>15</v>
      </c>
      <c r="M127" s="8" t="s">
        <v>13</v>
      </c>
      <c r="N127" s="31" t="s">
        <v>14</v>
      </c>
      <c r="O127" s="8" t="s">
        <v>12</v>
      </c>
      <c r="P127" s="5"/>
      <c r="Q127" s="9"/>
    </row>
    <row r="128" spans="1:17" ht="15.75">
      <c r="A128" s="5"/>
      <c r="B128" s="5"/>
      <c r="C128" s="10"/>
      <c r="D128" s="60"/>
      <c r="E128" s="7"/>
      <c r="F128" s="6"/>
      <c r="G128" s="8" t="s">
        <v>81</v>
      </c>
      <c r="H128" s="8" t="s">
        <v>22</v>
      </c>
      <c r="I128" s="31" t="s">
        <v>5</v>
      </c>
      <c r="J128" s="8"/>
      <c r="K128" s="8"/>
      <c r="L128" s="8"/>
      <c r="M128" s="8"/>
      <c r="N128" s="8"/>
      <c r="O128" s="8"/>
      <c r="P128" s="5"/>
      <c r="Q128" s="9"/>
    </row>
    <row r="129" spans="1:17" ht="15.75">
      <c r="A129" s="11"/>
      <c r="B129" s="11"/>
      <c r="C129" s="12"/>
      <c r="D129" s="72"/>
      <c r="E129" s="13"/>
      <c r="F129" s="14"/>
      <c r="G129" s="15"/>
      <c r="H129" s="50"/>
      <c r="I129" s="15"/>
      <c r="J129" s="49"/>
      <c r="K129" s="53"/>
      <c r="L129" s="75"/>
      <c r="M129" s="15"/>
      <c r="N129" s="15"/>
      <c r="O129" s="15"/>
      <c r="P129" s="11"/>
      <c r="Q129" s="16"/>
    </row>
    <row r="130" spans="1:17" ht="15.75">
      <c r="A130" s="52"/>
      <c r="B130" s="47"/>
      <c r="C130" s="48"/>
      <c r="D130" s="73"/>
      <c r="E130" s="17"/>
      <c r="F130" s="48"/>
      <c r="G130" s="36"/>
      <c r="H130" s="36"/>
      <c r="I130" s="36"/>
      <c r="J130" s="36"/>
      <c r="K130" s="8"/>
      <c r="M130" s="8"/>
      <c r="N130" s="8"/>
      <c r="O130" s="8"/>
      <c r="P130" s="35"/>
      <c r="Q130" s="37"/>
    </row>
    <row r="131" spans="1:17" ht="15.75">
      <c r="A131" s="52">
        <v>1</v>
      </c>
      <c r="B131" s="51" t="s">
        <v>253</v>
      </c>
      <c r="C131" s="48" t="s">
        <v>254</v>
      </c>
      <c r="D131" s="67" t="s">
        <v>255</v>
      </c>
      <c r="E131" s="17">
        <v>43167</v>
      </c>
      <c r="F131" s="20" t="s">
        <v>256</v>
      </c>
      <c r="G131" s="36">
        <v>0</v>
      </c>
      <c r="H131" s="36">
        <v>97881212</v>
      </c>
      <c r="I131" s="8">
        <v>2447030</v>
      </c>
      <c r="J131" s="8">
        <v>2577317</v>
      </c>
      <c r="K131" s="8">
        <v>300000</v>
      </c>
      <c r="L131" s="8">
        <v>200000</v>
      </c>
      <c r="M131" s="8">
        <f>SUM(G131:L131)</f>
        <v>103405559</v>
      </c>
      <c r="N131" s="8">
        <f>133405559-M131</f>
        <v>30000000</v>
      </c>
      <c r="O131" s="8">
        <f t="shared" ref="O131" si="25">+M131+N131</f>
        <v>133405559</v>
      </c>
      <c r="P131" s="77" t="s">
        <v>134</v>
      </c>
      <c r="Q131" s="60" t="s">
        <v>52</v>
      </c>
    </row>
    <row r="132" spans="1:17" ht="15.75">
      <c r="A132" s="52"/>
      <c r="B132" s="51"/>
      <c r="C132" s="48"/>
      <c r="E132" s="17"/>
      <c r="F132" s="48"/>
      <c r="G132" s="36"/>
      <c r="H132" s="36"/>
      <c r="I132" s="36"/>
      <c r="J132" s="36"/>
      <c r="K132" s="36"/>
      <c r="M132" s="8"/>
      <c r="N132" s="8"/>
      <c r="O132" s="8"/>
      <c r="P132" s="59"/>
      <c r="Q132" s="66"/>
    </row>
    <row r="133" spans="1:17" ht="16.5" thickBot="1">
      <c r="A133" s="18"/>
      <c r="B133" s="55"/>
      <c r="C133" s="56"/>
      <c r="D133" s="74"/>
      <c r="E133" s="56"/>
      <c r="F133" s="57"/>
      <c r="G133" s="19">
        <f t="shared" ref="G133:O133" si="26">SUM(G131:G132)</f>
        <v>0</v>
      </c>
      <c r="H133" s="19">
        <f t="shared" si="26"/>
        <v>97881212</v>
      </c>
      <c r="I133" s="19">
        <f t="shared" si="26"/>
        <v>2447030</v>
      </c>
      <c r="J133" s="19">
        <f t="shared" si="26"/>
        <v>2577317</v>
      </c>
      <c r="K133" s="19">
        <f t="shared" si="26"/>
        <v>300000</v>
      </c>
      <c r="L133" s="19">
        <f t="shared" si="26"/>
        <v>200000</v>
      </c>
      <c r="M133" s="19">
        <f t="shared" si="26"/>
        <v>103405559</v>
      </c>
      <c r="N133" s="19">
        <f t="shared" si="26"/>
        <v>30000000</v>
      </c>
      <c r="O133" s="19">
        <f t="shared" si="26"/>
        <v>133405559</v>
      </c>
      <c r="P133" s="68"/>
      <c r="Q133" s="70"/>
    </row>
    <row r="134" spans="1:17" ht="16.5" thickTop="1">
      <c r="A134" s="23"/>
      <c r="B134" s="22"/>
      <c r="C134" s="22"/>
      <c r="D134" s="23"/>
      <c r="E134" s="22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2"/>
      <c r="Q134" s="69"/>
    </row>
    <row r="135" spans="1:17" ht="15.75">
      <c r="A135" s="23"/>
      <c r="B135" s="28" t="s">
        <v>257</v>
      </c>
      <c r="C135" s="22"/>
      <c r="D135" s="39"/>
      <c r="F135" s="27"/>
      <c r="G135" s="28"/>
      <c r="H135" s="28"/>
      <c r="I135" s="28"/>
      <c r="J135" s="28"/>
      <c r="K135" s="28"/>
      <c r="L135" s="28"/>
      <c r="Q135" s="51"/>
    </row>
    <row r="136" spans="1:17" ht="15.75">
      <c r="A136" s="38"/>
      <c r="B136" s="40" t="s">
        <v>32</v>
      </c>
      <c r="C136" s="28" t="s">
        <v>28</v>
      </c>
      <c r="D136" s="39"/>
      <c r="F136" s="41"/>
      <c r="G136" s="143" t="s">
        <v>26</v>
      </c>
      <c r="H136" s="143"/>
      <c r="I136" s="143"/>
      <c r="K136" s="41"/>
    </row>
    <row r="137" spans="1:17" ht="15.75">
      <c r="A137" s="38"/>
      <c r="B137" s="40"/>
      <c r="C137" s="28"/>
      <c r="D137" s="39"/>
      <c r="F137" s="28"/>
      <c r="G137" s="28"/>
      <c r="H137" s="28"/>
      <c r="I137" s="28"/>
      <c r="J137" s="28"/>
      <c r="K137" s="28"/>
      <c r="L137" s="28"/>
    </row>
    <row r="138" spans="1:17" ht="15.75">
      <c r="A138" s="38"/>
      <c r="B138" s="40"/>
      <c r="C138" s="28"/>
      <c r="D138" s="39"/>
      <c r="F138" s="28"/>
      <c r="G138" s="28"/>
      <c r="H138" s="28"/>
      <c r="I138" s="28"/>
      <c r="J138" s="28"/>
      <c r="K138" s="28"/>
      <c r="L138" s="28"/>
    </row>
    <row r="139" spans="1:17" ht="15.75">
      <c r="A139" s="38"/>
      <c r="B139" s="40"/>
      <c r="C139" s="28"/>
      <c r="D139" s="39"/>
      <c r="F139" s="28"/>
      <c r="G139" s="28"/>
      <c r="H139" s="28"/>
      <c r="I139" s="28"/>
      <c r="J139" s="28"/>
      <c r="K139" s="28"/>
    </row>
    <row r="140" spans="1:17" ht="15.75">
      <c r="A140" s="38"/>
      <c r="B140" s="40"/>
      <c r="C140" s="28"/>
      <c r="D140" s="39"/>
      <c r="F140" s="28"/>
      <c r="G140" s="28"/>
      <c r="H140" s="28"/>
      <c r="I140" s="28"/>
      <c r="J140" s="28"/>
      <c r="K140" s="28"/>
      <c r="L140" s="28"/>
    </row>
    <row r="141" spans="1:17" ht="15.75">
      <c r="A141" s="38" t="s">
        <v>23</v>
      </c>
      <c r="B141" s="42" t="s">
        <v>27</v>
      </c>
      <c r="C141" s="43" t="s">
        <v>24</v>
      </c>
      <c r="D141" s="39"/>
      <c r="F141" s="29"/>
      <c r="G141" s="29" t="s">
        <v>16</v>
      </c>
      <c r="H141" s="29"/>
      <c r="I141" s="29" t="s">
        <v>30</v>
      </c>
    </row>
    <row r="142" spans="1:17" ht="15.75">
      <c r="A142" s="38"/>
      <c r="B142" s="44" t="s">
        <v>31</v>
      </c>
      <c r="C142" s="45" t="s">
        <v>20</v>
      </c>
      <c r="D142" s="39"/>
      <c r="F142" s="46"/>
      <c r="G142" s="46" t="s">
        <v>17</v>
      </c>
      <c r="H142" s="46"/>
      <c r="I142" s="46" t="s">
        <v>25</v>
      </c>
    </row>
    <row r="144" spans="1:17" ht="15.75">
      <c r="A144" s="21" t="s">
        <v>0</v>
      </c>
      <c r="B144" s="22"/>
      <c r="C144" s="23"/>
      <c r="D144" s="23"/>
      <c r="E144" s="23"/>
      <c r="F144" s="24"/>
      <c r="G144" s="24"/>
      <c r="H144" s="24"/>
      <c r="I144" s="24"/>
      <c r="J144" s="24"/>
      <c r="K144" s="24"/>
      <c r="L144" s="25"/>
    </row>
    <row r="145" spans="1:17" ht="15.75">
      <c r="A145" s="26" t="s">
        <v>258</v>
      </c>
      <c r="B145" s="21"/>
      <c r="C145" s="21"/>
      <c r="D145" s="21"/>
      <c r="E145" s="21"/>
      <c r="F145" s="24"/>
      <c r="G145" s="24"/>
      <c r="H145" s="24"/>
      <c r="I145" s="24"/>
      <c r="J145" s="24"/>
      <c r="K145" s="24"/>
      <c r="L145" s="25"/>
    </row>
    <row r="146" spans="1:17" ht="15.75">
      <c r="A146" s="62"/>
      <c r="B146" s="62" t="s">
        <v>1</v>
      </c>
      <c r="C146" s="93" t="s">
        <v>2</v>
      </c>
      <c r="D146" s="94" t="s">
        <v>34</v>
      </c>
      <c r="E146" s="95" t="s">
        <v>3</v>
      </c>
      <c r="F146" s="93" t="s">
        <v>4</v>
      </c>
      <c r="G146" s="96" t="s">
        <v>18</v>
      </c>
      <c r="H146" s="96" t="s">
        <v>18</v>
      </c>
      <c r="I146" s="97" t="s">
        <v>7</v>
      </c>
      <c r="J146" s="96" t="s">
        <v>6</v>
      </c>
      <c r="K146" s="96" t="s">
        <v>29</v>
      </c>
      <c r="L146" s="96" t="s">
        <v>21</v>
      </c>
      <c r="M146" s="96" t="s">
        <v>8</v>
      </c>
      <c r="N146" s="96" t="s">
        <v>8</v>
      </c>
      <c r="O146" s="96" t="s">
        <v>9</v>
      </c>
      <c r="P146" s="62" t="s">
        <v>10</v>
      </c>
      <c r="Q146" s="98" t="s">
        <v>33</v>
      </c>
    </row>
    <row r="147" spans="1:17">
      <c r="A147" s="99"/>
      <c r="B147" s="99"/>
      <c r="C147" s="100"/>
      <c r="D147" s="101"/>
      <c r="E147" s="102"/>
      <c r="F147" s="100"/>
      <c r="G147" s="103" t="s">
        <v>11</v>
      </c>
      <c r="H147" s="103" t="s">
        <v>11</v>
      </c>
      <c r="I147" s="103" t="s">
        <v>19</v>
      </c>
      <c r="J147" s="103" t="s">
        <v>35</v>
      </c>
      <c r="K147" s="103" t="s">
        <v>22</v>
      </c>
      <c r="L147" s="103" t="s">
        <v>15</v>
      </c>
      <c r="M147" s="103" t="s">
        <v>13</v>
      </c>
      <c r="N147" s="103" t="s">
        <v>14</v>
      </c>
      <c r="O147" s="103" t="s">
        <v>12</v>
      </c>
      <c r="P147" s="99"/>
      <c r="Q147" s="104"/>
    </row>
    <row r="148" spans="1:17">
      <c r="A148" s="99"/>
      <c r="B148" s="99"/>
      <c r="C148" s="105"/>
      <c r="D148" s="101"/>
      <c r="E148" s="102"/>
      <c r="F148" s="100"/>
      <c r="G148" s="103" t="s">
        <v>41</v>
      </c>
      <c r="H148" s="103" t="s">
        <v>81</v>
      </c>
      <c r="I148" s="103" t="s">
        <v>5</v>
      </c>
      <c r="J148" s="103"/>
      <c r="K148" s="103"/>
      <c r="L148" s="103"/>
      <c r="M148" s="103"/>
      <c r="N148" s="103"/>
      <c r="O148" s="103"/>
      <c r="P148" s="99"/>
      <c r="Q148" s="104"/>
    </row>
    <row r="149" spans="1:17">
      <c r="A149" s="106"/>
      <c r="B149" s="106"/>
      <c r="C149" s="107"/>
      <c r="D149" s="108"/>
      <c r="E149" s="109"/>
      <c r="F149" s="110"/>
      <c r="G149" s="111"/>
      <c r="H149" s="112"/>
      <c r="I149" s="111"/>
      <c r="J149" s="111"/>
      <c r="K149" s="113"/>
      <c r="L149" s="108"/>
      <c r="M149" s="111"/>
      <c r="N149" s="111"/>
      <c r="O149" s="111"/>
      <c r="P149" s="106"/>
      <c r="Q149" s="114"/>
    </row>
    <row r="150" spans="1:17" ht="15.75">
      <c r="A150" s="52"/>
      <c r="B150" s="47"/>
      <c r="C150" s="48"/>
      <c r="D150" s="73"/>
      <c r="E150" s="17"/>
      <c r="F150" s="48"/>
      <c r="G150" s="36"/>
      <c r="H150" s="36"/>
      <c r="I150" s="36"/>
      <c r="J150" s="36"/>
      <c r="K150" s="8"/>
      <c r="M150" s="8"/>
      <c r="N150" s="8"/>
      <c r="O150" s="8"/>
      <c r="P150" s="35"/>
      <c r="Q150" s="37"/>
    </row>
    <row r="151" spans="1:17" ht="15.75">
      <c r="A151" s="52">
        <v>1</v>
      </c>
      <c r="B151" s="91" t="s">
        <v>259</v>
      </c>
      <c r="C151" s="48" t="s">
        <v>260</v>
      </c>
      <c r="D151" s="67" t="s">
        <v>261</v>
      </c>
      <c r="E151" s="17">
        <v>43171</v>
      </c>
      <c r="F151" s="20" t="s">
        <v>262</v>
      </c>
      <c r="G151" s="36">
        <f>21249500</f>
        <v>21249500</v>
      </c>
      <c r="H151" s="36">
        <v>0</v>
      </c>
      <c r="I151" s="8">
        <f>531238</f>
        <v>531238</v>
      </c>
      <c r="J151" s="8">
        <v>953917</v>
      </c>
      <c r="K151" s="8">
        <v>500000</v>
      </c>
      <c r="L151" s="8">
        <v>200000</v>
      </c>
      <c r="M151" s="8">
        <f>SUM(G151:L151)</f>
        <v>23434655</v>
      </c>
      <c r="N151" s="8">
        <f>80000000-M151</f>
        <v>56565345</v>
      </c>
      <c r="O151" s="8">
        <f t="shared" ref="O151" si="27">+M151+N151</f>
        <v>80000000</v>
      </c>
      <c r="P151" s="77" t="s">
        <v>263</v>
      </c>
      <c r="Q151" s="60" t="s">
        <v>52</v>
      </c>
    </row>
    <row r="152" spans="1:17" ht="15.75">
      <c r="A152" s="52"/>
      <c r="B152" s="51"/>
      <c r="C152" s="48"/>
      <c r="E152" s="17"/>
      <c r="F152" s="48"/>
      <c r="G152" s="36"/>
      <c r="H152" s="36"/>
      <c r="I152" s="36"/>
      <c r="J152" s="36"/>
      <c r="K152" s="36"/>
      <c r="M152" s="8"/>
      <c r="N152" s="8"/>
      <c r="O152" s="8"/>
      <c r="P152" s="59"/>
      <c r="Q152" s="66"/>
    </row>
    <row r="153" spans="1:17" ht="16.5" thickBot="1">
      <c r="A153" s="18"/>
      <c r="B153" s="55"/>
      <c r="C153" s="56"/>
      <c r="D153" s="74"/>
      <c r="E153" s="56"/>
      <c r="F153" s="57"/>
      <c r="G153" s="19">
        <f t="shared" ref="G153" si="28">SUM(G151:G152)</f>
        <v>21249500</v>
      </c>
      <c r="H153" s="19">
        <f t="shared" ref="H153:O153" si="29">SUM(H151:H152)</f>
        <v>0</v>
      </c>
      <c r="I153" s="19">
        <f t="shared" si="29"/>
        <v>531238</v>
      </c>
      <c r="J153" s="19">
        <f t="shared" si="29"/>
        <v>953917</v>
      </c>
      <c r="K153" s="19">
        <f t="shared" si="29"/>
        <v>500000</v>
      </c>
      <c r="L153" s="19">
        <f t="shared" si="29"/>
        <v>200000</v>
      </c>
      <c r="M153" s="19">
        <f t="shared" si="29"/>
        <v>23434655</v>
      </c>
      <c r="N153" s="19">
        <f t="shared" si="29"/>
        <v>56565345</v>
      </c>
      <c r="O153" s="19">
        <f t="shared" si="29"/>
        <v>80000000</v>
      </c>
      <c r="P153" s="68"/>
      <c r="Q153" s="70"/>
    </row>
    <row r="154" spans="1:17" ht="16.5" thickTop="1">
      <c r="A154" s="23"/>
      <c r="B154" s="22"/>
      <c r="C154" s="22"/>
      <c r="D154" s="23"/>
      <c r="E154" s="22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2"/>
      <c r="Q154" s="69"/>
    </row>
    <row r="155" spans="1:17" ht="15.75">
      <c r="A155" s="23"/>
      <c r="B155" s="28" t="s">
        <v>264</v>
      </c>
      <c r="C155" s="22"/>
      <c r="D155" s="39"/>
      <c r="F155" s="27"/>
      <c r="G155" s="28"/>
      <c r="H155" s="28"/>
      <c r="I155" s="28"/>
      <c r="J155" s="28"/>
      <c r="K155" s="28"/>
      <c r="L155" s="28"/>
      <c r="Q155" s="51"/>
    </row>
    <row r="156" spans="1:17" ht="15.75">
      <c r="A156" s="38"/>
      <c r="B156" s="40" t="s">
        <v>32</v>
      </c>
      <c r="C156" s="28" t="s">
        <v>28</v>
      </c>
      <c r="D156" s="39"/>
      <c r="F156" s="41"/>
      <c r="G156" s="143" t="s">
        <v>26</v>
      </c>
      <c r="H156" s="143"/>
      <c r="I156" s="143"/>
      <c r="K156" s="41"/>
    </row>
    <row r="157" spans="1:17" ht="15.75">
      <c r="A157" s="38"/>
      <c r="B157" s="40"/>
      <c r="C157" s="28"/>
      <c r="D157" s="39"/>
      <c r="F157" s="28"/>
      <c r="G157" s="28"/>
      <c r="H157" s="28"/>
      <c r="I157" s="28"/>
      <c r="J157" s="28"/>
      <c r="K157" s="28"/>
      <c r="L157" s="28"/>
    </row>
    <row r="158" spans="1:17" ht="15.75">
      <c r="A158" s="38"/>
      <c r="B158" s="40"/>
      <c r="C158" s="28"/>
      <c r="D158" s="39"/>
      <c r="F158" s="28"/>
      <c r="G158" s="28"/>
      <c r="H158" s="28"/>
      <c r="I158" s="28"/>
      <c r="J158" s="28"/>
      <c r="K158" s="28"/>
      <c r="L158" s="28"/>
    </row>
    <row r="159" spans="1:17" ht="15.75">
      <c r="A159" s="38"/>
      <c r="B159" s="40"/>
      <c r="C159" s="28"/>
      <c r="D159" s="39"/>
      <c r="F159" s="28"/>
      <c r="G159" s="28"/>
      <c r="H159" s="28"/>
      <c r="I159" s="28"/>
      <c r="J159" s="28"/>
      <c r="K159" s="28"/>
    </row>
    <row r="160" spans="1:17" ht="15.75">
      <c r="A160" s="38"/>
      <c r="B160" s="40"/>
      <c r="C160" s="28"/>
      <c r="D160" s="39"/>
      <c r="F160" s="28"/>
      <c r="G160" s="28"/>
      <c r="H160" s="28"/>
      <c r="I160" s="28"/>
      <c r="J160" s="28"/>
      <c r="K160" s="28"/>
      <c r="L160" s="28"/>
    </row>
    <row r="161" spans="1:17" ht="15.75">
      <c r="A161" s="38" t="s">
        <v>23</v>
      </c>
      <c r="B161" s="42" t="s">
        <v>27</v>
      </c>
      <c r="C161" s="43" t="s">
        <v>24</v>
      </c>
      <c r="D161" s="39"/>
      <c r="F161" s="29"/>
      <c r="G161" s="29" t="s">
        <v>16</v>
      </c>
      <c r="H161" s="29"/>
      <c r="I161" s="29" t="s">
        <v>30</v>
      </c>
    </row>
    <row r="162" spans="1:17" ht="15.75">
      <c r="A162" s="38"/>
      <c r="B162" s="44" t="s">
        <v>31</v>
      </c>
      <c r="C162" s="45" t="s">
        <v>20</v>
      </c>
      <c r="D162" s="39"/>
      <c r="F162" s="46"/>
      <c r="G162" s="46" t="s">
        <v>17</v>
      </c>
      <c r="H162" s="46"/>
      <c r="I162" s="46" t="s">
        <v>25</v>
      </c>
    </row>
    <row r="164" spans="1:17" ht="15.75">
      <c r="A164" s="21" t="s">
        <v>0</v>
      </c>
      <c r="B164" s="22"/>
      <c r="C164" s="23"/>
      <c r="D164" s="23"/>
      <c r="E164" s="23"/>
      <c r="F164" s="24"/>
      <c r="G164" s="24"/>
      <c r="H164" s="24"/>
      <c r="I164" s="24"/>
      <c r="J164" s="24"/>
      <c r="K164" s="24"/>
      <c r="L164" s="25"/>
    </row>
    <row r="165" spans="1:17" ht="15.75">
      <c r="A165" s="26" t="s">
        <v>265</v>
      </c>
      <c r="B165" s="21"/>
      <c r="C165" s="21"/>
      <c r="D165" s="21"/>
      <c r="E165" s="21"/>
      <c r="F165" s="24"/>
      <c r="G165" s="24"/>
      <c r="H165" s="24"/>
      <c r="I165" s="24"/>
      <c r="J165" s="24"/>
      <c r="K165" s="24"/>
      <c r="L165" s="25"/>
    </row>
    <row r="166" spans="1:17" ht="15.75">
      <c r="A166" s="62"/>
      <c r="B166" s="62" t="s">
        <v>1</v>
      </c>
      <c r="C166" s="93" t="s">
        <v>2</v>
      </c>
      <c r="D166" s="94" t="s">
        <v>34</v>
      </c>
      <c r="E166" s="95" t="s">
        <v>3</v>
      </c>
      <c r="F166" s="93" t="s">
        <v>4</v>
      </c>
      <c r="G166" s="96" t="s">
        <v>18</v>
      </c>
      <c r="H166" s="96" t="s">
        <v>18</v>
      </c>
      <c r="I166" s="97" t="s">
        <v>7</v>
      </c>
      <c r="J166" s="96" t="s">
        <v>6</v>
      </c>
      <c r="K166" s="96" t="s">
        <v>29</v>
      </c>
      <c r="L166" s="96" t="s">
        <v>21</v>
      </c>
      <c r="M166" s="96" t="s">
        <v>8</v>
      </c>
      <c r="N166" s="96" t="s">
        <v>8</v>
      </c>
      <c r="O166" s="96" t="s">
        <v>9</v>
      </c>
      <c r="P166" s="62" t="s">
        <v>10</v>
      </c>
      <c r="Q166" s="98" t="s">
        <v>33</v>
      </c>
    </row>
    <row r="167" spans="1:17">
      <c r="A167" s="99"/>
      <c r="B167" s="99"/>
      <c r="C167" s="100"/>
      <c r="D167" s="101"/>
      <c r="E167" s="102"/>
      <c r="F167" s="100"/>
      <c r="G167" s="103" t="s">
        <v>11</v>
      </c>
      <c r="H167" s="103" t="s">
        <v>11</v>
      </c>
      <c r="I167" s="103" t="s">
        <v>19</v>
      </c>
      <c r="J167" s="103" t="s">
        <v>35</v>
      </c>
      <c r="K167" s="103" t="s">
        <v>22</v>
      </c>
      <c r="L167" s="103" t="s">
        <v>15</v>
      </c>
      <c r="M167" s="103" t="s">
        <v>13</v>
      </c>
      <c r="N167" s="103" t="s">
        <v>14</v>
      </c>
      <c r="O167" s="103" t="s">
        <v>12</v>
      </c>
      <c r="P167" s="99"/>
      <c r="Q167" s="104"/>
    </row>
    <row r="168" spans="1:17">
      <c r="A168" s="99"/>
      <c r="B168" s="99"/>
      <c r="C168" s="105"/>
      <c r="D168" s="101"/>
      <c r="E168" s="102"/>
      <c r="F168" s="100"/>
      <c r="G168" s="103" t="s">
        <v>41</v>
      </c>
      <c r="H168" s="103" t="s">
        <v>81</v>
      </c>
      <c r="I168" s="103" t="s">
        <v>5</v>
      </c>
      <c r="J168" s="103"/>
      <c r="K168" s="103"/>
      <c r="L168" s="103"/>
      <c r="M168" s="103"/>
      <c r="N168" s="103"/>
      <c r="O168" s="103"/>
      <c r="P168" s="99"/>
      <c r="Q168" s="104"/>
    </row>
    <row r="169" spans="1:17">
      <c r="A169" s="106"/>
      <c r="B169" s="106"/>
      <c r="C169" s="107"/>
      <c r="D169" s="108"/>
      <c r="E169" s="109"/>
      <c r="F169" s="110"/>
      <c r="G169" s="111"/>
      <c r="H169" s="112"/>
      <c r="I169" s="111"/>
      <c r="J169" s="111"/>
      <c r="K169" s="113"/>
      <c r="L169" s="108"/>
      <c r="M169" s="111"/>
      <c r="N169" s="111"/>
      <c r="O169" s="111"/>
      <c r="P169" s="106"/>
      <c r="Q169" s="114"/>
    </row>
    <row r="170" spans="1:17" ht="15.75">
      <c r="A170" s="52"/>
      <c r="B170" s="47"/>
      <c r="C170" s="48"/>
      <c r="D170" s="73"/>
      <c r="E170" s="17"/>
      <c r="F170" s="48"/>
      <c r="G170" s="36"/>
      <c r="H170" s="36"/>
      <c r="I170" s="36"/>
      <c r="J170" s="36"/>
      <c r="K170" s="8"/>
      <c r="M170" s="8"/>
      <c r="N170" s="8"/>
      <c r="O170" s="8"/>
      <c r="P170" s="35"/>
      <c r="Q170" s="37"/>
    </row>
    <row r="171" spans="1:17" ht="15.75">
      <c r="A171" s="52">
        <v>1</v>
      </c>
      <c r="B171" s="116" t="s">
        <v>266</v>
      </c>
      <c r="C171" s="48" t="s">
        <v>267</v>
      </c>
      <c r="D171" s="67" t="s">
        <v>268</v>
      </c>
      <c r="E171" s="17">
        <v>43173</v>
      </c>
      <c r="F171" s="20" t="s">
        <v>269</v>
      </c>
      <c r="G171" s="36">
        <v>31943000</v>
      </c>
      <c r="H171" s="36">
        <v>0</v>
      </c>
      <c r="I171" s="8">
        <v>798575</v>
      </c>
      <c r="J171" s="8">
        <v>459677</v>
      </c>
      <c r="K171" s="8">
        <v>180570</v>
      </c>
      <c r="L171" s="8">
        <v>200000</v>
      </c>
      <c r="M171" s="8">
        <f>SUM(G171:L171)</f>
        <v>33581822</v>
      </c>
      <c r="N171" s="8">
        <f>50000000-M171</f>
        <v>16418178</v>
      </c>
      <c r="O171" s="8">
        <f t="shared" ref="O171" si="30">+M171+N171</f>
        <v>50000000</v>
      </c>
      <c r="P171" s="77" t="s">
        <v>270</v>
      </c>
      <c r="Q171" s="60" t="s">
        <v>52</v>
      </c>
    </row>
    <row r="172" spans="1:17" ht="15.75">
      <c r="A172" s="52">
        <v>2</v>
      </c>
      <c r="B172" s="116" t="s">
        <v>272</v>
      </c>
      <c r="C172" s="48" t="s">
        <v>273</v>
      </c>
      <c r="D172" s="67" t="s">
        <v>274</v>
      </c>
      <c r="E172" s="17">
        <v>43173</v>
      </c>
      <c r="F172" s="20" t="s">
        <v>275</v>
      </c>
      <c r="G172" s="36">
        <v>21333000</v>
      </c>
      <c r="H172" s="36">
        <v>0</v>
      </c>
      <c r="I172" s="8">
        <v>533325</v>
      </c>
      <c r="J172" s="8">
        <v>752074</v>
      </c>
      <c r="K172" s="8">
        <v>200000</v>
      </c>
      <c r="L172" s="8">
        <v>200000</v>
      </c>
      <c r="M172" s="8">
        <f>SUM(G172:L172)</f>
        <v>23018399</v>
      </c>
      <c r="N172" s="8">
        <f>50000000-M172</f>
        <v>26981601</v>
      </c>
      <c r="O172" s="8">
        <f t="shared" ref="O172" si="31">+M172+N172</f>
        <v>50000000</v>
      </c>
      <c r="P172" s="77" t="s">
        <v>124</v>
      </c>
      <c r="Q172" s="60" t="s">
        <v>52</v>
      </c>
    </row>
    <row r="173" spans="1:17" ht="15.75">
      <c r="A173" s="52"/>
      <c r="B173" s="51"/>
      <c r="C173" s="48"/>
      <c r="E173" s="17"/>
      <c r="F173" s="48"/>
      <c r="G173" s="36"/>
      <c r="H173" s="36"/>
      <c r="I173" s="36"/>
      <c r="J173" s="36"/>
      <c r="K173" s="36"/>
      <c r="M173" s="8"/>
      <c r="N173" s="8"/>
      <c r="O173" s="8"/>
      <c r="P173" s="59"/>
      <c r="Q173" s="66"/>
    </row>
    <row r="174" spans="1:17" ht="16.5" thickBot="1">
      <c r="A174" s="18"/>
      <c r="B174" s="55"/>
      <c r="C174" s="56"/>
      <c r="D174" s="74"/>
      <c r="E174" s="56"/>
      <c r="F174" s="57"/>
      <c r="G174" s="19">
        <f t="shared" ref="G174" si="32">SUM(G171:G173)</f>
        <v>53276000</v>
      </c>
      <c r="H174" s="19">
        <f t="shared" ref="H174:O174" si="33">SUM(H171:H173)</f>
        <v>0</v>
      </c>
      <c r="I174" s="19">
        <f t="shared" si="33"/>
        <v>1331900</v>
      </c>
      <c r="J174" s="19">
        <f t="shared" si="33"/>
        <v>1211751</v>
      </c>
      <c r="K174" s="19">
        <f t="shared" si="33"/>
        <v>380570</v>
      </c>
      <c r="L174" s="19">
        <f t="shared" si="33"/>
        <v>400000</v>
      </c>
      <c r="M174" s="19">
        <f t="shared" si="33"/>
        <v>56600221</v>
      </c>
      <c r="N174" s="19">
        <f t="shared" si="33"/>
        <v>43399779</v>
      </c>
      <c r="O174" s="19">
        <f t="shared" si="33"/>
        <v>100000000</v>
      </c>
      <c r="P174" s="68"/>
      <c r="Q174" s="70"/>
    </row>
    <row r="175" spans="1:17" ht="16.5" thickTop="1">
      <c r="A175" s="23"/>
      <c r="B175" s="22"/>
      <c r="C175" s="22"/>
      <c r="D175" s="23"/>
      <c r="E175" s="22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2"/>
      <c r="Q175" s="69"/>
    </row>
    <row r="176" spans="1:17" ht="15.75">
      <c r="A176" s="23"/>
      <c r="B176" s="28" t="s">
        <v>271</v>
      </c>
      <c r="C176" s="22"/>
      <c r="D176" s="39"/>
      <c r="F176" s="27"/>
      <c r="G176" s="28"/>
      <c r="H176" s="28"/>
      <c r="I176" s="28"/>
      <c r="J176" s="28"/>
      <c r="K176" s="28"/>
      <c r="L176" s="28"/>
      <c r="Q176" s="51"/>
    </row>
    <row r="177" spans="1:17" ht="15.75">
      <c r="A177" s="38"/>
      <c r="B177" s="40" t="s">
        <v>32</v>
      </c>
      <c r="C177" s="28" t="s">
        <v>28</v>
      </c>
      <c r="D177" s="39"/>
      <c r="F177" s="41"/>
      <c r="G177" s="143" t="s">
        <v>26</v>
      </c>
      <c r="H177" s="143"/>
      <c r="I177" s="143"/>
      <c r="K177" s="41"/>
    </row>
    <row r="178" spans="1:17" ht="15.75">
      <c r="A178" s="38"/>
      <c r="B178" s="40"/>
      <c r="C178" s="28"/>
      <c r="D178" s="39"/>
      <c r="F178" s="28"/>
      <c r="G178" s="28"/>
      <c r="H178" s="28"/>
      <c r="I178" s="28"/>
      <c r="J178" s="28"/>
      <c r="K178" s="28"/>
      <c r="L178" s="28"/>
    </row>
    <row r="179" spans="1:17" ht="15.75">
      <c r="A179" s="38"/>
      <c r="B179" s="40"/>
      <c r="C179" s="28"/>
      <c r="D179" s="39"/>
      <c r="F179" s="28"/>
      <c r="G179" s="28"/>
      <c r="H179" s="28"/>
      <c r="I179" s="28"/>
      <c r="J179" s="28"/>
      <c r="K179" s="28"/>
      <c r="L179" s="28"/>
    </row>
    <row r="180" spans="1:17" ht="15.75">
      <c r="A180" s="38"/>
      <c r="B180" s="40"/>
      <c r="C180" s="28"/>
      <c r="D180" s="39"/>
      <c r="F180" s="28"/>
      <c r="G180" s="28"/>
      <c r="H180" s="28"/>
      <c r="I180" s="28"/>
      <c r="J180" s="28"/>
      <c r="K180" s="28"/>
    </row>
    <row r="181" spans="1:17" ht="15.75">
      <c r="A181" s="38"/>
      <c r="B181" s="40"/>
      <c r="C181" s="28"/>
      <c r="D181" s="39"/>
      <c r="F181" s="28"/>
      <c r="G181" s="28"/>
      <c r="H181" s="28"/>
      <c r="I181" s="28"/>
      <c r="J181" s="28"/>
      <c r="K181" s="28"/>
      <c r="L181" s="28"/>
    </row>
    <row r="182" spans="1:17" ht="15.75">
      <c r="A182" s="38" t="s">
        <v>23</v>
      </c>
      <c r="B182" s="42" t="s">
        <v>27</v>
      </c>
      <c r="C182" s="43" t="s">
        <v>24</v>
      </c>
      <c r="D182" s="39"/>
      <c r="F182" s="29"/>
      <c r="G182" s="29" t="s">
        <v>16</v>
      </c>
      <c r="H182" s="29"/>
      <c r="I182" s="29" t="s">
        <v>30</v>
      </c>
    </row>
    <row r="183" spans="1:17" ht="15.75">
      <c r="A183" s="38"/>
      <c r="B183" s="44" t="s">
        <v>31</v>
      </c>
      <c r="C183" s="45" t="s">
        <v>20</v>
      </c>
      <c r="D183" s="39"/>
      <c r="F183" s="46"/>
      <c r="G183" s="46" t="s">
        <v>17</v>
      </c>
      <c r="H183" s="46"/>
      <c r="I183" s="46" t="s">
        <v>25</v>
      </c>
    </row>
    <row r="184" spans="1:17">
      <c r="A184" s="118" t="s">
        <v>106</v>
      </c>
    </row>
    <row r="185" spans="1:17" ht="15.75">
      <c r="A185" s="21" t="s">
        <v>0</v>
      </c>
      <c r="B185" s="22"/>
      <c r="C185" s="23"/>
      <c r="D185" s="23"/>
      <c r="E185" s="23"/>
      <c r="F185" s="24"/>
      <c r="G185" s="24"/>
      <c r="H185" s="24"/>
      <c r="I185" s="24"/>
      <c r="J185" s="24"/>
      <c r="K185" s="24"/>
      <c r="L185" s="25"/>
    </row>
    <row r="186" spans="1:17" ht="15.75">
      <c r="A186" s="26" t="s">
        <v>276</v>
      </c>
      <c r="B186" s="21"/>
      <c r="C186" s="21"/>
      <c r="D186" s="21"/>
      <c r="E186" s="21"/>
      <c r="F186" s="24"/>
      <c r="G186" s="24"/>
      <c r="H186" s="24"/>
      <c r="I186" s="24"/>
      <c r="J186" s="24"/>
      <c r="K186" s="24"/>
      <c r="L186" s="25"/>
    </row>
    <row r="187" spans="1:17">
      <c r="A187" s="62"/>
      <c r="B187" s="62" t="s">
        <v>1</v>
      </c>
      <c r="C187" s="93" t="s">
        <v>2</v>
      </c>
      <c r="D187" s="117" t="s">
        <v>34</v>
      </c>
      <c r="E187" s="95" t="s">
        <v>3</v>
      </c>
      <c r="F187" s="93" t="s">
        <v>4</v>
      </c>
      <c r="G187" s="96" t="s">
        <v>18</v>
      </c>
      <c r="H187" s="96" t="s">
        <v>18</v>
      </c>
      <c r="I187" s="97" t="s">
        <v>7</v>
      </c>
      <c r="J187" s="96" t="s">
        <v>6</v>
      </c>
      <c r="K187" s="96" t="s">
        <v>29</v>
      </c>
      <c r="L187" s="96" t="s">
        <v>21</v>
      </c>
      <c r="M187" s="96" t="s">
        <v>8</v>
      </c>
      <c r="N187" s="96" t="s">
        <v>8</v>
      </c>
      <c r="O187" s="96" t="s">
        <v>9</v>
      </c>
      <c r="P187" s="62" t="s">
        <v>10</v>
      </c>
      <c r="Q187" s="98" t="s">
        <v>33</v>
      </c>
    </row>
    <row r="188" spans="1:17">
      <c r="A188" s="99"/>
      <c r="B188" s="99"/>
      <c r="C188" s="100"/>
      <c r="D188" s="101"/>
      <c r="E188" s="102"/>
      <c r="F188" s="100"/>
      <c r="G188" s="103" t="s">
        <v>11</v>
      </c>
      <c r="H188" s="103" t="s">
        <v>11</v>
      </c>
      <c r="I188" s="103" t="s">
        <v>19</v>
      </c>
      <c r="J188" s="103" t="s">
        <v>35</v>
      </c>
      <c r="K188" s="103" t="s">
        <v>22</v>
      </c>
      <c r="L188" s="103" t="s">
        <v>15</v>
      </c>
      <c r="M188" s="103" t="s">
        <v>13</v>
      </c>
      <c r="N188" s="103" t="s">
        <v>14</v>
      </c>
      <c r="O188" s="103" t="s">
        <v>12</v>
      </c>
      <c r="P188" s="99"/>
      <c r="Q188" s="104"/>
    </row>
    <row r="189" spans="1:17">
      <c r="A189" s="99"/>
      <c r="B189" s="99"/>
      <c r="C189" s="105"/>
      <c r="D189" s="101"/>
      <c r="E189" s="102"/>
      <c r="F189" s="100"/>
      <c r="G189" s="103" t="s">
        <v>41</v>
      </c>
      <c r="H189" s="103" t="s">
        <v>81</v>
      </c>
      <c r="I189" s="103" t="s">
        <v>5</v>
      </c>
      <c r="J189" s="103"/>
      <c r="K189" s="103"/>
      <c r="L189" s="103"/>
      <c r="M189" s="103"/>
      <c r="N189" s="103"/>
      <c r="O189" s="103"/>
      <c r="P189" s="99"/>
      <c r="Q189" s="104"/>
    </row>
    <row r="190" spans="1:17">
      <c r="A190" s="106"/>
      <c r="B190" s="106"/>
      <c r="C190" s="107"/>
      <c r="D190" s="108"/>
      <c r="E190" s="109"/>
      <c r="F190" s="110"/>
      <c r="G190" s="111"/>
      <c r="H190" s="112"/>
      <c r="I190" s="111"/>
      <c r="J190" s="111"/>
      <c r="K190" s="113"/>
      <c r="L190" s="108"/>
      <c r="M190" s="111"/>
      <c r="N190" s="111"/>
      <c r="O190" s="111"/>
      <c r="P190" s="106"/>
      <c r="Q190" s="114"/>
    </row>
    <row r="191" spans="1:17" ht="15.75">
      <c r="A191" s="52"/>
      <c r="B191" s="47"/>
      <c r="C191" s="48"/>
      <c r="D191" s="73"/>
      <c r="E191" s="17"/>
      <c r="F191" s="48"/>
      <c r="G191" s="36"/>
      <c r="H191" s="36"/>
      <c r="I191" s="36"/>
      <c r="J191" s="36"/>
      <c r="K191" s="8"/>
      <c r="M191" s="8"/>
      <c r="N191" s="8"/>
      <c r="O191" s="8"/>
      <c r="P191" s="35"/>
      <c r="Q191" s="37"/>
    </row>
    <row r="192" spans="1:17" ht="15.75">
      <c r="A192" s="52">
        <v>1</v>
      </c>
      <c r="B192" s="51" t="s">
        <v>277</v>
      </c>
      <c r="C192" s="48" t="s">
        <v>278</v>
      </c>
      <c r="D192" s="67" t="s">
        <v>279</v>
      </c>
      <c r="E192" s="17">
        <v>43182</v>
      </c>
      <c r="F192" s="20" t="s">
        <v>280</v>
      </c>
      <c r="G192" s="36">
        <v>29011219</v>
      </c>
      <c r="H192" s="36">
        <v>0</v>
      </c>
      <c r="I192" s="8">
        <v>725280</v>
      </c>
      <c r="J192" s="8">
        <v>0</v>
      </c>
      <c r="K192" s="8">
        <v>490112</v>
      </c>
      <c r="L192" s="8">
        <v>200000</v>
      </c>
      <c r="M192" s="8">
        <f>SUM(G192:L192)</f>
        <v>30426611</v>
      </c>
      <c r="N192" s="8">
        <f>80426611-M192</f>
        <v>50000000</v>
      </c>
      <c r="O192" s="8">
        <f t="shared" ref="O192" si="34">+M192+N192</f>
        <v>80426611</v>
      </c>
      <c r="P192" s="35" t="s">
        <v>73</v>
      </c>
      <c r="Q192" s="60" t="s">
        <v>52</v>
      </c>
    </row>
    <row r="193" spans="1:17" ht="15.75">
      <c r="A193" s="52"/>
      <c r="B193" s="51"/>
      <c r="C193" s="48"/>
      <c r="E193" s="17"/>
      <c r="F193" s="48"/>
      <c r="G193" s="36"/>
      <c r="H193" s="36"/>
      <c r="I193" s="36"/>
      <c r="J193" s="36"/>
      <c r="K193" s="36"/>
      <c r="M193" s="8"/>
      <c r="N193" s="8"/>
      <c r="O193" s="8"/>
      <c r="P193" s="59"/>
      <c r="Q193" s="66"/>
    </row>
    <row r="194" spans="1:17" ht="16.5" thickBot="1">
      <c r="A194" s="18"/>
      <c r="B194" s="55"/>
      <c r="C194" s="56"/>
      <c r="D194" s="74"/>
      <c r="E194" s="56"/>
      <c r="F194" s="57"/>
      <c r="G194" s="19">
        <f t="shared" ref="G194:O194" si="35">SUM(G192:G193)</f>
        <v>29011219</v>
      </c>
      <c r="H194" s="19">
        <f t="shared" si="35"/>
        <v>0</v>
      </c>
      <c r="I194" s="19">
        <f t="shared" si="35"/>
        <v>725280</v>
      </c>
      <c r="J194" s="19">
        <f t="shared" si="35"/>
        <v>0</v>
      </c>
      <c r="K194" s="19">
        <f t="shared" si="35"/>
        <v>490112</v>
      </c>
      <c r="L194" s="19">
        <f t="shared" si="35"/>
        <v>200000</v>
      </c>
      <c r="M194" s="19">
        <f t="shared" si="35"/>
        <v>30426611</v>
      </c>
      <c r="N194" s="19">
        <f t="shared" si="35"/>
        <v>50000000</v>
      </c>
      <c r="O194" s="19">
        <f t="shared" si="35"/>
        <v>80426611</v>
      </c>
      <c r="P194" s="68"/>
      <c r="Q194" s="70"/>
    </row>
    <row r="195" spans="1:17" ht="16.5" thickTop="1">
      <c r="A195" s="23"/>
      <c r="B195" s="22"/>
      <c r="C195" s="22"/>
      <c r="D195" s="23"/>
      <c r="E195" s="22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2"/>
      <c r="Q195" s="69"/>
    </row>
    <row r="196" spans="1:17" ht="15.75">
      <c r="A196" s="23"/>
      <c r="B196" s="28" t="s">
        <v>281</v>
      </c>
      <c r="C196" s="22"/>
      <c r="D196" s="39"/>
      <c r="F196" s="27"/>
      <c r="G196" s="28"/>
      <c r="H196" s="28"/>
      <c r="I196" s="28"/>
      <c r="J196" s="28"/>
      <c r="K196" s="28"/>
      <c r="L196" s="28"/>
      <c r="Q196" s="51"/>
    </row>
    <row r="197" spans="1:17" ht="15.75">
      <c r="A197" s="38"/>
      <c r="B197" s="40" t="s">
        <v>32</v>
      </c>
      <c r="C197" s="28" t="s">
        <v>28</v>
      </c>
      <c r="D197" s="39"/>
      <c r="F197" s="41"/>
      <c r="G197" s="143" t="s">
        <v>26</v>
      </c>
      <c r="H197" s="143"/>
      <c r="I197" s="143"/>
      <c r="K197" s="41"/>
    </row>
    <row r="198" spans="1:17" ht="15.75">
      <c r="A198" s="38"/>
      <c r="B198" s="40"/>
      <c r="C198" s="28"/>
      <c r="D198" s="39"/>
      <c r="F198" s="28"/>
      <c r="G198" s="28"/>
      <c r="H198" s="28"/>
      <c r="I198" s="28"/>
      <c r="J198" s="28"/>
      <c r="K198" s="28"/>
      <c r="L198" s="28"/>
    </row>
    <row r="199" spans="1:17" ht="15.75">
      <c r="A199" s="38"/>
      <c r="B199" s="40"/>
      <c r="C199" s="28"/>
      <c r="D199" s="39"/>
      <c r="F199" s="28"/>
      <c r="G199" s="28"/>
      <c r="H199" s="28"/>
      <c r="I199" s="28"/>
      <c r="J199" s="28"/>
      <c r="K199" s="28"/>
      <c r="L199" s="28"/>
    </row>
    <row r="200" spans="1:17" ht="15.75">
      <c r="A200" s="38"/>
      <c r="B200" s="40"/>
      <c r="C200" s="28"/>
      <c r="D200" s="39"/>
      <c r="F200" s="28"/>
      <c r="G200" s="28"/>
      <c r="H200" s="28"/>
      <c r="I200" s="28"/>
      <c r="J200" s="28"/>
      <c r="K200" s="28"/>
    </row>
    <row r="201" spans="1:17" ht="15.75">
      <c r="A201" s="38"/>
      <c r="B201" s="40"/>
      <c r="C201" s="28"/>
      <c r="D201" s="39"/>
      <c r="F201" s="28"/>
      <c r="G201" s="28"/>
      <c r="H201" s="28"/>
      <c r="I201" s="28"/>
      <c r="J201" s="28"/>
      <c r="K201" s="28"/>
      <c r="L201" s="28"/>
    </row>
    <row r="202" spans="1:17" ht="15.75">
      <c r="A202" s="38" t="s">
        <v>23</v>
      </c>
      <c r="B202" s="42" t="s">
        <v>27</v>
      </c>
      <c r="C202" s="43" t="s">
        <v>24</v>
      </c>
      <c r="D202" s="39"/>
      <c r="F202" s="29"/>
      <c r="G202" s="29" t="s">
        <v>16</v>
      </c>
      <c r="H202" s="29"/>
      <c r="I202" s="29" t="s">
        <v>30</v>
      </c>
    </row>
    <row r="203" spans="1:17" ht="15.75">
      <c r="A203" s="38"/>
      <c r="B203" s="44" t="s">
        <v>31</v>
      </c>
      <c r="C203" s="45" t="s">
        <v>20</v>
      </c>
      <c r="D203" s="39"/>
      <c r="F203" s="46"/>
      <c r="G203" s="46" t="s">
        <v>17</v>
      </c>
      <c r="H203" s="46"/>
      <c r="I203" s="46" t="s">
        <v>25</v>
      </c>
    </row>
    <row r="205" spans="1:17" ht="15.75">
      <c r="A205" s="21" t="s">
        <v>0</v>
      </c>
      <c r="B205" s="22"/>
      <c r="C205" s="23"/>
      <c r="D205" s="23"/>
      <c r="E205" s="23"/>
      <c r="F205" s="24"/>
      <c r="G205" s="24"/>
      <c r="H205" s="24"/>
      <c r="I205" s="24"/>
      <c r="J205" s="24"/>
      <c r="K205" s="24"/>
      <c r="L205" s="25"/>
    </row>
    <row r="206" spans="1:17" ht="15.75">
      <c r="A206" s="26" t="s">
        <v>276</v>
      </c>
      <c r="B206" s="21"/>
      <c r="C206" s="21"/>
      <c r="D206" s="21"/>
      <c r="E206" s="21"/>
      <c r="F206" s="24"/>
      <c r="G206" s="24"/>
      <c r="H206" s="24"/>
      <c r="I206" s="24"/>
      <c r="J206" s="24"/>
      <c r="K206" s="24"/>
      <c r="L206" s="25"/>
    </row>
    <row r="207" spans="1:17">
      <c r="A207" s="62"/>
      <c r="B207" s="62" t="s">
        <v>1</v>
      </c>
      <c r="C207" s="93" t="s">
        <v>2</v>
      </c>
      <c r="D207" s="117" t="s">
        <v>34</v>
      </c>
      <c r="E207" s="95" t="s">
        <v>3</v>
      </c>
      <c r="F207" s="93" t="s">
        <v>4</v>
      </c>
      <c r="G207" s="96" t="s">
        <v>18</v>
      </c>
      <c r="H207" s="96" t="s">
        <v>18</v>
      </c>
      <c r="I207" s="97" t="s">
        <v>7</v>
      </c>
      <c r="J207" s="96" t="s">
        <v>6</v>
      </c>
      <c r="K207" s="96" t="s">
        <v>29</v>
      </c>
      <c r="L207" s="96" t="s">
        <v>21</v>
      </c>
      <c r="M207" s="96" t="s">
        <v>8</v>
      </c>
      <c r="N207" s="96" t="s">
        <v>8</v>
      </c>
      <c r="O207" s="96" t="s">
        <v>9</v>
      </c>
      <c r="P207" s="62" t="s">
        <v>10</v>
      </c>
      <c r="Q207" s="98" t="s">
        <v>33</v>
      </c>
    </row>
    <row r="208" spans="1:17">
      <c r="A208" s="99"/>
      <c r="B208" s="99"/>
      <c r="C208" s="100"/>
      <c r="D208" s="101"/>
      <c r="E208" s="102"/>
      <c r="F208" s="100"/>
      <c r="G208" s="103" t="s">
        <v>11</v>
      </c>
      <c r="H208" s="103" t="s">
        <v>11</v>
      </c>
      <c r="I208" s="103" t="s">
        <v>19</v>
      </c>
      <c r="J208" s="103" t="s">
        <v>35</v>
      </c>
      <c r="K208" s="103" t="s">
        <v>22</v>
      </c>
      <c r="L208" s="103" t="s">
        <v>15</v>
      </c>
      <c r="M208" s="103" t="s">
        <v>13</v>
      </c>
      <c r="N208" s="103" t="s">
        <v>14</v>
      </c>
      <c r="O208" s="103" t="s">
        <v>12</v>
      </c>
      <c r="P208" s="99"/>
      <c r="Q208" s="104"/>
    </row>
    <row r="209" spans="1:17">
      <c r="A209" s="99"/>
      <c r="B209" s="99"/>
      <c r="C209" s="105"/>
      <c r="D209" s="101"/>
      <c r="E209" s="102"/>
      <c r="F209" s="100"/>
      <c r="G209" s="103" t="s">
        <v>22</v>
      </c>
      <c r="H209" s="103" t="s">
        <v>81</v>
      </c>
      <c r="I209" s="103" t="s">
        <v>5</v>
      </c>
      <c r="J209" s="103"/>
      <c r="K209" s="103"/>
      <c r="L209" s="103"/>
      <c r="M209" s="103"/>
      <c r="N209" s="103"/>
      <c r="O209" s="103"/>
      <c r="P209" s="99"/>
      <c r="Q209" s="104"/>
    </row>
    <row r="210" spans="1:17">
      <c r="A210" s="106"/>
      <c r="B210" s="106"/>
      <c r="C210" s="107"/>
      <c r="D210" s="108"/>
      <c r="E210" s="109"/>
      <c r="F210" s="110"/>
      <c r="G210" s="111"/>
      <c r="H210" s="112"/>
      <c r="I210" s="111"/>
      <c r="J210" s="111"/>
      <c r="K210" s="113"/>
      <c r="L210" s="108"/>
      <c r="M210" s="111"/>
      <c r="N210" s="111"/>
      <c r="O210" s="111"/>
      <c r="P210" s="106"/>
      <c r="Q210" s="114"/>
    </row>
    <row r="211" spans="1:17" ht="15.75">
      <c r="A211" s="52"/>
      <c r="B211" s="47"/>
      <c r="C211" s="48"/>
      <c r="D211" s="73"/>
      <c r="E211" s="17"/>
      <c r="F211" s="48"/>
      <c r="G211" s="36"/>
      <c r="H211" s="36"/>
      <c r="I211" s="36"/>
      <c r="J211" s="36"/>
      <c r="K211" s="8"/>
      <c r="M211" s="8"/>
      <c r="N211" s="8"/>
      <c r="O211" s="8"/>
      <c r="P211" s="35"/>
      <c r="Q211" s="37"/>
    </row>
    <row r="212" spans="1:17" ht="15.75">
      <c r="A212" s="52">
        <v>1</v>
      </c>
      <c r="B212" s="51" t="s">
        <v>288</v>
      </c>
      <c r="C212" s="48" t="s">
        <v>289</v>
      </c>
      <c r="D212" s="67" t="s">
        <v>290</v>
      </c>
      <c r="E212" s="17">
        <v>43182</v>
      </c>
      <c r="F212" s="20" t="s">
        <v>291</v>
      </c>
      <c r="G212" s="36">
        <v>77600000</v>
      </c>
      <c r="H212" s="36">
        <v>0</v>
      </c>
      <c r="I212" s="8">
        <v>1940000</v>
      </c>
      <c r="J212" s="8">
        <v>0</v>
      </c>
      <c r="K212" s="8">
        <v>2224000</v>
      </c>
      <c r="L212" s="8">
        <v>200000</v>
      </c>
      <c r="M212" s="8">
        <f>SUM(G212:L212)</f>
        <v>81964000</v>
      </c>
      <c r="N212" s="8">
        <f>300000000-M212</f>
        <v>218036000</v>
      </c>
      <c r="O212" s="8">
        <f t="shared" ref="O212" si="36">+M212+N212</f>
        <v>300000000</v>
      </c>
      <c r="P212" s="77" t="s">
        <v>292</v>
      </c>
      <c r="Q212" s="60" t="s">
        <v>52</v>
      </c>
    </row>
    <row r="213" spans="1:17" ht="15.75">
      <c r="A213" s="52"/>
      <c r="B213" s="51"/>
      <c r="C213" s="48"/>
      <c r="E213" s="17"/>
      <c r="F213" s="48"/>
      <c r="G213" s="36"/>
      <c r="H213" s="36"/>
      <c r="I213" s="36"/>
      <c r="J213" s="36"/>
      <c r="K213" s="36"/>
      <c r="M213" s="8"/>
      <c r="N213" s="8"/>
      <c r="O213" s="8"/>
      <c r="P213" s="59"/>
      <c r="Q213" s="66"/>
    </row>
    <row r="214" spans="1:17" ht="16.5" thickBot="1">
      <c r="A214" s="18"/>
      <c r="B214" s="55"/>
      <c r="C214" s="56"/>
      <c r="D214" s="74"/>
      <c r="E214" s="56"/>
      <c r="F214" s="57"/>
      <c r="G214" s="19">
        <f t="shared" ref="G214:O214" si="37">SUM(G212:G213)</f>
        <v>77600000</v>
      </c>
      <c r="H214" s="19">
        <f t="shared" si="37"/>
        <v>0</v>
      </c>
      <c r="I214" s="19">
        <f t="shared" si="37"/>
        <v>1940000</v>
      </c>
      <c r="J214" s="19">
        <f t="shared" si="37"/>
        <v>0</v>
      </c>
      <c r="K214" s="19">
        <f t="shared" si="37"/>
        <v>2224000</v>
      </c>
      <c r="L214" s="19">
        <f t="shared" si="37"/>
        <v>200000</v>
      </c>
      <c r="M214" s="19">
        <f t="shared" si="37"/>
        <v>81964000</v>
      </c>
      <c r="N214" s="19">
        <f t="shared" si="37"/>
        <v>218036000</v>
      </c>
      <c r="O214" s="19">
        <f t="shared" si="37"/>
        <v>300000000</v>
      </c>
      <c r="P214" s="68"/>
      <c r="Q214" s="70"/>
    </row>
    <row r="215" spans="1:17" ht="16.5" thickTop="1">
      <c r="A215" s="23"/>
      <c r="B215" s="22"/>
      <c r="C215" s="22"/>
      <c r="D215" s="23"/>
      <c r="E215" s="22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2"/>
      <c r="Q215" s="69"/>
    </row>
    <row r="216" spans="1:17" ht="15.75">
      <c r="A216" s="23"/>
      <c r="B216" s="28" t="s">
        <v>281</v>
      </c>
      <c r="C216" s="22"/>
      <c r="D216" s="39"/>
      <c r="F216" s="27"/>
      <c r="G216" s="28"/>
      <c r="H216" s="28"/>
      <c r="I216" s="28"/>
      <c r="J216" s="28"/>
      <c r="K216" s="28"/>
      <c r="L216" s="28"/>
      <c r="Q216" s="51"/>
    </row>
    <row r="217" spans="1:17" ht="15.75">
      <c r="A217" s="38"/>
      <c r="B217" s="40" t="s">
        <v>32</v>
      </c>
      <c r="C217" s="28" t="s">
        <v>28</v>
      </c>
      <c r="D217" s="39"/>
      <c r="F217" s="41"/>
      <c r="G217" s="143" t="s">
        <v>26</v>
      </c>
      <c r="H217" s="143"/>
      <c r="I217" s="143"/>
      <c r="K217" s="41"/>
    </row>
    <row r="218" spans="1:17" ht="15.75">
      <c r="A218" s="38"/>
      <c r="B218" s="40"/>
      <c r="C218" s="28"/>
      <c r="D218" s="39"/>
      <c r="F218" s="28"/>
      <c r="G218" s="28"/>
      <c r="H218" s="28"/>
      <c r="I218" s="28"/>
      <c r="J218" s="28"/>
      <c r="K218" s="28"/>
      <c r="L218" s="28"/>
    </row>
    <row r="219" spans="1:17" ht="15.75">
      <c r="A219" s="38"/>
      <c r="B219" s="40"/>
      <c r="C219" s="28"/>
      <c r="D219" s="39"/>
      <c r="F219" s="28"/>
      <c r="G219" s="28"/>
      <c r="H219" s="28"/>
      <c r="I219" s="28"/>
      <c r="J219" s="28"/>
      <c r="K219" s="28"/>
      <c r="L219" s="28"/>
    </row>
    <row r="220" spans="1:17" ht="15.75">
      <c r="A220" s="38"/>
      <c r="B220" s="40"/>
      <c r="C220" s="28"/>
      <c r="D220" s="39"/>
      <c r="F220" s="28"/>
      <c r="G220" s="28"/>
      <c r="H220" s="28"/>
      <c r="I220" s="28"/>
      <c r="J220" s="28"/>
      <c r="K220" s="28"/>
    </row>
    <row r="221" spans="1:17" ht="15.75">
      <c r="A221" s="38"/>
      <c r="B221" s="40"/>
      <c r="C221" s="28"/>
      <c r="D221" s="39"/>
      <c r="F221" s="28"/>
      <c r="G221" s="28"/>
      <c r="H221" s="28"/>
      <c r="I221" s="28"/>
      <c r="J221" s="28"/>
      <c r="K221" s="28"/>
      <c r="L221" s="28"/>
    </row>
    <row r="222" spans="1:17" ht="15.75">
      <c r="A222" s="38" t="s">
        <v>23</v>
      </c>
      <c r="B222" s="42" t="s">
        <v>27</v>
      </c>
      <c r="C222" s="43" t="s">
        <v>24</v>
      </c>
      <c r="D222" s="39"/>
      <c r="F222" s="29"/>
      <c r="G222" s="29" t="s">
        <v>16</v>
      </c>
      <c r="H222" s="29"/>
      <c r="I222" s="29" t="s">
        <v>30</v>
      </c>
    </row>
    <row r="223" spans="1:17" ht="15.75">
      <c r="A223" s="38"/>
      <c r="B223" s="44" t="s">
        <v>31</v>
      </c>
      <c r="C223" s="45" t="s">
        <v>20</v>
      </c>
      <c r="D223" s="39"/>
      <c r="F223" s="46"/>
      <c r="G223" s="46" t="s">
        <v>17</v>
      </c>
      <c r="H223" s="46"/>
      <c r="I223" s="46" t="s">
        <v>25</v>
      </c>
    </row>
    <row r="224" spans="1:17" ht="15.75">
      <c r="A224" s="38"/>
      <c r="B224" s="44"/>
      <c r="C224" s="45"/>
      <c r="D224" s="39"/>
      <c r="F224" s="46"/>
      <c r="G224" s="46"/>
      <c r="H224" s="46"/>
      <c r="I224" s="46"/>
    </row>
    <row r="225" spans="1:17" ht="15.75">
      <c r="A225" s="21" t="s">
        <v>0</v>
      </c>
      <c r="B225" s="22"/>
      <c r="C225" s="23"/>
      <c r="D225" s="23"/>
      <c r="E225" s="23"/>
      <c r="F225" s="24"/>
      <c r="G225" s="24"/>
      <c r="H225" s="24"/>
      <c r="I225" s="24"/>
      <c r="J225" s="24"/>
      <c r="K225" s="24"/>
      <c r="L225" s="25"/>
    </row>
    <row r="226" spans="1:17" ht="15.75">
      <c r="A226" s="26" t="s">
        <v>293</v>
      </c>
      <c r="B226" s="21"/>
      <c r="C226" s="21"/>
      <c r="D226" s="21"/>
      <c r="E226" s="21"/>
      <c r="F226" s="24"/>
      <c r="G226" s="24"/>
      <c r="H226" s="24"/>
      <c r="I226" s="24"/>
      <c r="J226" s="24"/>
      <c r="K226" s="24"/>
      <c r="L226" s="25"/>
    </row>
    <row r="227" spans="1:17">
      <c r="A227" s="62"/>
      <c r="B227" s="62" t="s">
        <v>1</v>
      </c>
      <c r="C227" s="93" t="s">
        <v>2</v>
      </c>
      <c r="D227" s="117" t="s">
        <v>34</v>
      </c>
      <c r="E227" s="95" t="s">
        <v>3</v>
      </c>
      <c r="F227" s="93" t="s">
        <v>4</v>
      </c>
      <c r="G227" s="96" t="s">
        <v>18</v>
      </c>
      <c r="H227" s="96" t="s">
        <v>18</v>
      </c>
      <c r="I227" s="97" t="s">
        <v>7</v>
      </c>
      <c r="J227" s="96" t="s">
        <v>6</v>
      </c>
      <c r="K227" s="96" t="s">
        <v>29</v>
      </c>
      <c r="L227" s="96" t="s">
        <v>21</v>
      </c>
      <c r="M227" s="96" t="s">
        <v>8</v>
      </c>
      <c r="N227" s="96" t="s">
        <v>8</v>
      </c>
      <c r="O227" s="96" t="s">
        <v>9</v>
      </c>
      <c r="P227" s="62" t="s">
        <v>10</v>
      </c>
      <c r="Q227" s="98" t="s">
        <v>33</v>
      </c>
    </row>
    <row r="228" spans="1:17">
      <c r="A228" s="99"/>
      <c r="B228" s="99"/>
      <c r="C228" s="100"/>
      <c r="D228" s="101"/>
      <c r="E228" s="102"/>
      <c r="F228" s="100"/>
      <c r="G228" s="103" t="s">
        <v>11</v>
      </c>
      <c r="H228" s="103" t="s">
        <v>11</v>
      </c>
      <c r="I228" s="103" t="s">
        <v>19</v>
      </c>
      <c r="J228" s="103" t="s">
        <v>35</v>
      </c>
      <c r="K228" s="103" t="s">
        <v>22</v>
      </c>
      <c r="L228" s="103" t="s">
        <v>15</v>
      </c>
      <c r="M228" s="103" t="s">
        <v>13</v>
      </c>
      <c r="N228" s="103" t="s">
        <v>14</v>
      </c>
      <c r="O228" s="103" t="s">
        <v>12</v>
      </c>
      <c r="P228" s="99"/>
      <c r="Q228" s="104"/>
    </row>
    <row r="229" spans="1:17">
      <c r="A229" s="99"/>
      <c r="B229" s="99"/>
      <c r="C229" s="105"/>
      <c r="D229" s="101"/>
      <c r="E229" s="102"/>
      <c r="F229" s="100"/>
      <c r="G229" s="103" t="s">
        <v>41</v>
      </c>
      <c r="H229" s="103" t="s">
        <v>81</v>
      </c>
      <c r="I229" s="103" t="s">
        <v>5</v>
      </c>
      <c r="J229" s="103"/>
      <c r="K229" s="103"/>
      <c r="L229" s="103"/>
      <c r="M229" s="103"/>
      <c r="N229" s="103"/>
      <c r="O229" s="103"/>
      <c r="P229" s="99"/>
      <c r="Q229" s="104"/>
    </row>
    <row r="230" spans="1:17">
      <c r="A230" s="106"/>
      <c r="B230" s="106"/>
      <c r="C230" s="107"/>
      <c r="D230" s="108"/>
      <c r="E230" s="109"/>
      <c r="F230" s="110"/>
      <c r="G230" s="111"/>
      <c r="H230" s="112"/>
      <c r="I230" s="111"/>
      <c r="J230" s="111"/>
      <c r="K230" s="113"/>
      <c r="L230" s="108"/>
      <c r="M230" s="111"/>
      <c r="N230" s="111"/>
      <c r="O230" s="111"/>
      <c r="P230" s="106"/>
      <c r="Q230" s="114"/>
    </row>
    <row r="231" spans="1:17" ht="15.75">
      <c r="A231" s="52"/>
      <c r="B231" s="47"/>
      <c r="C231" s="48"/>
      <c r="D231" s="73"/>
      <c r="E231" s="17"/>
      <c r="F231" s="48"/>
      <c r="G231" s="36"/>
      <c r="H231" s="36"/>
      <c r="I231" s="36"/>
      <c r="J231" s="36"/>
      <c r="K231" s="8"/>
      <c r="M231" s="8"/>
      <c r="N231" s="8"/>
      <c r="O231" s="8"/>
      <c r="P231" s="35"/>
      <c r="Q231" s="37"/>
    </row>
    <row r="232" spans="1:17" ht="15.75">
      <c r="A232" s="52">
        <v>1</v>
      </c>
      <c r="B232" s="51" t="s">
        <v>282</v>
      </c>
      <c r="C232" s="48" t="s">
        <v>283</v>
      </c>
      <c r="D232" s="67" t="s">
        <v>284</v>
      </c>
      <c r="E232" s="17">
        <v>43185</v>
      </c>
      <c r="F232" s="20" t="s">
        <v>285</v>
      </c>
      <c r="G232" s="36">
        <v>0</v>
      </c>
      <c r="H232" s="36">
        <v>0</v>
      </c>
      <c r="I232" s="8">
        <v>0</v>
      </c>
      <c r="J232" s="8">
        <v>0</v>
      </c>
      <c r="K232" s="8">
        <v>200000</v>
      </c>
      <c r="L232" s="8">
        <v>200000</v>
      </c>
      <c r="M232" s="8">
        <f>SUM(G232:L232)</f>
        <v>400000</v>
      </c>
      <c r="N232" s="8">
        <f>50000000-M232</f>
        <v>49600000</v>
      </c>
      <c r="O232" s="8">
        <f t="shared" ref="O232" si="38">+M232+N232</f>
        <v>50000000</v>
      </c>
      <c r="P232" s="77" t="s">
        <v>286</v>
      </c>
      <c r="Q232" s="60" t="s">
        <v>58</v>
      </c>
    </row>
    <row r="233" spans="1:17" ht="15.75">
      <c r="A233" s="52"/>
      <c r="B233" s="51"/>
      <c r="C233" s="48"/>
      <c r="E233" s="17"/>
      <c r="F233" s="48"/>
      <c r="G233" s="36"/>
      <c r="H233" s="36"/>
      <c r="I233" s="36"/>
      <c r="J233" s="36"/>
      <c r="K233" s="36"/>
      <c r="M233" s="8"/>
      <c r="N233" s="8"/>
      <c r="O233" s="8"/>
      <c r="P233" s="59"/>
      <c r="Q233" s="66"/>
    </row>
    <row r="234" spans="1:17" ht="16.5" thickBot="1">
      <c r="A234" s="18"/>
      <c r="B234" s="55"/>
      <c r="C234" s="56"/>
      <c r="D234" s="74"/>
      <c r="E234" s="56"/>
      <c r="F234" s="57"/>
      <c r="G234" s="19">
        <f t="shared" ref="G234:O234" si="39">SUM(G232:G233)</f>
        <v>0</v>
      </c>
      <c r="H234" s="19">
        <f t="shared" si="39"/>
        <v>0</v>
      </c>
      <c r="I234" s="19">
        <f t="shared" si="39"/>
        <v>0</v>
      </c>
      <c r="J234" s="19">
        <f t="shared" si="39"/>
        <v>0</v>
      </c>
      <c r="K234" s="19">
        <f t="shared" si="39"/>
        <v>200000</v>
      </c>
      <c r="L234" s="19">
        <f t="shared" si="39"/>
        <v>200000</v>
      </c>
      <c r="M234" s="19">
        <f t="shared" si="39"/>
        <v>400000</v>
      </c>
      <c r="N234" s="19">
        <f t="shared" si="39"/>
        <v>49600000</v>
      </c>
      <c r="O234" s="19">
        <f t="shared" si="39"/>
        <v>50000000</v>
      </c>
      <c r="P234" s="68"/>
      <c r="Q234" s="70"/>
    </row>
    <row r="235" spans="1:17" ht="16.5" thickTop="1">
      <c r="A235" s="23"/>
      <c r="B235" s="22"/>
      <c r="C235" s="22"/>
      <c r="D235" s="23"/>
      <c r="E235" s="22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2"/>
      <c r="Q235" s="69"/>
    </row>
    <row r="236" spans="1:17" ht="15.75">
      <c r="A236" s="23"/>
      <c r="B236" s="28" t="s">
        <v>294</v>
      </c>
      <c r="C236" s="22"/>
      <c r="D236" s="39"/>
      <c r="F236" s="27"/>
      <c r="G236" s="28"/>
      <c r="H236" s="28"/>
      <c r="I236" s="28"/>
      <c r="J236" s="28"/>
      <c r="K236" s="28"/>
      <c r="L236" s="28"/>
      <c r="Q236" s="51"/>
    </row>
    <row r="237" spans="1:17" ht="15.75">
      <c r="A237" s="38"/>
      <c r="B237" s="40" t="s">
        <v>32</v>
      </c>
      <c r="C237" s="28" t="s">
        <v>28</v>
      </c>
      <c r="D237" s="39"/>
      <c r="F237" s="41"/>
      <c r="G237" s="143" t="s">
        <v>26</v>
      </c>
      <c r="H237" s="143"/>
      <c r="I237" s="143"/>
      <c r="K237" s="41"/>
    </row>
    <row r="238" spans="1:17" ht="15.75">
      <c r="A238" s="38"/>
      <c r="B238" s="40"/>
      <c r="C238" s="28"/>
      <c r="D238" s="39"/>
      <c r="F238" s="28"/>
      <c r="G238" s="28"/>
      <c r="H238" s="28"/>
      <c r="I238" s="28"/>
      <c r="J238" s="28"/>
      <c r="K238" s="28"/>
      <c r="L238" s="28"/>
    </row>
    <row r="239" spans="1:17" ht="15.75">
      <c r="A239" s="38"/>
      <c r="B239" s="40"/>
      <c r="C239" s="28"/>
      <c r="D239" s="39"/>
      <c r="F239" s="28"/>
      <c r="G239" s="28"/>
      <c r="H239" s="28"/>
      <c r="I239" s="28"/>
      <c r="J239" s="28"/>
      <c r="K239" s="28"/>
      <c r="L239" s="28"/>
    </row>
    <row r="240" spans="1:17" ht="15.75">
      <c r="A240" s="38"/>
      <c r="B240" s="40"/>
      <c r="C240" s="28"/>
      <c r="D240" s="39"/>
      <c r="F240" s="28"/>
      <c r="G240" s="28"/>
      <c r="H240" s="28"/>
      <c r="I240" s="28"/>
      <c r="J240" s="28"/>
      <c r="K240" s="28"/>
    </row>
    <row r="241" spans="1:17" ht="15.75">
      <c r="A241" s="38"/>
      <c r="B241" s="40"/>
      <c r="C241" s="28"/>
      <c r="D241" s="39"/>
      <c r="F241" s="28"/>
      <c r="G241" s="28"/>
      <c r="H241" s="28"/>
      <c r="I241" s="28"/>
      <c r="J241" s="28"/>
      <c r="K241" s="28"/>
      <c r="L241" s="28"/>
    </row>
    <row r="242" spans="1:17" ht="15.75">
      <c r="A242" s="38" t="s">
        <v>23</v>
      </c>
      <c r="B242" s="42" t="s">
        <v>27</v>
      </c>
      <c r="C242" s="43" t="s">
        <v>24</v>
      </c>
      <c r="D242" s="39"/>
      <c r="F242" s="29"/>
      <c r="G242" s="29" t="s">
        <v>16</v>
      </c>
      <c r="H242" s="29"/>
      <c r="I242" s="29" t="s">
        <v>30</v>
      </c>
    </row>
    <row r="243" spans="1:17" ht="15.75">
      <c r="A243" s="38"/>
      <c r="B243" s="44" t="s">
        <v>31</v>
      </c>
      <c r="C243" s="45" t="s">
        <v>20</v>
      </c>
      <c r="D243" s="39"/>
      <c r="F243" s="46"/>
      <c r="G243" s="46" t="s">
        <v>17</v>
      </c>
      <c r="H243" s="46"/>
      <c r="I243" s="46" t="s">
        <v>25</v>
      </c>
    </row>
    <row r="245" spans="1:17" ht="15.75">
      <c r="A245" s="21" t="s">
        <v>0</v>
      </c>
      <c r="B245" s="22"/>
      <c r="C245" s="23"/>
      <c r="D245" s="23"/>
      <c r="E245" s="23"/>
      <c r="F245" s="24"/>
      <c r="G245" s="24"/>
      <c r="H245" s="24"/>
      <c r="I245" s="24"/>
      <c r="J245" s="24"/>
      <c r="K245" s="24"/>
      <c r="L245" s="25"/>
    </row>
    <row r="246" spans="1:17" ht="15.75">
      <c r="A246" s="26" t="s">
        <v>293</v>
      </c>
      <c r="B246" s="21"/>
      <c r="C246" s="21"/>
      <c r="D246" s="21"/>
      <c r="E246" s="21"/>
      <c r="F246" s="24"/>
      <c r="G246" s="24"/>
      <c r="H246" s="24"/>
      <c r="I246" s="24"/>
      <c r="J246" s="24"/>
      <c r="K246" s="24"/>
      <c r="L246" s="25"/>
    </row>
    <row r="247" spans="1:17">
      <c r="A247" s="62"/>
      <c r="B247" s="62" t="s">
        <v>1</v>
      </c>
      <c r="C247" s="93" t="s">
        <v>2</v>
      </c>
      <c r="D247" s="117" t="s">
        <v>34</v>
      </c>
      <c r="E247" s="95" t="s">
        <v>3</v>
      </c>
      <c r="F247" s="93" t="s">
        <v>4</v>
      </c>
      <c r="G247" s="96" t="s">
        <v>18</v>
      </c>
      <c r="H247" s="96" t="s">
        <v>18</v>
      </c>
      <c r="I247" s="97" t="s">
        <v>7</v>
      </c>
      <c r="J247" s="96" t="s">
        <v>6</v>
      </c>
      <c r="K247" s="96" t="s">
        <v>29</v>
      </c>
      <c r="L247" s="96" t="s">
        <v>21</v>
      </c>
      <c r="M247" s="96" t="s">
        <v>8</v>
      </c>
      <c r="N247" s="96" t="s">
        <v>8</v>
      </c>
      <c r="O247" s="96" t="s">
        <v>9</v>
      </c>
      <c r="P247" s="62" t="s">
        <v>10</v>
      </c>
      <c r="Q247" s="98" t="s">
        <v>33</v>
      </c>
    </row>
    <row r="248" spans="1:17">
      <c r="A248" s="99"/>
      <c r="B248" s="99"/>
      <c r="C248" s="100"/>
      <c r="D248" s="101"/>
      <c r="E248" s="102"/>
      <c r="F248" s="100"/>
      <c r="G248" s="103" t="s">
        <v>11</v>
      </c>
      <c r="H248" s="103" t="s">
        <v>11</v>
      </c>
      <c r="I248" s="103" t="s">
        <v>19</v>
      </c>
      <c r="J248" s="103" t="s">
        <v>35</v>
      </c>
      <c r="K248" s="103" t="s">
        <v>22</v>
      </c>
      <c r="L248" s="103" t="s">
        <v>15</v>
      </c>
      <c r="M248" s="103" t="s">
        <v>13</v>
      </c>
      <c r="N248" s="103" t="s">
        <v>14</v>
      </c>
      <c r="O248" s="103" t="s">
        <v>12</v>
      </c>
      <c r="P248" s="99"/>
      <c r="Q248" s="104"/>
    </row>
    <row r="249" spans="1:17">
      <c r="A249" s="99"/>
      <c r="B249" s="99"/>
      <c r="C249" s="105"/>
      <c r="D249" s="101"/>
      <c r="E249" s="102"/>
      <c r="F249" s="100"/>
      <c r="G249" s="103" t="s">
        <v>22</v>
      </c>
      <c r="H249" s="103" t="s">
        <v>81</v>
      </c>
      <c r="I249" s="103" t="s">
        <v>5</v>
      </c>
      <c r="J249" s="103"/>
      <c r="K249" s="103"/>
      <c r="L249" s="103"/>
      <c r="M249" s="103"/>
      <c r="N249" s="103"/>
      <c r="O249" s="103"/>
      <c r="P249" s="99"/>
      <c r="Q249" s="104"/>
    </row>
    <row r="250" spans="1:17">
      <c r="A250" s="106"/>
      <c r="B250" s="106"/>
      <c r="C250" s="107"/>
      <c r="D250" s="108"/>
      <c r="E250" s="109"/>
      <c r="F250" s="110"/>
      <c r="G250" s="111"/>
      <c r="H250" s="112"/>
      <c r="I250" s="111"/>
      <c r="J250" s="111"/>
      <c r="K250" s="113"/>
      <c r="L250" s="108"/>
      <c r="M250" s="111"/>
      <c r="N250" s="111"/>
      <c r="O250" s="111"/>
      <c r="P250" s="106"/>
      <c r="Q250" s="114"/>
    </row>
    <row r="251" spans="1:17" ht="15.75">
      <c r="A251" s="52"/>
      <c r="B251" s="47"/>
      <c r="C251" s="48"/>
      <c r="D251" s="73"/>
      <c r="E251" s="17"/>
      <c r="F251" s="48"/>
      <c r="G251" s="36"/>
      <c r="H251" s="36"/>
      <c r="I251" s="36"/>
      <c r="J251" s="36"/>
      <c r="K251" s="8"/>
      <c r="M251" s="8"/>
      <c r="N251" s="8"/>
      <c r="O251" s="8"/>
      <c r="P251" s="35"/>
      <c r="Q251" s="37"/>
    </row>
    <row r="252" spans="1:17" ht="15.75">
      <c r="A252" s="52">
        <v>1</v>
      </c>
      <c r="B252" s="51" t="s">
        <v>295</v>
      </c>
      <c r="C252" s="48" t="s">
        <v>296</v>
      </c>
      <c r="D252" s="67" t="s">
        <v>297</v>
      </c>
      <c r="E252" s="17">
        <v>43185</v>
      </c>
      <c r="F252" s="20" t="s">
        <v>298</v>
      </c>
      <c r="G252" s="36">
        <v>50850000</v>
      </c>
      <c r="H252" s="36">
        <v>0</v>
      </c>
      <c r="I252" s="8">
        <v>1271250</v>
      </c>
      <c r="J252" s="8">
        <v>0</v>
      </c>
      <c r="K252" s="8">
        <v>391500</v>
      </c>
      <c r="L252" s="8">
        <v>200000</v>
      </c>
      <c r="M252" s="8">
        <f>SUM(G252:L252)</f>
        <v>52712750</v>
      </c>
      <c r="N252" s="8">
        <f>90000000-M252</f>
        <v>37287250</v>
      </c>
      <c r="O252" s="8">
        <f t="shared" ref="O252" si="40">+M252+N252</f>
        <v>90000000</v>
      </c>
      <c r="P252" s="77" t="s">
        <v>292</v>
      </c>
      <c r="Q252" s="60" t="s">
        <v>52</v>
      </c>
    </row>
    <row r="253" spans="1:17" ht="15.75">
      <c r="A253" s="52">
        <v>2</v>
      </c>
      <c r="B253" s="51" t="s">
        <v>299</v>
      </c>
      <c r="C253" s="48" t="s">
        <v>300</v>
      </c>
      <c r="D253" s="67" t="s">
        <v>301</v>
      </c>
      <c r="E253" s="17">
        <v>43185</v>
      </c>
      <c r="F253" s="20" t="s">
        <v>302</v>
      </c>
      <c r="G253" s="36">
        <v>42355000</v>
      </c>
      <c r="H253" s="36">
        <v>0</v>
      </c>
      <c r="I253" s="8">
        <v>1058875</v>
      </c>
      <c r="J253" s="8">
        <v>0</v>
      </c>
      <c r="K253" s="8">
        <v>576450</v>
      </c>
      <c r="L253" s="8">
        <v>200000</v>
      </c>
      <c r="M253" s="8">
        <f>SUM(G253:L253)</f>
        <v>44190325</v>
      </c>
      <c r="N253" s="8">
        <f>100000000-M253</f>
        <v>55809675</v>
      </c>
      <c r="O253" s="8">
        <f t="shared" ref="O253" si="41">+M253+N253</f>
        <v>100000000</v>
      </c>
      <c r="P253" s="77" t="s">
        <v>287</v>
      </c>
      <c r="Q253" s="60" t="s">
        <v>52</v>
      </c>
    </row>
    <row r="254" spans="1:17" ht="15.75">
      <c r="A254" s="52">
        <v>3</v>
      </c>
      <c r="B254" s="51" t="s">
        <v>303</v>
      </c>
      <c r="C254" s="48" t="s">
        <v>304</v>
      </c>
      <c r="D254" s="67" t="s">
        <v>305</v>
      </c>
      <c r="E254" s="17">
        <v>43185</v>
      </c>
      <c r="F254" s="20" t="s">
        <v>306</v>
      </c>
      <c r="G254" s="36">
        <v>58000000</v>
      </c>
      <c r="H254" s="36">
        <v>0</v>
      </c>
      <c r="I254" s="8">
        <v>1450000</v>
      </c>
      <c r="J254" s="8">
        <v>0</v>
      </c>
      <c r="K254" s="8">
        <v>420000</v>
      </c>
      <c r="L254" s="8">
        <v>200000</v>
      </c>
      <c r="M254" s="8">
        <f>SUM(G254:L254)</f>
        <v>60070000</v>
      </c>
      <c r="N254" s="8">
        <f>100000000-M254</f>
        <v>39930000</v>
      </c>
      <c r="O254" s="8">
        <f t="shared" ref="O254" si="42">+M254+N254</f>
        <v>100000000</v>
      </c>
      <c r="P254" s="77" t="s">
        <v>292</v>
      </c>
      <c r="Q254" s="60" t="s">
        <v>52</v>
      </c>
    </row>
    <row r="255" spans="1:17" ht="15.75">
      <c r="A255" s="52"/>
      <c r="B255" s="51"/>
      <c r="C255" s="48"/>
      <c r="E255" s="17"/>
      <c r="F255" s="48"/>
      <c r="G255" s="36"/>
      <c r="H255" s="36"/>
      <c r="I255" s="36"/>
      <c r="J255" s="36"/>
      <c r="K255" s="36"/>
      <c r="M255" s="8"/>
      <c r="N255" s="8"/>
      <c r="O255" s="8"/>
      <c r="P255" s="59"/>
      <c r="Q255" s="66"/>
    </row>
    <row r="256" spans="1:17" ht="16.5" thickBot="1">
      <c r="A256" s="18"/>
      <c r="B256" s="55"/>
      <c r="C256" s="56"/>
      <c r="D256" s="74"/>
      <c r="E256" s="56"/>
      <c r="F256" s="57"/>
      <c r="G256" s="19">
        <f>SUM(G252:G255)</f>
        <v>151205000</v>
      </c>
      <c r="H256" s="19">
        <f t="shared" ref="H256:O256" si="43">SUM(H252:H255)</f>
        <v>0</v>
      </c>
      <c r="I256" s="19">
        <f t="shared" si="43"/>
        <v>3780125</v>
      </c>
      <c r="J256" s="19">
        <f t="shared" si="43"/>
        <v>0</v>
      </c>
      <c r="K256" s="19">
        <f t="shared" si="43"/>
        <v>1387950</v>
      </c>
      <c r="L256" s="19">
        <f t="shared" si="43"/>
        <v>600000</v>
      </c>
      <c r="M256" s="19">
        <f t="shared" si="43"/>
        <v>156973075</v>
      </c>
      <c r="N256" s="19">
        <f t="shared" si="43"/>
        <v>133026925</v>
      </c>
      <c r="O256" s="19">
        <f t="shared" si="43"/>
        <v>290000000</v>
      </c>
      <c r="P256" s="68"/>
      <c r="Q256" s="70"/>
    </row>
    <row r="257" spans="1:17" ht="16.5" thickTop="1">
      <c r="A257" s="23"/>
      <c r="B257" s="22"/>
      <c r="C257" s="22"/>
      <c r="D257" s="23"/>
      <c r="E257" s="22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2"/>
      <c r="Q257" s="69"/>
    </row>
    <row r="258" spans="1:17" ht="15.75">
      <c r="A258" s="23"/>
      <c r="B258" s="28" t="s">
        <v>294</v>
      </c>
      <c r="C258" s="22"/>
      <c r="D258" s="39"/>
      <c r="F258" s="27"/>
      <c r="G258" s="28"/>
      <c r="H258" s="28"/>
      <c r="I258" s="28"/>
      <c r="J258" s="28"/>
      <c r="K258" s="28"/>
      <c r="L258" s="28"/>
      <c r="Q258" s="51"/>
    </row>
    <row r="259" spans="1:17" ht="15.75">
      <c r="A259" s="38"/>
      <c r="B259" s="40" t="s">
        <v>32</v>
      </c>
      <c r="C259" s="28" t="s">
        <v>28</v>
      </c>
      <c r="D259" s="39"/>
      <c r="F259" s="41"/>
      <c r="G259" s="143" t="s">
        <v>26</v>
      </c>
      <c r="H259" s="143"/>
      <c r="I259" s="143"/>
      <c r="K259" s="41"/>
    </row>
    <row r="260" spans="1:17" ht="15.75">
      <c r="A260" s="38"/>
      <c r="B260" s="40"/>
      <c r="C260" s="28"/>
      <c r="D260" s="39"/>
      <c r="F260" s="28"/>
      <c r="G260" s="28"/>
      <c r="H260" s="28"/>
      <c r="I260" s="28"/>
      <c r="J260" s="28"/>
      <c r="K260" s="28"/>
      <c r="L260" s="28"/>
    </row>
    <row r="261" spans="1:17" ht="15.75">
      <c r="A261" s="38"/>
      <c r="B261" s="40"/>
      <c r="C261" s="28"/>
      <c r="D261" s="39"/>
      <c r="F261" s="28"/>
      <c r="G261" s="28"/>
      <c r="H261" s="28"/>
      <c r="I261" s="28"/>
      <c r="J261" s="28"/>
      <c r="K261" s="28"/>
      <c r="L261" s="28"/>
    </row>
    <row r="262" spans="1:17" ht="15.75">
      <c r="A262" s="38"/>
      <c r="B262" s="40"/>
      <c r="C262" s="28"/>
      <c r="D262" s="39"/>
      <c r="F262" s="28"/>
      <c r="G262" s="28"/>
      <c r="H262" s="28"/>
      <c r="I262" s="28"/>
      <c r="J262" s="28"/>
      <c r="K262" s="28"/>
    </row>
    <row r="263" spans="1:17" ht="15.75">
      <c r="A263" s="38"/>
      <c r="B263" s="40"/>
      <c r="C263" s="28"/>
      <c r="D263" s="39"/>
      <c r="F263" s="28"/>
      <c r="G263" s="28"/>
      <c r="H263" s="28"/>
      <c r="I263" s="28"/>
      <c r="J263" s="28"/>
      <c r="K263" s="28"/>
      <c r="L263" s="28"/>
    </row>
    <row r="264" spans="1:17" ht="15.75">
      <c r="A264" s="38" t="s">
        <v>23</v>
      </c>
      <c r="B264" s="42" t="s">
        <v>27</v>
      </c>
      <c r="C264" s="43" t="s">
        <v>24</v>
      </c>
      <c r="D264" s="39"/>
      <c r="F264" s="29"/>
      <c r="G264" s="29" t="s">
        <v>16</v>
      </c>
      <c r="H264" s="29"/>
      <c r="I264" s="29" t="s">
        <v>30</v>
      </c>
    </row>
    <row r="265" spans="1:17" ht="15.75">
      <c r="A265" s="38"/>
      <c r="B265" s="44" t="s">
        <v>31</v>
      </c>
      <c r="C265" s="45" t="s">
        <v>20</v>
      </c>
      <c r="D265" s="39"/>
      <c r="F265" s="46"/>
      <c r="G265" s="46" t="s">
        <v>17</v>
      </c>
      <c r="H265" s="46"/>
      <c r="I265" s="46" t="s">
        <v>25</v>
      </c>
    </row>
    <row r="267" spans="1:17" ht="15.75">
      <c r="A267" s="21" t="s">
        <v>0</v>
      </c>
      <c r="B267" s="22"/>
      <c r="C267" s="23"/>
      <c r="D267" s="23"/>
      <c r="E267" s="23"/>
      <c r="F267" s="24"/>
      <c r="G267" s="24"/>
      <c r="H267" s="24"/>
      <c r="I267" s="24"/>
      <c r="J267" s="24"/>
      <c r="K267" s="24"/>
      <c r="L267" s="25"/>
    </row>
    <row r="268" spans="1:17" ht="15.75">
      <c r="A268" s="26" t="s">
        <v>293</v>
      </c>
      <c r="B268" s="21"/>
      <c r="C268" s="21"/>
      <c r="D268" s="21"/>
      <c r="E268" s="21"/>
      <c r="F268" s="24"/>
      <c r="G268" s="24"/>
      <c r="H268" s="24"/>
      <c r="I268" s="24"/>
      <c r="J268" s="24"/>
      <c r="K268" s="24"/>
      <c r="L268" s="25"/>
    </row>
    <row r="269" spans="1:17">
      <c r="A269" s="62"/>
      <c r="B269" s="62" t="s">
        <v>1</v>
      </c>
      <c r="C269" s="93" t="s">
        <v>2</v>
      </c>
      <c r="D269" s="117" t="s">
        <v>34</v>
      </c>
      <c r="E269" s="95" t="s">
        <v>3</v>
      </c>
      <c r="F269" s="93" t="s">
        <v>4</v>
      </c>
      <c r="G269" s="96" t="s">
        <v>18</v>
      </c>
      <c r="H269" s="96" t="s">
        <v>18</v>
      </c>
      <c r="I269" s="97" t="s">
        <v>7</v>
      </c>
      <c r="J269" s="96" t="s">
        <v>6</v>
      </c>
      <c r="K269" s="96" t="s">
        <v>29</v>
      </c>
      <c r="L269" s="96" t="s">
        <v>21</v>
      </c>
      <c r="M269" s="96" t="s">
        <v>8</v>
      </c>
      <c r="N269" s="96" t="s">
        <v>8</v>
      </c>
      <c r="O269" s="96" t="s">
        <v>9</v>
      </c>
      <c r="P269" s="62" t="s">
        <v>10</v>
      </c>
      <c r="Q269" s="98" t="s">
        <v>33</v>
      </c>
    </row>
    <row r="270" spans="1:17">
      <c r="A270" s="99"/>
      <c r="B270" s="99"/>
      <c r="C270" s="100"/>
      <c r="D270" s="101"/>
      <c r="E270" s="102"/>
      <c r="F270" s="100"/>
      <c r="G270" s="103" t="s">
        <v>11</v>
      </c>
      <c r="H270" s="103" t="s">
        <v>11</v>
      </c>
      <c r="I270" s="103" t="s">
        <v>19</v>
      </c>
      <c r="J270" s="103" t="s">
        <v>35</v>
      </c>
      <c r="K270" s="103" t="s">
        <v>22</v>
      </c>
      <c r="L270" s="103" t="s">
        <v>15</v>
      </c>
      <c r="M270" s="103" t="s">
        <v>13</v>
      </c>
      <c r="N270" s="103" t="s">
        <v>14</v>
      </c>
      <c r="O270" s="103" t="s">
        <v>12</v>
      </c>
      <c r="P270" s="99"/>
      <c r="Q270" s="104"/>
    </row>
    <row r="271" spans="1:17">
      <c r="A271" s="99"/>
      <c r="B271" s="99"/>
      <c r="C271" s="105"/>
      <c r="D271" s="101"/>
      <c r="E271" s="102"/>
      <c r="F271" s="100"/>
      <c r="G271" s="103" t="s">
        <v>90</v>
      </c>
      <c r="H271" s="103" t="s">
        <v>311</v>
      </c>
      <c r="I271" s="103" t="s">
        <v>5</v>
      </c>
      <c r="J271" s="103"/>
      <c r="K271" s="103"/>
      <c r="L271" s="103"/>
      <c r="M271" s="103"/>
      <c r="N271" s="103"/>
      <c r="O271" s="103"/>
      <c r="P271" s="99"/>
      <c r="Q271" s="104"/>
    </row>
    <row r="272" spans="1:17">
      <c r="A272" s="106"/>
      <c r="B272" s="106"/>
      <c r="C272" s="107"/>
      <c r="D272" s="108"/>
      <c r="E272" s="109"/>
      <c r="F272" s="110"/>
      <c r="G272" s="111"/>
      <c r="H272" s="112"/>
      <c r="I272" s="111"/>
      <c r="J272" s="111"/>
      <c r="K272" s="113"/>
      <c r="L272" s="108"/>
      <c r="M272" s="111"/>
      <c r="N272" s="111"/>
      <c r="O272" s="111"/>
      <c r="P272" s="106"/>
      <c r="Q272" s="114"/>
    </row>
    <row r="273" spans="1:17" ht="15.75">
      <c r="A273" s="52"/>
      <c r="B273" s="47"/>
      <c r="C273" s="48"/>
      <c r="D273" s="73"/>
      <c r="E273" s="17"/>
      <c r="F273" s="48"/>
      <c r="G273" s="36"/>
      <c r="H273" s="36"/>
      <c r="I273" s="36"/>
      <c r="J273" s="36"/>
      <c r="K273" s="8"/>
      <c r="M273" s="8"/>
      <c r="N273" s="8"/>
      <c r="O273" s="8"/>
      <c r="P273" s="35"/>
      <c r="Q273" s="37"/>
    </row>
    <row r="274" spans="1:17" ht="15.75">
      <c r="A274" s="52">
        <v>1</v>
      </c>
      <c r="B274" s="51" t="s">
        <v>307</v>
      </c>
      <c r="C274" s="48" t="s">
        <v>308</v>
      </c>
      <c r="D274" s="67" t="s">
        <v>309</v>
      </c>
      <c r="E274" s="17">
        <v>43185</v>
      </c>
      <c r="F274" s="20" t="s">
        <v>310</v>
      </c>
      <c r="G274" s="36">
        <v>411500</v>
      </c>
      <c r="H274" s="36">
        <v>113200</v>
      </c>
      <c r="I274" s="8">
        <v>13118</v>
      </c>
      <c r="J274" s="8">
        <v>0</v>
      </c>
      <c r="K274" s="8">
        <v>0</v>
      </c>
      <c r="L274" s="8">
        <v>200000</v>
      </c>
      <c r="M274" s="8">
        <f>SUM(G274:L274)</f>
        <v>737818</v>
      </c>
      <c r="N274" s="8">
        <f>15737818-M274</f>
        <v>15000000</v>
      </c>
      <c r="O274" s="8">
        <f t="shared" ref="O274" si="44">+M274+N274</f>
        <v>15737818</v>
      </c>
      <c r="P274" s="77" t="s">
        <v>312</v>
      </c>
      <c r="Q274" s="60" t="s">
        <v>52</v>
      </c>
    </row>
    <row r="275" spans="1:17" ht="15.75">
      <c r="A275" s="52"/>
      <c r="B275" s="51"/>
      <c r="C275" s="48"/>
      <c r="E275" s="17"/>
      <c r="F275" s="48"/>
      <c r="G275" s="36"/>
      <c r="H275" s="36"/>
      <c r="I275" s="36"/>
      <c r="J275" s="36"/>
      <c r="K275" s="36"/>
      <c r="M275" s="8"/>
      <c r="N275" s="8"/>
      <c r="O275" s="8"/>
      <c r="P275" s="59"/>
      <c r="Q275" s="66"/>
    </row>
    <row r="276" spans="1:17" ht="16.5" thickBot="1">
      <c r="A276" s="18"/>
      <c r="B276" s="55"/>
      <c r="C276" s="56"/>
      <c r="D276" s="74"/>
      <c r="E276" s="56"/>
      <c r="F276" s="57"/>
      <c r="G276" s="19">
        <f t="shared" ref="G276:O276" si="45">SUM(G274:G275)</f>
        <v>411500</v>
      </c>
      <c r="H276" s="19">
        <f t="shared" si="45"/>
        <v>113200</v>
      </c>
      <c r="I276" s="19">
        <f t="shared" si="45"/>
        <v>13118</v>
      </c>
      <c r="J276" s="19">
        <f t="shared" si="45"/>
        <v>0</v>
      </c>
      <c r="K276" s="19">
        <f t="shared" si="45"/>
        <v>0</v>
      </c>
      <c r="L276" s="19">
        <f t="shared" si="45"/>
        <v>200000</v>
      </c>
      <c r="M276" s="19">
        <f t="shared" si="45"/>
        <v>737818</v>
      </c>
      <c r="N276" s="19">
        <f t="shared" si="45"/>
        <v>15000000</v>
      </c>
      <c r="O276" s="19">
        <f t="shared" si="45"/>
        <v>15737818</v>
      </c>
      <c r="P276" s="68"/>
      <c r="Q276" s="70"/>
    </row>
    <row r="277" spans="1:17" ht="16.5" thickTop="1">
      <c r="A277" s="23"/>
      <c r="B277" s="22"/>
      <c r="C277" s="22"/>
      <c r="D277" s="23"/>
      <c r="E277" s="22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2"/>
      <c r="Q277" s="69"/>
    </row>
    <row r="278" spans="1:17" ht="15.75">
      <c r="A278" s="23"/>
      <c r="B278" s="28" t="s">
        <v>294</v>
      </c>
      <c r="C278" s="22"/>
      <c r="D278" s="39"/>
      <c r="F278" s="27"/>
      <c r="G278" s="28"/>
      <c r="H278" s="28"/>
      <c r="I278" s="28"/>
      <c r="J278" s="28"/>
      <c r="K278" s="28"/>
      <c r="L278" s="28"/>
      <c r="Q278" s="51"/>
    </row>
    <row r="279" spans="1:17" ht="15.75">
      <c r="A279" s="38"/>
      <c r="B279" s="40" t="s">
        <v>32</v>
      </c>
      <c r="C279" s="28" t="s">
        <v>28</v>
      </c>
      <c r="D279" s="39"/>
      <c r="F279" s="41"/>
      <c r="G279" s="143" t="s">
        <v>26</v>
      </c>
      <c r="H279" s="143"/>
      <c r="I279" s="143"/>
      <c r="K279" s="41"/>
    </row>
    <row r="280" spans="1:17" ht="15.75">
      <c r="A280" s="38"/>
      <c r="B280" s="40"/>
      <c r="C280" s="28"/>
      <c r="D280" s="39"/>
      <c r="F280" s="28"/>
      <c r="G280" s="28"/>
      <c r="H280" s="28"/>
      <c r="I280" s="28"/>
      <c r="J280" s="28"/>
      <c r="K280" s="28"/>
      <c r="L280" s="28"/>
    </row>
    <row r="281" spans="1:17" ht="15.75">
      <c r="A281" s="38"/>
      <c r="B281" s="40"/>
      <c r="C281" s="28"/>
      <c r="D281" s="39"/>
      <c r="F281" s="28"/>
      <c r="G281" s="28"/>
      <c r="H281" s="28"/>
      <c r="I281" s="28"/>
      <c r="J281" s="28"/>
      <c r="K281" s="28"/>
      <c r="L281" s="28"/>
    </row>
    <row r="282" spans="1:17" ht="15.75">
      <c r="A282" s="38"/>
      <c r="B282" s="40"/>
      <c r="C282" s="28"/>
      <c r="D282" s="39"/>
      <c r="F282" s="28"/>
      <c r="G282" s="28"/>
      <c r="H282" s="28"/>
      <c r="I282" s="28"/>
      <c r="J282" s="28"/>
      <c r="K282" s="28"/>
    </row>
    <row r="283" spans="1:17" ht="15.75">
      <c r="A283" s="38"/>
      <c r="B283" s="40"/>
      <c r="C283" s="28"/>
      <c r="D283" s="39"/>
      <c r="F283" s="28"/>
      <c r="G283" s="28"/>
      <c r="H283" s="28"/>
      <c r="I283" s="28"/>
      <c r="J283" s="28"/>
      <c r="K283" s="28"/>
      <c r="L283" s="28"/>
    </row>
    <row r="284" spans="1:17" ht="15.75">
      <c r="A284" s="38" t="s">
        <v>23</v>
      </c>
      <c r="B284" s="42" t="s">
        <v>27</v>
      </c>
      <c r="C284" s="43" t="s">
        <v>24</v>
      </c>
      <c r="D284" s="39"/>
      <c r="F284" s="29"/>
      <c r="G284" s="29" t="s">
        <v>16</v>
      </c>
      <c r="H284" s="29"/>
      <c r="I284" s="29" t="s">
        <v>30</v>
      </c>
    </row>
    <row r="285" spans="1:17" ht="15.75">
      <c r="A285" s="38"/>
      <c r="B285" s="44" t="s">
        <v>31</v>
      </c>
      <c r="C285" s="45" t="s">
        <v>20</v>
      </c>
      <c r="D285" s="39"/>
      <c r="F285" s="46"/>
      <c r="G285" s="46" t="s">
        <v>17</v>
      </c>
      <c r="H285" s="46"/>
      <c r="I285" s="46" t="s">
        <v>25</v>
      </c>
    </row>
    <row r="287" spans="1:17" ht="15.75">
      <c r="A287" s="21" t="s">
        <v>0</v>
      </c>
      <c r="B287" s="22"/>
      <c r="C287" s="23"/>
      <c r="D287" s="23"/>
      <c r="E287" s="23"/>
      <c r="F287" s="24"/>
      <c r="G287" s="24"/>
      <c r="H287" s="24"/>
      <c r="I287" s="24"/>
      <c r="J287" s="24"/>
      <c r="K287" s="24"/>
      <c r="L287" s="25"/>
    </row>
    <row r="288" spans="1:17" ht="15.75">
      <c r="A288" s="26" t="s">
        <v>313</v>
      </c>
      <c r="B288" s="21"/>
      <c r="C288" s="21"/>
      <c r="D288" s="21"/>
      <c r="E288" s="21"/>
      <c r="F288" s="24"/>
      <c r="G288" s="24"/>
      <c r="H288" s="24"/>
      <c r="I288" s="24"/>
      <c r="J288" s="24"/>
      <c r="K288" s="24"/>
      <c r="L288" s="25"/>
    </row>
    <row r="289" spans="1:17">
      <c r="A289" s="62"/>
      <c r="B289" s="62" t="s">
        <v>1</v>
      </c>
      <c r="C289" s="93" t="s">
        <v>2</v>
      </c>
      <c r="D289" s="117" t="s">
        <v>34</v>
      </c>
      <c r="E289" s="95" t="s">
        <v>3</v>
      </c>
      <c r="F289" s="93" t="s">
        <v>4</v>
      </c>
      <c r="G289" s="96" t="s">
        <v>18</v>
      </c>
      <c r="H289" s="96" t="s">
        <v>18</v>
      </c>
      <c r="I289" s="97" t="s">
        <v>7</v>
      </c>
      <c r="J289" s="96" t="s">
        <v>6</v>
      </c>
      <c r="K289" s="96" t="s">
        <v>29</v>
      </c>
      <c r="L289" s="96" t="s">
        <v>21</v>
      </c>
      <c r="M289" s="96" t="s">
        <v>8</v>
      </c>
      <c r="N289" s="96" t="s">
        <v>8</v>
      </c>
      <c r="O289" s="96" t="s">
        <v>9</v>
      </c>
      <c r="P289" s="62" t="s">
        <v>10</v>
      </c>
      <c r="Q289" s="98" t="s">
        <v>33</v>
      </c>
    </row>
    <row r="290" spans="1:17">
      <c r="A290" s="99"/>
      <c r="B290" s="99"/>
      <c r="C290" s="100"/>
      <c r="D290" s="101"/>
      <c r="E290" s="102"/>
      <c r="F290" s="100"/>
      <c r="G290" s="103" t="s">
        <v>11</v>
      </c>
      <c r="H290" s="103" t="s">
        <v>11</v>
      </c>
      <c r="I290" s="103" t="s">
        <v>19</v>
      </c>
      <c r="J290" s="103" t="s">
        <v>35</v>
      </c>
      <c r="K290" s="103" t="s">
        <v>22</v>
      </c>
      <c r="L290" s="103" t="s">
        <v>15</v>
      </c>
      <c r="M290" s="103" t="s">
        <v>13</v>
      </c>
      <c r="N290" s="103" t="s">
        <v>14</v>
      </c>
      <c r="O290" s="103" t="s">
        <v>12</v>
      </c>
      <c r="P290" s="99"/>
      <c r="Q290" s="104"/>
    </row>
    <row r="291" spans="1:17">
      <c r="A291" s="99"/>
      <c r="B291" s="99"/>
      <c r="C291" s="105"/>
      <c r="D291" s="101"/>
      <c r="E291" s="102"/>
      <c r="F291" s="100"/>
      <c r="G291" s="103" t="s">
        <v>90</v>
      </c>
      <c r="H291" s="103" t="s">
        <v>311</v>
      </c>
      <c r="I291" s="103" t="s">
        <v>5</v>
      </c>
      <c r="J291" s="103"/>
      <c r="K291" s="103"/>
      <c r="L291" s="103"/>
      <c r="M291" s="103"/>
      <c r="N291" s="103"/>
      <c r="O291" s="103"/>
      <c r="P291" s="99"/>
      <c r="Q291" s="104"/>
    </row>
    <row r="292" spans="1:17">
      <c r="A292" s="106"/>
      <c r="B292" s="106"/>
      <c r="C292" s="107"/>
      <c r="D292" s="108"/>
      <c r="E292" s="109"/>
      <c r="F292" s="110"/>
      <c r="G292" s="111"/>
      <c r="H292" s="112"/>
      <c r="I292" s="111"/>
      <c r="J292" s="111"/>
      <c r="K292" s="113"/>
      <c r="L292" s="108"/>
      <c r="M292" s="111"/>
      <c r="N292" s="111"/>
      <c r="O292" s="111"/>
      <c r="P292" s="106"/>
      <c r="Q292" s="114"/>
    </row>
    <row r="293" spans="1:17" ht="15.75">
      <c r="A293" s="52"/>
      <c r="B293" s="47"/>
      <c r="C293" s="48"/>
      <c r="D293" s="73"/>
      <c r="E293" s="17"/>
      <c r="F293" s="48"/>
      <c r="G293" s="36"/>
      <c r="H293" s="36"/>
      <c r="I293" s="36"/>
      <c r="J293" s="36"/>
      <c r="K293" s="8"/>
      <c r="M293" s="8"/>
      <c r="N293" s="8"/>
      <c r="O293" s="8"/>
      <c r="P293" s="35"/>
      <c r="Q293" s="37"/>
    </row>
    <row r="294" spans="1:17" ht="15.75">
      <c r="A294" s="52">
        <v>1</v>
      </c>
      <c r="B294" s="51" t="s">
        <v>314</v>
      </c>
      <c r="C294" s="48" t="s">
        <v>315</v>
      </c>
      <c r="D294" s="67" t="s">
        <v>316</v>
      </c>
      <c r="E294" s="17">
        <v>43186</v>
      </c>
      <c r="F294" s="20" t="s">
        <v>317</v>
      </c>
      <c r="G294" s="36">
        <v>0</v>
      </c>
      <c r="H294" s="36">
        <v>0</v>
      </c>
      <c r="I294" s="8">
        <v>0</v>
      </c>
      <c r="J294" s="8">
        <v>0</v>
      </c>
      <c r="K294" s="8">
        <v>1200000</v>
      </c>
      <c r="L294" s="8">
        <v>200000</v>
      </c>
      <c r="M294" s="8">
        <f>SUM(G294:L294)</f>
        <v>1400000</v>
      </c>
      <c r="N294" s="8">
        <f>150000000-M294</f>
        <v>148600000</v>
      </c>
      <c r="O294" s="8">
        <f t="shared" ref="O294" si="46">+M294+N294</f>
        <v>150000000</v>
      </c>
      <c r="P294" s="77" t="s">
        <v>73</v>
      </c>
      <c r="Q294" s="60" t="s">
        <v>58</v>
      </c>
    </row>
    <row r="295" spans="1:17" ht="15.75">
      <c r="A295" s="52"/>
      <c r="B295" s="51"/>
      <c r="C295" s="48"/>
      <c r="E295" s="17"/>
      <c r="F295" s="48"/>
      <c r="G295" s="36"/>
      <c r="H295" s="36"/>
      <c r="I295" s="36"/>
      <c r="J295" s="36"/>
      <c r="K295" s="36"/>
      <c r="M295" s="8"/>
      <c r="N295" s="8"/>
      <c r="O295" s="8"/>
      <c r="P295" s="59"/>
      <c r="Q295" s="66"/>
    </row>
    <row r="296" spans="1:17" ht="16.5" thickBot="1">
      <c r="A296" s="18"/>
      <c r="B296" s="55"/>
      <c r="C296" s="56"/>
      <c r="D296" s="74"/>
      <c r="E296" s="56"/>
      <c r="F296" s="57"/>
      <c r="G296" s="19">
        <f t="shared" ref="G296" si="47">SUM(G294:G295)</f>
        <v>0</v>
      </c>
      <c r="H296" s="19">
        <f t="shared" ref="H296" si="48">SUM(H294:H295)</f>
        <v>0</v>
      </c>
      <c r="I296" s="19">
        <f t="shared" ref="I296" si="49">SUM(I294:I295)</f>
        <v>0</v>
      </c>
      <c r="J296" s="19">
        <f t="shared" ref="J296" si="50">SUM(J294:J295)</f>
        <v>0</v>
      </c>
      <c r="K296" s="19">
        <f t="shared" ref="K296" si="51">SUM(K294:K295)</f>
        <v>1200000</v>
      </c>
      <c r="L296" s="19">
        <f t="shared" ref="L296" si="52">SUM(L294:L295)</f>
        <v>200000</v>
      </c>
      <c r="M296" s="19">
        <f t="shared" ref="M296" si="53">SUM(M294:M295)</f>
        <v>1400000</v>
      </c>
      <c r="N296" s="19">
        <f t="shared" ref="N296" si="54">SUM(N294:N295)</f>
        <v>148600000</v>
      </c>
      <c r="O296" s="19">
        <f t="shared" ref="O296" si="55">SUM(O294:O295)</f>
        <v>150000000</v>
      </c>
      <c r="P296" s="68"/>
      <c r="Q296" s="70"/>
    </row>
    <row r="297" spans="1:17" ht="16.5" thickTop="1">
      <c r="A297" s="23"/>
      <c r="B297" s="22"/>
      <c r="C297" s="22"/>
      <c r="D297" s="23"/>
      <c r="E297" s="22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2"/>
      <c r="Q297" s="69"/>
    </row>
    <row r="298" spans="1:17" ht="15.75">
      <c r="A298" s="23"/>
      <c r="B298" s="28" t="s">
        <v>318</v>
      </c>
      <c r="C298" s="22"/>
      <c r="D298" s="39"/>
      <c r="F298" s="27"/>
      <c r="G298" s="28"/>
      <c r="H298" s="28"/>
      <c r="I298" s="28"/>
      <c r="J298" s="28"/>
      <c r="K298" s="28"/>
      <c r="L298" s="28"/>
      <c r="Q298" s="51"/>
    </row>
    <row r="299" spans="1:17" ht="15.75">
      <c r="A299" s="38"/>
      <c r="B299" s="40" t="s">
        <v>32</v>
      </c>
      <c r="C299" s="28" t="s">
        <v>28</v>
      </c>
      <c r="D299" s="39"/>
      <c r="F299" s="41"/>
      <c r="G299" s="143" t="s">
        <v>26</v>
      </c>
      <c r="H299" s="143"/>
      <c r="I299" s="143"/>
      <c r="K299" s="41"/>
    </row>
    <row r="300" spans="1:17" ht="15.75">
      <c r="A300" s="38"/>
      <c r="B300" s="40"/>
      <c r="C300" s="28"/>
      <c r="D300" s="39"/>
      <c r="F300" s="28"/>
      <c r="G300" s="28"/>
      <c r="H300" s="28"/>
      <c r="I300" s="28"/>
      <c r="J300" s="28"/>
      <c r="K300" s="28"/>
      <c r="L300" s="28"/>
    </row>
    <row r="301" spans="1:17" ht="15.75">
      <c r="A301" s="38"/>
      <c r="B301" s="40"/>
      <c r="C301" s="28"/>
      <c r="D301" s="39"/>
      <c r="F301" s="28"/>
      <c r="G301" s="28"/>
      <c r="H301" s="28"/>
      <c r="I301" s="28"/>
      <c r="J301" s="28"/>
      <c r="K301" s="28"/>
      <c r="L301" s="28"/>
    </row>
    <row r="302" spans="1:17" ht="15.75">
      <c r="A302" s="38"/>
      <c r="B302" s="40"/>
      <c r="C302" s="28"/>
      <c r="D302" s="39"/>
      <c r="F302" s="28"/>
      <c r="G302" s="28"/>
      <c r="H302" s="28"/>
      <c r="I302" s="28"/>
      <c r="J302" s="28"/>
      <c r="K302" s="28"/>
    </row>
    <row r="303" spans="1:17" ht="15.75">
      <c r="A303" s="38"/>
      <c r="B303" s="40"/>
      <c r="C303" s="28"/>
      <c r="D303" s="39"/>
      <c r="F303" s="28"/>
      <c r="G303" s="28"/>
      <c r="H303" s="28"/>
      <c r="I303" s="28"/>
      <c r="J303" s="28"/>
      <c r="K303" s="28"/>
      <c r="L303" s="28"/>
    </row>
    <row r="304" spans="1:17" ht="15.75">
      <c r="A304" s="38" t="s">
        <v>23</v>
      </c>
      <c r="B304" s="42" t="s">
        <v>27</v>
      </c>
      <c r="C304" s="43" t="s">
        <v>24</v>
      </c>
      <c r="D304" s="39"/>
      <c r="F304" s="29"/>
      <c r="G304" s="29" t="s">
        <v>16</v>
      </c>
      <c r="H304" s="29"/>
      <c r="I304" s="29" t="s">
        <v>30</v>
      </c>
    </row>
    <row r="305" spans="1:17" ht="15.75">
      <c r="A305" s="38"/>
      <c r="B305" s="44" t="s">
        <v>31</v>
      </c>
      <c r="C305" s="45" t="s">
        <v>20</v>
      </c>
      <c r="D305" s="39"/>
      <c r="F305" s="46"/>
      <c r="G305" s="46" t="s">
        <v>17</v>
      </c>
      <c r="H305" s="46"/>
      <c r="I305" s="46" t="s">
        <v>25</v>
      </c>
    </row>
    <row r="307" spans="1:17" ht="15.75">
      <c r="A307" s="21" t="s">
        <v>0</v>
      </c>
      <c r="B307" s="22"/>
      <c r="C307" s="23"/>
      <c r="D307" s="23"/>
      <c r="E307" s="23"/>
      <c r="F307" s="24"/>
      <c r="G307" s="24"/>
      <c r="H307" s="24"/>
      <c r="I307" s="24"/>
      <c r="J307" s="24"/>
      <c r="K307" s="24"/>
      <c r="L307" s="25"/>
    </row>
    <row r="308" spans="1:17" ht="15.75">
      <c r="A308" s="26" t="s">
        <v>319</v>
      </c>
      <c r="B308" s="21"/>
      <c r="C308" s="21"/>
      <c r="D308" s="21"/>
      <c r="E308" s="21"/>
      <c r="F308" s="24"/>
      <c r="G308" s="24"/>
      <c r="H308" s="24"/>
      <c r="I308" s="24"/>
      <c r="J308" s="24"/>
      <c r="K308" s="24"/>
      <c r="L308" s="25"/>
    </row>
    <row r="309" spans="1:17">
      <c r="A309" s="62"/>
      <c r="B309" s="62" t="s">
        <v>1</v>
      </c>
      <c r="C309" s="93" t="s">
        <v>2</v>
      </c>
      <c r="D309" s="117" t="s">
        <v>34</v>
      </c>
      <c r="E309" s="95" t="s">
        <v>3</v>
      </c>
      <c r="F309" s="93" t="s">
        <v>4</v>
      </c>
      <c r="G309" s="96" t="s">
        <v>18</v>
      </c>
      <c r="H309" s="96" t="s">
        <v>18</v>
      </c>
      <c r="I309" s="97" t="s">
        <v>7</v>
      </c>
      <c r="J309" s="96" t="s">
        <v>6</v>
      </c>
      <c r="K309" s="96" t="s">
        <v>29</v>
      </c>
      <c r="L309" s="96" t="s">
        <v>21</v>
      </c>
      <c r="M309" s="96" t="s">
        <v>8</v>
      </c>
      <c r="N309" s="96" t="s">
        <v>8</v>
      </c>
      <c r="O309" s="96" t="s">
        <v>9</v>
      </c>
      <c r="P309" s="62" t="s">
        <v>10</v>
      </c>
      <c r="Q309" s="98" t="s">
        <v>33</v>
      </c>
    </row>
    <row r="310" spans="1:17">
      <c r="A310" s="99"/>
      <c r="B310" s="99"/>
      <c r="C310" s="100"/>
      <c r="D310" s="101"/>
      <c r="E310" s="102"/>
      <c r="F310" s="100"/>
      <c r="G310" s="103" t="s">
        <v>11</v>
      </c>
      <c r="H310" s="103" t="s">
        <v>11</v>
      </c>
      <c r="I310" s="103" t="s">
        <v>19</v>
      </c>
      <c r="J310" s="103" t="s">
        <v>35</v>
      </c>
      <c r="K310" s="103" t="s">
        <v>22</v>
      </c>
      <c r="L310" s="103" t="s">
        <v>15</v>
      </c>
      <c r="M310" s="103" t="s">
        <v>13</v>
      </c>
      <c r="N310" s="103" t="s">
        <v>14</v>
      </c>
      <c r="O310" s="103" t="s">
        <v>12</v>
      </c>
      <c r="P310" s="99"/>
      <c r="Q310" s="104"/>
    </row>
    <row r="311" spans="1:17">
      <c r="A311" s="99"/>
      <c r="B311" s="99"/>
      <c r="C311" s="105"/>
      <c r="D311" s="101"/>
      <c r="E311" s="102"/>
      <c r="F311" s="100"/>
      <c r="G311" s="103" t="s">
        <v>90</v>
      </c>
      <c r="H311" s="103" t="s">
        <v>311</v>
      </c>
      <c r="I311" s="103" t="s">
        <v>5</v>
      </c>
      <c r="J311" s="103"/>
      <c r="K311" s="103"/>
      <c r="L311" s="103"/>
      <c r="M311" s="103"/>
      <c r="N311" s="103"/>
      <c r="O311" s="103"/>
      <c r="P311" s="99"/>
      <c r="Q311" s="104"/>
    </row>
    <row r="312" spans="1:17">
      <c r="A312" s="106"/>
      <c r="B312" s="106"/>
      <c r="C312" s="107"/>
      <c r="D312" s="108"/>
      <c r="E312" s="109"/>
      <c r="F312" s="110"/>
      <c r="G312" s="111"/>
      <c r="H312" s="112"/>
      <c r="I312" s="111"/>
      <c r="J312" s="111"/>
      <c r="K312" s="113"/>
      <c r="L312" s="108"/>
      <c r="M312" s="111"/>
      <c r="N312" s="111"/>
      <c r="O312" s="111"/>
      <c r="P312" s="106"/>
      <c r="Q312" s="114"/>
    </row>
    <row r="313" spans="1:17" ht="15.75">
      <c r="A313" s="52"/>
      <c r="B313" s="47"/>
      <c r="C313" s="48"/>
      <c r="D313" s="73"/>
      <c r="E313" s="17"/>
      <c r="F313" s="48"/>
      <c r="G313" s="36"/>
      <c r="H313" s="36"/>
      <c r="I313" s="36"/>
      <c r="J313" s="36"/>
      <c r="K313" s="8"/>
      <c r="M313" s="8"/>
      <c r="N313" s="8"/>
      <c r="O313" s="8"/>
      <c r="P313" s="35"/>
      <c r="Q313" s="37"/>
    </row>
    <row r="314" spans="1:17" ht="15.75">
      <c r="A314" s="52">
        <v>1</v>
      </c>
      <c r="B314" s="51" t="s">
        <v>320</v>
      </c>
      <c r="C314" s="48" t="s">
        <v>321</v>
      </c>
      <c r="D314" s="67" t="s">
        <v>322</v>
      </c>
      <c r="E314" s="17">
        <v>43187</v>
      </c>
      <c r="F314" s="20" t="s">
        <v>323</v>
      </c>
      <c r="G314" s="36">
        <v>0</v>
      </c>
      <c r="H314" s="36">
        <v>0</v>
      </c>
      <c r="I314" s="8">
        <v>0</v>
      </c>
      <c r="J314" s="8">
        <v>0</v>
      </c>
      <c r="K314" s="8">
        <v>60000</v>
      </c>
      <c r="L314" s="8">
        <v>0</v>
      </c>
      <c r="M314" s="8">
        <f>SUM(G314:L314)</f>
        <v>60000</v>
      </c>
      <c r="N314" s="8">
        <f>6000000-M314</f>
        <v>5940000</v>
      </c>
      <c r="O314" s="8">
        <f t="shared" ref="O314" si="56">+M314+N314</f>
        <v>6000000</v>
      </c>
      <c r="P314" s="77" t="s">
        <v>192</v>
      </c>
      <c r="Q314" s="60" t="s">
        <v>40</v>
      </c>
    </row>
    <row r="315" spans="1:17" ht="15.75">
      <c r="A315" s="52"/>
      <c r="B315" s="51"/>
      <c r="C315" s="48"/>
      <c r="E315" s="17"/>
      <c r="F315" s="48"/>
      <c r="G315" s="36"/>
      <c r="H315" s="36"/>
      <c r="I315" s="36"/>
      <c r="J315" s="36"/>
      <c r="K315" s="36"/>
      <c r="M315" s="8"/>
      <c r="N315" s="8"/>
      <c r="O315" s="8"/>
      <c r="P315" s="59"/>
      <c r="Q315" s="66"/>
    </row>
    <row r="316" spans="1:17" ht="16.5" thickBot="1">
      <c r="A316" s="18"/>
      <c r="B316" s="55"/>
      <c r="C316" s="56"/>
      <c r="D316" s="74"/>
      <c r="E316" s="56"/>
      <c r="F316" s="57"/>
      <c r="G316" s="19">
        <f t="shared" ref="G316" si="57">SUM(G314:G315)</f>
        <v>0</v>
      </c>
      <c r="H316" s="19">
        <f t="shared" ref="H316:O316" si="58">SUM(H314:H315)</f>
        <v>0</v>
      </c>
      <c r="I316" s="19">
        <f t="shared" si="58"/>
        <v>0</v>
      </c>
      <c r="J316" s="19">
        <f t="shared" si="58"/>
        <v>0</v>
      </c>
      <c r="K316" s="19">
        <f t="shared" si="58"/>
        <v>60000</v>
      </c>
      <c r="L316" s="19">
        <f t="shared" si="58"/>
        <v>0</v>
      </c>
      <c r="M316" s="19">
        <f t="shared" si="58"/>
        <v>60000</v>
      </c>
      <c r="N316" s="19">
        <f t="shared" si="58"/>
        <v>5940000</v>
      </c>
      <c r="O316" s="19">
        <f t="shared" si="58"/>
        <v>6000000</v>
      </c>
      <c r="P316" s="68"/>
      <c r="Q316" s="70"/>
    </row>
    <row r="317" spans="1:17" ht="16.5" thickTop="1">
      <c r="A317" s="23"/>
      <c r="B317" s="22"/>
      <c r="C317" s="22"/>
      <c r="D317" s="23"/>
      <c r="E317" s="22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2"/>
      <c r="Q317" s="69"/>
    </row>
    <row r="318" spans="1:17" ht="15.75">
      <c r="A318" s="23"/>
      <c r="B318" s="28" t="s">
        <v>324</v>
      </c>
      <c r="C318" s="22"/>
      <c r="D318" s="39"/>
      <c r="F318" s="27"/>
      <c r="G318" s="28"/>
      <c r="H318" s="28"/>
      <c r="I318" s="28"/>
      <c r="J318" s="28"/>
      <c r="K318" s="28"/>
      <c r="L318" s="28"/>
      <c r="Q318" s="51"/>
    </row>
    <row r="319" spans="1:17" ht="15.75">
      <c r="A319" s="38"/>
      <c r="B319" s="40" t="s">
        <v>32</v>
      </c>
      <c r="C319" s="28" t="s">
        <v>28</v>
      </c>
      <c r="D319" s="39"/>
      <c r="F319" s="41"/>
      <c r="G319" s="143" t="s">
        <v>26</v>
      </c>
      <c r="H319" s="143"/>
      <c r="I319" s="143"/>
      <c r="K319" s="41"/>
    </row>
    <row r="320" spans="1:17" ht="15.75">
      <c r="A320" s="38"/>
      <c r="B320" s="40"/>
      <c r="C320" s="28"/>
      <c r="D320" s="39"/>
      <c r="F320" s="28"/>
      <c r="G320" s="28"/>
      <c r="H320" s="28"/>
      <c r="I320" s="28"/>
      <c r="J320" s="28"/>
      <c r="K320" s="28"/>
      <c r="L320" s="28"/>
    </row>
    <row r="321" spans="1:12" ht="15.75">
      <c r="A321" s="38"/>
      <c r="B321" s="40"/>
      <c r="C321" s="28"/>
      <c r="D321" s="39"/>
      <c r="F321" s="28"/>
      <c r="G321" s="28"/>
      <c r="H321" s="28"/>
      <c r="I321" s="28"/>
      <c r="J321" s="28"/>
      <c r="K321" s="28"/>
      <c r="L321" s="28"/>
    </row>
    <row r="322" spans="1:12" ht="15.75">
      <c r="A322" s="38"/>
      <c r="B322" s="40"/>
      <c r="C322" s="28"/>
      <c r="D322" s="39"/>
      <c r="F322" s="28"/>
      <c r="G322" s="28"/>
      <c r="H322" s="28"/>
      <c r="I322" s="28"/>
      <c r="J322" s="28"/>
      <c r="K322" s="28"/>
    </row>
    <row r="323" spans="1:12" ht="15.75">
      <c r="A323" s="38"/>
      <c r="B323" s="40"/>
      <c r="C323" s="28"/>
      <c r="D323" s="39"/>
      <c r="F323" s="28"/>
      <c r="G323" s="28"/>
      <c r="H323" s="28"/>
      <c r="I323" s="28"/>
      <c r="J323" s="28"/>
      <c r="K323" s="28"/>
      <c r="L323" s="28"/>
    </row>
    <row r="324" spans="1:12" ht="15.75">
      <c r="A324" s="38" t="s">
        <v>23</v>
      </c>
      <c r="B324" s="42" t="s">
        <v>27</v>
      </c>
      <c r="C324" s="43" t="s">
        <v>24</v>
      </c>
      <c r="D324" s="39"/>
      <c r="F324" s="29"/>
      <c r="G324" s="29" t="s">
        <v>16</v>
      </c>
      <c r="H324" s="29"/>
      <c r="I324" s="29" t="s">
        <v>30</v>
      </c>
    </row>
    <row r="325" spans="1:12" ht="15.75">
      <c r="A325" s="38"/>
      <c r="B325" s="44" t="s">
        <v>31</v>
      </c>
      <c r="C325" s="45" t="s">
        <v>20</v>
      </c>
      <c r="D325" s="39"/>
      <c r="F325" s="46"/>
      <c r="G325" s="46" t="s">
        <v>17</v>
      </c>
      <c r="H325" s="46"/>
      <c r="I325" s="46" t="s">
        <v>25</v>
      </c>
    </row>
  </sheetData>
  <mergeCells count="16">
    <mergeCell ref="G197:I197"/>
    <mergeCell ref="G177:I177"/>
    <mergeCell ref="G319:I319"/>
    <mergeCell ref="G13:I13"/>
    <mergeCell ref="G33:I33"/>
    <mergeCell ref="G53:I53"/>
    <mergeCell ref="G74:I74"/>
    <mergeCell ref="G95:I95"/>
    <mergeCell ref="G299:I299"/>
    <mergeCell ref="G279:I279"/>
    <mergeCell ref="G156:I156"/>
    <mergeCell ref="G136:I136"/>
    <mergeCell ref="G116:I116"/>
    <mergeCell ref="G237:I237"/>
    <mergeCell ref="G259:I259"/>
    <mergeCell ref="G217:I217"/>
  </mergeCells>
  <pageMargins left="0.11811023622047245" right="0.70866141732283472" top="0.74803149606299213" bottom="0.98425196850393704" header="0.31496062992125984" footer="0.31496062992125984"/>
  <pageSetup paperSize="5" scale="76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5"/>
  <sheetViews>
    <sheetView topLeftCell="A74" workbookViewId="0">
      <selection activeCell="G88" sqref="G88"/>
    </sheetView>
  </sheetViews>
  <sheetFormatPr defaultRowHeight="15"/>
  <cols>
    <col min="1" max="1" width="2.28515625" style="34" customWidth="1"/>
    <col min="2" max="2" width="15.42578125" style="34" customWidth="1"/>
    <col min="3" max="3" width="9.140625" style="34"/>
    <col min="4" max="4" width="8.140625" style="34" customWidth="1"/>
    <col min="5" max="5" width="13.5703125" style="34" customWidth="1"/>
    <col min="6" max="6" width="14.42578125" style="34" customWidth="1"/>
    <col min="7" max="7" width="18.28515625" style="34" bestFit="1" customWidth="1"/>
    <col min="8" max="8" width="16.5703125" style="34" customWidth="1"/>
    <col min="9" max="9" width="16.28515625" style="34" customWidth="1"/>
    <col min="10" max="10" width="14.28515625" style="34" bestFit="1" customWidth="1"/>
    <col min="11" max="11" width="1.140625" style="34" customWidth="1"/>
    <col min="12" max="12" width="15" style="34" customWidth="1"/>
    <col min="13" max="13" width="12.7109375" style="34" customWidth="1"/>
    <col min="14" max="15" width="17.7109375" style="34" customWidth="1"/>
    <col min="16" max="16" width="18" style="34" customWidth="1"/>
    <col min="17" max="17" width="8.42578125" style="34" customWidth="1"/>
    <col min="18" max="18" width="5.85546875" style="34" customWidth="1"/>
    <col min="19" max="16384" width="9.140625" style="34"/>
  </cols>
  <sheetData>
    <row r="1" spans="1:17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7" ht="15.75">
      <c r="A2" s="26" t="s">
        <v>325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7">
      <c r="A3" s="62"/>
      <c r="B3" s="62" t="s">
        <v>1</v>
      </c>
      <c r="C3" s="93" t="s">
        <v>2</v>
      </c>
      <c r="D3" s="117" t="s">
        <v>34</v>
      </c>
      <c r="E3" s="95" t="s">
        <v>3</v>
      </c>
      <c r="F3" s="93" t="s">
        <v>4</v>
      </c>
      <c r="G3" s="96" t="s">
        <v>18</v>
      </c>
      <c r="H3" s="96" t="s">
        <v>18</v>
      </c>
      <c r="I3" s="97" t="s">
        <v>7</v>
      </c>
      <c r="J3" s="96" t="s">
        <v>6</v>
      </c>
      <c r="K3" s="96" t="s">
        <v>29</v>
      </c>
      <c r="L3" s="96" t="s">
        <v>21</v>
      </c>
      <c r="M3" s="96" t="s">
        <v>8</v>
      </c>
      <c r="N3" s="96" t="s">
        <v>8</v>
      </c>
      <c r="O3" s="96" t="s">
        <v>9</v>
      </c>
      <c r="P3" s="62" t="s">
        <v>10</v>
      </c>
      <c r="Q3" s="98" t="s">
        <v>33</v>
      </c>
    </row>
    <row r="4" spans="1:17">
      <c r="A4" s="99"/>
      <c r="B4" s="99"/>
      <c r="C4" s="100"/>
      <c r="D4" s="101"/>
      <c r="E4" s="102"/>
      <c r="F4" s="100"/>
      <c r="G4" s="103" t="s">
        <v>11</v>
      </c>
      <c r="H4" s="103" t="s">
        <v>11</v>
      </c>
      <c r="I4" s="103" t="s">
        <v>19</v>
      </c>
      <c r="J4" s="103" t="s">
        <v>35</v>
      </c>
      <c r="K4" s="103" t="s">
        <v>22</v>
      </c>
      <c r="L4" s="103" t="s">
        <v>15</v>
      </c>
      <c r="M4" s="103" t="s">
        <v>13</v>
      </c>
      <c r="N4" s="103" t="s">
        <v>14</v>
      </c>
      <c r="O4" s="103" t="s">
        <v>12</v>
      </c>
      <c r="P4" s="99"/>
      <c r="Q4" s="104"/>
    </row>
    <row r="5" spans="1:17">
      <c r="A5" s="99"/>
      <c r="B5" s="99"/>
      <c r="C5" s="105"/>
      <c r="D5" s="101"/>
      <c r="E5" s="102"/>
      <c r="F5" s="100"/>
      <c r="G5" s="103" t="s">
        <v>81</v>
      </c>
      <c r="H5" s="103" t="s">
        <v>311</v>
      </c>
      <c r="I5" s="103" t="s">
        <v>5</v>
      </c>
      <c r="J5" s="103"/>
      <c r="K5" s="103"/>
      <c r="L5" s="103"/>
      <c r="M5" s="103"/>
      <c r="N5" s="103"/>
      <c r="O5" s="103"/>
      <c r="P5" s="99"/>
      <c r="Q5" s="104"/>
    </row>
    <row r="6" spans="1:17">
      <c r="A6" s="106"/>
      <c r="B6" s="106"/>
      <c r="C6" s="107"/>
      <c r="D6" s="108"/>
      <c r="E6" s="109"/>
      <c r="F6" s="110"/>
      <c r="G6" s="111"/>
      <c r="H6" s="112"/>
      <c r="I6" s="111"/>
      <c r="J6" s="111"/>
      <c r="K6" s="113"/>
      <c r="L6" s="108"/>
      <c r="M6" s="111"/>
      <c r="N6" s="111"/>
      <c r="O6" s="111"/>
      <c r="P6" s="106"/>
      <c r="Q6" s="114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M7" s="8"/>
      <c r="N7" s="8"/>
      <c r="O7" s="8"/>
      <c r="P7" s="35"/>
      <c r="Q7" s="37"/>
    </row>
    <row r="8" spans="1:17" ht="15.75">
      <c r="A8" s="52">
        <v>1</v>
      </c>
      <c r="B8" s="51" t="s">
        <v>326</v>
      </c>
      <c r="C8" s="48" t="s">
        <v>327</v>
      </c>
      <c r="D8" s="67" t="s">
        <v>328</v>
      </c>
      <c r="E8" s="17">
        <v>43203</v>
      </c>
      <c r="F8" s="20" t="s">
        <v>329</v>
      </c>
      <c r="G8" s="36">
        <v>27500</v>
      </c>
      <c r="H8" s="36">
        <v>65983573</v>
      </c>
      <c r="I8" s="8">
        <v>1650277</v>
      </c>
      <c r="J8" s="8">
        <v>709975</v>
      </c>
      <c r="K8" s="8">
        <v>250000</v>
      </c>
      <c r="L8" s="8">
        <v>200000</v>
      </c>
      <c r="M8" s="8">
        <f>SUM(G8:L8)</f>
        <v>68821325</v>
      </c>
      <c r="N8" s="8">
        <f>93821325-M8</f>
        <v>25000000</v>
      </c>
      <c r="O8" s="8">
        <f t="shared" ref="O8" si="0">+M8+N8</f>
        <v>93821325</v>
      </c>
      <c r="P8" s="59" t="s">
        <v>124</v>
      </c>
      <c r="Q8" s="66" t="s">
        <v>52</v>
      </c>
    </row>
    <row r="9" spans="1:17" ht="15.75">
      <c r="A9" s="52"/>
      <c r="B9" s="51"/>
      <c r="C9" s="48"/>
      <c r="E9" s="17"/>
      <c r="F9" s="48"/>
      <c r="G9" s="36"/>
      <c r="H9" s="36"/>
      <c r="I9" s="36"/>
      <c r="J9" s="36"/>
      <c r="K9" s="36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" si="1">SUM(G8:G9)</f>
        <v>27500</v>
      </c>
      <c r="H10" s="19">
        <f t="shared" ref="H10:O10" si="2">SUM(H8:H9)</f>
        <v>65983573</v>
      </c>
      <c r="I10" s="19">
        <f t="shared" si="2"/>
        <v>1650277</v>
      </c>
      <c r="J10" s="19">
        <f t="shared" si="2"/>
        <v>709975</v>
      </c>
      <c r="K10" s="19">
        <f t="shared" si="2"/>
        <v>250000</v>
      </c>
      <c r="L10" s="19">
        <f t="shared" si="2"/>
        <v>200000</v>
      </c>
      <c r="M10" s="19">
        <f t="shared" si="2"/>
        <v>68821325</v>
      </c>
      <c r="N10" s="19">
        <f t="shared" si="2"/>
        <v>25000000</v>
      </c>
      <c r="O10" s="19">
        <f t="shared" si="2"/>
        <v>93821325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330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7" ht="15.75">
      <c r="A13" s="38"/>
      <c r="B13" s="40" t="s">
        <v>32</v>
      </c>
      <c r="C13" s="28" t="s">
        <v>28</v>
      </c>
      <c r="D13" s="39"/>
      <c r="F13" s="41"/>
      <c r="G13" s="143" t="s">
        <v>26</v>
      </c>
      <c r="H13" s="143"/>
      <c r="I13" s="143"/>
      <c r="K13" s="41"/>
    </row>
    <row r="14" spans="1:17" ht="15.75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7" ht="15.7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7" ht="15.75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7" ht="15.75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7" ht="15.75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7" ht="15.75">
      <c r="A22" s="26" t="s">
        <v>325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</row>
    <row r="23" spans="1:17">
      <c r="A23" s="62"/>
      <c r="B23" s="62" t="s">
        <v>1</v>
      </c>
      <c r="C23" s="93" t="s">
        <v>2</v>
      </c>
      <c r="D23" s="117" t="s">
        <v>34</v>
      </c>
      <c r="E23" s="95" t="s">
        <v>3</v>
      </c>
      <c r="F23" s="93" t="s">
        <v>4</v>
      </c>
      <c r="G23" s="96" t="s">
        <v>18</v>
      </c>
      <c r="H23" s="96" t="s">
        <v>18</v>
      </c>
      <c r="I23" s="97" t="s">
        <v>7</v>
      </c>
      <c r="J23" s="96" t="s">
        <v>6</v>
      </c>
      <c r="K23" s="96" t="s">
        <v>29</v>
      </c>
      <c r="L23" s="96" t="s">
        <v>21</v>
      </c>
      <c r="M23" s="96" t="s">
        <v>8</v>
      </c>
      <c r="N23" s="96" t="s">
        <v>8</v>
      </c>
      <c r="O23" s="96" t="s">
        <v>9</v>
      </c>
      <c r="P23" s="62" t="s">
        <v>10</v>
      </c>
      <c r="Q23" s="98" t="s">
        <v>33</v>
      </c>
    </row>
    <row r="24" spans="1:17">
      <c r="A24" s="99"/>
      <c r="B24" s="99"/>
      <c r="C24" s="100"/>
      <c r="D24" s="101"/>
      <c r="E24" s="102"/>
      <c r="F24" s="100"/>
      <c r="G24" s="103" t="s">
        <v>11</v>
      </c>
      <c r="H24" s="103" t="s">
        <v>11</v>
      </c>
      <c r="I24" s="103" t="s">
        <v>19</v>
      </c>
      <c r="J24" s="103" t="s">
        <v>35</v>
      </c>
      <c r="K24" s="103" t="s">
        <v>22</v>
      </c>
      <c r="L24" s="103" t="s">
        <v>15</v>
      </c>
      <c r="M24" s="103" t="s">
        <v>13</v>
      </c>
      <c r="N24" s="103" t="s">
        <v>14</v>
      </c>
      <c r="O24" s="103" t="s">
        <v>12</v>
      </c>
      <c r="P24" s="99"/>
      <c r="Q24" s="104"/>
    </row>
    <row r="25" spans="1:17">
      <c r="A25" s="99"/>
      <c r="B25" s="99"/>
      <c r="C25" s="105"/>
      <c r="D25" s="101"/>
      <c r="E25" s="102"/>
      <c r="F25" s="100"/>
      <c r="G25" s="103" t="s">
        <v>81</v>
      </c>
      <c r="H25" s="103" t="s">
        <v>311</v>
      </c>
      <c r="I25" s="103" t="s">
        <v>5</v>
      </c>
      <c r="J25" s="103"/>
      <c r="K25" s="103"/>
      <c r="L25" s="103"/>
      <c r="M25" s="103"/>
      <c r="N25" s="103"/>
      <c r="O25" s="103"/>
      <c r="P25" s="99"/>
      <c r="Q25" s="104"/>
    </row>
    <row r="26" spans="1:17">
      <c r="A26" s="106"/>
      <c r="B26" s="106"/>
      <c r="C26" s="107"/>
      <c r="D26" s="108"/>
      <c r="E26" s="109"/>
      <c r="F26" s="110"/>
      <c r="G26" s="111"/>
      <c r="H26" s="112"/>
      <c r="I26" s="111"/>
      <c r="J26" s="111"/>
      <c r="K26" s="113"/>
      <c r="L26" s="108"/>
      <c r="M26" s="111"/>
      <c r="N26" s="111"/>
      <c r="O26" s="111"/>
      <c r="P26" s="106"/>
      <c r="Q26" s="114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M27" s="8"/>
      <c r="N27" s="8"/>
      <c r="O27" s="8"/>
      <c r="P27" s="35"/>
      <c r="Q27" s="37"/>
    </row>
    <row r="28" spans="1:17" ht="15.75">
      <c r="A28" s="52">
        <v>1</v>
      </c>
      <c r="B28" s="51" t="s">
        <v>331</v>
      </c>
      <c r="C28" s="48" t="s">
        <v>332</v>
      </c>
      <c r="D28" s="67" t="s">
        <v>333</v>
      </c>
      <c r="E28" s="17">
        <v>43203</v>
      </c>
      <c r="F28" s="20" t="s">
        <v>334</v>
      </c>
      <c r="G28" s="36">
        <v>0</v>
      </c>
      <c r="H28" s="36">
        <v>0</v>
      </c>
      <c r="I28" s="8">
        <v>0</v>
      </c>
      <c r="J28" s="8">
        <v>0</v>
      </c>
      <c r="K28" s="8">
        <v>300000</v>
      </c>
      <c r="L28" s="8">
        <v>200000</v>
      </c>
      <c r="M28" s="8">
        <f>SUM(G28:L28)</f>
        <v>500000</v>
      </c>
      <c r="N28" s="8">
        <f>50000000-M28</f>
        <v>49500000</v>
      </c>
      <c r="O28" s="8">
        <f t="shared" ref="O28" si="3">+M28+N28</f>
        <v>50000000</v>
      </c>
      <c r="P28" s="59" t="s">
        <v>159</v>
      </c>
      <c r="Q28" s="66" t="s">
        <v>335</v>
      </c>
    </row>
    <row r="29" spans="1:17" ht="15.75">
      <c r="A29" s="52"/>
      <c r="B29" s="51"/>
      <c r="C29" s="48"/>
      <c r="E29" s="17"/>
      <c r="F29" s="48"/>
      <c r="G29" s="36"/>
      <c r="H29" s="36"/>
      <c r="I29" s="36"/>
      <c r="J29" s="36"/>
      <c r="K29" s="36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" si="4">SUM(G28:G29)</f>
        <v>0</v>
      </c>
      <c r="H30" s="19">
        <f t="shared" ref="H30:O30" si="5">SUM(H28:H29)</f>
        <v>0</v>
      </c>
      <c r="I30" s="19">
        <f t="shared" si="5"/>
        <v>0</v>
      </c>
      <c r="J30" s="19">
        <f t="shared" si="5"/>
        <v>0</v>
      </c>
      <c r="K30" s="19">
        <f t="shared" si="5"/>
        <v>300000</v>
      </c>
      <c r="L30" s="19">
        <f t="shared" si="5"/>
        <v>200000</v>
      </c>
      <c r="M30" s="19">
        <f t="shared" si="5"/>
        <v>500000</v>
      </c>
      <c r="N30" s="19">
        <f t="shared" si="5"/>
        <v>49500000</v>
      </c>
      <c r="O30" s="19">
        <f t="shared" si="5"/>
        <v>50000000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330</v>
      </c>
      <c r="C32" s="22"/>
      <c r="D32" s="39"/>
      <c r="F32" s="27"/>
      <c r="G32" s="28"/>
      <c r="H32" s="28"/>
      <c r="I32" s="28"/>
      <c r="J32" s="28"/>
      <c r="K32" s="28"/>
      <c r="L32" s="28"/>
      <c r="Q32" s="51"/>
    </row>
    <row r="33" spans="1:17" ht="15.75">
      <c r="A33" s="38"/>
      <c r="B33" s="40" t="s">
        <v>32</v>
      </c>
      <c r="C33" s="28" t="s">
        <v>28</v>
      </c>
      <c r="D33" s="39"/>
      <c r="F33" s="41"/>
      <c r="G33" s="143" t="s">
        <v>26</v>
      </c>
      <c r="H33" s="143"/>
      <c r="I33" s="143"/>
      <c r="K33" s="41"/>
    </row>
    <row r="34" spans="1:17" ht="15.75">
      <c r="A34" s="38"/>
      <c r="B34" s="40"/>
      <c r="C34" s="28"/>
      <c r="D34" s="39"/>
      <c r="F34" s="28"/>
      <c r="G34" s="28"/>
      <c r="H34" s="28"/>
      <c r="I34" s="28"/>
      <c r="J34" s="28"/>
      <c r="K34" s="28"/>
      <c r="L34" s="28"/>
    </row>
    <row r="35" spans="1:17" ht="15.7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>
      <c r="A36" s="38"/>
      <c r="B36" s="40"/>
      <c r="C36" s="28"/>
      <c r="D36" s="39"/>
      <c r="F36" s="28"/>
      <c r="G36" s="28"/>
      <c r="H36" s="28"/>
      <c r="I36" s="28"/>
      <c r="J36" s="28"/>
      <c r="K36" s="28"/>
    </row>
    <row r="37" spans="1:17" ht="15.75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7" ht="15.75">
      <c r="A38" s="38" t="s">
        <v>23</v>
      </c>
      <c r="B38" s="42" t="s">
        <v>27</v>
      </c>
      <c r="C38" s="43" t="s">
        <v>24</v>
      </c>
      <c r="D38" s="39"/>
      <c r="F38" s="29"/>
      <c r="G38" s="29" t="s">
        <v>16</v>
      </c>
      <c r="H38" s="29"/>
      <c r="I38" s="29" t="s">
        <v>30</v>
      </c>
    </row>
    <row r="39" spans="1:17" ht="15.75">
      <c r="A39" s="38"/>
      <c r="B39" s="44" t="s">
        <v>31</v>
      </c>
      <c r="C39" s="45" t="s">
        <v>20</v>
      </c>
      <c r="D39" s="39"/>
      <c r="F39" s="46"/>
      <c r="G39" s="46" t="s">
        <v>17</v>
      </c>
      <c r="H39" s="46"/>
      <c r="I39" s="46" t="s">
        <v>25</v>
      </c>
    </row>
    <row r="40" spans="1:17">
      <c r="A40" s="92" t="s">
        <v>106</v>
      </c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</row>
    <row r="42" spans="1:17" ht="15.75">
      <c r="A42" s="26" t="s">
        <v>336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</row>
    <row r="43" spans="1:17">
      <c r="A43" s="62"/>
      <c r="B43" s="62" t="s">
        <v>1</v>
      </c>
      <c r="C43" s="93" t="s">
        <v>2</v>
      </c>
      <c r="D43" s="117" t="s">
        <v>34</v>
      </c>
      <c r="E43" s="95" t="s">
        <v>3</v>
      </c>
      <c r="F43" s="93" t="s">
        <v>4</v>
      </c>
      <c r="G43" s="96" t="s">
        <v>18</v>
      </c>
      <c r="H43" s="96" t="s">
        <v>18</v>
      </c>
      <c r="I43" s="97" t="s">
        <v>7</v>
      </c>
      <c r="J43" s="96" t="s">
        <v>6</v>
      </c>
      <c r="K43" s="96" t="s">
        <v>29</v>
      </c>
      <c r="L43" s="96" t="s">
        <v>21</v>
      </c>
      <c r="M43" s="96" t="s">
        <v>8</v>
      </c>
      <c r="N43" s="96" t="s">
        <v>8</v>
      </c>
      <c r="O43" s="96" t="s">
        <v>9</v>
      </c>
      <c r="P43" s="62" t="s">
        <v>10</v>
      </c>
      <c r="Q43" s="98" t="s">
        <v>33</v>
      </c>
    </row>
    <row r="44" spans="1:17">
      <c r="A44" s="99"/>
      <c r="B44" s="99"/>
      <c r="C44" s="100"/>
      <c r="D44" s="101"/>
      <c r="E44" s="102"/>
      <c r="F44" s="100"/>
      <c r="G44" s="103" t="s">
        <v>11</v>
      </c>
      <c r="H44" s="103" t="s">
        <v>11</v>
      </c>
      <c r="I44" s="103" t="s">
        <v>19</v>
      </c>
      <c r="J44" s="103" t="s">
        <v>35</v>
      </c>
      <c r="K44" s="103" t="s">
        <v>22</v>
      </c>
      <c r="L44" s="103" t="s">
        <v>15</v>
      </c>
      <c r="M44" s="103" t="s">
        <v>13</v>
      </c>
      <c r="N44" s="103" t="s">
        <v>14</v>
      </c>
      <c r="O44" s="103" t="s">
        <v>12</v>
      </c>
      <c r="P44" s="99"/>
      <c r="Q44" s="104"/>
    </row>
    <row r="45" spans="1:17">
      <c r="A45" s="99"/>
      <c r="B45" s="99"/>
      <c r="C45" s="105"/>
      <c r="D45" s="101"/>
      <c r="E45" s="102"/>
      <c r="F45" s="100"/>
      <c r="G45" s="103" t="s">
        <v>81</v>
      </c>
      <c r="H45" s="103" t="s">
        <v>311</v>
      </c>
      <c r="I45" s="103" t="s">
        <v>5</v>
      </c>
      <c r="J45" s="103"/>
      <c r="K45" s="103"/>
      <c r="L45" s="103"/>
      <c r="M45" s="103"/>
      <c r="N45" s="103"/>
      <c r="O45" s="103"/>
      <c r="P45" s="99"/>
      <c r="Q45" s="104"/>
    </row>
    <row r="46" spans="1:17">
      <c r="A46" s="106"/>
      <c r="B46" s="106"/>
      <c r="C46" s="107"/>
      <c r="D46" s="108"/>
      <c r="E46" s="109"/>
      <c r="F46" s="110"/>
      <c r="G46" s="111"/>
      <c r="H46" s="112"/>
      <c r="I46" s="111"/>
      <c r="J46" s="111"/>
      <c r="K46" s="113"/>
      <c r="L46" s="108"/>
      <c r="M46" s="111"/>
      <c r="N46" s="111"/>
      <c r="O46" s="111"/>
      <c r="P46" s="106"/>
      <c r="Q46" s="114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M47" s="8"/>
      <c r="N47" s="8"/>
      <c r="O47" s="8"/>
      <c r="P47" s="35"/>
      <c r="Q47" s="37"/>
    </row>
    <row r="48" spans="1:17" ht="15.75">
      <c r="A48" s="52">
        <v>1</v>
      </c>
      <c r="B48" s="51" t="s">
        <v>339</v>
      </c>
      <c r="C48" s="48" t="s">
        <v>340</v>
      </c>
      <c r="D48" s="67" t="s">
        <v>341</v>
      </c>
      <c r="E48" s="17">
        <v>43215</v>
      </c>
      <c r="F48" s="20" t="s">
        <v>337</v>
      </c>
      <c r="G48" s="36">
        <v>0</v>
      </c>
      <c r="H48" s="36">
        <v>47218000</v>
      </c>
      <c r="I48" s="8">
        <v>1180450</v>
      </c>
      <c r="J48" s="8">
        <v>0</v>
      </c>
      <c r="K48" s="8">
        <v>0</v>
      </c>
      <c r="L48" s="8">
        <v>200000</v>
      </c>
      <c r="M48" s="8">
        <f>SUM(G48:L48)</f>
        <v>48598450</v>
      </c>
      <c r="N48" s="8">
        <f>48598450-M48</f>
        <v>0</v>
      </c>
      <c r="O48" s="8">
        <f t="shared" ref="O48" si="6">+M48+N48</f>
        <v>48598450</v>
      </c>
      <c r="P48" s="59" t="s">
        <v>342</v>
      </c>
      <c r="Q48" s="66" t="s">
        <v>338</v>
      </c>
    </row>
    <row r="49" spans="1:17" ht="15.75">
      <c r="A49" s="52">
        <v>2</v>
      </c>
      <c r="B49" s="51" t="s">
        <v>343</v>
      </c>
      <c r="C49" s="48" t="s">
        <v>344</v>
      </c>
      <c r="D49" s="67" t="s">
        <v>345</v>
      </c>
      <c r="E49" s="17">
        <v>43215</v>
      </c>
      <c r="F49" s="20" t="s">
        <v>337</v>
      </c>
      <c r="G49" s="36">
        <v>0</v>
      </c>
      <c r="H49" s="36">
        <v>91700000</v>
      </c>
      <c r="I49" s="8">
        <v>2292500</v>
      </c>
      <c r="J49" s="8">
        <v>0</v>
      </c>
      <c r="K49" s="8">
        <v>0</v>
      </c>
      <c r="L49" s="8">
        <v>200000</v>
      </c>
      <c r="M49" s="8">
        <f>SUM(G49:L49)</f>
        <v>94192500</v>
      </c>
      <c r="N49" s="8">
        <f>94192500-M49</f>
        <v>0</v>
      </c>
      <c r="O49" s="8">
        <f t="shared" ref="O49" si="7">+M49+N49</f>
        <v>94192500</v>
      </c>
      <c r="P49" s="59" t="s">
        <v>346</v>
      </c>
      <c r="Q49" s="66" t="s">
        <v>338</v>
      </c>
    </row>
    <row r="50" spans="1:17" ht="15.75">
      <c r="A50" s="52">
        <v>3</v>
      </c>
      <c r="B50" s="51" t="s">
        <v>101</v>
      </c>
      <c r="C50" s="48" t="s">
        <v>102</v>
      </c>
      <c r="D50" s="67" t="s">
        <v>347</v>
      </c>
      <c r="E50" s="17">
        <v>43215</v>
      </c>
      <c r="F50" s="20" t="s">
        <v>337</v>
      </c>
      <c r="G50" s="36">
        <v>0</v>
      </c>
      <c r="H50" s="36">
        <v>197250000</v>
      </c>
      <c r="I50" s="8">
        <v>4931250</v>
      </c>
      <c r="J50" s="8">
        <v>0</v>
      </c>
      <c r="K50" s="8">
        <v>0</v>
      </c>
      <c r="L50" s="8">
        <v>200000</v>
      </c>
      <c r="M50" s="8">
        <f>SUM(G50:L50)</f>
        <v>202381250</v>
      </c>
      <c r="N50" s="8">
        <f>202381250-M50</f>
        <v>0</v>
      </c>
      <c r="O50" s="8">
        <f t="shared" ref="O50" si="8">+M50+N50</f>
        <v>202381250</v>
      </c>
      <c r="P50" s="59" t="s">
        <v>51</v>
      </c>
      <c r="Q50" s="66" t="s">
        <v>338</v>
      </c>
    </row>
    <row r="51" spans="1:17" ht="15.75">
      <c r="A51" s="52"/>
      <c r="B51" s="51"/>
      <c r="C51" s="48"/>
      <c r="E51" s="17"/>
      <c r="F51" s="48"/>
      <c r="G51" s="36"/>
      <c r="H51" s="36"/>
      <c r="I51" s="36"/>
      <c r="J51" s="36"/>
      <c r="K51" s="36"/>
      <c r="M51" s="8"/>
      <c r="N51" s="8"/>
      <c r="O51" s="8"/>
      <c r="P51" s="59"/>
      <c r="Q51" s="66"/>
    </row>
    <row r="52" spans="1:17" ht="16.5" thickBot="1">
      <c r="A52" s="18"/>
      <c r="B52" s="55"/>
      <c r="C52" s="56"/>
      <c r="D52" s="74"/>
      <c r="E52" s="56"/>
      <c r="F52" s="57"/>
      <c r="G52" s="19">
        <f>SUM(G48:G51)</f>
        <v>0</v>
      </c>
      <c r="H52" s="19">
        <f t="shared" ref="H52:O52" si="9">SUM(H48:H51)</f>
        <v>336168000</v>
      </c>
      <c r="I52" s="19">
        <f t="shared" si="9"/>
        <v>8404200</v>
      </c>
      <c r="J52" s="19">
        <f t="shared" si="9"/>
        <v>0</v>
      </c>
      <c r="K52" s="19">
        <f t="shared" si="9"/>
        <v>0</v>
      </c>
      <c r="L52" s="19">
        <f t="shared" si="9"/>
        <v>600000</v>
      </c>
      <c r="M52" s="19">
        <f t="shared" si="9"/>
        <v>345172200</v>
      </c>
      <c r="N52" s="19">
        <f t="shared" si="9"/>
        <v>0</v>
      </c>
      <c r="O52" s="19">
        <f t="shared" si="9"/>
        <v>345172200</v>
      </c>
      <c r="P52" s="68"/>
      <c r="Q52" s="70"/>
    </row>
    <row r="53" spans="1:17" ht="16.5" thickTop="1">
      <c r="A53" s="23"/>
      <c r="B53" s="22"/>
      <c r="C53" s="22"/>
      <c r="D53" s="23"/>
      <c r="E53" s="22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2"/>
      <c r="Q53" s="69"/>
    </row>
    <row r="54" spans="1:17" ht="15.75">
      <c r="A54" s="23"/>
      <c r="B54" s="28" t="s">
        <v>348</v>
      </c>
      <c r="C54" s="22"/>
      <c r="D54" s="39"/>
      <c r="F54" s="27"/>
      <c r="G54" s="28"/>
      <c r="H54" s="28"/>
      <c r="I54" s="28"/>
      <c r="J54" s="28"/>
      <c r="K54" s="28"/>
      <c r="L54" s="28"/>
      <c r="Q54" s="51"/>
    </row>
    <row r="55" spans="1:17" ht="15.75">
      <c r="A55" s="38"/>
      <c r="B55" s="40" t="s">
        <v>32</v>
      </c>
      <c r="C55" s="28" t="s">
        <v>28</v>
      </c>
      <c r="D55" s="39"/>
      <c r="F55" s="41"/>
      <c r="G55" s="143" t="s">
        <v>26</v>
      </c>
      <c r="H55" s="143"/>
      <c r="I55" s="143"/>
      <c r="K55" s="41"/>
    </row>
    <row r="56" spans="1:17" ht="15.75">
      <c r="A56" s="38"/>
      <c r="B56" s="40"/>
      <c r="C56" s="28"/>
      <c r="D56" s="39"/>
      <c r="F56" s="28"/>
      <c r="G56" s="28"/>
      <c r="H56" s="28"/>
      <c r="I56" s="28"/>
      <c r="J56" s="28"/>
      <c r="K56" s="28"/>
      <c r="L56" s="28"/>
    </row>
    <row r="57" spans="1:17" ht="15.75">
      <c r="A57" s="38"/>
      <c r="B57" s="40"/>
      <c r="C57" s="28"/>
      <c r="D57" s="39"/>
      <c r="F57" s="28"/>
      <c r="G57" s="28"/>
      <c r="H57" s="28"/>
      <c r="I57" s="28"/>
      <c r="J57" s="28"/>
      <c r="K57" s="28"/>
      <c r="L57" s="28"/>
    </row>
    <row r="58" spans="1:17" ht="15.75">
      <c r="A58" s="38"/>
      <c r="B58" s="40"/>
      <c r="C58" s="28"/>
      <c r="D58" s="39"/>
      <c r="F58" s="28"/>
      <c r="G58" s="28"/>
      <c r="H58" s="28"/>
      <c r="I58" s="28"/>
      <c r="J58" s="28"/>
      <c r="K58" s="28"/>
    </row>
    <row r="59" spans="1:17" ht="15.75">
      <c r="A59" s="38"/>
      <c r="B59" s="40"/>
      <c r="C59" s="28"/>
      <c r="D59" s="39"/>
      <c r="F59" s="28"/>
      <c r="G59" s="28"/>
      <c r="H59" s="28"/>
      <c r="I59" s="28"/>
      <c r="J59" s="28"/>
      <c r="K59" s="28"/>
      <c r="L59" s="28"/>
    </row>
    <row r="60" spans="1:17" ht="15.75">
      <c r="A60" s="38" t="s">
        <v>23</v>
      </c>
      <c r="B60" s="42" t="s">
        <v>27</v>
      </c>
      <c r="C60" s="43" t="s">
        <v>24</v>
      </c>
      <c r="D60" s="39"/>
      <c r="F60" s="29"/>
      <c r="G60" s="29" t="s">
        <v>16</v>
      </c>
      <c r="H60" s="29"/>
      <c r="I60" s="29" t="s">
        <v>30</v>
      </c>
    </row>
    <row r="61" spans="1:17" ht="15.75">
      <c r="A61" s="38"/>
      <c r="B61" s="44" t="s">
        <v>31</v>
      </c>
      <c r="C61" s="45" t="s">
        <v>20</v>
      </c>
      <c r="D61" s="39"/>
      <c r="F61" s="46"/>
      <c r="G61" s="46" t="s">
        <v>17</v>
      </c>
      <c r="H61" s="46"/>
      <c r="I61" s="46" t="s">
        <v>25</v>
      </c>
    </row>
    <row r="63" spans="1:17" ht="15.75">
      <c r="A63" s="21" t="s">
        <v>0</v>
      </c>
      <c r="B63" s="22"/>
      <c r="C63" s="23"/>
      <c r="D63" s="23"/>
      <c r="E63" s="23"/>
      <c r="F63" s="24"/>
      <c r="G63" s="24"/>
      <c r="H63" s="24"/>
      <c r="I63" s="24"/>
      <c r="J63" s="24"/>
      <c r="K63" s="24"/>
      <c r="L63" s="25"/>
    </row>
    <row r="64" spans="1:17" ht="15.75">
      <c r="A64" s="26" t="s">
        <v>336</v>
      </c>
      <c r="B64" s="21"/>
      <c r="C64" s="21"/>
      <c r="D64" s="21"/>
      <c r="E64" s="21"/>
      <c r="F64" s="24"/>
      <c r="G64" s="24"/>
      <c r="H64" s="24"/>
      <c r="I64" s="24"/>
      <c r="J64" s="24"/>
      <c r="K64" s="24"/>
      <c r="L64" s="25"/>
    </row>
    <row r="65" spans="1:18">
      <c r="A65" s="62"/>
      <c r="B65" s="62" t="s">
        <v>1</v>
      </c>
      <c r="C65" s="93" t="s">
        <v>2</v>
      </c>
      <c r="D65" s="117" t="s">
        <v>34</v>
      </c>
      <c r="E65" s="95" t="s">
        <v>3</v>
      </c>
      <c r="F65" s="93" t="s">
        <v>4</v>
      </c>
      <c r="G65" s="96" t="s">
        <v>18</v>
      </c>
      <c r="H65" s="96" t="s">
        <v>18</v>
      </c>
      <c r="I65" s="96" t="s">
        <v>18</v>
      </c>
      <c r="J65" s="97" t="s">
        <v>7</v>
      </c>
      <c r="K65" s="96" t="s">
        <v>6</v>
      </c>
      <c r="L65" s="96" t="s">
        <v>29</v>
      </c>
      <c r="M65" s="96" t="s">
        <v>21</v>
      </c>
      <c r="N65" s="96" t="s">
        <v>8</v>
      </c>
      <c r="O65" s="96" t="s">
        <v>8</v>
      </c>
      <c r="P65" s="96" t="s">
        <v>9</v>
      </c>
      <c r="Q65" s="62" t="s">
        <v>10</v>
      </c>
      <c r="R65" s="98" t="s">
        <v>33</v>
      </c>
    </row>
    <row r="66" spans="1:18">
      <c r="A66" s="99"/>
      <c r="B66" s="99"/>
      <c r="C66" s="100"/>
      <c r="D66" s="101"/>
      <c r="E66" s="102"/>
      <c r="F66" s="100"/>
      <c r="G66" s="103" t="s">
        <v>11</v>
      </c>
      <c r="H66" s="103" t="s">
        <v>11</v>
      </c>
      <c r="I66" s="103" t="s">
        <v>11</v>
      </c>
      <c r="J66" s="119" t="s">
        <v>19</v>
      </c>
      <c r="K66" s="103" t="s">
        <v>35</v>
      </c>
      <c r="L66" s="103" t="s">
        <v>22</v>
      </c>
      <c r="M66" s="103" t="s">
        <v>15</v>
      </c>
      <c r="N66" s="103" t="s">
        <v>13</v>
      </c>
      <c r="O66" s="103" t="s">
        <v>14</v>
      </c>
      <c r="P66" s="103" t="s">
        <v>12</v>
      </c>
      <c r="Q66" s="99"/>
      <c r="R66" s="104"/>
    </row>
    <row r="67" spans="1:18">
      <c r="A67" s="99"/>
      <c r="B67" s="99"/>
      <c r="C67" s="105"/>
      <c r="D67" s="101"/>
      <c r="E67" s="102"/>
      <c r="F67" s="100"/>
      <c r="G67" s="103" t="s">
        <v>81</v>
      </c>
      <c r="H67" s="103" t="s">
        <v>366</v>
      </c>
      <c r="I67" s="103" t="s">
        <v>367</v>
      </c>
      <c r="J67" s="119" t="s">
        <v>5</v>
      </c>
      <c r="K67" s="103"/>
      <c r="L67" s="103"/>
      <c r="M67" s="103"/>
      <c r="N67" s="103"/>
      <c r="O67" s="103"/>
      <c r="P67" s="103"/>
      <c r="Q67" s="99"/>
      <c r="R67" s="104"/>
    </row>
    <row r="68" spans="1:18">
      <c r="A68" s="106"/>
      <c r="B68" s="106"/>
      <c r="C68" s="107"/>
      <c r="D68" s="108"/>
      <c r="E68" s="109"/>
      <c r="F68" s="110"/>
      <c r="G68" s="111"/>
      <c r="H68" s="112"/>
      <c r="I68" s="75"/>
      <c r="J68" s="120"/>
      <c r="K68" s="111"/>
      <c r="L68" s="113"/>
      <c r="M68" s="108"/>
      <c r="N68" s="111"/>
      <c r="O68" s="111"/>
      <c r="P68" s="111"/>
      <c r="Q68" s="106"/>
      <c r="R68" s="114"/>
    </row>
    <row r="69" spans="1:18" ht="15.75">
      <c r="A69" s="52"/>
      <c r="B69" s="47"/>
      <c r="C69" s="48"/>
      <c r="D69" s="73"/>
      <c r="E69" s="17"/>
      <c r="F69" s="48"/>
      <c r="G69" s="36"/>
      <c r="H69" s="36"/>
      <c r="J69" s="36"/>
      <c r="K69" s="36"/>
      <c r="L69" s="8"/>
      <c r="N69" s="8"/>
      <c r="O69" s="8"/>
      <c r="P69" s="8"/>
      <c r="Q69" s="35"/>
      <c r="R69" s="37"/>
    </row>
    <row r="70" spans="1:18" ht="15.75">
      <c r="A70" s="52">
        <v>1</v>
      </c>
      <c r="B70" s="116" t="s">
        <v>349</v>
      </c>
      <c r="C70" s="48" t="s">
        <v>350</v>
      </c>
      <c r="D70" s="67" t="s">
        <v>351</v>
      </c>
      <c r="E70" s="17">
        <v>43215</v>
      </c>
      <c r="F70" s="20" t="s">
        <v>352</v>
      </c>
      <c r="G70" s="36">
        <v>0</v>
      </c>
      <c r="H70" s="36">
        <v>24996000</v>
      </c>
      <c r="I70" s="36">
        <v>0</v>
      </c>
      <c r="J70" s="8">
        <v>624900</v>
      </c>
      <c r="K70" s="8">
        <v>0</v>
      </c>
      <c r="L70" s="8">
        <v>449960</v>
      </c>
      <c r="M70" s="8">
        <v>200000</v>
      </c>
      <c r="N70" s="8">
        <f>SUM(G70:M70)</f>
        <v>26270860</v>
      </c>
      <c r="O70" s="8">
        <f>76270860-N70</f>
        <v>50000000</v>
      </c>
      <c r="P70" s="8">
        <f t="shared" ref="P70" si="10">+N70+O70</f>
        <v>76270860</v>
      </c>
      <c r="Q70" s="59" t="s">
        <v>59</v>
      </c>
      <c r="R70" s="66" t="s">
        <v>83</v>
      </c>
    </row>
    <row r="71" spans="1:18" ht="15.75">
      <c r="A71" s="52">
        <v>2</v>
      </c>
      <c r="B71" s="51" t="s">
        <v>353</v>
      </c>
      <c r="C71" s="48" t="s">
        <v>354</v>
      </c>
      <c r="D71" s="67" t="s">
        <v>355</v>
      </c>
      <c r="E71" s="17">
        <v>43215</v>
      </c>
      <c r="F71" s="20" t="s">
        <v>356</v>
      </c>
      <c r="G71" s="36">
        <v>0</v>
      </c>
      <c r="H71" s="36">
        <v>0</v>
      </c>
      <c r="I71" s="36">
        <v>31666000</v>
      </c>
      <c r="J71" s="8">
        <v>791650</v>
      </c>
      <c r="K71" s="8">
        <v>0</v>
      </c>
      <c r="L71" s="8">
        <v>183340</v>
      </c>
      <c r="M71" s="8">
        <v>200000</v>
      </c>
      <c r="N71" s="8">
        <f t="shared" ref="N71:N74" si="11">SUM(G71:M71)</f>
        <v>32840990</v>
      </c>
      <c r="O71" s="8">
        <f>50000000-N71</f>
        <v>17159010</v>
      </c>
      <c r="P71" s="8">
        <f t="shared" ref="P71" si="12">+N71+O71</f>
        <v>50000000</v>
      </c>
      <c r="Q71" s="59" t="s">
        <v>235</v>
      </c>
      <c r="R71" s="66" t="s">
        <v>83</v>
      </c>
    </row>
    <row r="72" spans="1:18" ht="15.75">
      <c r="A72" s="52">
        <v>3</v>
      </c>
      <c r="B72" s="51" t="s">
        <v>357</v>
      </c>
      <c r="C72" s="48" t="s">
        <v>358</v>
      </c>
      <c r="D72" s="67" t="s">
        <v>359</v>
      </c>
      <c r="E72" s="17">
        <v>43215</v>
      </c>
      <c r="F72" s="20" t="s">
        <v>360</v>
      </c>
      <c r="G72" s="36">
        <v>0</v>
      </c>
      <c r="H72" s="36">
        <v>0</v>
      </c>
      <c r="I72" s="36">
        <v>30554000</v>
      </c>
      <c r="J72" s="8">
        <v>763850</v>
      </c>
      <c r="K72" s="8">
        <v>0</v>
      </c>
      <c r="L72" s="8">
        <v>194460</v>
      </c>
      <c r="M72" s="8">
        <v>200000</v>
      </c>
      <c r="N72" s="8">
        <f t="shared" si="11"/>
        <v>31712310</v>
      </c>
      <c r="O72" s="8">
        <f>50000000-N72</f>
        <v>18287690</v>
      </c>
      <c r="P72" s="8">
        <f t="shared" ref="P72" si="13">+N72+O72</f>
        <v>50000000</v>
      </c>
      <c r="Q72" s="59" t="s">
        <v>361</v>
      </c>
      <c r="R72" s="66" t="s">
        <v>83</v>
      </c>
    </row>
    <row r="73" spans="1:18" ht="15.75">
      <c r="A73" s="52">
        <v>4</v>
      </c>
      <c r="B73" s="51" t="s">
        <v>362</v>
      </c>
      <c r="C73" s="48" t="s">
        <v>363</v>
      </c>
      <c r="D73" s="67" t="s">
        <v>364</v>
      </c>
      <c r="E73" s="17">
        <v>43215</v>
      </c>
      <c r="F73" s="20" t="s">
        <v>365</v>
      </c>
      <c r="G73" s="36">
        <v>15520340</v>
      </c>
      <c r="H73" s="36">
        <v>0</v>
      </c>
      <c r="I73" s="36">
        <v>31663407</v>
      </c>
      <c r="J73" s="8">
        <v>1179594</v>
      </c>
      <c r="K73" s="8">
        <v>0</v>
      </c>
      <c r="L73" s="8">
        <v>300000</v>
      </c>
      <c r="M73" s="8">
        <v>200000</v>
      </c>
      <c r="N73" s="8">
        <f t="shared" si="11"/>
        <v>48863341</v>
      </c>
      <c r="O73" s="8">
        <f>78863341-N73</f>
        <v>30000000</v>
      </c>
      <c r="P73" s="8">
        <f t="shared" ref="P73" si="14">+N73+O73</f>
        <v>78863341</v>
      </c>
      <c r="Q73" s="59" t="s">
        <v>159</v>
      </c>
      <c r="R73" s="66" t="s">
        <v>83</v>
      </c>
    </row>
    <row r="74" spans="1:18" ht="15.75">
      <c r="A74" s="52">
        <v>5</v>
      </c>
      <c r="B74" s="51" t="s">
        <v>368</v>
      </c>
      <c r="C74" s="48" t="s">
        <v>369</v>
      </c>
      <c r="D74" s="67" t="s">
        <v>370</v>
      </c>
      <c r="E74" s="17">
        <v>43215</v>
      </c>
      <c r="F74" s="20" t="s">
        <v>371</v>
      </c>
      <c r="G74" s="36">
        <v>0</v>
      </c>
      <c r="H74" s="36">
        <v>16656000</v>
      </c>
      <c r="I74" s="36">
        <v>0</v>
      </c>
      <c r="J74" s="8">
        <v>416400</v>
      </c>
      <c r="K74" s="8">
        <v>0</v>
      </c>
      <c r="L74" s="8">
        <v>700000</v>
      </c>
      <c r="M74" s="8">
        <v>200000</v>
      </c>
      <c r="N74" s="8">
        <f t="shared" si="11"/>
        <v>17972400</v>
      </c>
      <c r="O74" s="8">
        <f>100000000-N74</f>
        <v>82027600</v>
      </c>
      <c r="P74" s="8">
        <f t="shared" ref="P74" si="15">+N74+O74</f>
        <v>100000000</v>
      </c>
      <c r="Q74" s="59" t="s">
        <v>134</v>
      </c>
      <c r="R74" s="66" t="s">
        <v>83</v>
      </c>
    </row>
    <row r="75" spans="1:18" ht="15.75">
      <c r="A75" s="52"/>
      <c r="B75" s="51"/>
      <c r="C75" s="48"/>
      <c r="E75" s="17"/>
      <c r="F75" s="48"/>
      <c r="G75" s="36"/>
      <c r="H75" s="36"/>
      <c r="I75" s="36"/>
      <c r="J75" s="36"/>
      <c r="K75" s="36"/>
      <c r="M75" s="8"/>
      <c r="N75" s="8"/>
      <c r="O75" s="8"/>
      <c r="P75" s="59"/>
      <c r="Q75" s="66"/>
      <c r="R75" s="75"/>
    </row>
    <row r="76" spans="1:18" ht="16.5" thickBot="1">
      <c r="A76" s="18"/>
      <c r="B76" s="55"/>
      <c r="C76" s="56"/>
      <c r="D76" s="74"/>
      <c r="E76" s="56"/>
      <c r="F76" s="57"/>
      <c r="G76" s="19">
        <f>SUM(G70:G75)</f>
        <v>15520340</v>
      </c>
      <c r="H76" s="19">
        <f t="shared" ref="H76:P76" si="16">SUM(H70:H75)</f>
        <v>41652000</v>
      </c>
      <c r="I76" s="19">
        <f t="shared" si="16"/>
        <v>93883407</v>
      </c>
      <c r="J76" s="19">
        <f t="shared" si="16"/>
        <v>3776394</v>
      </c>
      <c r="K76" s="19">
        <f t="shared" si="16"/>
        <v>0</v>
      </c>
      <c r="L76" s="19">
        <f t="shared" si="16"/>
        <v>1827760</v>
      </c>
      <c r="M76" s="19">
        <f t="shared" si="16"/>
        <v>1000000</v>
      </c>
      <c r="N76" s="19">
        <f t="shared" si="16"/>
        <v>157659901</v>
      </c>
      <c r="O76" s="19">
        <f t="shared" si="16"/>
        <v>197474300</v>
      </c>
      <c r="P76" s="19">
        <f t="shared" si="16"/>
        <v>355134201</v>
      </c>
      <c r="Q76" s="70"/>
      <c r="R76" s="121"/>
    </row>
    <row r="77" spans="1:18" ht="16.5" thickTop="1">
      <c r="A77" s="23"/>
      <c r="B77" s="22"/>
      <c r="C77" s="22"/>
      <c r="D77" s="23"/>
      <c r="E77" s="22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2"/>
      <c r="Q77" s="69"/>
    </row>
    <row r="78" spans="1:18" ht="15.75">
      <c r="A78" s="23"/>
      <c r="B78" s="28" t="s">
        <v>348</v>
      </c>
      <c r="C78" s="22"/>
      <c r="D78" s="39"/>
      <c r="F78" s="27"/>
      <c r="G78" s="28"/>
      <c r="H78" s="28"/>
      <c r="I78" s="28"/>
      <c r="J78" s="28"/>
      <c r="K78" s="28"/>
      <c r="L78" s="28"/>
      <c r="Q78" s="51"/>
    </row>
    <row r="79" spans="1:18" ht="15.75">
      <c r="A79" s="38"/>
      <c r="B79" s="40" t="s">
        <v>32</v>
      </c>
      <c r="C79" s="28" t="s">
        <v>28</v>
      </c>
      <c r="D79" s="39"/>
      <c r="F79" s="41"/>
      <c r="G79" s="143" t="s">
        <v>26</v>
      </c>
      <c r="H79" s="143"/>
      <c r="I79" s="143"/>
      <c r="K79" s="41"/>
    </row>
    <row r="80" spans="1:18" ht="15.75">
      <c r="A80" s="38"/>
      <c r="B80" s="40"/>
      <c r="C80" s="28"/>
      <c r="D80" s="39"/>
      <c r="F80" s="28"/>
      <c r="G80" s="28"/>
      <c r="H80" s="28"/>
      <c r="I80" s="28"/>
      <c r="J80" s="28"/>
      <c r="K80" s="28"/>
      <c r="L80" s="28"/>
    </row>
    <row r="81" spans="1:18" ht="15.75">
      <c r="A81" s="38"/>
      <c r="B81" s="40"/>
      <c r="C81" s="28"/>
      <c r="D81" s="39"/>
      <c r="F81" s="28"/>
      <c r="G81" s="28"/>
      <c r="H81" s="28"/>
      <c r="I81" s="28"/>
      <c r="J81" s="28"/>
      <c r="K81" s="28"/>
      <c r="L81" s="28"/>
    </row>
    <row r="82" spans="1:18" ht="15.75">
      <c r="A82" s="38"/>
      <c r="B82" s="40"/>
      <c r="C82" s="28"/>
      <c r="D82" s="39"/>
      <c r="F82" s="28"/>
      <c r="G82" s="28"/>
      <c r="H82" s="28"/>
      <c r="I82" s="28"/>
      <c r="J82" s="28"/>
      <c r="K82" s="28"/>
    </row>
    <row r="83" spans="1:18" ht="15.75">
      <c r="A83" s="38"/>
      <c r="B83" s="40"/>
      <c r="C83" s="28"/>
      <c r="D83" s="39"/>
      <c r="F83" s="28"/>
      <c r="G83" s="28"/>
      <c r="H83" s="28"/>
      <c r="I83" s="28"/>
      <c r="J83" s="28"/>
      <c r="K83" s="28"/>
      <c r="L83" s="28"/>
    </row>
    <row r="84" spans="1:18" ht="15.75">
      <c r="A84" s="38" t="s">
        <v>23</v>
      </c>
      <c r="B84" s="42" t="s">
        <v>27</v>
      </c>
      <c r="C84" s="43" t="s">
        <v>24</v>
      </c>
      <c r="D84" s="39"/>
      <c r="F84" s="29"/>
      <c r="G84" s="29" t="s">
        <v>16</v>
      </c>
      <c r="H84" s="29"/>
      <c r="I84" s="29" t="s">
        <v>30</v>
      </c>
    </row>
    <row r="85" spans="1:18" ht="15.75">
      <c r="A85" s="38"/>
      <c r="B85" s="44" t="s">
        <v>31</v>
      </c>
      <c r="C85" s="45" t="s">
        <v>20</v>
      </c>
      <c r="D85" s="39"/>
      <c r="F85" s="46"/>
      <c r="G85" s="46" t="s">
        <v>17</v>
      </c>
      <c r="H85" s="46"/>
      <c r="I85" s="46" t="s">
        <v>25</v>
      </c>
    </row>
    <row r="87" spans="1:18" ht="15.75">
      <c r="A87" s="21" t="s">
        <v>0</v>
      </c>
      <c r="B87" s="22"/>
      <c r="C87" s="23"/>
      <c r="D87" s="23"/>
      <c r="E87" s="23"/>
      <c r="F87" s="24"/>
      <c r="G87" s="24"/>
      <c r="H87" s="24"/>
      <c r="I87" s="24"/>
      <c r="J87" s="24"/>
      <c r="K87" s="24"/>
      <c r="L87" s="25"/>
    </row>
    <row r="88" spans="1:18" ht="15.75">
      <c r="A88" s="26" t="s">
        <v>372</v>
      </c>
      <c r="B88" s="21"/>
      <c r="C88" s="21"/>
      <c r="D88" s="21"/>
      <c r="E88" s="21"/>
      <c r="F88" s="24"/>
      <c r="G88" s="24"/>
      <c r="H88" s="24"/>
      <c r="I88" s="24"/>
      <c r="J88" s="24"/>
      <c r="K88" s="24"/>
      <c r="L88" s="25"/>
    </row>
    <row r="89" spans="1:18">
      <c r="A89" s="62"/>
      <c r="B89" s="62" t="s">
        <v>1</v>
      </c>
      <c r="C89" s="93" t="s">
        <v>2</v>
      </c>
      <c r="D89" s="117" t="s">
        <v>34</v>
      </c>
      <c r="E89" s="95" t="s">
        <v>3</v>
      </c>
      <c r="F89" s="93" t="s">
        <v>4</v>
      </c>
      <c r="G89" s="96" t="s">
        <v>18</v>
      </c>
      <c r="H89" s="96" t="s">
        <v>18</v>
      </c>
      <c r="I89" s="96" t="s">
        <v>18</v>
      </c>
      <c r="J89" s="97" t="s">
        <v>7</v>
      </c>
      <c r="K89" s="96" t="s">
        <v>6</v>
      </c>
      <c r="L89" s="96" t="s">
        <v>29</v>
      </c>
      <c r="M89" s="96" t="s">
        <v>21</v>
      </c>
      <c r="N89" s="96" t="s">
        <v>8</v>
      </c>
      <c r="O89" s="96" t="s">
        <v>8</v>
      </c>
      <c r="P89" s="96" t="s">
        <v>9</v>
      </c>
      <c r="Q89" s="62" t="s">
        <v>10</v>
      </c>
      <c r="R89" s="98" t="s">
        <v>33</v>
      </c>
    </row>
    <row r="90" spans="1:18">
      <c r="A90" s="99"/>
      <c r="B90" s="99"/>
      <c r="C90" s="100"/>
      <c r="D90" s="101"/>
      <c r="E90" s="102"/>
      <c r="F90" s="100"/>
      <c r="G90" s="103" t="s">
        <v>11</v>
      </c>
      <c r="H90" s="103" t="s">
        <v>11</v>
      </c>
      <c r="I90" s="103" t="s">
        <v>11</v>
      </c>
      <c r="J90" s="119" t="s">
        <v>19</v>
      </c>
      <c r="K90" s="103" t="s">
        <v>35</v>
      </c>
      <c r="L90" s="103" t="s">
        <v>22</v>
      </c>
      <c r="M90" s="103" t="s">
        <v>15</v>
      </c>
      <c r="N90" s="103" t="s">
        <v>13</v>
      </c>
      <c r="O90" s="103" t="s">
        <v>14</v>
      </c>
      <c r="P90" s="103" t="s">
        <v>12</v>
      </c>
      <c r="Q90" s="99"/>
      <c r="R90" s="104"/>
    </row>
    <row r="91" spans="1:18">
      <c r="A91" s="99"/>
      <c r="B91" s="99"/>
      <c r="C91" s="105"/>
      <c r="D91" s="101"/>
      <c r="E91" s="102"/>
      <c r="F91" s="100"/>
      <c r="G91" s="103" t="s">
        <v>81</v>
      </c>
      <c r="H91" s="103" t="s">
        <v>367</v>
      </c>
      <c r="I91" s="103" t="s">
        <v>367</v>
      </c>
      <c r="J91" s="119" t="s">
        <v>5</v>
      </c>
      <c r="K91" s="103"/>
      <c r="L91" s="103"/>
      <c r="M91" s="103"/>
      <c r="N91" s="103"/>
      <c r="O91" s="103"/>
      <c r="P91" s="103"/>
      <c r="Q91" s="99"/>
      <c r="R91" s="104"/>
    </row>
    <row r="92" spans="1:18">
      <c r="A92" s="106"/>
      <c r="B92" s="106"/>
      <c r="C92" s="107"/>
      <c r="D92" s="108"/>
      <c r="E92" s="109"/>
      <c r="F92" s="110"/>
      <c r="G92" s="111"/>
      <c r="H92" s="112"/>
      <c r="I92" s="75"/>
      <c r="J92" s="120"/>
      <c r="K92" s="111"/>
      <c r="L92" s="113"/>
      <c r="M92" s="108"/>
      <c r="N92" s="111"/>
      <c r="O92" s="111"/>
      <c r="P92" s="111"/>
      <c r="Q92" s="106"/>
      <c r="R92" s="114"/>
    </row>
    <row r="93" spans="1:18" ht="15.75">
      <c r="A93" s="52"/>
      <c r="B93" s="47"/>
      <c r="C93" s="48"/>
      <c r="D93" s="73"/>
      <c r="E93" s="17"/>
      <c r="F93" s="48"/>
      <c r="G93" s="36"/>
      <c r="H93" s="36"/>
      <c r="J93" s="36"/>
      <c r="K93" s="36"/>
      <c r="L93" s="8"/>
      <c r="N93" s="8"/>
      <c r="O93" s="8"/>
      <c r="P93" s="8"/>
      <c r="Q93" s="35"/>
      <c r="R93" s="37"/>
    </row>
    <row r="94" spans="1:18" ht="15.75">
      <c r="A94" s="52">
        <v>1</v>
      </c>
      <c r="B94" s="116" t="s">
        <v>373</v>
      </c>
      <c r="C94" s="48" t="s">
        <v>374</v>
      </c>
      <c r="D94" s="67" t="s">
        <v>375</v>
      </c>
      <c r="E94" s="17">
        <v>43220</v>
      </c>
      <c r="F94" s="20" t="s">
        <v>376</v>
      </c>
      <c r="G94" s="36">
        <v>0</v>
      </c>
      <c r="H94" s="36">
        <v>176877496</v>
      </c>
      <c r="I94" s="36">
        <v>0</v>
      </c>
      <c r="J94" s="8">
        <v>4421937</v>
      </c>
      <c r="K94" s="8">
        <v>0</v>
      </c>
      <c r="L94" s="8">
        <v>500000</v>
      </c>
      <c r="M94" s="8">
        <v>200000</v>
      </c>
      <c r="N94" s="8">
        <f>SUM(G94:M94)</f>
        <v>181999433</v>
      </c>
      <c r="O94" s="123">
        <f>231999433-N94</f>
        <v>50000000</v>
      </c>
      <c r="P94" s="8">
        <f t="shared" ref="P94" si="17">+N94+O94</f>
        <v>231999433</v>
      </c>
      <c r="Q94" s="59" t="s">
        <v>51</v>
      </c>
      <c r="R94" s="66" t="s">
        <v>83</v>
      </c>
    </row>
    <row r="95" spans="1:18" ht="15.75">
      <c r="A95" s="52"/>
      <c r="B95" s="51"/>
      <c r="C95" s="48"/>
      <c r="E95" s="17"/>
      <c r="F95" s="48"/>
      <c r="G95" s="36"/>
      <c r="H95" s="36"/>
      <c r="I95" s="36"/>
      <c r="J95" s="36"/>
      <c r="K95" s="36"/>
      <c r="M95" s="8"/>
      <c r="N95" s="8"/>
      <c r="O95" s="8"/>
      <c r="P95" s="59"/>
      <c r="Q95" s="66"/>
      <c r="R95" s="75"/>
    </row>
    <row r="96" spans="1:18" ht="16.5" thickBot="1">
      <c r="A96" s="18"/>
      <c r="B96" s="55"/>
      <c r="C96" s="56"/>
      <c r="D96" s="74"/>
      <c r="E96" s="56"/>
      <c r="F96" s="57"/>
      <c r="G96" s="19">
        <f t="shared" ref="G96:P96" si="18">SUM(G94:G95)</f>
        <v>0</v>
      </c>
      <c r="H96" s="19">
        <f t="shared" si="18"/>
        <v>176877496</v>
      </c>
      <c r="I96" s="19">
        <f t="shared" si="18"/>
        <v>0</v>
      </c>
      <c r="J96" s="19">
        <f t="shared" si="18"/>
        <v>4421937</v>
      </c>
      <c r="K96" s="19">
        <f t="shared" si="18"/>
        <v>0</v>
      </c>
      <c r="L96" s="19">
        <f t="shared" si="18"/>
        <v>500000</v>
      </c>
      <c r="M96" s="19">
        <f t="shared" si="18"/>
        <v>200000</v>
      </c>
      <c r="N96" s="19">
        <f t="shared" si="18"/>
        <v>181999433</v>
      </c>
      <c r="O96" s="19">
        <f t="shared" si="18"/>
        <v>50000000</v>
      </c>
      <c r="P96" s="19">
        <f t="shared" si="18"/>
        <v>231999433</v>
      </c>
      <c r="Q96" s="70"/>
      <c r="R96" s="121"/>
    </row>
    <row r="97" spans="1:17" ht="16.5" thickTop="1">
      <c r="A97" s="23"/>
      <c r="B97" s="22"/>
      <c r="C97" s="22"/>
      <c r="D97" s="23"/>
      <c r="E97" s="22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2"/>
      <c r="Q97" s="69"/>
    </row>
    <row r="98" spans="1:17" ht="15.75">
      <c r="A98" s="23"/>
      <c r="B98" s="28" t="s">
        <v>377</v>
      </c>
      <c r="C98" s="22"/>
      <c r="D98" s="39"/>
      <c r="F98" s="27"/>
      <c r="G98" s="28"/>
      <c r="H98" s="28"/>
      <c r="I98" s="28"/>
      <c r="J98" s="28"/>
      <c r="K98" s="28"/>
      <c r="L98" s="28"/>
      <c r="Q98" s="51"/>
    </row>
    <row r="99" spans="1:17" ht="15.75">
      <c r="A99" s="38"/>
      <c r="B99" s="40" t="s">
        <v>32</v>
      </c>
      <c r="C99" s="28" t="s">
        <v>28</v>
      </c>
      <c r="D99" s="39"/>
      <c r="F99" s="41"/>
      <c r="G99" s="143" t="s">
        <v>26</v>
      </c>
      <c r="H99" s="143"/>
      <c r="I99" s="143"/>
      <c r="K99" s="41"/>
    </row>
    <row r="100" spans="1:17" ht="15.75">
      <c r="A100" s="38"/>
      <c r="B100" s="40"/>
      <c r="C100" s="28"/>
      <c r="D100" s="39"/>
      <c r="F100" s="28"/>
      <c r="G100" s="28"/>
      <c r="H100" s="28"/>
      <c r="I100" s="28"/>
      <c r="J100" s="28"/>
      <c r="K100" s="28"/>
      <c r="L100" s="28"/>
    </row>
    <row r="101" spans="1:17" ht="15.75">
      <c r="A101" s="38"/>
      <c r="B101" s="40"/>
      <c r="C101" s="28"/>
      <c r="D101" s="39"/>
      <c r="F101" s="28"/>
      <c r="G101" s="28"/>
      <c r="H101" s="28"/>
      <c r="I101" s="28"/>
      <c r="J101" s="28"/>
      <c r="K101" s="28"/>
      <c r="L101" s="28"/>
    </row>
    <row r="102" spans="1:17" ht="15.75">
      <c r="A102" s="38"/>
      <c r="B102" s="40"/>
      <c r="C102" s="28"/>
      <c r="D102" s="39"/>
      <c r="F102" s="28"/>
      <c r="G102" s="28"/>
      <c r="H102" s="28"/>
      <c r="I102" s="28"/>
      <c r="J102" s="28"/>
      <c r="K102" s="28"/>
    </row>
    <row r="103" spans="1:17" ht="15.75">
      <c r="A103" s="38"/>
      <c r="B103" s="40"/>
      <c r="C103" s="28"/>
      <c r="D103" s="39"/>
      <c r="F103" s="28"/>
      <c r="G103" s="28"/>
      <c r="H103" s="28"/>
      <c r="I103" s="28"/>
      <c r="J103" s="28"/>
      <c r="K103" s="28"/>
      <c r="L103" s="28"/>
    </row>
    <row r="104" spans="1:17" ht="15.75">
      <c r="A104" s="38" t="s">
        <v>23</v>
      </c>
      <c r="B104" s="42" t="s">
        <v>27</v>
      </c>
      <c r="C104" s="43" t="s">
        <v>24</v>
      </c>
      <c r="D104" s="39"/>
      <c r="F104" s="29"/>
      <c r="G104" s="29" t="s">
        <v>16</v>
      </c>
      <c r="H104" s="29"/>
      <c r="I104" s="29" t="s">
        <v>30</v>
      </c>
    </row>
    <row r="105" spans="1:17" ht="15.75">
      <c r="A105" s="38"/>
      <c r="B105" s="44" t="s">
        <v>31</v>
      </c>
      <c r="C105" s="45" t="s">
        <v>20</v>
      </c>
      <c r="D105" s="39"/>
      <c r="F105" s="46"/>
      <c r="G105" s="46" t="s">
        <v>17</v>
      </c>
      <c r="H105" s="46"/>
      <c r="I105" s="46" t="s">
        <v>25</v>
      </c>
    </row>
  </sheetData>
  <mergeCells count="5">
    <mergeCell ref="G13:I13"/>
    <mergeCell ref="G33:I33"/>
    <mergeCell ref="G55:I55"/>
    <mergeCell ref="G79:I79"/>
    <mergeCell ref="G99:I99"/>
  </mergeCells>
  <pageMargins left="7.874015748031496E-2" right="0.70866141732283472" top="0.74803149606299213" bottom="0.74803149606299213" header="0.31496062992125984" footer="0.31496062992125984"/>
  <pageSetup paperSize="5" scale="7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843"/>
  <sheetViews>
    <sheetView topLeftCell="A19" workbookViewId="0">
      <selection activeCell="G16" sqref="G16"/>
    </sheetView>
  </sheetViews>
  <sheetFormatPr defaultRowHeight="15"/>
  <cols>
    <col min="1" max="1" width="2.28515625" style="34" customWidth="1"/>
    <col min="2" max="2" width="18.5703125" style="34" customWidth="1"/>
    <col min="3" max="3" width="9.28515625" style="34" customWidth="1"/>
    <col min="4" max="4" width="8.140625" style="34" customWidth="1"/>
    <col min="5" max="5" width="11.140625" style="34" customWidth="1"/>
    <col min="6" max="6" width="13.7109375" style="34" customWidth="1"/>
    <col min="7" max="7" width="17.140625" style="34" customWidth="1"/>
    <col min="8" max="8" width="17.5703125" style="34" customWidth="1"/>
    <col min="9" max="9" width="17.42578125" style="34" customWidth="1"/>
    <col min="10" max="10" width="6.7109375" style="34" customWidth="1"/>
    <col min="11" max="11" width="14.85546875" style="34" bestFit="1" customWidth="1"/>
    <col min="12" max="12" width="5.85546875" style="34" customWidth="1"/>
    <col min="13" max="14" width="16.5703125" style="34" bestFit="1" customWidth="1"/>
    <col min="15" max="15" width="15.7109375" style="34" customWidth="1"/>
    <col min="16" max="16" width="16.5703125" style="34" bestFit="1" customWidth="1"/>
    <col min="17" max="17" width="8.140625" style="34" customWidth="1"/>
    <col min="18" max="18" width="5.85546875" style="34" customWidth="1"/>
    <col min="19" max="16384" width="9.140625" style="34"/>
  </cols>
  <sheetData>
    <row r="1" spans="1:17">
      <c r="A1" s="122" t="s">
        <v>387</v>
      </c>
    </row>
    <row r="2" spans="1:17" ht="15.75">
      <c r="A2" s="21" t="s">
        <v>0</v>
      </c>
      <c r="B2" s="22"/>
      <c r="C2" s="23"/>
      <c r="D2" s="23"/>
      <c r="E2" s="23"/>
      <c r="F2" s="24"/>
      <c r="G2" s="24"/>
      <c r="H2" s="24"/>
      <c r="I2" s="24"/>
      <c r="J2" s="24"/>
      <c r="K2" s="24"/>
      <c r="L2" s="25"/>
    </row>
    <row r="3" spans="1:17" ht="15.75">
      <c r="A3" s="26" t="s">
        <v>378</v>
      </c>
      <c r="B3" s="21"/>
      <c r="C3" s="21"/>
      <c r="D3" s="21"/>
      <c r="E3" s="21"/>
      <c r="F3" s="24"/>
      <c r="G3" s="24"/>
      <c r="H3" s="24"/>
      <c r="I3" s="24"/>
      <c r="J3" s="24"/>
      <c r="K3" s="24"/>
      <c r="L3" s="25"/>
    </row>
    <row r="4" spans="1:17">
      <c r="A4" s="62"/>
      <c r="B4" s="62" t="s">
        <v>1</v>
      </c>
      <c r="C4" s="93" t="s">
        <v>2</v>
      </c>
      <c r="D4" s="117" t="s">
        <v>34</v>
      </c>
      <c r="E4" s="95" t="s">
        <v>3</v>
      </c>
      <c r="F4" s="93" t="s">
        <v>4</v>
      </c>
      <c r="G4" s="96" t="s">
        <v>18</v>
      </c>
      <c r="H4" s="96" t="s">
        <v>18</v>
      </c>
      <c r="I4" s="97" t="s">
        <v>7</v>
      </c>
      <c r="J4" s="96" t="s">
        <v>6</v>
      </c>
      <c r="K4" s="96" t="s">
        <v>29</v>
      </c>
      <c r="L4" s="96" t="s">
        <v>21</v>
      </c>
      <c r="M4" s="96" t="s">
        <v>8</v>
      </c>
      <c r="N4" s="96" t="s">
        <v>8</v>
      </c>
      <c r="O4" s="96" t="s">
        <v>9</v>
      </c>
      <c r="P4" s="62" t="s">
        <v>10</v>
      </c>
      <c r="Q4" s="98" t="s">
        <v>33</v>
      </c>
    </row>
    <row r="5" spans="1:17">
      <c r="A5" s="99"/>
      <c r="B5" s="99"/>
      <c r="C5" s="100"/>
      <c r="D5" s="101"/>
      <c r="E5" s="102"/>
      <c r="F5" s="100"/>
      <c r="G5" s="103" t="s">
        <v>383</v>
      </c>
      <c r="H5" s="103" t="s">
        <v>383</v>
      </c>
      <c r="I5" s="103" t="s">
        <v>19</v>
      </c>
      <c r="J5" s="103" t="s">
        <v>35</v>
      </c>
      <c r="K5" s="103" t="s">
        <v>22</v>
      </c>
      <c r="L5" s="103" t="s">
        <v>15</v>
      </c>
      <c r="M5" s="103" t="s">
        <v>13</v>
      </c>
      <c r="N5" s="103" t="s">
        <v>14</v>
      </c>
      <c r="O5" s="103" t="s">
        <v>12</v>
      </c>
      <c r="P5" s="99"/>
      <c r="Q5" s="104"/>
    </row>
    <row r="6" spans="1:17">
      <c r="A6" s="99"/>
      <c r="B6" s="99"/>
      <c r="C6" s="105"/>
      <c r="D6" s="101"/>
      <c r="E6" s="102"/>
      <c r="F6" s="100"/>
      <c r="G6" s="103" t="s">
        <v>382</v>
      </c>
      <c r="H6" s="103" t="s">
        <v>384</v>
      </c>
      <c r="I6" s="103" t="s">
        <v>5</v>
      </c>
      <c r="J6" s="103"/>
      <c r="K6" s="103"/>
      <c r="L6" s="103"/>
      <c r="M6" s="103"/>
      <c r="N6" s="103"/>
      <c r="O6" s="103"/>
      <c r="P6" s="99"/>
      <c r="Q6" s="104"/>
    </row>
    <row r="7" spans="1:17">
      <c r="A7" s="106"/>
      <c r="B7" s="106"/>
      <c r="C7" s="107"/>
      <c r="D7" s="108"/>
      <c r="E7" s="109"/>
      <c r="F7" s="110"/>
      <c r="G7" s="111" t="s">
        <v>90</v>
      </c>
      <c r="H7" s="112"/>
      <c r="I7" s="111"/>
      <c r="J7" s="111"/>
      <c r="K7" s="113"/>
      <c r="L7" s="108"/>
      <c r="M7" s="111"/>
      <c r="N7" s="111"/>
      <c r="O7" s="111"/>
      <c r="P7" s="106"/>
      <c r="Q7" s="114"/>
    </row>
    <row r="8" spans="1:17" ht="15.75">
      <c r="A8" s="52"/>
      <c r="B8" s="47"/>
      <c r="C8" s="48"/>
      <c r="D8" s="73"/>
      <c r="E8" s="17"/>
      <c r="F8" s="48"/>
      <c r="G8" s="36"/>
      <c r="H8" s="36"/>
      <c r="I8" s="36"/>
      <c r="J8" s="36"/>
      <c r="K8" s="8"/>
      <c r="M8" s="8"/>
      <c r="N8" s="8"/>
      <c r="O8" s="8"/>
      <c r="P8" s="35"/>
      <c r="Q8" s="37"/>
    </row>
    <row r="9" spans="1:17" ht="15.75">
      <c r="A9" s="52">
        <v>1</v>
      </c>
      <c r="B9" s="51" t="s">
        <v>379</v>
      </c>
      <c r="C9" s="48" t="s">
        <v>380</v>
      </c>
      <c r="D9" s="67" t="s">
        <v>381</v>
      </c>
      <c r="E9" s="17">
        <v>43222</v>
      </c>
      <c r="F9" s="20" t="s">
        <v>337</v>
      </c>
      <c r="G9" s="36">
        <v>10000000</v>
      </c>
      <c r="H9" s="36">
        <v>5850000</v>
      </c>
      <c r="I9" s="8">
        <v>0</v>
      </c>
      <c r="J9" s="8">
        <v>0</v>
      </c>
      <c r="K9" s="8">
        <v>158500</v>
      </c>
      <c r="L9" s="8">
        <v>0</v>
      </c>
      <c r="M9" s="8">
        <f>SUM(G9:L9)</f>
        <v>16008500</v>
      </c>
      <c r="N9" s="8">
        <f>16008500-M9</f>
        <v>0</v>
      </c>
      <c r="O9" s="8">
        <f t="shared" ref="O9" si="0">+M9+N9</f>
        <v>16008500</v>
      </c>
      <c r="P9" s="59" t="s">
        <v>385</v>
      </c>
      <c r="Q9" s="66" t="s">
        <v>74</v>
      </c>
    </row>
    <row r="10" spans="1:17" ht="15.75">
      <c r="A10" s="52"/>
      <c r="B10" s="51"/>
      <c r="C10" s="48"/>
      <c r="E10" s="17"/>
      <c r="F10" s="48"/>
      <c r="G10" s="36"/>
      <c r="H10" s="36"/>
      <c r="I10" s="36"/>
      <c r="J10" s="36"/>
      <c r="K10" s="36"/>
      <c r="M10" s="8"/>
      <c r="N10" s="8"/>
      <c r="O10" s="8"/>
      <c r="P10" s="59"/>
      <c r="Q10" s="66" t="s">
        <v>338</v>
      </c>
    </row>
    <row r="11" spans="1:17" ht="16.5" thickBot="1">
      <c r="A11" s="18"/>
      <c r="B11" s="55"/>
      <c r="C11" s="56"/>
      <c r="D11" s="74"/>
      <c r="E11" s="56"/>
      <c r="F11" s="57"/>
      <c r="G11" s="19">
        <f t="shared" ref="G11" si="1">SUM(G9:G10)</f>
        <v>10000000</v>
      </c>
      <c r="H11" s="19">
        <f t="shared" ref="H11:O11" si="2">SUM(H9:H10)</f>
        <v>5850000</v>
      </c>
      <c r="I11" s="19">
        <f t="shared" si="2"/>
        <v>0</v>
      </c>
      <c r="J11" s="19">
        <f t="shared" si="2"/>
        <v>0</v>
      </c>
      <c r="K11" s="19">
        <f t="shared" si="2"/>
        <v>158500</v>
      </c>
      <c r="L11" s="19">
        <f t="shared" si="2"/>
        <v>0</v>
      </c>
      <c r="M11" s="19">
        <f t="shared" si="2"/>
        <v>16008500</v>
      </c>
      <c r="N11" s="19">
        <f t="shared" si="2"/>
        <v>0</v>
      </c>
      <c r="O11" s="19">
        <f t="shared" si="2"/>
        <v>16008500</v>
      </c>
      <c r="P11" s="68"/>
      <c r="Q11" s="70"/>
    </row>
    <row r="12" spans="1:17" ht="16.5" thickTop="1">
      <c r="A12" s="23"/>
      <c r="B12" s="22"/>
      <c r="C12" s="22"/>
      <c r="D12" s="23"/>
      <c r="E12" s="22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2"/>
      <c r="Q12" s="69"/>
    </row>
    <row r="13" spans="1:17" ht="15.75">
      <c r="A13" s="23"/>
      <c r="B13" s="28" t="s">
        <v>386</v>
      </c>
      <c r="C13" s="22"/>
      <c r="D13" s="39"/>
      <c r="F13" s="27"/>
      <c r="G13" s="28"/>
      <c r="H13" s="28"/>
      <c r="I13" s="28"/>
      <c r="J13" s="28"/>
      <c r="K13" s="28"/>
      <c r="L13" s="28"/>
      <c r="Q13" s="51"/>
    </row>
    <row r="14" spans="1:17" ht="15.75">
      <c r="A14" s="38"/>
      <c r="B14" s="40" t="s">
        <v>32</v>
      </c>
      <c r="C14" s="28" t="s">
        <v>28</v>
      </c>
      <c r="D14" s="39"/>
      <c r="F14" s="41"/>
      <c r="G14" s="143" t="s">
        <v>26</v>
      </c>
      <c r="H14" s="143"/>
      <c r="I14" s="143"/>
      <c r="K14" s="41"/>
    </row>
    <row r="15" spans="1:17" ht="15.7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>
      <c r="A16" s="38"/>
      <c r="B16" s="40"/>
      <c r="C16" s="28"/>
      <c r="D16" s="39"/>
      <c r="F16" s="28"/>
      <c r="G16" s="28"/>
      <c r="H16" s="28"/>
      <c r="I16" s="28"/>
      <c r="J16" s="28"/>
      <c r="K16" s="28"/>
      <c r="L16" s="28"/>
    </row>
    <row r="17" spans="1:17" ht="15.75">
      <c r="A17" s="38"/>
      <c r="B17" s="40"/>
      <c r="C17" s="28"/>
      <c r="D17" s="39"/>
      <c r="F17" s="28"/>
      <c r="G17" s="28"/>
      <c r="H17" s="28"/>
      <c r="I17" s="28"/>
      <c r="J17" s="28"/>
      <c r="K17" s="28"/>
    </row>
    <row r="18" spans="1:17" ht="15.75">
      <c r="A18" s="38"/>
      <c r="B18" s="40"/>
      <c r="C18" s="28"/>
      <c r="D18" s="39"/>
      <c r="F18" s="28"/>
      <c r="G18" s="28"/>
      <c r="H18" s="28"/>
      <c r="I18" s="28"/>
      <c r="J18" s="28"/>
      <c r="K18" s="28"/>
      <c r="L18" s="28"/>
    </row>
    <row r="19" spans="1:17" ht="15.75">
      <c r="A19" s="38" t="s">
        <v>23</v>
      </c>
      <c r="B19" s="42" t="s">
        <v>27</v>
      </c>
      <c r="C19" s="43" t="s">
        <v>24</v>
      </c>
      <c r="D19" s="39"/>
      <c r="F19" s="29"/>
      <c r="G19" s="29" t="s">
        <v>16</v>
      </c>
      <c r="H19" s="29"/>
      <c r="I19" s="29" t="s">
        <v>30</v>
      </c>
    </row>
    <row r="20" spans="1:17" ht="15.75">
      <c r="A20" s="38"/>
      <c r="B20" s="44" t="s">
        <v>31</v>
      </c>
      <c r="C20" s="45" t="s">
        <v>20</v>
      </c>
      <c r="D20" s="39"/>
      <c r="F20" s="46"/>
      <c r="G20" s="46" t="s">
        <v>17</v>
      </c>
      <c r="H20" s="46"/>
      <c r="I20" s="46" t="s">
        <v>25</v>
      </c>
    </row>
    <row r="22" spans="1:17" ht="15.75">
      <c r="A22" s="21" t="s">
        <v>0</v>
      </c>
      <c r="B22" s="22"/>
      <c r="C22" s="23"/>
      <c r="D22" s="23"/>
      <c r="E22" s="23"/>
      <c r="F22" s="24"/>
      <c r="G22" s="24"/>
      <c r="H22" s="24"/>
      <c r="I22" s="24"/>
      <c r="J22" s="24"/>
      <c r="K22" s="24"/>
      <c r="L22" s="25"/>
    </row>
    <row r="23" spans="1:17" ht="15.75">
      <c r="A23" s="26" t="s">
        <v>388</v>
      </c>
      <c r="B23" s="21"/>
      <c r="C23" s="21"/>
      <c r="D23" s="21"/>
      <c r="E23" s="21"/>
      <c r="F23" s="24"/>
      <c r="G23" s="24"/>
      <c r="H23" s="24"/>
      <c r="I23" s="24"/>
      <c r="J23" s="24"/>
      <c r="K23" s="24"/>
      <c r="L23" s="25"/>
    </row>
    <row r="24" spans="1:17">
      <c r="A24" s="62"/>
      <c r="B24" s="62" t="s">
        <v>1</v>
      </c>
      <c r="C24" s="93" t="s">
        <v>2</v>
      </c>
      <c r="D24" s="117" t="s">
        <v>34</v>
      </c>
      <c r="E24" s="95" t="s">
        <v>3</v>
      </c>
      <c r="F24" s="93" t="s">
        <v>4</v>
      </c>
      <c r="G24" s="96" t="s">
        <v>18</v>
      </c>
      <c r="H24" s="96" t="s">
        <v>18</v>
      </c>
      <c r="I24" s="97" t="s">
        <v>7</v>
      </c>
      <c r="J24" s="96" t="s">
        <v>6</v>
      </c>
      <c r="K24" s="96" t="s">
        <v>29</v>
      </c>
      <c r="L24" s="96" t="s">
        <v>21</v>
      </c>
      <c r="M24" s="96" t="s">
        <v>8</v>
      </c>
      <c r="N24" s="96" t="s">
        <v>8</v>
      </c>
      <c r="O24" s="96" t="s">
        <v>9</v>
      </c>
      <c r="P24" s="62" t="s">
        <v>10</v>
      </c>
      <c r="Q24" s="98" t="s">
        <v>33</v>
      </c>
    </row>
    <row r="25" spans="1:17">
      <c r="A25" s="99"/>
      <c r="B25" s="99"/>
      <c r="C25" s="100"/>
      <c r="D25" s="101"/>
      <c r="E25" s="102"/>
      <c r="F25" s="100"/>
      <c r="G25" s="103"/>
      <c r="H25" s="103"/>
      <c r="I25" s="103" t="s">
        <v>19</v>
      </c>
      <c r="J25" s="103" t="s">
        <v>35</v>
      </c>
      <c r="K25" s="103" t="s">
        <v>22</v>
      </c>
      <c r="L25" s="103" t="s">
        <v>15</v>
      </c>
      <c r="M25" s="103" t="s">
        <v>13</v>
      </c>
      <c r="N25" s="103" t="s">
        <v>14</v>
      </c>
      <c r="O25" s="103" t="s">
        <v>12</v>
      </c>
      <c r="P25" s="99"/>
      <c r="Q25" s="104"/>
    </row>
    <row r="26" spans="1:17">
      <c r="A26" s="99"/>
      <c r="B26" s="99"/>
      <c r="C26" s="105"/>
      <c r="D26" s="101"/>
      <c r="E26" s="102"/>
      <c r="F26" s="100"/>
      <c r="G26" s="103"/>
      <c r="H26" s="103"/>
      <c r="I26" s="103" t="s">
        <v>5</v>
      </c>
      <c r="J26" s="103"/>
      <c r="K26" s="103"/>
      <c r="L26" s="103"/>
      <c r="M26" s="103"/>
      <c r="N26" s="103"/>
      <c r="O26" s="103"/>
      <c r="P26" s="99"/>
      <c r="Q26" s="104"/>
    </row>
    <row r="27" spans="1:17">
      <c r="A27" s="106"/>
      <c r="B27" s="106"/>
      <c r="C27" s="107"/>
      <c r="D27" s="108"/>
      <c r="E27" s="109"/>
      <c r="F27" s="110"/>
      <c r="G27" s="111"/>
      <c r="H27" s="112"/>
      <c r="I27" s="111"/>
      <c r="J27" s="111"/>
      <c r="K27" s="113"/>
      <c r="L27" s="108"/>
      <c r="M27" s="111"/>
      <c r="N27" s="111"/>
      <c r="O27" s="111"/>
      <c r="P27" s="106"/>
      <c r="Q27" s="114"/>
    </row>
    <row r="28" spans="1:17" ht="15.75">
      <c r="A28" s="52"/>
      <c r="B28" s="47"/>
      <c r="C28" s="48"/>
      <c r="D28" s="73"/>
      <c r="E28" s="17"/>
      <c r="F28" s="48"/>
      <c r="G28" s="36"/>
      <c r="H28" s="36"/>
      <c r="I28" s="36"/>
      <c r="J28" s="36"/>
      <c r="K28" s="8"/>
      <c r="M28" s="8"/>
      <c r="N28" s="8"/>
      <c r="O28" s="8"/>
      <c r="P28" s="35"/>
      <c r="Q28" s="37"/>
    </row>
    <row r="29" spans="1:17" ht="15.75">
      <c r="A29" s="52">
        <v>1</v>
      </c>
      <c r="B29" s="51" t="s">
        <v>389</v>
      </c>
      <c r="C29" s="48" t="s">
        <v>390</v>
      </c>
      <c r="D29" s="67" t="s">
        <v>391</v>
      </c>
      <c r="E29" s="17">
        <v>43223</v>
      </c>
      <c r="F29" s="20" t="s">
        <v>392</v>
      </c>
      <c r="G29" s="36">
        <v>0</v>
      </c>
      <c r="H29" s="36">
        <v>0</v>
      </c>
      <c r="I29" s="8">
        <v>0</v>
      </c>
      <c r="J29" s="8">
        <v>0</v>
      </c>
      <c r="K29" s="8">
        <v>200000</v>
      </c>
      <c r="L29" s="8">
        <v>200000</v>
      </c>
      <c r="M29" s="8">
        <f>SUM(G29:L29)</f>
        <v>400000</v>
      </c>
      <c r="N29" s="8">
        <f>50000000-M29</f>
        <v>49600000</v>
      </c>
      <c r="O29" s="8">
        <f t="shared" ref="O29" si="3">+M29+N29</f>
        <v>50000000</v>
      </c>
      <c r="P29" s="59" t="s">
        <v>393</v>
      </c>
      <c r="Q29" s="66" t="s">
        <v>58</v>
      </c>
    </row>
    <row r="30" spans="1:17" ht="15.75">
      <c r="A30" s="52"/>
      <c r="B30" s="51"/>
      <c r="C30" s="48"/>
      <c r="E30" s="17"/>
      <c r="F30" s="48"/>
      <c r="G30" s="36"/>
      <c r="H30" s="36"/>
      <c r="I30" s="36"/>
      <c r="J30" s="36"/>
      <c r="K30" s="36"/>
      <c r="M30" s="8"/>
      <c r="N30" s="8"/>
      <c r="O30" s="8"/>
      <c r="P30" s="59"/>
      <c r="Q30" s="66"/>
    </row>
    <row r="31" spans="1:17" ht="16.5" thickBot="1">
      <c r="A31" s="18"/>
      <c r="B31" s="55"/>
      <c r="C31" s="56"/>
      <c r="D31" s="74"/>
      <c r="E31" s="56"/>
      <c r="F31" s="57"/>
      <c r="G31" s="19">
        <f t="shared" ref="G31" si="4">SUM(G29:G30)</f>
        <v>0</v>
      </c>
      <c r="H31" s="19">
        <f t="shared" ref="H31:O31" si="5">SUM(H29:H30)</f>
        <v>0</v>
      </c>
      <c r="I31" s="19">
        <f t="shared" si="5"/>
        <v>0</v>
      </c>
      <c r="J31" s="19">
        <f t="shared" si="5"/>
        <v>0</v>
      </c>
      <c r="K31" s="19">
        <f t="shared" si="5"/>
        <v>200000</v>
      </c>
      <c r="L31" s="19">
        <f t="shared" si="5"/>
        <v>200000</v>
      </c>
      <c r="M31" s="19">
        <f t="shared" si="5"/>
        <v>400000</v>
      </c>
      <c r="N31" s="19">
        <f t="shared" si="5"/>
        <v>49600000</v>
      </c>
      <c r="O31" s="19">
        <f t="shared" si="5"/>
        <v>50000000</v>
      </c>
      <c r="P31" s="68"/>
      <c r="Q31" s="70"/>
    </row>
    <row r="32" spans="1:17" ht="16.5" thickTop="1">
      <c r="A32" s="23"/>
      <c r="B32" s="22"/>
      <c r="C32" s="22"/>
      <c r="D32" s="23"/>
      <c r="E32" s="22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2"/>
      <c r="Q32" s="69"/>
    </row>
    <row r="33" spans="1:17" ht="15.75">
      <c r="A33" s="23"/>
      <c r="B33" s="28" t="s">
        <v>394</v>
      </c>
      <c r="C33" s="22"/>
      <c r="D33" s="39"/>
      <c r="F33" s="27"/>
      <c r="G33" s="28"/>
      <c r="H33" s="28"/>
      <c r="I33" s="28"/>
      <c r="J33" s="28"/>
      <c r="K33" s="28"/>
      <c r="L33" s="28"/>
      <c r="Q33" s="51"/>
    </row>
    <row r="34" spans="1:17" ht="15.75">
      <c r="A34" s="38"/>
      <c r="B34" s="40" t="s">
        <v>32</v>
      </c>
      <c r="C34" s="28" t="s">
        <v>28</v>
      </c>
      <c r="D34" s="39"/>
      <c r="F34" s="41"/>
      <c r="G34" s="143" t="s">
        <v>26</v>
      </c>
      <c r="H34" s="143"/>
      <c r="I34" s="143"/>
      <c r="K34" s="41"/>
    </row>
    <row r="35" spans="1:17" ht="15.7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>
      <c r="A36" s="38"/>
      <c r="B36" s="40"/>
      <c r="C36" s="28"/>
      <c r="D36" s="39"/>
      <c r="F36" s="28"/>
      <c r="G36" s="28"/>
      <c r="H36" s="28"/>
      <c r="I36" s="28"/>
      <c r="J36" s="28"/>
      <c r="K36" s="28"/>
      <c r="L36" s="28"/>
    </row>
    <row r="37" spans="1:17" ht="15.75">
      <c r="A37" s="38"/>
      <c r="B37" s="40"/>
      <c r="C37" s="28"/>
      <c r="D37" s="39"/>
      <c r="F37" s="28"/>
      <c r="G37" s="28"/>
      <c r="H37" s="28"/>
      <c r="I37" s="28"/>
      <c r="J37" s="28"/>
      <c r="K37" s="28"/>
    </row>
    <row r="38" spans="1:17" ht="15.75">
      <c r="A38" s="38"/>
      <c r="B38" s="40"/>
      <c r="C38" s="28"/>
      <c r="D38" s="39"/>
      <c r="F38" s="28"/>
      <c r="G38" s="28"/>
      <c r="H38" s="28"/>
      <c r="I38" s="28"/>
      <c r="J38" s="28"/>
      <c r="K38" s="28"/>
      <c r="L38" s="28"/>
    </row>
    <row r="39" spans="1:17" ht="15.75">
      <c r="A39" s="38" t="s">
        <v>23</v>
      </c>
      <c r="B39" s="42" t="s">
        <v>27</v>
      </c>
      <c r="C39" s="43" t="s">
        <v>24</v>
      </c>
      <c r="D39" s="39"/>
      <c r="F39" s="29"/>
      <c r="G39" s="29" t="s">
        <v>16</v>
      </c>
      <c r="H39" s="29"/>
      <c r="I39" s="29" t="s">
        <v>30</v>
      </c>
    </row>
    <row r="40" spans="1:17" ht="15.75">
      <c r="A40" s="38"/>
      <c r="B40" s="44" t="s">
        <v>31</v>
      </c>
      <c r="C40" s="45" t="s">
        <v>20</v>
      </c>
      <c r="D40" s="39"/>
      <c r="F40" s="46"/>
      <c r="G40" s="46" t="s">
        <v>17</v>
      </c>
      <c r="H40" s="46"/>
      <c r="I40" s="46" t="s">
        <v>25</v>
      </c>
    </row>
    <row r="42" spans="1:17" ht="15.75">
      <c r="A42" s="21" t="s">
        <v>0</v>
      </c>
      <c r="B42" s="22"/>
      <c r="C42" s="23"/>
      <c r="D42" s="23"/>
      <c r="E42" s="23"/>
      <c r="F42" s="24"/>
      <c r="G42" s="24"/>
      <c r="H42" s="24"/>
      <c r="I42" s="24"/>
      <c r="J42" s="24"/>
      <c r="K42" s="24"/>
      <c r="L42" s="25"/>
    </row>
    <row r="43" spans="1:17" ht="15.75">
      <c r="A43" s="26" t="s">
        <v>395</v>
      </c>
      <c r="B43" s="21"/>
      <c r="C43" s="21"/>
      <c r="D43" s="21"/>
      <c r="E43" s="21"/>
      <c r="F43" s="24"/>
      <c r="G43" s="24"/>
      <c r="H43" s="24"/>
      <c r="I43" s="24"/>
      <c r="J43" s="24"/>
      <c r="K43" s="24"/>
      <c r="L43" s="25"/>
    </row>
    <row r="44" spans="1:17">
      <c r="A44" s="62"/>
      <c r="B44" s="62" t="s">
        <v>1</v>
      </c>
      <c r="C44" s="93" t="s">
        <v>2</v>
      </c>
      <c r="D44" s="117" t="s">
        <v>34</v>
      </c>
      <c r="E44" s="95" t="s">
        <v>3</v>
      </c>
      <c r="F44" s="93" t="s">
        <v>4</v>
      </c>
      <c r="G44" s="96" t="s">
        <v>18</v>
      </c>
      <c r="H44" s="96" t="s">
        <v>18</v>
      </c>
      <c r="I44" s="97" t="s">
        <v>7</v>
      </c>
      <c r="J44" s="96" t="s">
        <v>6</v>
      </c>
      <c r="K44" s="96" t="s">
        <v>29</v>
      </c>
      <c r="L44" s="96" t="s">
        <v>21</v>
      </c>
      <c r="M44" s="96" t="s">
        <v>8</v>
      </c>
      <c r="N44" s="96" t="s">
        <v>8</v>
      </c>
      <c r="O44" s="96" t="s">
        <v>9</v>
      </c>
      <c r="P44" s="62" t="s">
        <v>10</v>
      </c>
      <c r="Q44" s="98" t="s">
        <v>33</v>
      </c>
    </row>
    <row r="45" spans="1:17">
      <c r="A45" s="99"/>
      <c r="B45" s="99"/>
      <c r="C45" s="100"/>
      <c r="D45" s="101"/>
      <c r="E45" s="102"/>
      <c r="F45" s="100"/>
      <c r="G45" s="103" t="s">
        <v>12</v>
      </c>
      <c r="H45" s="103"/>
      <c r="I45" s="103" t="s">
        <v>19</v>
      </c>
      <c r="J45" s="103" t="s">
        <v>35</v>
      </c>
      <c r="K45" s="103" t="s">
        <v>22</v>
      </c>
      <c r="L45" s="103" t="s">
        <v>15</v>
      </c>
      <c r="M45" s="103" t="s">
        <v>13</v>
      </c>
      <c r="N45" s="103" t="s">
        <v>14</v>
      </c>
      <c r="O45" s="103" t="s">
        <v>12</v>
      </c>
      <c r="P45" s="99"/>
      <c r="Q45" s="104"/>
    </row>
    <row r="46" spans="1:17">
      <c r="A46" s="99"/>
      <c r="B46" s="99"/>
      <c r="C46" s="105"/>
      <c r="D46" s="101"/>
      <c r="E46" s="102"/>
      <c r="F46" s="100"/>
      <c r="G46" s="103" t="s">
        <v>42</v>
      </c>
      <c r="H46" s="103"/>
      <c r="I46" s="103" t="s">
        <v>5</v>
      </c>
      <c r="J46" s="103"/>
      <c r="K46" s="103"/>
      <c r="L46" s="103"/>
      <c r="M46" s="103"/>
      <c r="N46" s="103"/>
      <c r="O46" s="103"/>
      <c r="P46" s="99"/>
      <c r="Q46" s="104"/>
    </row>
    <row r="47" spans="1:17">
      <c r="A47" s="106"/>
      <c r="B47" s="106"/>
      <c r="C47" s="107"/>
      <c r="D47" s="108"/>
      <c r="E47" s="109"/>
      <c r="F47" s="110"/>
      <c r="G47" s="111"/>
      <c r="H47" s="112"/>
      <c r="I47" s="111"/>
      <c r="J47" s="111"/>
      <c r="K47" s="113"/>
      <c r="L47" s="108"/>
      <c r="M47" s="111"/>
      <c r="N47" s="111"/>
      <c r="O47" s="111"/>
      <c r="P47" s="106"/>
      <c r="Q47" s="114"/>
    </row>
    <row r="48" spans="1:17" ht="15.75">
      <c r="A48" s="52"/>
      <c r="B48" s="47"/>
      <c r="C48" s="48"/>
      <c r="D48" s="73"/>
      <c r="E48" s="17"/>
      <c r="F48" s="48"/>
      <c r="G48" s="36"/>
      <c r="H48" s="36"/>
      <c r="I48" s="36"/>
      <c r="J48" s="36"/>
      <c r="K48" s="8"/>
      <c r="M48" s="8"/>
      <c r="N48" s="8"/>
      <c r="O48" s="8"/>
      <c r="P48" s="35"/>
      <c r="Q48" s="37"/>
    </row>
    <row r="49" spans="1:17" ht="15.75">
      <c r="A49" s="52">
        <v>1</v>
      </c>
      <c r="B49" s="51" t="s">
        <v>396</v>
      </c>
      <c r="C49" s="48" t="s">
        <v>397</v>
      </c>
      <c r="D49" s="67" t="s">
        <v>398</v>
      </c>
      <c r="E49" s="17">
        <v>43224</v>
      </c>
      <c r="F49" s="20" t="s">
        <v>399</v>
      </c>
      <c r="G49" s="36">
        <v>22489500</v>
      </c>
      <c r="H49" s="36">
        <v>0</v>
      </c>
      <c r="I49" s="8">
        <v>562238</v>
      </c>
      <c r="J49" s="8">
        <v>130452</v>
      </c>
      <c r="K49" s="8">
        <v>450000</v>
      </c>
      <c r="L49" s="8">
        <v>200000</v>
      </c>
      <c r="M49" s="8">
        <f>SUM(G49:L49)</f>
        <v>23832190</v>
      </c>
      <c r="N49" s="123">
        <f>75000000-M49</f>
        <v>51167810</v>
      </c>
      <c r="O49" s="8">
        <f t="shared" ref="O49" si="6">+M49+N49</f>
        <v>75000000</v>
      </c>
      <c r="P49" s="59" t="s">
        <v>400</v>
      </c>
      <c r="Q49" s="66" t="s">
        <v>52</v>
      </c>
    </row>
    <row r="50" spans="1:17" ht="15.75">
      <c r="A50" s="52"/>
      <c r="B50" s="51"/>
      <c r="C50" s="48"/>
      <c r="E50" s="17"/>
      <c r="F50" s="48"/>
      <c r="G50" s="36"/>
      <c r="H50" s="36"/>
      <c r="I50" s="36"/>
      <c r="J50" s="36"/>
      <c r="K50" s="36"/>
      <c r="M50" s="8"/>
      <c r="N50" s="8"/>
      <c r="O50" s="8"/>
      <c r="P50" s="59"/>
      <c r="Q50" s="66"/>
    </row>
    <row r="51" spans="1:17" ht="16.5" thickBot="1">
      <c r="A51" s="18"/>
      <c r="B51" s="55"/>
      <c r="C51" s="56"/>
      <c r="D51" s="74"/>
      <c r="E51" s="56"/>
      <c r="F51" s="57"/>
      <c r="G51" s="19">
        <f t="shared" ref="G51" si="7">SUM(G49:G50)</f>
        <v>22489500</v>
      </c>
      <c r="H51" s="19">
        <f t="shared" ref="H51:O51" si="8">SUM(H49:H50)</f>
        <v>0</v>
      </c>
      <c r="I51" s="19">
        <f t="shared" si="8"/>
        <v>562238</v>
      </c>
      <c r="J51" s="19">
        <f t="shared" si="8"/>
        <v>130452</v>
      </c>
      <c r="K51" s="19">
        <f t="shared" si="8"/>
        <v>450000</v>
      </c>
      <c r="L51" s="19">
        <f t="shared" si="8"/>
        <v>200000</v>
      </c>
      <c r="M51" s="19">
        <f t="shared" si="8"/>
        <v>23832190</v>
      </c>
      <c r="N51" s="19">
        <f t="shared" si="8"/>
        <v>51167810</v>
      </c>
      <c r="O51" s="19">
        <f t="shared" si="8"/>
        <v>75000000</v>
      </c>
      <c r="P51" s="68"/>
      <c r="Q51" s="70"/>
    </row>
    <row r="52" spans="1:17" ht="16.5" thickTop="1">
      <c r="A52" s="23"/>
      <c r="B52" s="22"/>
      <c r="C52" s="22"/>
      <c r="D52" s="23"/>
      <c r="E52" s="22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2"/>
      <c r="Q52" s="69"/>
    </row>
    <row r="53" spans="1:17" ht="15.75">
      <c r="A53" s="23"/>
      <c r="B53" s="28" t="s">
        <v>401</v>
      </c>
      <c r="C53" s="22"/>
      <c r="D53" s="39"/>
      <c r="F53" s="27"/>
      <c r="G53" s="28"/>
      <c r="H53" s="28"/>
      <c r="I53" s="28"/>
      <c r="J53" s="28"/>
      <c r="K53" s="28"/>
      <c r="L53" s="28"/>
      <c r="Q53" s="51"/>
    </row>
    <row r="54" spans="1:17" ht="15.75">
      <c r="A54" s="38"/>
      <c r="B54" s="40" t="s">
        <v>32</v>
      </c>
      <c r="C54" s="28" t="s">
        <v>28</v>
      </c>
      <c r="D54" s="39"/>
      <c r="F54" s="41"/>
      <c r="G54" s="143" t="s">
        <v>26</v>
      </c>
      <c r="H54" s="143"/>
      <c r="I54" s="143"/>
      <c r="K54" s="41"/>
    </row>
    <row r="55" spans="1:17" ht="15.75">
      <c r="A55" s="38"/>
      <c r="B55" s="40"/>
      <c r="C55" s="28"/>
      <c r="D55" s="39"/>
      <c r="F55" s="28"/>
      <c r="G55" s="28"/>
      <c r="H55" s="28"/>
      <c r="I55" s="28"/>
      <c r="J55" s="28"/>
      <c r="K55" s="28"/>
      <c r="L55" s="28"/>
    </row>
    <row r="56" spans="1:17" ht="15.75">
      <c r="A56" s="38"/>
      <c r="B56" s="40"/>
      <c r="C56" s="28"/>
      <c r="D56" s="39"/>
      <c r="F56" s="28"/>
      <c r="G56" s="28"/>
      <c r="H56" s="28"/>
      <c r="I56" s="28"/>
      <c r="J56" s="28"/>
      <c r="K56" s="28"/>
      <c r="L56" s="28"/>
    </row>
    <row r="57" spans="1:17" ht="15.75">
      <c r="A57" s="38"/>
      <c r="B57" s="40"/>
      <c r="C57" s="28"/>
      <c r="D57" s="39"/>
      <c r="F57" s="28"/>
      <c r="G57" s="28"/>
      <c r="H57" s="28"/>
      <c r="I57" s="28"/>
      <c r="J57" s="28"/>
      <c r="K57" s="28"/>
    </row>
    <row r="58" spans="1:17" ht="15.75">
      <c r="A58" s="38"/>
      <c r="B58" s="40"/>
      <c r="C58" s="28"/>
      <c r="D58" s="39"/>
      <c r="F58" s="28"/>
      <c r="G58" s="28"/>
      <c r="H58" s="28"/>
      <c r="I58" s="28"/>
      <c r="J58" s="28"/>
      <c r="K58" s="28"/>
      <c r="L58" s="28"/>
    </row>
    <row r="59" spans="1:17" ht="15.75">
      <c r="A59" s="38" t="s">
        <v>23</v>
      </c>
      <c r="B59" s="42" t="s">
        <v>27</v>
      </c>
      <c r="C59" s="43" t="s">
        <v>24</v>
      </c>
      <c r="D59" s="39"/>
      <c r="F59" s="29"/>
      <c r="G59" s="29" t="s">
        <v>16</v>
      </c>
      <c r="H59" s="29"/>
      <c r="I59" s="29" t="s">
        <v>30</v>
      </c>
    </row>
    <row r="60" spans="1:17" ht="15.75">
      <c r="A60" s="38"/>
      <c r="B60" s="44" t="s">
        <v>31</v>
      </c>
      <c r="C60" s="45" t="s">
        <v>20</v>
      </c>
      <c r="D60" s="39"/>
      <c r="F60" s="46"/>
      <c r="G60" s="46" t="s">
        <v>17</v>
      </c>
      <c r="H60" s="46"/>
      <c r="I60" s="46" t="s">
        <v>25</v>
      </c>
    </row>
    <row r="62" spans="1:17" ht="15.75">
      <c r="A62" s="21" t="s">
        <v>0</v>
      </c>
      <c r="B62" s="22"/>
      <c r="C62" s="23"/>
      <c r="D62" s="23"/>
      <c r="E62" s="23"/>
      <c r="F62" s="24"/>
      <c r="G62" s="24"/>
      <c r="H62" s="24"/>
      <c r="I62" s="24"/>
      <c r="J62" s="24"/>
      <c r="K62" s="24"/>
      <c r="L62" s="25"/>
    </row>
    <row r="63" spans="1:17" ht="15.75">
      <c r="A63" s="26" t="s">
        <v>395</v>
      </c>
      <c r="B63" s="21"/>
      <c r="C63" s="21"/>
      <c r="D63" s="21"/>
      <c r="E63" s="21"/>
      <c r="F63" s="24"/>
      <c r="G63" s="24"/>
      <c r="H63" s="24"/>
      <c r="I63" s="24"/>
      <c r="J63" s="24"/>
      <c r="K63" s="24"/>
      <c r="L63" s="25"/>
    </row>
    <row r="64" spans="1:17">
      <c r="A64" s="62"/>
      <c r="B64" s="62" t="s">
        <v>1</v>
      </c>
      <c r="C64" s="93" t="s">
        <v>2</v>
      </c>
      <c r="D64" s="117" t="s">
        <v>34</v>
      </c>
      <c r="E64" s="95" t="s">
        <v>3</v>
      </c>
      <c r="F64" s="93" t="s">
        <v>4</v>
      </c>
      <c r="G64" s="96" t="s">
        <v>18</v>
      </c>
      <c r="H64" s="96" t="s">
        <v>18</v>
      </c>
      <c r="I64" s="97" t="s">
        <v>7</v>
      </c>
      <c r="J64" s="96" t="s">
        <v>6</v>
      </c>
      <c r="K64" s="96" t="s">
        <v>29</v>
      </c>
      <c r="L64" s="96" t="s">
        <v>21</v>
      </c>
      <c r="M64" s="96" t="s">
        <v>8</v>
      </c>
      <c r="N64" s="96" t="s">
        <v>8</v>
      </c>
      <c r="O64" s="96" t="s">
        <v>9</v>
      </c>
      <c r="P64" s="62" t="s">
        <v>10</v>
      </c>
      <c r="Q64" s="98" t="s">
        <v>33</v>
      </c>
    </row>
    <row r="65" spans="1:17">
      <c r="A65" s="99"/>
      <c r="B65" s="99"/>
      <c r="C65" s="100"/>
      <c r="D65" s="101"/>
      <c r="E65" s="102"/>
      <c r="F65" s="100"/>
      <c r="G65" s="103" t="s">
        <v>12</v>
      </c>
      <c r="H65" s="103"/>
      <c r="I65" s="103" t="s">
        <v>19</v>
      </c>
      <c r="J65" s="103" t="s">
        <v>35</v>
      </c>
      <c r="K65" s="103" t="s">
        <v>22</v>
      </c>
      <c r="L65" s="103" t="s">
        <v>15</v>
      </c>
      <c r="M65" s="103" t="s">
        <v>13</v>
      </c>
      <c r="N65" s="103" t="s">
        <v>14</v>
      </c>
      <c r="O65" s="103" t="s">
        <v>12</v>
      </c>
      <c r="P65" s="99"/>
      <c r="Q65" s="104"/>
    </row>
    <row r="66" spans="1:17">
      <c r="A66" s="99"/>
      <c r="B66" s="99"/>
      <c r="C66" s="105"/>
      <c r="D66" s="101"/>
      <c r="E66" s="102"/>
      <c r="F66" s="100"/>
      <c r="G66" s="103" t="s">
        <v>42</v>
      </c>
      <c r="H66" s="103"/>
      <c r="I66" s="103" t="s">
        <v>5</v>
      </c>
      <c r="J66" s="103"/>
      <c r="K66" s="103"/>
      <c r="L66" s="103"/>
      <c r="M66" s="103"/>
      <c r="N66" s="103"/>
      <c r="O66" s="103"/>
      <c r="P66" s="99"/>
      <c r="Q66" s="104"/>
    </row>
    <row r="67" spans="1:17">
      <c r="A67" s="106"/>
      <c r="B67" s="106"/>
      <c r="C67" s="107"/>
      <c r="D67" s="108"/>
      <c r="E67" s="109"/>
      <c r="F67" s="110"/>
      <c r="G67" s="111"/>
      <c r="H67" s="112"/>
      <c r="I67" s="111"/>
      <c r="J67" s="111"/>
      <c r="K67" s="113"/>
      <c r="L67" s="108"/>
      <c r="M67" s="111"/>
      <c r="N67" s="111"/>
      <c r="O67" s="111"/>
      <c r="P67" s="106"/>
      <c r="Q67" s="114"/>
    </row>
    <row r="68" spans="1:17" ht="15.75">
      <c r="A68" s="52"/>
      <c r="B68" s="47"/>
      <c r="C68" s="48"/>
      <c r="D68" s="73"/>
      <c r="E68" s="17"/>
      <c r="F68" s="48"/>
      <c r="G68" s="36"/>
      <c r="H68" s="36"/>
      <c r="I68" s="36"/>
      <c r="J68" s="36"/>
      <c r="K68" s="8"/>
      <c r="M68" s="8"/>
      <c r="N68" s="8"/>
      <c r="O68" s="8"/>
      <c r="P68" s="35"/>
      <c r="Q68" s="37"/>
    </row>
    <row r="69" spans="1:17" ht="15.75">
      <c r="A69" s="52">
        <v>1</v>
      </c>
      <c r="B69" s="51" t="s">
        <v>402</v>
      </c>
      <c r="C69" s="48" t="s">
        <v>403</v>
      </c>
      <c r="D69" s="67" t="s">
        <v>404</v>
      </c>
      <c r="E69" s="17">
        <v>43224</v>
      </c>
      <c r="F69" s="20" t="s">
        <v>405</v>
      </c>
      <c r="G69" s="36">
        <v>0</v>
      </c>
      <c r="H69" s="36">
        <v>0</v>
      </c>
      <c r="I69" s="8">
        <v>0</v>
      </c>
      <c r="J69" s="8">
        <v>0</v>
      </c>
      <c r="K69" s="8">
        <v>700000</v>
      </c>
      <c r="L69" s="8">
        <v>200000</v>
      </c>
      <c r="M69" s="8">
        <f>SUM(G69:L69)</f>
        <v>900000</v>
      </c>
      <c r="N69" s="123">
        <f>100000000-M69</f>
        <v>99100000</v>
      </c>
      <c r="O69" s="8">
        <f t="shared" ref="O69" si="9">+M69+N69</f>
        <v>100000000</v>
      </c>
      <c r="P69" s="77" t="s">
        <v>96</v>
      </c>
      <c r="Q69" s="66" t="s">
        <v>40</v>
      </c>
    </row>
    <row r="70" spans="1:17" ht="15.75">
      <c r="A70" s="52"/>
      <c r="B70" s="51"/>
      <c r="C70" s="48"/>
      <c r="E70" s="17"/>
      <c r="F70" s="48"/>
      <c r="G70" s="36"/>
      <c r="H70" s="36"/>
      <c r="I70" s="36"/>
      <c r="J70" s="36"/>
      <c r="K70" s="36"/>
      <c r="M70" s="8"/>
      <c r="N70" s="8"/>
      <c r="O70" s="8"/>
      <c r="P70" s="59"/>
      <c r="Q70" s="66"/>
    </row>
    <row r="71" spans="1:17" ht="16.5" thickBot="1">
      <c r="A71" s="18"/>
      <c r="B71" s="55"/>
      <c r="C71" s="56"/>
      <c r="D71" s="74"/>
      <c r="E71" s="56"/>
      <c r="F71" s="57"/>
      <c r="G71" s="19">
        <f t="shared" ref="G71" si="10">SUM(G69:G70)</f>
        <v>0</v>
      </c>
      <c r="H71" s="19">
        <f t="shared" ref="H71:O71" si="11">SUM(H69:H70)</f>
        <v>0</v>
      </c>
      <c r="I71" s="19">
        <f t="shared" si="11"/>
        <v>0</v>
      </c>
      <c r="J71" s="19">
        <f t="shared" si="11"/>
        <v>0</v>
      </c>
      <c r="K71" s="19">
        <f t="shared" si="11"/>
        <v>700000</v>
      </c>
      <c r="L71" s="19">
        <f t="shared" si="11"/>
        <v>200000</v>
      </c>
      <c r="M71" s="19">
        <f t="shared" si="11"/>
        <v>900000</v>
      </c>
      <c r="N71" s="19">
        <f t="shared" si="11"/>
        <v>99100000</v>
      </c>
      <c r="O71" s="19">
        <f t="shared" si="11"/>
        <v>100000000</v>
      </c>
      <c r="P71" s="68"/>
      <c r="Q71" s="70"/>
    </row>
    <row r="72" spans="1:17" ht="16.5" thickTop="1">
      <c r="A72" s="23"/>
      <c r="B72" s="22"/>
      <c r="C72" s="22"/>
      <c r="D72" s="23"/>
      <c r="E72" s="22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2"/>
      <c r="Q72" s="69"/>
    </row>
    <row r="73" spans="1:17" ht="15.75">
      <c r="A73" s="23"/>
      <c r="B73" s="28" t="s">
        <v>401</v>
      </c>
      <c r="C73" s="22"/>
      <c r="D73" s="39"/>
      <c r="F73" s="27"/>
      <c r="G73" s="28"/>
      <c r="H73" s="28"/>
      <c r="I73" s="28"/>
      <c r="J73" s="28"/>
      <c r="K73" s="28"/>
      <c r="L73" s="28"/>
      <c r="Q73" s="51"/>
    </row>
    <row r="74" spans="1:17" ht="15.75">
      <c r="A74" s="38"/>
      <c r="B74" s="40" t="s">
        <v>32</v>
      </c>
      <c r="C74" s="28" t="s">
        <v>28</v>
      </c>
      <c r="D74" s="39"/>
      <c r="F74" s="41"/>
      <c r="G74" s="143" t="s">
        <v>26</v>
      </c>
      <c r="H74" s="143"/>
      <c r="I74" s="143"/>
      <c r="K74" s="41"/>
    </row>
    <row r="75" spans="1:17" ht="15.75">
      <c r="A75" s="38"/>
      <c r="B75" s="40"/>
      <c r="C75" s="28"/>
      <c r="D75" s="39"/>
      <c r="F75" s="28"/>
      <c r="G75" s="28"/>
      <c r="H75" s="28"/>
      <c r="I75" s="28"/>
      <c r="J75" s="28"/>
      <c r="K75" s="28"/>
      <c r="L75" s="28"/>
    </row>
    <row r="76" spans="1:17" ht="15.75">
      <c r="A76" s="38"/>
      <c r="B76" s="40"/>
      <c r="C76" s="28"/>
      <c r="D76" s="39"/>
      <c r="F76" s="28"/>
      <c r="G76" s="28"/>
      <c r="H76" s="28"/>
      <c r="I76" s="28"/>
      <c r="J76" s="28"/>
      <c r="K76" s="28"/>
      <c r="L76" s="28"/>
    </row>
    <row r="77" spans="1:17" ht="15.75">
      <c r="A77" s="38"/>
      <c r="B77" s="40"/>
      <c r="C77" s="28"/>
      <c r="D77" s="39"/>
      <c r="F77" s="28"/>
      <c r="G77" s="28"/>
      <c r="H77" s="28"/>
      <c r="I77" s="28"/>
      <c r="J77" s="28"/>
      <c r="K77" s="28"/>
    </row>
    <row r="78" spans="1:17" ht="15.75">
      <c r="A78" s="38"/>
      <c r="B78" s="40"/>
      <c r="C78" s="28"/>
      <c r="D78" s="39"/>
      <c r="F78" s="28"/>
      <c r="G78" s="28"/>
      <c r="H78" s="28"/>
      <c r="I78" s="28"/>
      <c r="J78" s="28"/>
      <c r="K78" s="28"/>
      <c r="L78" s="28"/>
    </row>
    <row r="79" spans="1:17" ht="15.75">
      <c r="A79" s="38" t="s">
        <v>23</v>
      </c>
      <c r="B79" s="42" t="s">
        <v>27</v>
      </c>
      <c r="C79" s="43" t="s">
        <v>24</v>
      </c>
      <c r="D79" s="39"/>
      <c r="F79" s="29"/>
      <c r="G79" s="29" t="s">
        <v>16</v>
      </c>
      <c r="H79" s="29"/>
      <c r="I79" s="29" t="s">
        <v>30</v>
      </c>
    </row>
    <row r="80" spans="1:17" ht="15.75">
      <c r="A80" s="38"/>
      <c r="B80" s="44" t="s">
        <v>31</v>
      </c>
      <c r="C80" s="45" t="s">
        <v>20</v>
      </c>
      <c r="D80" s="39"/>
      <c r="F80" s="46"/>
      <c r="G80" s="46" t="s">
        <v>17</v>
      </c>
      <c r="H80" s="46"/>
      <c r="I80" s="46" t="s">
        <v>25</v>
      </c>
    </row>
    <row r="82" spans="1:17" ht="15.75">
      <c r="A82" s="21" t="s">
        <v>0</v>
      </c>
      <c r="B82" s="22"/>
      <c r="C82" s="23"/>
      <c r="D82" s="23"/>
      <c r="E82" s="23"/>
      <c r="F82" s="24"/>
      <c r="G82" s="24"/>
      <c r="H82" s="24"/>
      <c r="I82" s="24"/>
      <c r="J82" s="24"/>
      <c r="K82" s="24"/>
      <c r="L82" s="25"/>
    </row>
    <row r="83" spans="1:17" ht="15.75">
      <c r="A83" s="26" t="s">
        <v>395</v>
      </c>
      <c r="B83" s="21"/>
      <c r="C83" s="21"/>
      <c r="D83" s="21"/>
      <c r="E83" s="21"/>
      <c r="F83" s="24"/>
      <c r="G83" s="24"/>
      <c r="H83" s="24"/>
      <c r="I83" s="24"/>
      <c r="J83" s="24"/>
      <c r="K83" s="24"/>
      <c r="L83" s="25"/>
    </row>
    <row r="84" spans="1:17">
      <c r="A84" s="62"/>
      <c r="B84" s="62" t="s">
        <v>1</v>
      </c>
      <c r="C84" s="93" t="s">
        <v>2</v>
      </c>
      <c r="D84" s="117" t="s">
        <v>34</v>
      </c>
      <c r="E84" s="95" t="s">
        <v>3</v>
      </c>
      <c r="F84" s="93" t="s">
        <v>4</v>
      </c>
      <c r="G84" s="96" t="s">
        <v>18</v>
      </c>
      <c r="H84" s="96" t="s">
        <v>18</v>
      </c>
      <c r="I84" s="97" t="s">
        <v>7</v>
      </c>
      <c r="J84" s="96" t="s">
        <v>6</v>
      </c>
      <c r="K84" s="96" t="s">
        <v>29</v>
      </c>
      <c r="L84" s="96" t="s">
        <v>21</v>
      </c>
      <c r="M84" s="96" t="s">
        <v>8</v>
      </c>
      <c r="N84" s="96" t="s">
        <v>8</v>
      </c>
      <c r="O84" s="96" t="s">
        <v>9</v>
      </c>
      <c r="P84" s="62" t="s">
        <v>10</v>
      </c>
      <c r="Q84" s="98" t="s">
        <v>33</v>
      </c>
    </row>
    <row r="85" spans="1:17">
      <c r="A85" s="99"/>
      <c r="B85" s="99"/>
      <c r="C85" s="100"/>
      <c r="D85" s="101"/>
      <c r="E85" s="102"/>
      <c r="F85" s="100"/>
      <c r="G85" s="103" t="s">
        <v>12</v>
      </c>
      <c r="H85" s="103"/>
      <c r="I85" s="103" t="s">
        <v>19</v>
      </c>
      <c r="J85" s="103" t="s">
        <v>35</v>
      </c>
      <c r="K85" s="103" t="s">
        <v>22</v>
      </c>
      <c r="L85" s="103" t="s">
        <v>15</v>
      </c>
      <c r="M85" s="103" t="s">
        <v>13</v>
      </c>
      <c r="N85" s="103" t="s">
        <v>14</v>
      </c>
      <c r="O85" s="103" t="s">
        <v>12</v>
      </c>
      <c r="P85" s="99"/>
      <c r="Q85" s="104"/>
    </row>
    <row r="86" spans="1:17">
      <c r="A86" s="99"/>
      <c r="B86" s="99"/>
      <c r="C86" s="105"/>
      <c r="D86" s="101"/>
      <c r="E86" s="102"/>
      <c r="F86" s="100"/>
      <c r="G86" s="103" t="s">
        <v>409</v>
      </c>
      <c r="H86" s="103"/>
      <c r="I86" s="103" t="s">
        <v>5</v>
      </c>
      <c r="J86" s="103"/>
      <c r="K86" s="103"/>
      <c r="L86" s="103"/>
      <c r="M86" s="103"/>
      <c r="N86" s="103"/>
      <c r="O86" s="103"/>
      <c r="P86" s="99"/>
      <c r="Q86" s="104"/>
    </row>
    <row r="87" spans="1:17">
      <c r="A87" s="106"/>
      <c r="B87" s="106"/>
      <c r="C87" s="107"/>
      <c r="D87" s="108"/>
      <c r="E87" s="109"/>
      <c r="F87" s="110"/>
      <c r="G87" s="111"/>
      <c r="H87" s="112"/>
      <c r="I87" s="111"/>
      <c r="J87" s="111"/>
      <c r="K87" s="113"/>
      <c r="L87" s="108"/>
      <c r="M87" s="111"/>
      <c r="N87" s="111"/>
      <c r="O87" s="111"/>
      <c r="P87" s="106"/>
      <c r="Q87" s="114"/>
    </row>
    <row r="88" spans="1:17" ht="15.75">
      <c r="A88" s="52"/>
      <c r="B88" s="47"/>
      <c r="C88" s="48"/>
      <c r="D88" s="73"/>
      <c r="E88" s="17"/>
      <c r="F88" s="48"/>
      <c r="G88" s="36"/>
      <c r="H88" s="36"/>
      <c r="I88" s="36"/>
      <c r="J88" s="36"/>
      <c r="K88" s="8"/>
      <c r="M88" s="8"/>
      <c r="N88" s="8"/>
      <c r="O88" s="8"/>
      <c r="P88" s="35"/>
      <c r="Q88" s="37"/>
    </row>
    <row r="89" spans="1:17" ht="15.75">
      <c r="A89" s="52">
        <v>1</v>
      </c>
      <c r="B89" s="51" t="s">
        <v>406</v>
      </c>
      <c r="C89" s="48" t="s">
        <v>407</v>
      </c>
      <c r="D89" s="67" t="s">
        <v>408</v>
      </c>
      <c r="E89" s="17">
        <v>43224</v>
      </c>
      <c r="F89" s="20" t="s">
        <v>337</v>
      </c>
      <c r="G89" s="36">
        <v>129300000</v>
      </c>
      <c r="H89" s="36">
        <v>0</v>
      </c>
      <c r="I89" s="8">
        <v>3232500</v>
      </c>
      <c r="J89" s="8">
        <v>760968</v>
      </c>
      <c r="K89" s="8">
        <v>0</v>
      </c>
      <c r="L89" s="8">
        <v>200000</v>
      </c>
      <c r="M89" s="8">
        <f>SUM(G89:L89)</f>
        <v>133493468</v>
      </c>
      <c r="N89" s="8">
        <f>133493468-M89</f>
        <v>0</v>
      </c>
      <c r="O89" s="8">
        <f t="shared" ref="O89" si="12">+M89+N89</f>
        <v>133493468</v>
      </c>
      <c r="P89" s="35" t="s">
        <v>410</v>
      </c>
      <c r="Q89" s="66" t="s">
        <v>338</v>
      </c>
    </row>
    <row r="90" spans="1:17" ht="15.75">
      <c r="A90" s="52"/>
      <c r="B90" s="51"/>
      <c r="C90" s="48"/>
      <c r="E90" s="17"/>
      <c r="F90" s="48"/>
      <c r="G90" s="36"/>
      <c r="H90" s="36"/>
      <c r="I90" s="36"/>
      <c r="J90" s="36"/>
      <c r="K90" s="36"/>
      <c r="M90" s="8"/>
      <c r="N90" s="8"/>
      <c r="O90" s="8"/>
      <c r="P90" s="59"/>
      <c r="Q90" s="66"/>
    </row>
    <row r="91" spans="1:17" ht="16.5" thickBot="1">
      <c r="A91" s="18"/>
      <c r="B91" s="55"/>
      <c r="C91" s="56"/>
      <c r="D91" s="74"/>
      <c r="E91" s="56"/>
      <c r="F91" s="57"/>
      <c r="G91" s="19">
        <f t="shared" ref="G91" si="13">SUM(G89:G90)</f>
        <v>129300000</v>
      </c>
      <c r="H91" s="19">
        <f t="shared" ref="H91:O91" si="14">SUM(H89:H90)</f>
        <v>0</v>
      </c>
      <c r="I91" s="19">
        <f t="shared" si="14"/>
        <v>3232500</v>
      </c>
      <c r="J91" s="19">
        <f t="shared" si="14"/>
        <v>760968</v>
      </c>
      <c r="K91" s="19">
        <f t="shared" si="14"/>
        <v>0</v>
      </c>
      <c r="L91" s="19">
        <f t="shared" si="14"/>
        <v>200000</v>
      </c>
      <c r="M91" s="19">
        <f t="shared" si="14"/>
        <v>133493468</v>
      </c>
      <c r="N91" s="19">
        <f t="shared" si="14"/>
        <v>0</v>
      </c>
      <c r="O91" s="19">
        <f t="shared" si="14"/>
        <v>133493468</v>
      </c>
      <c r="P91" s="68"/>
      <c r="Q91" s="70"/>
    </row>
    <row r="92" spans="1:17" ht="16.5" thickTop="1">
      <c r="A92" s="23"/>
      <c r="B92" s="22"/>
      <c r="C92" s="22"/>
      <c r="D92" s="23"/>
      <c r="E92" s="22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2"/>
      <c r="Q92" s="69"/>
    </row>
    <row r="93" spans="1:17" ht="15.75">
      <c r="A93" s="23"/>
      <c r="B93" s="28" t="s">
        <v>401</v>
      </c>
      <c r="C93" s="22"/>
      <c r="D93" s="39"/>
      <c r="F93" s="27"/>
      <c r="G93" s="28"/>
      <c r="H93" s="28"/>
      <c r="I93" s="28"/>
      <c r="J93" s="28"/>
      <c r="K93" s="28"/>
      <c r="L93" s="28"/>
      <c r="Q93" s="51"/>
    </row>
    <row r="94" spans="1:17" ht="15.75">
      <c r="A94" s="38"/>
      <c r="B94" s="40" t="s">
        <v>32</v>
      </c>
      <c r="C94" s="28" t="s">
        <v>28</v>
      </c>
      <c r="D94" s="39"/>
      <c r="F94" s="41"/>
      <c r="G94" s="143" t="s">
        <v>26</v>
      </c>
      <c r="H94" s="143"/>
      <c r="I94" s="143"/>
      <c r="K94" s="41"/>
    </row>
    <row r="95" spans="1:17" ht="15.75">
      <c r="A95" s="38"/>
      <c r="B95" s="40"/>
      <c r="C95" s="28"/>
      <c r="D95" s="39"/>
      <c r="F95" s="28"/>
      <c r="G95" s="28"/>
      <c r="H95" s="28"/>
      <c r="I95" s="28"/>
      <c r="J95" s="28"/>
      <c r="K95" s="28"/>
      <c r="L95" s="28"/>
    </row>
    <row r="96" spans="1:17" ht="15.75">
      <c r="A96" s="38"/>
      <c r="B96" s="40"/>
      <c r="C96" s="28"/>
      <c r="D96" s="39"/>
      <c r="F96" s="28"/>
      <c r="G96" s="28"/>
      <c r="H96" s="28"/>
      <c r="I96" s="28"/>
      <c r="J96" s="28"/>
      <c r="K96" s="28"/>
      <c r="L96" s="28"/>
    </row>
    <row r="97" spans="1:17" ht="15.75">
      <c r="A97" s="38"/>
      <c r="B97" s="40"/>
      <c r="C97" s="28"/>
      <c r="D97" s="39"/>
      <c r="F97" s="28"/>
      <c r="G97" s="28"/>
      <c r="H97" s="28"/>
      <c r="I97" s="28"/>
      <c r="J97" s="28"/>
      <c r="K97" s="28"/>
    </row>
    <row r="98" spans="1:17" ht="15.75">
      <c r="A98" s="38"/>
      <c r="B98" s="40"/>
      <c r="C98" s="28"/>
      <c r="D98" s="39"/>
      <c r="F98" s="28"/>
      <c r="G98" s="28"/>
      <c r="H98" s="28"/>
      <c r="I98" s="28"/>
      <c r="J98" s="28"/>
      <c r="K98" s="28"/>
      <c r="L98" s="28"/>
    </row>
    <row r="99" spans="1:17" ht="15.75">
      <c r="A99" s="38" t="s">
        <v>23</v>
      </c>
      <c r="B99" s="42" t="s">
        <v>27</v>
      </c>
      <c r="C99" s="43" t="s">
        <v>24</v>
      </c>
      <c r="D99" s="39"/>
      <c r="F99" s="29"/>
      <c r="G99" s="29" t="s">
        <v>16</v>
      </c>
      <c r="H99" s="29"/>
      <c r="I99" s="29" t="s">
        <v>30</v>
      </c>
    </row>
    <row r="100" spans="1:17" ht="15.75">
      <c r="A100" s="38"/>
      <c r="B100" s="44" t="s">
        <v>31</v>
      </c>
      <c r="C100" s="45" t="s">
        <v>20</v>
      </c>
      <c r="D100" s="39"/>
      <c r="F100" s="46"/>
      <c r="G100" s="46" t="s">
        <v>17</v>
      </c>
      <c r="H100" s="46"/>
      <c r="I100" s="46" t="s">
        <v>25</v>
      </c>
    </row>
    <row r="101" spans="1:17" ht="15.75">
      <c r="A101" s="38"/>
      <c r="B101" s="44"/>
      <c r="C101" s="45"/>
      <c r="D101" s="39"/>
      <c r="F101" s="46"/>
      <c r="G101" s="46"/>
      <c r="H101" s="46"/>
      <c r="I101" s="46"/>
    </row>
    <row r="102" spans="1:17">
      <c r="A102" s="92" t="s">
        <v>416</v>
      </c>
    </row>
    <row r="103" spans="1:17" ht="15.75">
      <c r="A103" s="21" t="s">
        <v>0</v>
      </c>
      <c r="B103" s="22"/>
      <c r="C103" s="23"/>
      <c r="D103" s="23"/>
      <c r="E103" s="23"/>
      <c r="F103" s="24"/>
      <c r="G103" s="24"/>
      <c r="H103" s="24"/>
      <c r="I103" s="24"/>
      <c r="J103" s="24"/>
      <c r="K103" s="24"/>
      <c r="L103" s="25"/>
    </row>
    <row r="104" spans="1:17" ht="15.75">
      <c r="A104" s="26" t="s">
        <v>411</v>
      </c>
      <c r="B104" s="21"/>
      <c r="C104" s="21"/>
      <c r="D104" s="21"/>
      <c r="E104" s="21"/>
      <c r="F104" s="24"/>
      <c r="G104" s="24"/>
      <c r="H104" s="24"/>
      <c r="I104" s="24"/>
      <c r="J104" s="24"/>
      <c r="K104" s="24"/>
      <c r="L104" s="25"/>
    </row>
    <row r="105" spans="1:17">
      <c r="A105" s="62"/>
      <c r="B105" s="62" t="s">
        <v>1</v>
      </c>
      <c r="C105" s="93" t="s">
        <v>2</v>
      </c>
      <c r="D105" s="117" t="s">
        <v>34</v>
      </c>
      <c r="E105" s="95" t="s">
        <v>3</v>
      </c>
      <c r="F105" s="93" t="s">
        <v>4</v>
      </c>
      <c r="G105" s="96" t="s">
        <v>18</v>
      </c>
      <c r="H105" s="96" t="s">
        <v>18</v>
      </c>
      <c r="I105" s="97" t="s">
        <v>7</v>
      </c>
      <c r="J105" s="96" t="s">
        <v>6</v>
      </c>
      <c r="K105" s="96" t="s">
        <v>29</v>
      </c>
      <c r="L105" s="96" t="s">
        <v>21</v>
      </c>
      <c r="M105" s="96" t="s">
        <v>8</v>
      </c>
      <c r="N105" s="96" t="s">
        <v>8</v>
      </c>
      <c r="O105" s="96" t="s">
        <v>9</v>
      </c>
      <c r="P105" s="62" t="s">
        <v>10</v>
      </c>
      <c r="Q105" s="98" t="s">
        <v>33</v>
      </c>
    </row>
    <row r="106" spans="1:17">
      <c r="A106" s="99"/>
      <c r="B106" s="99"/>
      <c r="C106" s="100"/>
      <c r="D106" s="101"/>
      <c r="E106" s="102"/>
      <c r="F106" s="100"/>
      <c r="G106" s="103" t="s">
        <v>12</v>
      </c>
      <c r="H106" s="103"/>
      <c r="I106" s="103" t="s">
        <v>19</v>
      </c>
      <c r="J106" s="103" t="s">
        <v>35</v>
      </c>
      <c r="K106" s="103" t="s">
        <v>22</v>
      </c>
      <c r="L106" s="103" t="s">
        <v>15</v>
      </c>
      <c r="M106" s="103" t="s">
        <v>13</v>
      </c>
      <c r="N106" s="103" t="s">
        <v>14</v>
      </c>
      <c r="O106" s="103" t="s">
        <v>12</v>
      </c>
      <c r="P106" s="99"/>
      <c r="Q106" s="104"/>
    </row>
    <row r="107" spans="1:17">
      <c r="A107" s="99"/>
      <c r="B107" s="99"/>
      <c r="C107" s="105"/>
      <c r="D107" s="101"/>
      <c r="E107" s="102"/>
      <c r="F107" s="100"/>
      <c r="G107" s="103" t="s">
        <v>42</v>
      </c>
      <c r="H107" s="103"/>
      <c r="I107" s="103" t="s">
        <v>5</v>
      </c>
      <c r="J107" s="103"/>
      <c r="K107" s="103"/>
      <c r="L107" s="103"/>
      <c r="M107" s="103"/>
      <c r="N107" s="103"/>
      <c r="O107" s="103"/>
      <c r="P107" s="99"/>
      <c r="Q107" s="104"/>
    </row>
    <row r="108" spans="1:17">
      <c r="A108" s="106"/>
      <c r="B108" s="106"/>
      <c r="C108" s="107"/>
      <c r="D108" s="108"/>
      <c r="E108" s="109"/>
      <c r="F108" s="110"/>
      <c r="G108" s="111"/>
      <c r="H108" s="112"/>
      <c r="I108" s="111"/>
      <c r="J108" s="111"/>
      <c r="K108" s="113"/>
      <c r="L108" s="108"/>
      <c r="M108" s="111"/>
      <c r="N108" s="111"/>
      <c r="O108" s="111"/>
      <c r="P108" s="106"/>
      <c r="Q108" s="114"/>
    </row>
    <row r="109" spans="1:17" ht="15.75">
      <c r="A109" s="52"/>
      <c r="B109" s="47"/>
      <c r="C109" s="48"/>
      <c r="D109" s="73"/>
      <c r="E109" s="17"/>
      <c r="F109" s="48"/>
      <c r="G109" s="36"/>
      <c r="H109" s="36"/>
      <c r="I109" s="36"/>
      <c r="J109" s="36"/>
      <c r="K109" s="8"/>
      <c r="M109" s="8"/>
      <c r="N109" s="8"/>
      <c r="O109" s="8"/>
      <c r="P109" s="35"/>
      <c r="Q109" s="37"/>
    </row>
    <row r="110" spans="1:17" ht="15.75">
      <c r="A110" s="52">
        <v>1</v>
      </c>
      <c r="B110" s="51" t="s">
        <v>412</v>
      </c>
      <c r="C110" s="48" t="s">
        <v>413</v>
      </c>
      <c r="D110" s="67" t="s">
        <v>414</v>
      </c>
      <c r="E110" s="17">
        <v>43227</v>
      </c>
      <c r="F110" s="20" t="s">
        <v>415</v>
      </c>
      <c r="G110" s="36">
        <v>0</v>
      </c>
      <c r="H110" s="36">
        <v>0</v>
      </c>
      <c r="I110" s="8">
        <v>0</v>
      </c>
      <c r="J110" s="8">
        <v>0</v>
      </c>
      <c r="K110" s="8">
        <v>250000</v>
      </c>
      <c r="L110" s="8">
        <v>0</v>
      </c>
      <c r="M110" s="8">
        <f>SUM(G110:L110)</f>
        <v>250000</v>
      </c>
      <c r="N110" s="8">
        <f>25000000-M110</f>
        <v>24750000</v>
      </c>
      <c r="O110" s="8">
        <f t="shared" ref="O110" si="15">+M110+N110</f>
        <v>25000000</v>
      </c>
      <c r="P110" s="35" t="s">
        <v>417</v>
      </c>
      <c r="Q110" s="60" t="s">
        <v>40</v>
      </c>
    </row>
    <row r="111" spans="1:17" ht="15.75">
      <c r="A111" s="52"/>
      <c r="B111" s="51"/>
      <c r="C111" s="48"/>
      <c r="E111" s="17"/>
      <c r="F111" s="48"/>
      <c r="G111" s="36"/>
      <c r="H111" s="36"/>
      <c r="I111" s="36"/>
      <c r="J111" s="36"/>
      <c r="K111" s="36"/>
      <c r="M111" s="8"/>
      <c r="N111" s="8"/>
      <c r="O111" s="8"/>
      <c r="P111" s="59"/>
      <c r="Q111" s="66"/>
    </row>
    <row r="112" spans="1:17" ht="16.5" thickBot="1">
      <c r="A112" s="18"/>
      <c r="B112" s="55"/>
      <c r="C112" s="56"/>
      <c r="D112" s="74"/>
      <c r="E112" s="56"/>
      <c r="F112" s="57"/>
      <c r="G112" s="19">
        <f t="shared" ref="G112" si="16">SUM(G110:G111)</f>
        <v>0</v>
      </c>
      <c r="H112" s="19">
        <f t="shared" ref="H112:O112" si="17">SUM(H110:H111)</f>
        <v>0</v>
      </c>
      <c r="I112" s="19">
        <f t="shared" si="17"/>
        <v>0</v>
      </c>
      <c r="J112" s="19">
        <f t="shared" si="17"/>
        <v>0</v>
      </c>
      <c r="K112" s="19">
        <f t="shared" si="17"/>
        <v>250000</v>
      </c>
      <c r="L112" s="19">
        <f t="shared" si="17"/>
        <v>0</v>
      </c>
      <c r="M112" s="19">
        <f t="shared" si="17"/>
        <v>250000</v>
      </c>
      <c r="N112" s="19">
        <f t="shared" si="17"/>
        <v>24750000</v>
      </c>
      <c r="O112" s="19">
        <f t="shared" si="17"/>
        <v>25000000</v>
      </c>
      <c r="P112" s="68"/>
      <c r="Q112" s="70"/>
    </row>
    <row r="113" spans="1:17" ht="16.5" thickTop="1">
      <c r="A113" s="23"/>
      <c r="B113" s="22"/>
      <c r="C113" s="22"/>
      <c r="D113" s="23"/>
      <c r="E113" s="22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2"/>
      <c r="Q113" s="69"/>
    </row>
    <row r="114" spans="1:17" ht="15.75">
      <c r="A114" s="23"/>
      <c r="B114" s="28" t="s">
        <v>418</v>
      </c>
      <c r="C114" s="22"/>
      <c r="D114" s="39"/>
      <c r="F114" s="27"/>
      <c r="G114" s="28"/>
      <c r="H114" s="28"/>
      <c r="I114" s="28"/>
      <c r="J114" s="28"/>
      <c r="K114" s="28"/>
      <c r="L114" s="28"/>
      <c r="Q114" s="51"/>
    </row>
    <row r="115" spans="1:17" ht="15.75">
      <c r="A115" s="38"/>
      <c r="B115" s="40" t="s">
        <v>32</v>
      </c>
      <c r="C115" s="28" t="s">
        <v>28</v>
      </c>
      <c r="D115" s="39"/>
      <c r="F115" s="41"/>
      <c r="G115" s="143" t="s">
        <v>26</v>
      </c>
      <c r="H115" s="143"/>
      <c r="I115" s="143"/>
      <c r="K115" s="41"/>
    </row>
    <row r="116" spans="1:17" ht="15.75">
      <c r="A116" s="38"/>
      <c r="B116" s="40"/>
      <c r="C116" s="28"/>
      <c r="D116" s="39"/>
      <c r="F116" s="28"/>
      <c r="G116" s="28"/>
      <c r="H116" s="28"/>
      <c r="I116" s="28"/>
      <c r="J116" s="28"/>
      <c r="K116" s="28"/>
      <c r="L116" s="28"/>
    </row>
    <row r="117" spans="1:17" ht="15.75">
      <c r="A117" s="38"/>
      <c r="B117" s="40"/>
      <c r="C117" s="28"/>
      <c r="D117" s="39"/>
      <c r="F117" s="28"/>
      <c r="G117" s="28"/>
      <c r="H117" s="28"/>
      <c r="I117" s="28"/>
      <c r="J117" s="28"/>
      <c r="K117" s="28"/>
      <c r="L117" s="28"/>
    </row>
    <row r="118" spans="1:17" ht="15.75">
      <c r="A118" s="38"/>
      <c r="B118" s="40"/>
      <c r="C118" s="28"/>
      <c r="D118" s="39"/>
      <c r="F118" s="28"/>
      <c r="G118" s="28"/>
      <c r="H118" s="28"/>
      <c r="I118" s="28"/>
      <c r="J118" s="28"/>
      <c r="K118" s="28"/>
    </row>
    <row r="119" spans="1:17" ht="15.75">
      <c r="A119" s="38"/>
      <c r="B119" s="40"/>
      <c r="C119" s="28"/>
      <c r="D119" s="39"/>
      <c r="F119" s="28"/>
      <c r="G119" s="28"/>
      <c r="H119" s="28"/>
      <c r="I119" s="28"/>
      <c r="J119" s="28"/>
      <c r="K119" s="28"/>
      <c r="L119" s="28"/>
    </row>
    <row r="120" spans="1:17" ht="15.75">
      <c r="A120" s="38" t="s">
        <v>23</v>
      </c>
      <c r="B120" s="42" t="s">
        <v>27</v>
      </c>
      <c r="C120" s="43" t="s">
        <v>24</v>
      </c>
      <c r="D120" s="39"/>
      <c r="F120" s="29"/>
      <c r="G120" s="29" t="s">
        <v>16</v>
      </c>
      <c r="H120" s="29"/>
      <c r="I120" s="29" t="s">
        <v>30</v>
      </c>
    </row>
    <row r="121" spans="1:17" ht="15.75">
      <c r="A121" s="38"/>
      <c r="B121" s="44" t="s">
        <v>31</v>
      </c>
      <c r="C121" s="45" t="s">
        <v>20</v>
      </c>
      <c r="D121" s="39"/>
      <c r="F121" s="46"/>
      <c r="G121" s="46" t="s">
        <v>17</v>
      </c>
      <c r="H121" s="46"/>
      <c r="I121" s="46" t="s">
        <v>25</v>
      </c>
    </row>
    <row r="123" spans="1:17" ht="15.75">
      <c r="A123" s="21" t="s">
        <v>0</v>
      </c>
      <c r="B123" s="22"/>
      <c r="C123" s="23"/>
      <c r="D123" s="23"/>
      <c r="E123" s="23"/>
      <c r="F123" s="24"/>
      <c r="G123" s="24"/>
      <c r="H123" s="24"/>
      <c r="I123" s="24"/>
      <c r="J123" s="24"/>
      <c r="K123" s="24"/>
      <c r="L123" s="25"/>
    </row>
    <row r="124" spans="1:17" ht="15.75">
      <c r="A124" s="26" t="s">
        <v>422</v>
      </c>
      <c r="B124" s="21"/>
      <c r="C124" s="21"/>
      <c r="D124" s="21"/>
      <c r="E124" s="21"/>
      <c r="F124" s="24"/>
      <c r="G124" s="24"/>
      <c r="H124" s="24"/>
      <c r="I124" s="24"/>
      <c r="J124" s="24"/>
      <c r="K124" s="24"/>
      <c r="L124" s="25"/>
    </row>
    <row r="125" spans="1:17">
      <c r="A125" s="62"/>
      <c r="B125" s="62" t="s">
        <v>1</v>
      </c>
      <c r="C125" s="93" t="s">
        <v>2</v>
      </c>
      <c r="D125" s="117" t="s">
        <v>34</v>
      </c>
      <c r="E125" s="95" t="s">
        <v>3</v>
      </c>
      <c r="F125" s="93" t="s">
        <v>4</v>
      </c>
      <c r="G125" s="96" t="s">
        <v>18</v>
      </c>
      <c r="H125" s="96" t="s">
        <v>18</v>
      </c>
      <c r="I125" s="97" t="s">
        <v>7</v>
      </c>
      <c r="J125" s="96" t="s">
        <v>6</v>
      </c>
      <c r="K125" s="96" t="s">
        <v>29</v>
      </c>
      <c r="L125" s="96" t="s">
        <v>21</v>
      </c>
      <c r="M125" s="96" t="s">
        <v>8</v>
      </c>
      <c r="N125" s="96" t="s">
        <v>8</v>
      </c>
      <c r="O125" s="96" t="s">
        <v>9</v>
      </c>
      <c r="P125" s="62" t="s">
        <v>10</v>
      </c>
      <c r="Q125" s="98" t="s">
        <v>33</v>
      </c>
    </row>
    <row r="126" spans="1:17">
      <c r="A126" s="99"/>
      <c r="B126" s="99"/>
      <c r="C126" s="100"/>
      <c r="D126" s="101"/>
      <c r="E126" s="102"/>
      <c r="F126" s="100"/>
      <c r="G126" s="103" t="s">
        <v>12</v>
      </c>
      <c r="H126" s="103"/>
      <c r="I126" s="103" t="s">
        <v>19</v>
      </c>
      <c r="J126" s="103" t="s">
        <v>35</v>
      </c>
      <c r="K126" s="103" t="s">
        <v>22</v>
      </c>
      <c r="L126" s="103" t="s">
        <v>15</v>
      </c>
      <c r="M126" s="103" t="s">
        <v>13</v>
      </c>
      <c r="N126" s="103" t="s">
        <v>14</v>
      </c>
      <c r="O126" s="103" t="s">
        <v>12</v>
      </c>
      <c r="P126" s="99"/>
      <c r="Q126" s="104"/>
    </row>
    <row r="127" spans="1:17">
      <c r="A127" s="99"/>
      <c r="B127" s="99"/>
      <c r="C127" s="105"/>
      <c r="D127" s="101"/>
      <c r="E127" s="102"/>
      <c r="F127" s="100"/>
      <c r="G127" s="103" t="s">
        <v>42</v>
      </c>
      <c r="H127" s="103"/>
      <c r="I127" s="103" t="s">
        <v>5</v>
      </c>
      <c r="J127" s="103"/>
      <c r="K127" s="103"/>
      <c r="L127" s="103"/>
      <c r="M127" s="103"/>
      <c r="N127" s="103"/>
      <c r="O127" s="103"/>
      <c r="P127" s="99"/>
      <c r="Q127" s="104"/>
    </row>
    <row r="128" spans="1:17">
      <c r="A128" s="106"/>
      <c r="B128" s="106"/>
      <c r="C128" s="107"/>
      <c r="D128" s="108"/>
      <c r="E128" s="109"/>
      <c r="F128" s="110"/>
      <c r="G128" s="111"/>
      <c r="H128" s="112"/>
      <c r="I128" s="111"/>
      <c r="J128" s="111"/>
      <c r="K128" s="113"/>
      <c r="L128" s="108"/>
      <c r="M128" s="111"/>
      <c r="N128" s="111"/>
      <c r="O128" s="111"/>
      <c r="P128" s="106"/>
      <c r="Q128" s="114"/>
    </row>
    <row r="129" spans="1:17" ht="15.75">
      <c r="A129" s="52"/>
      <c r="B129" s="47"/>
      <c r="C129" s="48"/>
      <c r="D129" s="73"/>
      <c r="E129" s="17"/>
      <c r="F129" s="48"/>
      <c r="G129" s="36"/>
      <c r="H129" s="36"/>
      <c r="I129" s="36"/>
      <c r="J129" s="36"/>
      <c r="K129" s="8"/>
      <c r="M129" s="8"/>
      <c r="N129" s="8"/>
      <c r="O129" s="8"/>
      <c r="P129" s="35"/>
      <c r="Q129" s="37"/>
    </row>
    <row r="130" spans="1:17" ht="15.75">
      <c r="A130" s="52">
        <v>1</v>
      </c>
      <c r="B130" s="51" t="s">
        <v>419</v>
      </c>
      <c r="C130" s="48" t="s">
        <v>420</v>
      </c>
      <c r="D130" s="67" t="s">
        <v>421</v>
      </c>
      <c r="E130" s="17">
        <v>43228</v>
      </c>
      <c r="F130" s="20" t="s">
        <v>423</v>
      </c>
      <c r="G130" s="36">
        <v>22489500</v>
      </c>
      <c r="H130" s="36">
        <v>0</v>
      </c>
      <c r="I130" s="8">
        <v>562238</v>
      </c>
      <c r="J130" s="8">
        <v>211742</v>
      </c>
      <c r="K130" s="8">
        <v>500000</v>
      </c>
      <c r="L130" s="8">
        <v>200000</v>
      </c>
      <c r="M130" s="8">
        <f>SUM(G130:L130)</f>
        <v>23963480</v>
      </c>
      <c r="N130" s="8">
        <f>73963480-M130</f>
        <v>50000000</v>
      </c>
      <c r="O130" s="8">
        <f t="shared" ref="O130" si="18">+M130+N130</f>
        <v>73963480</v>
      </c>
      <c r="P130" s="35" t="s">
        <v>166</v>
      </c>
      <c r="Q130" s="60" t="s">
        <v>52</v>
      </c>
    </row>
    <row r="131" spans="1:17" ht="15.75">
      <c r="A131" s="52"/>
      <c r="B131" s="51"/>
      <c r="C131" s="48"/>
      <c r="E131" s="17"/>
      <c r="F131" s="48"/>
      <c r="G131" s="36"/>
      <c r="H131" s="36"/>
      <c r="I131" s="36"/>
      <c r="J131" s="36"/>
      <c r="K131" s="36"/>
      <c r="M131" s="8"/>
      <c r="N131" s="8"/>
      <c r="O131" s="8"/>
      <c r="P131" s="59"/>
      <c r="Q131" s="66"/>
    </row>
    <row r="132" spans="1:17" ht="16.5" thickBot="1">
      <c r="A132" s="18"/>
      <c r="B132" s="55"/>
      <c r="C132" s="56"/>
      <c r="D132" s="74"/>
      <c r="E132" s="56"/>
      <c r="F132" s="57"/>
      <c r="G132" s="19">
        <f t="shared" ref="G132" si="19">SUM(G130:G131)</f>
        <v>22489500</v>
      </c>
      <c r="H132" s="19">
        <f t="shared" ref="H132:O132" si="20">SUM(H130:H131)</f>
        <v>0</v>
      </c>
      <c r="I132" s="19">
        <f t="shared" si="20"/>
        <v>562238</v>
      </c>
      <c r="J132" s="19">
        <f t="shared" si="20"/>
        <v>211742</v>
      </c>
      <c r="K132" s="19">
        <f t="shared" si="20"/>
        <v>500000</v>
      </c>
      <c r="L132" s="19">
        <f t="shared" si="20"/>
        <v>200000</v>
      </c>
      <c r="M132" s="19">
        <f t="shared" si="20"/>
        <v>23963480</v>
      </c>
      <c r="N132" s="19">
        <f t="shared" si="20"/>
        <v>50000000</v>
      </c>
      <c r="O132" s="19">
        <f t="shared" si="20"/>
        <v>73963480</v>
      </c>
      <c r="P132" s="68"/>
      <c r="Q132" s="70"/>
    </row>
    <row r="133" spans="1:17" ht="16.5" thickTop="1">
      <c r="A133" s="23"/>
      <c r="B133" s="22"/>
      <c r="C133" s="22"/>
      <c r="D133" s="23"/>
      <c r="E133" s="22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2"/>
      <c r="Q133" s="69"/>
    </row>
    <row r="134" spans="1:17" ht="15.75">
      <c r="A134" s="23"/>
      <c r="B134" s="28" t="s">
        <v>424</v>
      </c>
      <c r="C134" s="22"/>
      <c r="D134" s="39"/>
      <c r="F134" s="27"/>
      <c r="G134" s="28"/>
      <c r="H134" s="28"/>
      <c r="I134" s="28"/>
      <c r="J134" s="28"/>
      <c r="K134" s="28"/>
      <c r="L134" s="28"/>
      <c r="Q134" s="51"/>
    </row>
    <row r="135" spans="1:17" ht="15.75">
      <c r="A135" s="38"/>
      <c r="B135" s="40" t="s">
        <v>32</v>
      </c>
      <c r="C135" s="28" t="s">
        <v>28</v>
      </c>
      <c r="D135" s="39"/>
      <c r="F135" s="41"/>
      <c r="G135" s="143" t="s">
        <v>26</v>
      </c>
      <c r="H135" s="143"/>
      <c r="I135" s="143"/>
      <c r="K135" s="41"/>
    </row>
    <row r="136" spans="1:17" ht="15.75">
      <c r="A136" s="38"/>
      <c r="B136" s="40"/>
      <c r="C136" s="28"/>
      <c r="D136" s="39"/>
      <c r="F136" s="28"/>
      <c r="G136" s="28"/>
      <c r="H136" s="28"/>
      <c r="I136" s="28"/>
      <c r="J136" s="28"/>
      <c r="K136" s="28"/>
      <c r="L136" s="28"/>
    </row>
    <row r="137" spans="1:17" ht="15.75">
      <c r="A137" s="38"/>
      <c r="B137" s="40"/>
      <c r="C137" s="28"/>
      <c r="D137" s="39"/>
      <c r="F137" s="28"/>
      <c r="G137" s="28"/>
      <c r="H137" s="28"/>
      <c r="I137" s="28"/>
      <c r="J137" s="28"/>
      <c r="K137" s="28"/>
      <c r="L137" s="28"/>
    </row>
    <row r="138" spans="1:17" ht="15.75">
      <c r="A138" s="38"/>
      <c r="B138" s="40"/>
      <c r="C138" s="28"/>
      <c r="D138" s="39"/>
      <c r="F138" s="28"/>
      <c r="G138" s="28"/>
      <c r="H138" s="28"/>
      <c r="I138" s="28"/>
      <c r="J138" s="28"/>
      <c r="K138" s="28"/>
    </row>
    <row r="139" spans="1:17" ht="15.75">
      <c r="A139" s="38"/>
      <c r="B139" s="40"/>
      <c r="C139" s="28"/>
      <c r="D139" s="39"/>
      <c r="F139" s="28"/>
      <c r="G139" s="28"/>
      <c r="H139" s="28"/>
      <c r="I139" s="28"/>
      <c r="J139" s="28"/>
      <c r="K139" s="28"/>
      <c r="L139" s="28"/>
    </row>
    <row r="140" spans="1:17" ht="15.75">
      <c r="A140" s="38" t="s">
        <v>23</v>
      </c>
      <c r="B140" s="42" t="s">
        <v>27</v>
      </c>
      <c r="C140" s="43" t="s">
        <v>24</v>
      </c>
      <c r="D140" s="39"/>
      <c r="F140" s="29"/>
      <c r="G140" s="29" t="s">
        <v>16</v>
      </c>
      <c r="H140" s="29"/>
      <c r="I140" s="29" t="s">
        <v>30</v>
      </c>
    </row>
    <row r="141" spans="1:17" ht="15.75">
      <c r="A141" s="38"/>
      <c r="B141" s="44" t="s">
        <v>31</v>
      </c>
      <c r="C141" s="45" t="s">
        <v>20</v>
      </c>
      <c r="D141" s="39"/>
      <c r="F141" s="46"/>
      <c r="G141" s="46" t="s">
        <v>17</v>
      </c>
      <c r="H141" s="46"/>
      <c r="I141" s="46" t="s">
        <v>25</v>
      </c>
    </row>
    <row r="142" spans="1:17">
      <c r="A142" s="115" t="s">
        <v>416</v>
      </c>
    </row>
    <row r="143" spans="1:17" ht="15.75">
      <c r="A143" s="21" t="s">
        <v>0</v>
      </c>
      <c r="B143" s="22"/>
      <c r="C143" s="23"/>
      <c r="D143" s="23"/>
      <c r="E143" s="23"/>
      <c r="F143" s="24"/>
      <c r="G143" s="24"/>
      <c r="H143" s="24"/>
      <c r="I143" s="24"/>
      <c r="J143" s="24"/>
      <c r="K143" s="24"/>
      <c r="L143" s="25"/>
    </row>
    <row r="144" spans="1:17" ht="15.75">
      <c r="A144" s="26" t="s">
        <v>422</v>
      </c>
      <c r="B144" s="21"/>
      <c r="C144" s="21"/>
      <c r="D144" s="21"/>
      <c r="E144" s="21"/>
      <c r="F144" s="24"/>
      <c r="G144" s="24"/>
      <c r="H144" s="24"/>
      <c r="I144" s="24"/>
      <c r="J144" s="24"/>
      <c r="K144" s="24"/>
      <c r="L144" s="25"/>
    </row>
    <row r="145" spans="1:17">
      <c r="A145" s="62"/>
      <c r="B145" s="62" t="s">
        <v>1</v>
      </c>
      <c r="C145" s="93" t="s">
        <v>2</v>
      </c>
      <c r="D145" s="117" t="s">
        <v>34</v>
      </c>
      <c r="E145" s="95" t="s">
        <v>3</v>
      </c>
      <c r="F145" s="93" t="s">
        <v>4</v>
      </c>
      <c r="G145" s="96" t="s">
        <v>18</v>
      </c>
      <c r="H145" s="96" t="s">
        <v>18</v>
      </c>
      <c r="I145" s="97" t="s">
        <v>7</v>
      </c>
      <c r="J145" s="96" t="s">
        <v>6</v>
      </c>
      <c r="K145" s="96" t="s">
        <v>29</v>
      </c>
      <c r="L145" s="96" t="s">
        <v>21</v>
      </c>
      <c r="M145" s="96" t="s">
        <v>8</v>
      </c>
      <c r="N145" s="96" t="s">
        <v>8</v>
      </c>
      <c r="O145" s="96" t="s">
        <v>9</v>
      </c>
      <c r="P145" s="62" t="s">
        <v>10</v>
      </c>
      <c r="Q145" s="98" t="s">
        <v>33</v>
      </c>
    </row>
    <row r="146" spans="1:17">
      <c r="A146" s="99"/>
      <c r="B146" s="99"/>
      <c r="C146" s="100"/>
      <c r="D146" s="101"/>
      <c r="E146" s="102"/>
      <c r="F146" s="100"/>
      <c r="G146" s="103" t="s">
        <v>12</v>
      </c>
      <c r="H146" s="103"/>
      <c r="I146" s="103" t="s">
        <v>19</v>
      </c>
      <c r="J146" s="103" t="s">
        <v>35</v>
      </c>
      <c r="K146" s="103" t="s">
        <v>22</v>
      </c>
      <c r="L146" s="103" t="s">
        <v>15</v>
      </c>
      <c r="M146" s="103" t="s">
        <v>13</v>
      </c>
      <c r="N146" s="103" t="s">
        <v>14</v>
      </c>
      <c r="O146" s="103" t="s">
        <v>12</v>
      </c>
      <c r="P146" s="99"/>
      <c r="Q146" s="104"/>
    </row>
    <row r="147" spans="1:17">
      <c r="A147" s="99"/>
      <c r="B147" s="99"/>
      <c r="C147" s="105"/>
      <c r="D147" s="101"/>
      <c r="E147" s="102"/>
      <c r="F147" s="100"/>
      <c r="G147" s="103" t="s">
        <v>42</v>
      </c>
      <c r="H147" s="103"/>
      <c r="I147" s="103" t="s">
        <v>5</v>
      </c>
      <c r="J147" s="103"/>
      <c r="K147" s="103"/>
      <c r="L147" s="103"/>
      <c r="M147" s="103"/>
      <c r="N147" s="103"/>
      <c r="O147" s="103"/>
      <c r="P147" s="99"/>
      <c r="Q147" s="104"/>
    </row>
    <row r="148" spans="1:17">
      <c r="A148" s="106"/>
      <c r="B148" s="106"/>
      <c r="C148" s="107"/>
      <c r="D148" s="108"/>
      <c r="E148" s="109"/>
      <c r="F148" s="110"/>
      <c r="G148" s="111"/>
      <c r="H148" s="112"/>
      <c r="I148" s="111"/>
      <c r="J148" s="111"/>
      <c r="K148" s="113"/>
      <c r="L148" s="108"/>
      <c r="M148" s="111"/>
      <c r="N148" s="111"/>
      <c r="O148" s="111"/>
      <c r="P148" s="106"/>
      <c r="Q148" s="114"/>
    </row>
    <row r="149" spans="1:17" ht="15.75">
      <c r="A149" s="52"/>
      <c r="B149" s="47"/>
      <c r="C149" s="48"/>
      <c r="D149" s="73"/>
      <c r="E149" s="17"/>
      <c r="F149" s="48"/>
      <c r="G149" s="36"/>
      <c r="H149" s="36"/>
      <c r="I149" s="36"/>
      <c r="J149" s="36"/>
      <c r="K149" s="8"/>
      <c r="M149" s="8"/>
      <c r="N149" s="8"/>
      <c r="O149" s="8"/>
      <c r="P149" s="35"/>
      <c r="Q149" s="37"/>
    </row>
    <row r="150" spans="1:17" ht="15.75">
      <c r="A150" s="52">
        <v>1</v>
      </c>
      <c r="B150" s="51" t="s">
        <v>425</v>
      </c>
      <c r="C150" s="48" t="s">
        <v>426</v>
      </c>
      <c r="D150" s="67" t="s">
        <v>427</v>
      </c>
      <c r="E150" s="17">
        <v>43228</v>
      </c>
      <c r="F150" s="20" t="s">
        <v>428</v>
      </c>
      <c r="G150" s="36">
        <v>0</v>
      </c>
      <c r="H150" s="36">
        <v>0</v>
      </c>
      <c r="I150" s="8">
        <v>0</v>
      </c>
      <c r="J150" s="8">
        <v>0</v>
      </c>
      <c r="K150" s="8">
        <v>100000</v>
      </c>
      <c r="L150" s="8">
        <v>0</v>
      </c>
      <c r="M150" s="8">
        <f>SUM(G150:L150)</f>
        <v>100000</v>
      </c>
      <c r="N150" s="8">
        <f>10000000-M150</f>
        <v>9900000</v>
      </c>
      <c r="O150" s="8">
        <f t="shared" ref="O150" si="21">+M150+N150</f>
        <v>10000000</v>
      </c>
      <c r="P150" s="59" t="s">
        <v>429</v>
      </c>
      <c r="Q150" s="60" t="s">
        <v>40</v>
      </c>
    </row>
    <row r="151" spans="1:17" ht="15.75">
      <c r="A151" s="52"/>
      <c r="B151" s="51"/>
      <c r="C151" s="48"/>
      <c r="E151" s="17"/>
      <c r="F151" s="48"/>
      <c r="G151" s="36"/>
      <c r="H151" s="36"/>
      <c r="I151" s="36"/>
      <c r="J151" s="36"/>
      <c r="K151" s="36"/>
      <c r="M151" s="8"/>
      <c r="N151" s="8"/>
      <c r="O151" s="8"/>
      <c r="P151" s="59"/>
      <c r="Q151" s="66"/>
    </row>
    <row r="152" spans="1:17" ht="16.5" thickBot="1">
      <c r="A152" s="18"/>
      <c r="B152" s="55"/>
      <c r="C152" s="56"/>
      <c r="D152" s="74"/>
      <c r="E152" s="56"/>
      <c r="F152" s="57"/>
      <c r="G152" s="19">
        <f t="shared" ref="G152" si="22">SUM(G150:G151)</f>
        <v>0</v>
      </c>
      <c r="H152" s="19">
        <f t="shared" ref="H152:O152" si="23">SUM(H150:H151)</f>
        <v>0</v>
      </c>
      <c r="I152" s="19">
        <f t="shared" si="23"/>
        <v>0</v>
      </c>
      <c r="J152" s="19">
        <f t="shared" si="23"/>
        <v>0</v>
      </c>
      <c r="K152" s="19">
        <f t="shared" si="23"/>
        <v>100000</v>
      </c>
      <c r="L152" s="19">
        <f t="shared" si="23"/>
        <v>0</v>
      </c>
      <c r="M152" s="19">
        <f t="shared" si="23"/>
        <v>100000</v>
      </c>
      <c r="N152" s="19">
        <f t="shared" si="23"/>
        <v>9900000</v>
      </c>
      <c r="O152" s="19">
        <f t="shared" si="23"/>
        <v>10000000</v>
      </c>
      <c r="P152" s="68"/>
      <c r="Q152" s="70"/>
    </row>
    <row r="153" spans="1:17" ht="16.5" thickTop="1">
      <c r="A153" s="23"/>
      <c r="B153" s="22"/>
      <c r="C153" s="22"/>
      <c r="D153" s="23"/>
      <c r="E153" s="22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2"/>
      <c r="Q153" s="69"/>
    </row>
    <row r="154" spans="1:17" ht="15.75">
      <c r="A154" s="23"/>
      <c r="B154" s="28" t="s">
        <v>424</v>
      </c>
      <c r="C154" s="22"/>
      <c r="D154" s="39"/>
      <c r="F154" s="27"/>
      <c r="G154" s="28"/>
      <c r="H154" s="28"/>
      <c r="I154" s="28"/>
      <c r="J154" s="28"/>
      <c r="K154" s="28"/>
      <c r="L154" s="28"/>
      <c r="Q154" s="51"/>
    </row>
    <row r="155" spans="1:17" ht="15.75">
      <c r="A155" s="38"/>
      <c r="B155" s="40" t="s">
        <v>32</v>
      </c>
      <c r="C155" s="28" t="s">
        <v>28</v>
      </c>
      <c r="D155" s="39"/>
      <c r="F155" s="41"/>
      <c r="G155" s="143" t="s">
        <v>26</v>
      </c>
      <c r="H155" s="143"/>
      <c r="I155" s="143"/>
      <c r="K155" s="41"/>
    </row>
    <row r="156" spans="1:17" ht="15.75">
      <c r="A156" s="38"/>
      <c r="B156" s="40"/>
      <c r="C156" s="28"/>
      <c r="D156" s="39"/>
      <c r="F156" s="28"/>
      <c r="G156" s="28"/>
      <c r="H156" s="28"/>
      <c r="I156" s="28"/>
      <c r="J156" s="28"/>
      <c r="K156" s="28"/>
      <c r="L156" s="28"/>
    </row>
    <row r="157" spans="1:17" ht="15.75">
      <c r="A157" s="38"/>
      <c r="B157" s="40"/>
      <c r="C157" s="28"/>
      <c r="D157" s="39"/>
      <c r="F157" s="28"/>
      <c r="G157" s="28"/>
      <c r="H157" s="28"/>
      <c r="I157" s="28"/>
      <c r="J157" s="28"/>
      <c r="K157" s="28"/>
      <c r="L157" s="28"/>
    </row>
    <row r="158" spans="1:17" ht="15.75">
      <c r="A158" s="38"/>
      <c r="B158" s="40"/>
      <c r="C158" s="28"/>
      <c r="D158" s="39"/>
      <c r="F158" s="28"/>
      <c r="G158" s="28"/>
      <c r="H158" s="28"/>
      <c r="I158" s="28"/>
      <c r="J158" s="28"/>
      <c r="K158" s="28"/>
    </row>
    <row r="159" spans="1:17" ht="15.75">
      <c r="A159" s="38"/>
      <c r="B159" s="40"/>
      <c r="C159" s="28"/>
      <c r="D159" s="39"/>
      <c r="F159" s="28"/>
      <c r="G159" s="28"/>
      <c r="H159" s="28"/>
      <c r="I159" s="28"/>
      <c r="J159" s="28"/>
      <c r="K159" s="28"/>
      <c r="L159" s="28"/>
    </row>
    <row r="160" spans="1:17" ht="15.75">
      <c r="A160" s="38" t="s">
        <v>23</v>
      </c>
      <c r="B160" s="42" t="s">
        <v>27</v>
      </c>
      <c r="C160" s="43" t="s">
        <v>24</v>
      </c>
      <c r="D160" s="39"/>
      <c r="F160" s="29"/>
      <c r="G160" s="29" t="s">
        <v>16</v>
      </c>
      <c r="H160" s="29"/>
      <c r="I160" s="29" t="s">
        <v>30</v>
      </c>
    </row>
    <row r="161" spans="1:17" ht="15.75">
      <c r="A161" s="38"/>
      <c r="B161" s="44" t="s">
        <v>31</v>
      </c>
      <c r="C161" s="45" t="s">
        <v>20</v>
      </c>
      <c r="D161" s="39"/>
      <c r="F161" s="46"/>
      <c r="G161" s="46" t="s">
        <v>17</v>
      </c>
      <c r="H161" s="46"/>
      <c r="I161" s="46" t="s">
        <v>25</v>
      </c>
    </row>
    <row r="163" spans="1:17" ht="15.75">
      <c r="A163" s="21" t="s">
        <v>0</v>
      </c>
      <c r="B163" s="22"/>
      <c r="C163" s="23"/>
      <c r="D163" s="23"/>
      <c r="E163" s="23"/>
      <c r="F163" s="24"/>
      <c r="G163" s="24"/>
      <c r="H163" s="24"/>
      <c r="I163" s="24"/>
      <c r="J163" s="24"/>
      <c r="K163" s="24"/>
      <c r="L163" s="25"/>
    </row>
    <row r="164" spans="1:17" ht="15.75">
      <c r="A164" s="26" t="s">
        <v>430</v>
      </c>
      <c r="B164" s="21"/>
      <c r="C164" s="21"/>
      <c r="D164" s="21"/>
      <c r="E164" s="21"/>
      <c r="F164" s="24"/>
      <c r="G164" s="24"/>
      <c r="H164" s="24"/>
      <c r="I164" s="24"/>
      <c r="J164" s="24"/>
      <c r="K164" s="24"/>
      <c r="L164" s="25"/>
    </row>
    <row r="165" spans="1:17">
      <c r="A165" s="62"/>
      <c r="B165" s="62" t="s">
        <v>1</v>
      </c>
      <c r="C165" s="93" t="s">
        <v>2</v>
      </c>
      <c r="D165" s="117" t="s">
        <v>34</v>
      </c>
      <c r="E165" s="95" t="s">
        <v>3</v>
      </c>
      <c r="F165" s="93" t="s">
        <v>4</v>
      </c>
      <c r="G165" s="96" t="s">
        <v>18</v>
      </c>
      <c r="H165" s="96" t="s">
        <v>18</v>
      </c>
      <c r="I165" s="97" t="s">
        <v>7</v>
      </c>
      <c r="J165" s="96" t="s">
        <v>6</v>
      </c>
      <c r="K165" s="96" t="s">
        <v>29</v>
      </c>
      <c r="L165" s="96" t="s">
        <v>21</v>
      </c>
      <c r="M165" s="96" t="s">
        <v>8</v>
      </c>
      <c r="N165" s="96" t="s">
        <v>8</v>
      </c>
      <c r="O165" s="96" t="s">
        <v>9</v>
      </c>
      <c r="P165" s="62" t="s">
        <v>10</v>
      </c>
      <c r="Q165" s="98" t="s">
        <v>33</v>
      </c>
    </row>
    <row r="166" spans="1:17">
      <c r="A166" s="99"/>
      <c r="B166" s="99"/>
      <c r="C166" s="100"/>
      <c r="D166" s="101"/>
      <c r="E166" s="102"/>
      <c r="F166" s="100"/>
      <c r="G166" s="103" t="s">
        <v>12</v>
      </c>
      <c r="H166" s="103"/>
      <c r="I166" s="103" t="s">
        <v>19</v>
      </c>
      <c r="J166" s="103" t="s">
        <v>35</v>
      </c>
      <c r="K166" s="103" t="s">
        <v>22</v>
      </c>
      <c r="L166" s="103" t="s">
        <v>15</v>
      </c>
      <c r="M166" s="103" t="s">
        <v>13</v>
      </c>
      <c r="N166" s="103" t="s">
        <v>14</v>
      </c>
      <c r="O166" s="103" t="s">
        <v>12</v>
      </c>
      <c r="P166" s="99"/>
      <c r="Q166" s="104"/>
    </row>
    <row r="167" spans="1:17">
      <c r="A167" s="99"/>
      <c r="B167" s="99"/>
      <c r="C167" s="105"/>
      <c r="D167" s="101"/>
      <c r="E167" s="102"/>
      <c r="F167" s="100"/>
      <c r="G167" s="103" t="s">
        <v>409</v>
      </c>
      <c r="H167" s="103"/>
      <c r="I167" s="103" t="s">
        <v>5</v>
      </c>
      <c r="J167" s="103"/>
      <c r="K167" s="103"/>
      <c r="L167" s="103"/>
      <c r="M167" s="103"/>
      <c r="N167" s="103"/>
      <c r="O167" s="103"/>
      <c r="P167" s="99"/>
      <c r="Q167" s="104"/>
    </row>
    <row r="168" spans="1:17">
      <c r="A168" s="106"/>
      <c r="B168" s="106"/>
      <c r="C168" s="107"/>
      <c r="D168" s="108"/>
      <c r="E168" s="109"/>
      <c r="F168" s="110"/>
      <c r="G168" s="111"/>
      <c r="H168" s="112"/>
      <c r="I168" s="111"/>
      <c r="J168" s="111"/>
      <c r="K168" s="113"/>
      <c r="L168" s="108"/>
      <c r="M168" s="111"/>
      <c r="N168" s="111"/>
      <c r="O168" s="111"/>
      <c r="P168" s="106"/>
      <c r="Q168" s="114"/>
    </row>
    <row r="169" spans="1:17" ht="15.75">
      <c r="A169" s="52"/>
      <c r="B169" s="47"/>
      <c r="C169" s="48"/>
      <c r="D169" s="73"/>
      <c r="E169" s="17"/>
      <c r="F169" s="48"/>
      <c r="G169" s="36"/>
      <c r="H169" s="36"/>
      <c r="I169" s="36"/>
      <c r="J169" s="36"/>
      <c r="K169" s="8"/>
      <c r="M169" s="8"/>
      <c r="N169" s="8"/>
      <c r="O169" s="8"/>
      <c r="P169" s="35"/>
      <c r="Q169" s="37"/>
    </row>
    <row r="170" spans="1:17" ht="15.75">
      <c r="A170" s="52">
        <v>1</v>
      </c>
      <c r="B170" s="51" t="s">
        <v>69</v>
      </c>
      <c r="C170" s="48" t="s">
        <v>70</v>
      </c>
      <c r="D170" s="67" t="s">
        <v>431</v>
      </c>
      <c r="E170" s="17">
        <v>43231</v>
      </c>
      <c r="F170" s="20" t="s">
        <v>72</v>
      </c>
      <c r="G170" s="36">
        <v>25480000</v>
      </c>
      <c r="H170" s="36">
        <v>0</v>
      </c>
      <c r="I170" s="8">
        <v>637000</v>
      </c>
      <c r="J170" s="8">
        <v>299968</v>
      </c>
      <c r="K170" s="8">
        <v>154800</v>
      </c>
      <c r="L170" s="8">
        <v>200000</v>
      </c>
      <c r="M170" s="8">
        <f>SUM(G170:L170)</f>
        <v>26771768</v>
      </c>
      <c r="N170" s="8">
        <f>46771768-M170</f>
        <v>20000000</v>
      </c>
      <c r="O170" s="8">
        <f t="shared" ref="O170" si="24">+M170+N170</f>
        <v>46771768</v>
      </c>
      <c r="P170" s="59" t="s">
        <v>73</v>
      </c>
      <c r="Q170" s="60" t="s">
        <v>52</v>
      </c>
    </row>
    <row r="171" spans="1:17" ht="15.75">
      <c r="A171" s="52"/>
      <c r="B171" s="51"/>
      <c r="C171" s="48"/>
      <c r="E171" s="17"/>
      <c r="F171" s="48"/>
      <c r="G171" s="36"/>
      <c r="H171" s="36"/>
      <c r="I171" s="36"/>
      <c r="J171" s="36"/>
      <c r="K171" s="36"/>
      <c r="M171" s="8"/>
      <c r="N171" s="8"/>
      <c r="O171" s="8"/>
      <c r="P171" s="59"/>
      <c r="Q171" s="66"/>
    </row>
    <row r="172" spans="1:17" ht="16.5" thickBot="1">
      <c r="A172" s="18"/>
      <c r="B172" s="55"/>
      <c r="C172" s="56"/>
      <c r="D172" s="74"/>
      <c r="E172" s="56"/>
      <c r="F172" s="57"/>
      <c r="G172" s="19">
        <f t="shared" ref="G172" si="25">SUM(G170:G171)</f>
        <v>25480000</v>
      </c>
      <c r="H172" s="19">
        <f t="shared" ref="H172:O172" si="26">SUM(H170:H171)</f>
        <v>0</v>
      </c>
      <c r="I172" s="19">
        <f t="shared" si="26"/>
        <v>637000</v>
      </c>
      <c r="J172" s="19">
        <f t="shared" si="26"/>
        <v>299968</v>
      </c>
      <c r="K172" s="19">
        <f t="shared" si="26"/>
        <v>154800</v>
      </c>
      <c r="L172" s="19">
        <f t="shared" si="26"/>
        <v>200000</v>
      </c>
      <c r="M172" s="19">
        <f t="shared" si="26"/>
        <v>26771768</v>
      </c>
      <c r="N172" s="19">
        <f t="shared" si="26"/>
        <v>20000000</v>
      </c>
      <c r="O172" s="19">
        <f t="shared" si="26"/>
        <v>46771768</v>
      </c>
      <c r="P172" s="68"/>
      <c r="Q172" s="70"/>
    </row>
    <row r="173" spans="1:17" ht="16.5" thickTop="1">
      <c r="A173" s="23"/>
      <c r="B173" s="22"/>
      <c r="C173" s="22"/>
      <c r="D173" s="23"/>
      <c r="E173" s="22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2"/>
      <c r="Q173" s="69"/>
    </row>
    <row r="174" spans="1:17" ht="15.75">
      <c r="A174" s="23"/>
      <c r="B174" s="28" t="s">
        <v>432</v>
      </c>
      <c r="C174" s="22"/>
      <c r="D174" s="39"/>
      <c r="F174" s="27"/>
      <c r="G174" s="28"/>
      <c r="H174" s="28"/>
      <c r="I174" s="28"/>
      <c r="J174" s="28"/>
      <c r="K174" s="28"/>
      <c r="L174" s="28"/>
      <c r="Q174" s="51"/>
    </row>
    <row r="175" spans="1:17" ht="15.75">
      <c r="A175" s="38"/>
      <c r="B175" s="40" t="s">
        <v>32</v>
      </c>
      <c r="C175" s="28" t="s">
        <v>28</v>
      </c>
      <c r="D175" s="39"/>
      <c r="F175" s="41"/>
      <c r="G175" s="143" t="s">
        <v>26</v>
      </c>
      <c r="H175" s="143"/>
      <c r="I175" s="143"/>
      <c r="K175" s="41"/>
    </row>
    <row r="176" spans="1:17" ht="15.75">
      <c r="A176" s="38"/>
      <c r="B176" s="40"/>
      <c r="C176" s="28"/>
      <c r="D176" s="39"/>
      <c r="F176" s="28"/>
      <c r="G176" s="28"/>
      <c r="H176" s="28"/>
      <c r="I176" s="28"/>
      <c r="J176" s="28"/>
      <c r="K176" s="28"/>
      <c r="L176" s="28"/>
    </row>
    <row r="177" spans="1:17" ht="15.75">
      <c r="A177" s="38"/>
      <c r="B177" s="40"/>
      <c r="C177" s="28"/>
      <c r="D177" s="39"/>
      <c r="F177" s="28"/>
      <c r="G177" s="28"/>
      <c r="H177" s="28"/>
      <c r="I177" s="28"/>
      <c r="J177" s="28"/>
      <c r="K177" s="28"/>
      <c r="L177" s="28"/>
    </row>
    <row r="178" spans="1:17" ht="15.75">
      <c r="A178" s="38"/>
      <c r="B178" s="40"/>
      <c r="C178" s="28"/>
      <c r="D178" s="39"/>
      <c r="F178" s="28"/>
      <c r="G178" s="28"/>
      <c r="H178" s="28"/>
      <c r="I178" s="28"/>
      <c r="J178" s="28"/>
      <c r="K178" s="28"/>
    </row>
    <row r="179" spans="1:17" ht="15.75">
      <c r="A179" s="38"/>
      <c r="B179" s="40"/>
      <c r="C179" s="28"/>
      <c r="D179" s="39"/>
      <c r="F179" s="28"/>
      <c r="G179" s="28"/>
      <c r="H179" s="28"/>
      <c r="I179" s="28"/>
      <c r="J179" s="28"/>
      <c r="K179" s="28"/>
      <c r="L179" s="28"/>
    </row>
    <row r="180" spans="1:17" ht="15.75">
      <c r="A180" s="38" t="s">
        <v>23</v>
      </c>
      <c r="B180" s="42" t="s">
        <v>27</v>
      </c>
      <c r="C180" s="43" t="s">
        <v>24</v>
      </c>
      <c r="D180" s="39"/>
      <c r="F180" s="29"/>
      <c r="G180" s="29" t="s">
        <v>16</v>
      </c>
      <c r="H180" s="29"/>
      <c r="I180" s="29" t="s">
        <v>30</v>
      </c>
    </row>
    <row r="181" spans="1:17" ht="15.75">
      <c r="A181" s="38"/>
      <c r="B181" s="44" t="s">
        <v>31</v>
      </c>
      <c r="C181" s="45" t="s">
        <v>20</v>
      </c>
      <c r="D181" s="39"/>
      <c r="F181" s="46"/>
      <c r="G181" s="46" t="s">
        <v>17</v>
      </c>
      <c r="H181" s="46"/>
      <c r="I181" s="46" t="s">
        <v>25</v>
      </c>
    </row>
    <row r="183" spans="1:17" ht="15.75">
      <c r="A183" s="21" t="s">
        <v>0</v>
      </c>
      <c r="B183" s="22"/>
      <c r="C183" s="23"/>
      <c r="D183" s="23"/>
      <c r="E183" s="23"/>
      <c r="F183" s="24"/>
      <c r="G183" s="24"/>
      <c r="H183" s="24"/>
      <c r="I183" s="24"/>
      <c r="J183" s="24"/>
      <c r="K183" s="24"/>
      <c r="L183" s="25"/>
    </row>
    <row r="184" spans="1:17" ht="15.75">
      <c r="A184" s="26" t="s">
        <v>430</v>
      </c>
      <c r="B184" s="21"/>
      <c r="C184" s="21"/>
      <c r="D184" s="21"/>
      <c r="E184" s="21"/>
      <c r="F184" s="24"/>
      <c r="G184" s="24"/>
      <c r="H184" s="24"/>
      <c r="I184" s="24"/>
      <c r="J184" s="24"/>
      <c r="K184" s="24"/>
      <c r="L184" s="25"/>
    </row>
    <row r="185" spans="1:17">
      <c r="A185" s="62"/>
      <c r="B185" s="62" t="s">
        <v>1</v>
      </c>
      <c r="C185" s="93" t="s">
        <v>2</v>
      </c>
      <c r="D185" s="117" t="s">
        <v>34</v>
      </c>
      <c r="E185" s="95" t="s">
        <v>3</v>
      </c>
      <c r="F185" s="93" t="s">
        <v>4</v>
      </c>
      <c r="G185" s="96" t="s">
        <v>18</v>
      </c>
      <c r="H185" s="96" t="s">
        <v>18</v>
      </c>
      <c r="I185" s="97" t="s">
        <v>7</v>
      </c>
      <c r="J185" s="96" t="s">
        <v>6</v>
      </c>
      <c r="K185" s="96" t="s">
        <v>29</v>
      </c>
      <c r="L185" s="96" t="s">
        <v>21</v>
      </c>
      <c r="M185" s="96" t="s">
        <v>8</v>
      </c>
      <c r="N185" s="96" t="s">
        <v>8</v>
      </c>
      <c r="O185" s="96" t="s">
        <v>9</v>
      </c>
      <c r="P185" s="62" t="s">
        <v>10</v>
      </c>
      <c r="Q185" s="98" t="s">
        <v>33</v>
      </c>
    </row>
    <row r="186" spans="1:17">
      <c r="A186" s="99"/>
      <c r="B186" s="99"/>
      <c r="C186" s="100"/>
      <c r="D186" s="101"/>
      <c r="E186" s="102"/>
      <c r="F186" s="100"/>
      <c r="G186" s="103" t="s">
        <v>12</v>
      </c>
      <c r="H186" s="103"/>
      <c r="I186" s="103" t="s">
        <v>19</v>
      </c>
      <c r="J186" s="103" t="s">
        <v>35</v>
      </c>
      <c r="K186" s="103" t="s">
        <v>22</v>
      </c>
      <c r="L186" s="103" t="s">
        <v>15</v>
      </c>
      <c r="M186" s="103" t="s">
        <v>13</v>
      </c>
      <c r="N186" s="103" t="s">
        <v>14</v>
      </c>
      <c r="O186" s="103" t="s">
        <v>12</v>
      </c>
      <c r="P186" s="99"/>
      <c r="Q186" s="104"/>
    </row>
    <row r="187" spans="1:17">
      <c r="A187" s="99"/>
      <c r="B187" s="99"/>
      <c r="C187" s="105"/>
      <c r="D187" s="101"/>
      <c r="E187" s="102"/>
      <c r="F187" s="100"/>
      <c r="G187" s="103" t="s">
        <v>409</v>
      </c>
      <c r="H187" s="103"/>
      <c r="I187" s="103" t="s">
        <v>5</v>
      </c>
      <c r="J187" s="103"/>
      <c r="K187" s="103"/>
      <c r="L187" s="103"/>
      <c r="M187" s="103"/>
      <c r="N187" s="103"/>
      <c r="O187" s="103"/>
      <c r="P187" s="99"/>
      <c r="Q187" s="104"/>
    </row>
    <row r="188" spans="1:17">
      <c r="A188" s="106"/>
      <c r="B188" s="106"/>
      <c r="C188" s="107"/>
      <c r="D188" s="108"/>
      <c r="E188" s="109"/>
      <c r="F188" s="110"/>
      <c r="G188" s="111"/>
      <c r="H188" s="112"/>
      <c r="I188" s="111"/>
      <c r="J188" s="111"/>
      <c r="K188" s="113"/>
      <c r="L188" s="108"/>
      <c r="M188" s="111"/>
      <c r="N188" s="111"/>
      <c r="O188" s="111"/>
      <c r="P188" s="106"/>
      <c r="Q188" s="114"/>
    </row>
    <row r="189" spans="1:17" ht="15.75">
      <c r="A189" s="52"/>
      <c r="B189" s="47"/>
      <c r="C189" s="48"/>
      <c r="D189" s="73"/>
      <c r="E189" s="17"/>
      <c r="F189" s="48"/>
      <c r="G189" s="36"/>
      <c r="H189" s="36"/>
      <c r="I189" s="36"/>
      <c r="J189" s="36"/>
      <c r="K189" s="8"/>
      <c r="M189" s="8"/>
      <c r="N189" s="8"/>
      <c r="O189" s="8"/>
      <c r="P189" s="35"/>
      <c r="Q189" s="37"/>
    </row>
    <row r="190" spans="1:17" ht="15.75">
      <c r="A190" s="52">
        <v>1</v>
      </c>
      <c r="B190" s="51" t="s">
        <v>433</v>
      </c>
      <c r="C190" s="48" t="s">
        <v>434</v>
      </c>
      <c r="D190" s="67" t="s">
        <v>435</v>
      </c>
      <c r="E190" s="17">
        <v>43231</v>
      </c>
      <c r="F190" s="20" t="s">
        <v>436</v>
      </c>
      <c r="G190" s="36">
        <v>0</v>
      </c>
      <c r="H190" s="36">
        <v>0</v>
      </c>
      <c r="I190" s="8">
        <v>0</v>
      </c>
      <c r="J190" s="8">
        <v>0</v>
      </c>
      <c r="K190" s="8">
        <v>200000</v>
      </c>
      <c r="L190" s="8">
        <v>200000</v>
      </c>
      <c r="M190" s="8">
        <f>SUM(G190:L190)</f>
        <v>400000</v>
      </c>
      <c r="N190" s="8">
        <f>50000000-M190</f>
        <v>49600000</v>
      </c>
      <c r="O190" s="8">
        <f t="shared" ref="O190" si="27">+M190+N190</f>
        <v>50000000</v>
      </c>
      <c r="P190" s="77" t="s">
        <v>437</v>
      </c>
      <c r="Q190" s="60" t="s">
        <v>58</v>
      </c>
    </row>
    <row r="191" spans="1:17" ht="15.75">
      <c r="A191" s="52"/>
      <c r="B191" s="51"/>
      <c r="C191" s="48"/>
      <c r="E191" s="17"/>
      <c r="F191" s="48"/>
      <c r="G191" s="36"/>
      <c r="H191" s="36"/>
      <c r="I191" s="36"/>
      <c r="J191" s="36"/>
      <c r="K191" s="36"/>
      <c r="M191" s="8"/>
      <c r="N191" s="8"/>
      <c r="O191" s="8"/>
      <c r="P191" s="59"/>
      <c r="Q191" s="66"/>
    </row>
    <row r="192" spans="1:17" ht="16.5" thickBot="1">
      <c r="A192" s="18"/>
      <c r="B192" s="55"/>
      <c r="C192" s="56"/>
      <c r="D192" s="74"/>
      <c r="E192" s="56"/>
      <c r="F192" s="57"/>
      <c r="G192" s="19">
        <f t="shared" ref="G192" si="28">SUM(G190:G191)</f>
        <v>0</v>
      </c>
      <c r="H192" s="19">
        <f t="shared" ref="H192:O192" si="29">SUM(H190:H191)</f>
        <v>0</v>
      </c>
      <c r="I192" s="19">
        <f t="shared" si="29"/>
        <v>0</v>
      </c>
      <c r="J192" s="19">
        <f t="shared" si="29"/>
        <v>0</v>
      </c>
      <c r="K192" s="19">
        <f t="shared" si="29"/>
        <v>200000</v>
      </c>
      <c r="L192" s="19">
        <f t="shared" si="29"/>
        <v>200000</v>
      </c>
      <c r="M192" s="19">
        <f t="shared" si="29"/>
        <v>400000</v>
      </c>
      <c r="N192" s="19">
        <f t="shared" si="29"/>
        <v>49600000</v>
      </c>
      <c r="O192" s="19">
        <f t="shared" si="29"/>
        <v>50000000</v>
      </c>
      <c r="P192" s="68"/>
      <c r="Q192" s="70"/>
    </row>
    <row r="193" spans="1:17" ht="16.5" thickTop="1">
      <c r="A193" s="23"/>
      <c r="B193" s="22"/>
      <c r="C193" s="22"/>
      <c r="D193" s="23"/>
      <c r="E193" s="22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2"/>
      <c r="Q193" s="69"/>
    </row>
    <row r="194" spans="1:17" ht="15.75">
      <c r="A194" s="23"/>
      <c r="B194" s="28" t="s">
        <v>432</v>
      </c>
      <c r="C194" s="22"/>
      <c r="D194" s="39"/>
      <c r="F194" s="27"/>
      <c r="G194" s="28"/>
      <c r="H194" s="28"/>
      <c r="I194" s="28"/>
      <c r="J194" s="28"/>
      <c r="K194" s="28"/>
      <c r="L194" s="28"/>
      <c r="Q194" s="51"/>
    </row>
    <row r="195" spans="1:17" ht="15.75">
      <c r="A195" s="38"/>
      <c r="B195" s="40" t="s">
        <v>32</v>
      </c>
      <c r="C195" s="28" t="s">
        <v>28</v>
      </c>
      <c r="D195" s="39"/>
      <c r="F195" s="41"/>
      <c r="G195" s="143" t="s">
        <v>26</v>
      </c>
      <c r="H195" s="143"/>
      <c r="I195" s="143"/>
      <c r="K195" s="41"/>
    </row>
    <row r="196" spans="1:17" ht="15.75">
      <c r="A196" s="38"/>
      <c r="B196" s="40"/>
      <c r="C196" s="28"/>
      <c r="D196" s="39"/>
      <c r="F196" s="28"/>
      <c r="G196" s="28"/>
      <c r="H196" s="28"/>
      <c r="I196" s="28"/>
      <c r="J196" s="28"/>
      <c r="K196" s="28"/>
      <c r="L196" s="28"/>
    </row>
    <row r="197" spans="1:17" ht="15.75">
      <c r="A197" s="38"/>
      <c r="B197" s="40"/>
      <c r="C197" s="28"/>
      <c r="D197" s="39"/>
      <c r="F197" s="28"/>
      <c r="G197" s="28"/>
      <c r="H197" s="28"/>
      <c r="I197" s="28"/>
      <c r="J197" s="28"/>
      <c r="K197" s="28"/>
      <c r="L197" s="28"/>
    </row>
    <row r="198" spans="1:17" ht="15.75">
      <c r="A198" s="38"/>
      <c r="B198" s="40"/>
      <c r="C198" s="28"/>
      <c r="D198" s="39"/>
      <c r="F198" s="28"/>
      <c r="G198" s="28"/>
      <c r="H198" s="28"/>
      <c r="I198" s="28"/>
      <c r="J198" s="28"/>
      <c r="K198" s="28"/>
    </row>
    <row r="199" spans="1:17" ht="15.75">
      <c r="A199" s="38"/>
      <c r="B199" s="40"/>
      <c r="C199" s="28"/>
      <c r="D199" s="39"/>
      <c r="F199" s="28"/>
      <c r="G199" s="28"/>
      <c r="H199" s="28"/>
      <c r="I199" s="28"/>
      <c r="J199" s="28"/>
      <c r="K199" s="28"/>
      <c r="L199" s="28"/>
    </row>
    <row r="200" spans="1:17" ht="15.75">
      <c r="A200" s="38" t="s">
        <v>23</v>
      </c>
      <c r="B200" s="42" t="s">
        <v>27</v>
      </c>
      <c r="C200" s="43" t="s">
        <v>24</v>
      </c>
      <c r="D200" s="39"/>
      <c r="F200" s="29"/>
      <c r="G200" s="29" t="s">
        <v>16</v>
      </c>
      <c r="H200" s="29"/>
      <c r="I200" s="29" t="s">
        <v>30</v>
      </c>
    </row>
    <row r="201" spans="1:17" ht="15.75">
      <c r="A201" s="38"/>
      <c r="B201" s="44" t="s">
        <v>31</v>
      </c>
      <c r="C201" s="45" t="s">
        <v>20</v>
      </c>
      <c r="D201" s="39"/>
      <c r="F201" s="46"/>
      <c r="G201" s="46" t="s">
        <v>17</v>
      </c>
      <c r="H201" s="46"/>
      <c r="I201" s="46" t="s">
        <v>25</v>
      </c>
    </row>
    <row r="203" spans="1:17" ht="15.75">
      <c r="A203" s="21" t="s">
        <v>0</v>
      </c>
      <c r="B203" s="22"/>
      <c r="C203" s="23"/>
      <c r="D203" s="23"/>
      <c r="E203" s="23"/>
      <c r="F203" s="24"/>
      <c r="G203" s="24"/>
      <c r="H203" s="24"/>
      <c r="I203" s="24"/>
      <c r="J203" s="24"/>
      <c r="K203" s="24"/>
      <c r="L203" s="25"/>
    </row>
    <row r="204" spans="1:17" ht="15.75">
      <c r="A204" s="26" t="s">
        <v>430</v>
      </c>
      <c r="B204" s="21"/>
      <c r="C204" s="21"/>
      <c r="D204" s="21"/>
      <c r="E204" s="21"/>
      <c r="F204" s="24"/>
      <c r="G204" s="24"/>
      <c r="H204" s="24"/>
      <c r="I204" s="24"/>
      <c r="J204" s="24"/>
      <c r="K204" s="24"/>
      <c r="L204" s="25"/>
    </row>
    <row r="205" spans="1:17">
      <c r="A205" s="62"/>
      <c r="B205" s="62" t="s">
        <v>1</v>
      </c>
      <c r="C205" s="93" t="s">
        <v>2</v>
      </c>
      <c r="D205" s="117" t="s">
        <v>34</v>
      </c>
      <c r="E205" s="95" t="s">
        <v>3</v>
      </c>
      <c r="F205" s="93" t="s">
        <v>4</v>
      </c>
      <c r="G205" s="96" t="s">
        <v>18</v>
      </c>
      <c r="H205" s="96" t="s">
        <v>18</v>
      </c>
      <c r="I205" s="97" t="s">
        <v>7</v>
      </c>
      <c r="J205" s="96" t="s">
        <v>6</v>
      </c>
      <c r="K205" s="32" t="s">
        <v>29</v>
      </c>
      <c r="L205" s="96" t="s">
        <v>21</v>
      </c>
      <c r="M205" s="96" t="s">
        <v>8</v>
      </c>
      <c r="N205" s="96" t="s">
        <v>8</v>
      </c>
      <c r="O205" s="96" t="s">
        <v>9</v>
      </c>
      <c r="P205" s="62" t="s">
        <v>10</v>
      </c>
      <c r="Q205" s="98" t="s">
        <v>33</v>
      </c>
    </row>
    <row r="206" spans="1:17">
      <c r="A206" s="99"/>
      <c r="B206" s="99"/>
      <c r="C206" s="100"/>
      <c r="D206" s="101"/>
      <c r="E206" s="102"/>
      <c r="F206" s="100"/>
      <c r="G206" s="103" t="s">
        <v>12</v>
      </c>
      <c r="H206" s="103"/>
      <c r="I206" s="103" t="s">
        <v>19</v>
      </c>
      <c r="J206" s="103" t="s">
        <v>35</v>
      </c>
      <c r="K206" s="33" t="s">
        <v>22</v>
      </c>
      <c r="L206" s="103" t="s">
        <v>15</v>
      </c>
      <c r="M206" s="103" t="s">
        <v>13</v>
      </c>
      <c r="N206" s="103" t="s">
        <v>14</v>
      </c>
      <c r="O206" s="103" t="s">
        <v>12</v>
      </c>
      <c r="P206" s="99"/>
      <c r="Q206" s="104"/>
    </row>
    <row r="207" spans="1:17">
      <c r="A207" s="99"/>
      <c r="B207" s="99"/>
      <c r="C207" s="105"/>
      <c r="D207" s="101"/>
      <c r="E207" s="102"/>
      <c r="F207" s="100"/>
      <c r="G207" s="103" t="s">
        <v>409</v>
      </c>
      <c r="H207" s="103"/>
      <c r="I207" s="103" t="s">
        <v>5</v>
      </c>
      <c r="J207" s="103"/>
      <c r="K207" s="103"/>
      <c r="L207" s="103"/>
      <c r="M207" s="103"/>
      <c r="N207" s="103"/>
      <c r="O207" s="103"/>
      <c r="P207" s="99"/>
      <c r="Q207" s="104"/>
    </row>
    <row r="208" spans="1:17">
      <c r="A208" s="106"/>
      <c r="B208" s="106"/>
      <c r="C208" s="107"/>
      <c r="D208" s="108"/>
      <c r="E208" s="109"/>
      <c r="F208" s="110"/>
      <c r="G208" s="111"/>
      <c r="H208" s="112"/>
      <c r="I208" s="111"/>
      <c r="J208" s="111"/>
      <c r="K208" s="113"/>
      <c r="L208" s="108"/>
      <c r="M208" s="111"/>
      <c r="N208" s="111"/>
      <c r="O208" s="111"/>
      <c r="P208" s="106"/>
      <c r="Q208" s="114"/>
    </row>
    <row r="209" spans="1:17" ht="15.75">
      <c r="A209" s="52"/>
      <c r="B209" s="47"/>
      <c r="C209" s="48"/>
      <c r="D209" s="73"/>
      <c r="E209" s="17"/>
      <c r="F209" s="48"/>
      <c r="G209" s="36"/>
      <c r="H209" s="36"/>
      <c r="I209" s="36"/>
      <c r="J209" s="36"/>
      <c r="K209" s="8"/>
      <c r="M209" s="8"/>
      <c r="N209" s="8"/>
      <c r="O209" s="8"/>
      <c r="P209" s="35"/>
      <c r="Q209" s="37"/>
    </row>
    <row r="210" spans="1:17" ht="15.75">
      <c r="A210" s="52">
        <v>1</v>
      </c>
      <c r="B210" s="51" t="s">
        <v>438</v>
      </c>
      <c r="C210" s="48" t="s">
        <v>439</v>
      </c>
      <c r="D210" s="67" t="s">
        <v>440</v>
      </c>
      <c r="E210" s="17">
        <v>43231</v>
      </c>
      <c r="F210" s="20" t="s">
        <v>337</v>
      </c>
      <c r="G210" s="36">
        <v>97776000</v>
      </c>
      <c r="H210" s="36">
        <v>0</v>
      </c>
      <c r="I210" s="8">
        <v>2444400</v>
      </c>
      <c r="J210" s="8">
        <v>1411613</v>
      </c>
      <c r="K210" s="8">
        <v>0</v>
      </c>
      <c r="L210" s="8">
        <v>200000</v>
      </c>
      <c r="M210" s="8">
        <f>SUM(G210:L210)</f>
        <v>101832013</v>
      </c>
      <c r="N210" s="8">
        <f>101832013-M210</f>
        <v>0</v>
      </c>
      <c r="O210" s="8">
        <f t="shared" ref="O210" si="30">+M210+N210</f>
        <v>101832013</v>
      </c>
      <c r="P210" s="77" t="s">
        <v>441</v>
      </c>
      <c r="Q210" s="60" t="s">
        <v>338</v>
      </c>
    </row>
    <row r="211" spans="1:17" ht="15.75">
      <c r="A211" s="52"/>
      <c r="B211" s="51"/>
      <c r="C211" s="48"/>
      <c r="E211" s="17"/>
      <c r="F211" s="48"/>
      <c r="G211" s="36"/>
      <c r="H211" s="36"/>
      <c r="I211" s="36"/>
      <c r="J211" s="36"/>
      <c r="K211" s="36"/>
      <c r="M211" s="8"/>
      <c r="N211" s="8"/>
      <c r="O211" s="8"/>
      <c r="P211" s="59"/>
      <c r="Q211" s="66"/>
    </row>
    <row r="212" spans="1:17" ht="16.5" thickBot="1">
      <c r="A212" s="18"/>
      <c r="B212" s="55"/>
      <c r="C212" s="56"/>
      <c r="D212" s="74"/>
      <c r="E212" s="56"/>
      <c r="F212" s="57"/>
      <c r="G212" s="19">
        <f t="shared" ref="G212" si="31">SUM(G210:G211)</f>
        <v>97776000</v>
      </c>
      <c r="H212" s="19">
        <f t="shared" ref="H212:O212" si="32">SUM(H210:H211)</f>
        <v>0</v>
      </c>
      <c r="I212" s="19">
        <f t="shared" si="32"/>
        <v>2444400</v>
      </c>
      <c r="J212" s="19">
        <f t="shared" si="32"/>
        <v>1411613</v>
      </c>
      <c r="K212" s="19">
        <f t="shared" si="32"/>
        <v>0</v>
      </c>
      <c r="L212" s="19">
        <f t="shared" si="32"/>
        <v>200000</v>
      </c>
      <c r="M212" s="19">
        <f t="shared" si="32"/>
        <v>101832013</v>
      </c>
      <c r="N212" s="19">
        <f t="shared" si="32"/>
        <v>0</v>
      </c>
      <c r="O212" s="19">
        <f t="shared" si="32"/>
        <v>101832013</v>
      </c>
      <c r="P212" s="68"/>
      <c r="Q212" s="70"/>
    </row>
    <row r="213" spans="1:17" ht="16.5" thickTop="1">
      <c r="A213" s="23"/>
      <c r="B213" s="22"/>
      <c r="C213" s="22"/>
      <c r="D213" s="23"/>
      <c r="E213" s="22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2"/>
      <c r="Q213" s="69"/>
    </row>
    <row r="214" spans="1:17" ht="15.75">
      <c r="A214" s="23"/>
      <c r="B214" s="28" t="s">
        <v>432</v>
      </c>
      <c r="C214" s="22"/>
      <c r="D214" s="39"/>
      <c r="F214" s="27"/>
      <c r="G214" s="28"/>
      <c r="H214" s="28"/>
      <c r="I214" s="28"/>
      <c r="J214" s="28"/>
      <c r="K214" s="28"/>
      <c r="L214" s="28"/>
      <c r="Q214" s="51"/>
    </row>
    <row r="215" spans="1:17" ht="15.75">
      <c r="A215" s="38"/>
      <c r="B215" s="40" t="s">
        <v>32</v>
      </c>
      <c r="C215" s="28" t="s">
        <v>28</v>
      </c>
      <c r="D215" s="39"/>
      <c r="F215" s="41"/>
      <c r="G215" s="143" t="s">
        <v>26</v>
      </c>
      <c r="H215" s="143"/>
      <c r="I215" s="143"/>
      <c r="K215" s="41"/>
    </row>
    <row r="216" spans="1:17" ht="15.75">
      <c r="A216" s="38"/>
      <c r="B216" s="40"/>
      <c r="C216" s="28"/>
      <c r="D216" s="39"/>
      <c r="F216" s="28"/>
      <c r="G216" s="28"/>
      <c r="H216" s="28"/>
      <c r="I216" s="28"/>
      <c r="J216" s="28"/>
      <c r="K216" s="28"/>
      <c r="L216" s="28"/>
    </row>
    <row r="217" spans="1:17" ht="15.75">
      <c r="A217" s="38"/>
      <c r="B217" s="40"/>
      <c r="C217" s="28"/>
      <c r="D217" s="39"/>
      <c r="F217" s="28"/>
      <c r="G217" s="28"/>
      <c r="H217" s="28"/>
      <c r="I217" s="28"/>
      <c r="J217" s="28"/>
      <c r="K217" s="28"/>
      <c r="L217" s="28"/>
    </row>
    <row r="218" spans="1:17" ht="15.75">
      <c r="A218" s="38"/>
      <c r="B218" s="40"/>
      <c r="C218" s="28"/>
      <c r="D218" s="39"/>
      <c r="F218" s="28"/>
      <c r="G218" s="28"/>
      <c r="H218" s="28"/>
      <c r="I218" s="28"/>
      <c r="J218" s="28"/>
      <c r="K218" s="28"/>
    </row>
    <row r="219" spans="1:17" ht="15.75">
      <c r="A219" s="38"/>
      <c r="B219" s="40"/>
      <c r="C219" s="28"/>
      <c r="D219" s="39"/>
      <c r="F219" s="28"/>
      <c r="G219" s="28"/>
      <c r="H219" s="28"/>
      <c r="I219" s="28"/>
      <c r="J219" s="28"/>
      <c r="K219" s="28"/>
      <c r="L219" s="28"/>
    </row>
    <row r="220" spans="1:17" ht="15.75">
      <c r="A220" s="38" t="s">
        <v>23</v>
      </c>
      <c r="B220" s="42" t="s">
        <v>27</v>
      </c>
      <c r="C220" s="43" t="s">
        <v>24</v>
      </c>
      <c r="D220" s="39"/>
      <c r="F220" s="29"/>
      <c r="G220" s="29" t="s">
        <v>16</v>
      </c>
      <c r="H220" s="29"/>
      <c r="I220" s="29" t="s">
        <v>30</v>
      </c>
    </row>
    <row r="221" spans="1:17" ht="15.75">
      <c r="A221" s="38"/>
      <c r="B221" s="44" t="s">
        <v>31</v>
      </c>
      <c r="C221" s="45" t="s">
        <v>20</v>
      </c>
      <c r="D221" s="39"/>
      <c r="F221" s="46"/>
      <c r="G221" s="46" t="s">
        <v>17</v>
      </c>
      <c r="H221" s="46"/>
      <c r="I221" s="46" t="s">
        <v>25</v>
      </c>
    </row>
    <row r="223" spans="1:17" ht="15.75">
      <c r="A223" s="21" t="s">
        <v>0</v>
      </c>
      <c r="B223" s="22"/>
      <c r="C223" s="23"/>
      <c r="D223" s="23"/>
      <c r="E223" s="23"/>
      <c r="F223" s="24"/>
      <c r="G223" s="24"/>
      <c r="H223" s="24"/>
      <c r="I223" s="24"/>
      <c r="J223" s="24"/>
      <c r="K223" s="24"/>
      <c r="L223" s="25"/>
    </row>
    <row r="224" spans="1:17" ht="15.75">
      <c r="A224" s="26" t="s">
        <v>443</v>
      </c>
      <c r="B224" s="21"/>
      <c r="C224" s="21"/>
      <c r="D224" s="21"/>
      <c r="E224" s="21"/>
      <c r="F224" s="24"/>
      <c r="G224" s="24"/>
      <c r="H224" s="24"/>
      <c r="I224" s="24"/>
      <c r="J224" s="24"/>
      <c r="K224" s="24"/>
      <c r="L224" s="25"/>
    </row>
    <row r="225" spans="1:17">
      <c r="A225" s="62"/>
      <c r="B225" s="62" t="s">
        <v>1</v>
      </c>
      <c r="C225" s="93" t="s">
        <v>2</v>
      </c>
      <c r="D225" s="117" t="s">
        <v>34</v>
      </c>
      <c r="E225" s="95" t="s">
        <v>3</v>
      </c>
      <c r="F225" s="93" t="s">
        <v>4</v>
      </c>
      <c r="G225" s="96" t="s">
        <v>18</v>
      </c>
      <c r="H225" s="96" t="s">
        <v>18</v>
      </c>
      <c r="I225" s="97" t="s">
        <v>7</v>
      </c>
      <c r="J225" s="96" t="s">
        <v>6</v>
      </c>
      <c r="K225" s="96" t="s">
        <v>29</v>
      </c>
      <c r="L225" s="96" t="s">
        <v>21</v>
      </c>
      <c r="M225" s="96" t="s">
        <v>8</v>
      </c>
      <c r="N225" s="96" t="s">
        <v>8</v>
      </c>
      <c r="O225" s="96" t="s">
        <v>9</v>
      </c>
      <c r="P225" s="62" t="s">
        <v>10</v>
      </c>
      <c r="Q225" s="98" t="s">
        <v>33</v>
      </c>
    </row>
    <row r="226" spans="1:17">
      <c r="A226" s="99"/>
      <c r="B226" s="99"/>
      <c r="C226" s="100"/>
      <c r="D226" s="101"/>
      <c r="E226" s="102"/>
      <c r="F226" s="100"/>
      <c r="G226" s="103" t="s">
        <v>12</v>
      </c>
      <c r="H226" s="103"/>
      <c r="I226" s="103" t="s">
        <v>19</v>
      </c>
      <c r="J226" s="103" t="s">
        <v>35</v>
      </c>
      <c r="K226" s="103" t="s">
        <v>22</v>
      </c>
      <c r="L226" s="103" t="s">
        <v>15</v>
      </c>
      <c r="M226" s="103" t="s">
        <v>13</v>
      </c>
      <c r="N226" s="103" t="s">
        <v>14</v>
      </c>
      <c r="O226" s="103" t="s">
        <v>12</v>
      </c>
      <c r="P226" s="99"/>
      <c r="Q226" s="104"/>
    </row>
    <row r="227" spans="1:17">
      <c r="A227" s="99"/>
      <c r="B227" s="99"/>
      <c r="C227" s="105"/>
      <c r="D227" s="101"/>
      <c r="E227" s="102"/>
      <c r="F227" s="100"/>
      <c r="G227" s="103" t="s">
        <v>409</v>
      </c>
      <c r="H227" s="103"/>
      <c r="I227" s="103" t="s">
        <v>5</v>
      </c>
      <c r="J227" s="103"/>
      <c r="K227" s="103"/>
      <c r="L227" s="103"/>
      <c r="M227" s="103"/>
      <c r="N227" s="103"/>
      <c r="O227" s="103"/>
      <c r="P227" s="99"/>
      <c r="Q227" s="104"/>
    </row>
    <row r="228" spans="1:17">
      <c r="A228" s="106"/>
      <c r="B228" s="106"/>
      <c r="C228" s="107"/>
      <c r="D228" s="108"/>
      <c r="E228" s="109"/>
      <c r="F228" s="110"/>
      <c r="G228" s="111"/>
      <c r="H228" s="112"/>
      <c r="I228" s="111"/>
      <c r="J228" s="111"/>
      <c r="K228" s="113"/>
      <c r="L228" s="108"/>
      <c r="M228" s="111"/>
      <c r="N228" s="111"/>
      <c r="O228" s="111"/>
      <c r="P228" s="106"/>
      <c r="Q228" s="114"/>
    </row>
    <row r="229" spans="1:17" ht="15.75">
      <c r="A229" s="52"/>
      <c r="B229" s="47"/>
      <c r="C229" s="48"/>
      <c r="D229" s="73"/>
      <c r="E229" s="17"/>
      <c r="F229" s="48"/>
      <c r="G229" s="36"/>
      <c r="H229" s="36"/>
      <c r="I229" s="36"/>
      <c r="J229" s="36"/>
      <c r="K229" s="8"/>
      <c r="M229" s="8"/>
      <c r="N229" s="8"/>
      <c r="O229" s="8"/>
      <c r="P229" s="35"/>
      <c r="Q229" s="37"/>
    </row>
    <row r="230" spans="1:17" ht="15.75">
      <c r="A230" s="52">
        <v>1</v>
      </c>
      <c r="B230" s="116" t="s">
        <v>449</v>
      </c>
      <c r="C230" s="48" t="s">
        <v>450</v>
      </c>
      <c r="D230" s="67" t="s">
        <v>451</v>
      </c>
      <c r="E230" s="17">
        <v>43234</v>
      </c>
      <c r="F230" s="20" t="s">
        <v>452</v>
      </c>
      <c r="G230" s="36">
        <v>30198512</v>
      </c>
      <c r="H230" s="36">
        <v>0</v>
      </c>
      <c r="I230" s="8">
        <v>754963</v>
      </c>
      <c r="J230" s="8">
        <v>372461</v>
      </c>
      <c r="K230" s="8">
        <v>648015</v>
      </c>
      <c r="L230" s="8">
        <v>200000</v>
      </c>
      <c r="M230" s="8">
        <f>SUM(G230:L230)</f>
        <v>32173951</v>
      </c>
      <c r="N230" s="8">
        <f>95000000-M230</f>
        <v>62826049</v>
      </c>
      <c r="O230" s="8">
        <f t="shared" ref="O230" si="33">+M230+N230</f>
        <v>95000000</v>
      </c>
      <c r="P230" s="77" t="s">
        <v>453</v>
      </c>
      <c r="Q230" s="60" t="s">
        <v>52</v>
      </c>
    </row>
    <row r="231" spans="1:17" ht="15.75">
      <c r="A231" s="52"/>
      <c r="B231" s="51"/>
      <c r="C231" s="48"/>
      <c r="E231" s="17"/>
      <c r="F231" s="48"/>
      <c r="G231" s="36"/>
      <c r="H231" s="36"/>
      <c r="I231" s="36"/>
      <c r="J231" s="36"/>
      <c r="K231" s="36"/>
      <c r="M231" s="8"/>
      <c r="N231" s="8"/>
      <c r="O231" s="8"/>
      <c r="P231" s="59"/>
      <c r="Q231" s="66"/>
    </row>
    <row r="232" spans="1:17" ht="16.5" thickBot="1">
      <c r="A232" s="18"/>
      <c r="B232" s="55"/>
      <c r="C232" s="56"/>
      <c r="D232" s="74"/>
      <c r="E232" s="56"/>
      <c r="F232" s="57"/>
      <c r="G232" s="19">
        <f t="shared" ref="G232" si="34">SUM(G230:G231)</f>
        <v>30198512</v>
      </c>
      <c r="H232" s="19">
        <f t="shared" ref="H232:O232" si="35">SUM(H230:H231)</f>
        <v>0</v>
      </c>
      <c r="I232" s="19">
        <f t="shared" si="35"/>
        <v>754963</v>
      </c>
      <c r="J232" s="19">
        <f t="shared" si="35"/>
        <v>372461</v>
      </c>
      <c r="K232" s="19">
        <f t="shared" si="35"/>
        <v>648015</v>
      </c>
      <c r="L232" s="19">
        <f t="shared" si="35"/>
        <v>200000</v>
      </c>
      <c r="M232" s="19">
        <f t="shared" si="35"/>
        <v>32173951</v>
      </c>
      <c r="N232" s="19">
        <f t="shared" si="35"/>
        <v>62826049</v>
      </c>
      <c r="O232" s="19">
        <f t="shared" si="35"/>
        <v>95000000</v>
      </c>
      <c r="P232" s="68"/>
      <c r="Q232" s="70"/>
    </row>
    <row r="233" spans="1:17" ht="16.5" thickTop="1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>
      <c r="A234" s="23"/>
      <c r="B234" s="28" t="s">
        <v>448</v>
      </c>
      <c r="C234" s="22"/>
      <c r="D234" s="39"/>
      <c r="F234" s="27"/>
      <c r="G234" s="28"/>
      <c r="H234" s="28"/>
      <c r="I234" s="28"/>
      <c r="J234" s="28"/>
      <c r="K234" s="28"/>
      <c r="L234" s="28"/>
      <c r="Q234" s="51"/>
    </row>
    <row r="235" spans="1:17" ht="15.75">
      <c r="A235" s="38"/>
      <c r="B235" s="40" t="s">
        <v>32</v>
      </c>
      <c r="C235" s="28" t="s">
        <v>28</v>
      </c>
      <c r="D235" s="39"/>
      <c r="F235" s="41"/>
      <c r="G235" s="143" t="s">
        <v>26</v>
      </c>
      <c r="H235" s="143"/>
      <c r="I235" s="143"/>
      <c r="K235" s="41"/>
    </row>
    <row r="236" spans="1:17" ht="15.75">
      <c r="A236" s="38"/>
      <c r="B236" s="40"/>
      <c r="C236" s="28"/>
      <c r="D236" s="39"/>
      <c r="F236" s="28"/>
      <c r="G236" s="28"/>
      <c r="H236" s="28"/>
      <c r="I236" s="28"/>
      <c r="J236" s="28"/>
      <c r="K236" s="28"/>
      <c r="L236" s="28"/>
    </row>
    <row r="237" spans="1:17" ht="15.75">
      <c r="A237" s="38"/>
      <c r="B237" s="40"/>
      <c r="C237" s="28"/>
      <c r="D237" s="39"/>
      <c r="F237" s="28"/>
      <c r="G237" s="28"/>
      <c r="H237" s="28"/>
      <c r="I237" s="28"/>
      <c r="J237" s="28"/>
      <c r="K237" s="28"/>
      <c r="L237" s="28"/>
    </row>
    <row r="238" spans="1:17" ht="15.75">
      <c r="A238" s="38"/>
      <c r="B238" s="40"/>
      <c r="C238" s="28"/>
      <c r="D238" s="39"/>
      <c r="F238" s="28"/>
      <c r="G238" s="28"/>
      <c r="H238" s="28"/>
      <c r="I238" s="28"/>
      <c r="J238" s="28"/>
      <c r="K238" s="28"/>
    </row>
    <row r="239" spans="1:17" ht="15.75">
      <c r="A239" s="38"/>
      <c r="B239" s="40"/>
      <c r="C239" s="28"/>
      <c r="D239" s="39"/>
      <c r="F239" s="28"/>
      <c r="G239" s="28"/>
      <c r="H239" s="28"/>
      <c r="I239" s="28"/>
      <c r="J239" s="28"/>
      <c r="K239" s="28"/>
      <c r="L239" s="28"/>
    </row>
    <row r="240" spans="1:17" ht="15.75">
      <c r="A240" s="38" t="s">
        <v>23</v>
      </c>
      <c r="B240" s="42" t="s">
        <v>27</v>
      </c>
      <c r="C240" s="43" t="s">
        <v>24</v>
      </c>
      <c r="D240" s="39"/>
      <c r="F240" s="29"/>
      <c r="G240" s="29" t="s">
        <v>16</v>
      </c>
      <c r="H240" s="29"/>
      <c r="I240" s="29" t="s">
        <v>30</v>
      </c>
    </row>
    <row r="241" spans="1:17" ht="15.75">
      <c r="A241" s="38"/>
      <c r="B241" s="44" t="s">
        <v>31</v>
      </c>
      <c r="C241" s="45" t="s">
        <v>20</v>
      </c>
      <c r="D241" s="39"/>
      <c r="F241" s="46"/>
      <c r="G241" s="46" t="s">
        <v>17</v>
      </c>
      <c r="H241" s="46"/>
      <c r="I241" s="46" t="s">
        <v>25</v>
      </c>
    </row>
    <row r="242" spans="1:17" ht="15.75">
      <c r="A242" s="38"/>
      <c r="B242" s="44"/>
      <c r="C242" s="45"/>
      <c r="D242" s="39"/>
      <c r="F242" s="46"/>
      <c r="G242" s="46"/>
      <c r="H242" s="46"/>
      <c r="I242" s="46"/>
    </row>
    <row r="243" spans="1:17">
      <c r="A243" s="92" t="s">
        <v>442</v>
      </c>
    </row>
    <row r="244" spans="1:17" ht="15.75">
      <c r="A244" s="21" t="s">
        <v>0</v>
      </c>
      <c r="B244" s="22"/>
      <c r="C244" s="23"/>
      <c r="D244" s="23"/>
      <c r="E244" s="23"/>
      <c r="F244" s="24"/>
      <c r="G244" s="124"/>
      <c r="H244" s="24"/>
      <c r="I244" s="24"/>
      <c r="J244" s="24"/>
      <c r="K244" s="24"/>
      <c r="L244" s="25"/>
    </row>
    <row r="245" spans="1:17" ht="15.75">
      <c r="A245" s="26" t="s">
        <v>443</v>
      </c>
      <c r="B245" s="21"/>
      <c r="C245" s="21"/>
      <c r="D245" s="21"/>
      <c r="E245" s="21"/>
      <c r="F245" s="24"/>
      <c r="G245" s="24"/>
      <c r="H245" s="24"/>
      <c r="I245" s="24"/>
      <c r="J245" s="24"/>
      <c r="K245" s="24"/>
      <c r="L245" s="25"/>
    </row>
    <row r="246" spans="1:17">
      <c r="A246" s="62"/>
      <c r="B246" s="62" t="s">
        <v>1</v>
      </c>
      <c r="C246" s="93" t="s">
        <v>2</v>
      </c>
      <c r="D246" s="117" t="s">
        <v>34</v>
      </c>
      <c r="E246" s="95" t="s">
        <v>3</v>
      </c>
      <c r="F246" s="93" t="s">
        <v>4</v>
      </c>
      <c r="G246" s="96" t="s">
        <v>18</v>
      </c>
      <c r="H246" s="96" t="s">
        <v>18</v>
      </c>
      <c r="I246" s="97" t="s">
        <v>7</v>
      </c>
      <c r="J246" s="96" t="s">
        <v>6</v>
      </c>
      <c r="K246" s="32" t="s">
        <v>29</v>
      </c>
      <c r="L246" s="96" t="s">
        <v>21</v>
      </c>
      <c r="M246" s="96" t="s">
        <v>8</v>
      </c>
      <c r="N246" s="96" t="s">
        <v>8</v>
      </c>
      <c r="O246" s="96" t="s">
        <v>9</v>
      </c>
      <c r="P246" s="62" t="s">
        <v>10</v>
      </c>
      <c r="Q246" s="98" t="s">
        <v>33</v>
      </c>
    </row>
    <row r="247" spans="1:17">
      <c r="A247" s="99"/>
      <c r="B247" s="99"/>
      <c r="C247" s="100"/>
      <c r="D247" s="101"/>
      <c r="E247" s="102"/>
      <c r="F247" s="100"/>
      <c r="G247" s="103" t="s">
        <v>445</v>
      </c>
      <c r="H247" s="103"/>
      <c r="I247" s="103" t="s">
        <v>19</v>
      </c>
      <c r="J247" s="103" t="s">
        <v>35</v>
      </c>
      <c r="K247" s="33" t="s">
        <v>22</v>
      </c>
      <c r="L247" s="103" t="s">
        <v>15</v>
      </c>
      <c r="M247" s="103" t="s">
        <v>13</v>
      </c>
      <c r="N247" s="103" t="s">
        <v>14</v>
      </c>
      <c r="O247" s="103" t="s">
        <v>12</v>
      </c>
      <c r="P247" s="99"/>
      <c r="Q247" s="104"/>
    </row>
    <row r="248" spans="1:17">
      <c r="A248" s="99"/>
      <c r="B248" s="99"/>
      <c r="C248" s="105"/>
      <c r="D248" s="101"/>
      <c r="E248" s="102"/>
      <c r="F248" s="100"/>
      <c r="G248" s="103" t="s">
        <v>446</v>
      </c>
      <c r="H248" s="103"/>
      <c r="I248" s="103" t="s">
        <v>5</v>
      </c>
      <c r="J248" s="103"/>
      <c r="K248" s="103"/>
      <c r="L248" s="103"/>
      <c r="M248" s="103"/>
      <c r="N248" s="103"/>
      <c r="O248" s="103"/>
      <c r="P248" s="99"/>
      <c r="Q248" s="104"/>
    </row>
    <row r="249" spans="1:17">
      <c r="A249" s="106"/>
      <c r="B249" s="106"/>
      <c r="C249" s="107"/>
      <c r="D249" s="108"/>
      <c r="E249" s="109"/>
      <c r="F249" s="110"/>
      <c r="G249" s="111" t="s">
        <v>447</v>
      </c>
      <c r="H249" s="112"/>
      <c r="I249" s="111"/>
      <c r="J249" s="111"/>
      <c r="K249" s="113"/>
      <c r="L249" s="108"/>
      <c r="M249" s="111"/>
      <c r="N249" s="111"/>
      <c r="O249" s="111"/>
      <c r="P249" s="106"/>
      <c r="Q249" s="114"/>
    </row>
    <row r="250" spans="1:17" ht="15.75">
      <c r="A250" s="52"/>
      <c r="B250" s="47"/>
      <c r="C250" s="48"/>
      <c r="D250" s="73"/>
      <c r="E250" s="17"/>
      <c r="F250" s="48"/>
      <c r="G250" s="36"/>
      <c r="H250" s="36"/>
      <c r="I250" s="36"/>
      <c r="J250" s="36"/>
      <c r="K250" s="8"/>
      <c r="M250" s="8"/>
      <c r="N250" s="8"/>
      <c r="O250" s="8"/>
      <c r="P250" s="35"/>
      <c r="Q250" s="37"/>
    </row>
    <row r="251" spans="1:17" ht="15.75">
      <c r="A251" s="52">
        <v>1</v>
      </c>
      <c r="B251" s="51" t="s">
        <v>130</v>
      </c>
      <c r="C251" s="48" t="s">
        <v>131</v>
      </c>
      <c r="D251" s="67" t="s">
        <v>444</v>
      </c>
      <c r="E251" s="17">
        <v>43234</v>
      </c>
      <c r="F251" s="20" t="s">
        <v>337</v>
      </c>
      <c r="G251" s="36">
        <v>10500000</v>
      </c>
      <c r="H251" s="36">
        <v>0</v>
      </c>
      <c r="I251" s="8">
        <v>0</v>
      </c>
      <c r="J251" s="8">
        <v>0</v>
      </c>
      <c r="K251" s="8">
        <v>105000</v>
      </c>
      <c r="L251" s="8">
        <v>0</v>
      </c>
      <c r="M251" s="8">
        <f>SUM(G251:L251)</f>
        <v>10605000</v>
      </c>
      <c r="N251" s="8">
        <f>10605000-M251</f>
        <v>0</v>
      </c>
      <c r="O251" s="8">
        <f t="shared" ref="O251" si="36">+M251+N251</f>
        <v>10605000</v>
      </c>
      <c r="P251" s="77" t="s">
        <v>134</v>
      </c>
      <c r="Q251" s="60" t="s">
        <v>338</v>
      </c>
    </row>
    <row r="252" spans="1:17" ht="15.75">
      <c r="A252" s="52"/>
      <c r="B252" s="51"/>
      <c r="C252" s="48"/>
      <c r="E252" s="17"/>
      <c r="F252" s="48"/>
      <c r="G252" s="36"/>
      <c r="H252" s="36"/>
      <c r="I252" s="36"/>
      <c r="J252" s="36"/>
      <c r="K252" s="36"/>
      <c r="M252" s="8"/>
      <c r="N252" s="8"/>
      <c r="O252" s="8"/>
      <c r="P252" s="59"/>
      <c r="Q252" s="66"/>
    </row>
    <row r="253" spans="1:17" ht="16.5" thickBot="1">
      <c r="A253" s="18"/>
      <c r="B253" s="55"/>
      <c r="C253" s="56"/>
      <c r="D253" s="74"/>
      <c r="E253" s="56"/>
      <c r="F253" s="57"/>
      <c r="G253" s="19">
        <f t="shared" ref="G253" si="37">SUM(G251:G252)</f>
        <v>10500000</v>
      </c>
      <c r="H253" s="19">
        <f t="shared" ref="H253:O253" si="38">SUM(H251:H252)</f>
        <v>0</v>
      </c>
      <c r="I253" s="19">
        <f t="shared" si="38"/>
        <v>0</v>
      </c>
      <c r="J253" s="19">
        <f t="shared" si="38"/>
        <v>0</v>
      </c>
      <c r="K253" s="19">
        <f t="shared" si="38"/>
        <v>105000</v>
      </c>
      <c r="L253" s="19">
        <f t="shared" si="38"/>
        <v>0</v>
      </c>
      <c r="M253" s="19">
        <f t="shared" si="38"/>
        <v>10605000</v>
      </c>
      <c r="N253" s="19">
        <f t="shared" si="38"/>
        <v>0</v>
      </c>
      <c r="O253" s="19">
        <f t="shared" si="38"/>
        <v>10605000</v>
      </c>
      <c r="P253" s="68"/>
      <c r="Q253" s="70"/>
    </row>
    <row r="254" spans="1:17" ht="16.5" thickTop="1">
      <c r="A254" s="23"/>
      <c r="B254" s="22"/>
      <c r="C254" s="22"/>
      <c r="D254" s="23"/>
      <c r="E254" s="22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2"/>
      <c r="Q254" s="69"/>
    </row>
    <row r="255" spans="1:17" ht="15.75">
      <c r="A255" s="23"/>
      <c r="B255" s="28" t="s">
        <v>448</v>
      </c>
      <c r="C255" s="22"/>
      <c r="D255" s="39"/>
      <c r="F255" s="27"/>
      <c r="G255" s="28"/>
      <c r="H255" s="28"/>
      <c r="I255" s="28"/>
      <c r="J255" s="28"/>
      <c r="K255" s="28"/>
      <c r="L255" s="28"/>
      <c r="Q255" s="51"/>
    </row>
    <row r="256" spans="1:17" ht="15.75">
      <c r="A256" s="38"/>
      <c r="B256" s="40" t="s">
        <v>32</v>
      </c>
      <c r="C256" s="28" t="s">
        <v>28</v>
      </c>
      <c r="D256" s="39"/>
      <c r="F256" s="41"/>
      <c r="G256" s="143" t="s">
        <v>26</v>
      </c>
      <c r="H256" s="143"/>
      <c r="I256" s="143"/>
      <c r="K256" s="41"/>
    </row>
    <row r="257" spans="1:18" ht="15.75">
      <c r="A257" s="38"/>
      <c r="B257" s="40"/>
      <c r="C257" s="28"/>
      <c r="D257" s="39"/>
      <c r="F257" s="28"/>
      <c r="G257" s="28"/>
      <c r="H257" s="28"/>
      <c r="I257" s="28"/>
      <c r="J257" s="28"/>
      <c r="K257" s="28"/>
      <c r="L257" s="28"/>
    </row>
    <row r="258" spans="1:18" ht="15.75">
      <c r="A258" s="38"/>
      <c r="B258" s="40"/>
      <c r="C258" s="28"/>
      <c r="D258" s="39"/>
      <c r="F258" s="28"/>
      <c r="G258" s="28"/>
      <c r="H258" s="28"/>
      <c r="I258" s="28"/>
      <c r="J258" s="28"/>
      <c r="K258" s="28"/>
      <c r="L258" s="28"/>
    </row>
    <row r="259" spans="1:18" ht="15.75">
      <c r="A259" s="38"/>
      <c r="B259" s="40"/>
      <c r="C259" s="28"/>
      <c r="D259" s="39"/>
      <c r="F259" s="28"/>
      <c r="G259" s="28"/>
      <c r="H259" s="28"/>
      <c r="I259" s="28"/>
      <c r="J259" s="28"/>
      <c r="K259" s="28"/>
    </row>
    <row r="260" spans="1:18" ht="15.75">
      <c r="A260" s="38"/>
      <c r="B260" s="40"/>
      <c r="C260" s="28"/>
      <c r="D260" s="39"/>
      <c r="F260" s="28"/>
      <c r="G260" s="28"/>
      <c r="H260" s="28"/>
      <c r="I260" s="28"/>
      <c r="J260" s="28"/>
      <c r="K260" s="28"/>
      <c r="L260" s="28"/>
    </row>
    <row r="261" spans="1:18" ht="15.75">
      <c r="A261" s="38" t="s">
        <v>23</v>
      </c>
      <c r="B261" s="42" t="s">
        <v>27</v>
      </c>
      <c r="C261" s="43" t="s">
        <v>24</v>
      </c>
      <c r="D261" s="39"/>
      <c r="F261" s="29"/>
      <c r="G261" s="29" t="s">
        <v>16</v>
      </c>
      <c r="H261" s="29"/>
      <c r="I261" s="29" t="s">
        <v>30</v>
      </c>
    </row>
    <row r="262" spans="1:18" ht="15.75">
      <c r="A262" s="38"/>
      <c r="B262" s="44" t="s">
        <v>31</v>
      </c>
      <c r="C262" s="45" t="s">
        <v>20</v>
      </c>
      <c r="D262" s="39"/>
      <c r="F262" s="46"/>
      <c r="G262" s="46" t="s">
        <v>17</v>
      </c>
      <c r="H262" s="46"/>
      <c r="I262" s="46" t="s">
        <v>25</v>
      </c>
    </row>
    <row r="264" spans="1:18" ht="15.75">
      <c r="A264" s="21" t="s">
        <v>0</v>
      </c>
      <c r="B264" s="22"/>
      <c r="C264" s="23"/>
      <c r="D264" s="23"/>
      <c r="E264" s="23"/>
      <c r="F264" s="24"/>
      <c r="G264" s="124"/>
      <c r="H264" s="24"/>
      <c r="I264" s="24"/>
      <c r="J264" s="24"/>
      <c r="K264" s="24"/>
      <c r="L264" s="25"/>
    </row>
    <row r="265" spans="1:18" ht="15.75">
      <c r="A265" s="26" t="s">
        <v>443</v>
      </c>
      <c r="B265" s="21"/>
      <c r="C265" s="21"/>
      <c r="D265" s="21"/>
      <c r="E265" s="21"/>
      <c r="F265" s="24"/>
      <c r="G265" s="24"/>
      <c r="H265" s="24"/>
      <c r="I265" s="24"/>
      <c r="J265" s="24"/>
      <c r="K265" s="24"/>
      <c r="L265" s="25"/>
    </row>
    <row r="266" spans="1:18">
      <c r="A266" s="62"/>
      <c r="B266" s="62" t="s">
        <v>1</v>
      </c>
      <c r="C266" s="93" t="s">
        <v>2</v>
      </c>
      <c r="D266" s="117" t="s">
        <v>34</v>
      </c>
      <c r="E266" s="95" t="s">
        <v>3</v>
      </c>
      <c r="F266" s="126" t="s">
        <v>4</v>
      </c>
      <c r="G266" s="96" t="s">
        <v>18</v>
      </c>
      <c r="H266" s="96" t="s">
        <v>18</v>
      </c>
      <c r="I266" s="97" t="s">
        <v>7</v>
      </c>
      <c r="J266" s="96" t="s">
        <v>6</v>
      </c>
      <c r="K266" s="96" t="s">
        <v>6</v>
      </c>
      <c r="L266" s="96" t="s">
        <v>458</v>
      </c>
      <c r="M266" s="96" t="s">
        <v>21</v>
      </c>
      <c r="N266" s="96" t="s">
        <v>8</v>
      </c>
      <c r="O266" s="96" t="s">
        <v>8</v>
      </c>
      <c r="P266" s="96" t="s">
        <v>9</v>
      </c>
      <c r="Q266" s="62" t="s">
        <v>10</v>
      </c>
      <c r="R266" s="98" t="s">
        <v>33</v>
      </c>
    </row>
    <row r="267" spans="1:18">
      <c r="A267" s="99"/>
      <c r="B267" s="99"/>
      <c r="C267" s="100"/>
      <c r="D267" s="101"/>
      <c r="E267" s="102"/>
      <c r="F267" s="100"/>
      <c r="G267" s="103" t="s">
        <v>12</v>
      </c>
      <c r="H267" s="103" t="s">
        <v>445</v>
      </c>
      <c r="I267" s="103" t="s">
        <v>19</v>
      </c>
      <c r="J267" s="103" t="s">
        <v>35</v>
      </c>
      <c r="K267" s="103" t="s">
        <v>457</v>
      </c>
      <c r="L267" s="103" t="s">
        <v>457</v>
      </c>
      <c r="M267" s="103" t="s">
        <v>15</v>
      </c>
      <c r="N267" s="103" t="s">
        <v>13</v>
      </c>
      <c r="O267" s="103" t="s">
        <v>14</v>
      </c>
      <c r="P267" s="103" t="s">
        <v>12</v>
      </c>
      <c r="Q267" s="99"/>
      <c r="R267" s="104"/>
    </row>
    <row r="268" spans="1:18">
      <c r="A268" s="99"/>
      <c r="B268" s="99"/>
      <c r="C268" s="105"/>
      <c r="D268" s="101"/>
      <c r="E268" s="102"/>
      <c r="F268" s="100"/>
      <c r="G268" s="103" t="s">
        <v>409</v>
      </c>
      <c r="H268" s="103" t="s">
        <v>446</v>
      </c>
      <c r="I268" s="103" t="s">
        <v>5</v>
      </c>
      <c r="J268" s="86"/>
      <c r="K268" s="103"/>
      <c r="L268" s="103" t="s">
        <v>459</v>
      </c>
      <c r="M268" s="103"/>
      <c r="N268" s="103"/>
      <c r="O268" s="103"/>
      <c r="P268" s="103"/>
      <c r="Q268" s="99"/>
      <c r="R268" s="104"/>
    </row>
    <row r="269" spans="1:18">
      <c r="A269" s="106"/>
      <c r="B269" s="106"/>
      <c r="C269" s="107"/>
      <c r="D269" s="108"/>
      <c r="E269" s="109"/>
      <c r="F269" s="110"/>
      <c r="G269" s="111"/>
      <c r="H269" s="111" t="s">
        <v>447</v>
      </c>
      <c r="I269" s="111"/>
      <c r="J269" s="75"/>
      <c r="K269" s="112"/>
      <c r="L269" s="112" t="s">
        <v>460</v>
      </c>
      <c r="M269" s="108"/>
      <c r="N269" s="111"/>
      <c r="O269" s="111"/>
      <c r="P269" s="111"/>
      <c r="Q269" s="106"/>
      <c r="R269" s="114"/>
    </row>
    <row r="270" spans="1:18" ht="15.75">
      <c r="A270" s="52"/>
      <c r="B270" s="47"/>
      <c r="C270" s="48"/>
      <c r="D270" s="73"/>
      <c r="E270" s="17"/>
      <c r="F270" s="48"/>
      <c r="G270" s="36"/>
      <c r="H270" s="36"/>
      <c r="I270" s="36"/>
      <c r="J270" s="125"/>
      <c r="K270" s="36"/>
      <c r="L270" s="8"/>
      <c r="N270" s="8"/>
      <c r="O270" s="8"/>
      <c r="P270" s="8"/>
      <c r="Q270" s="35"/>
      <c r="R270" s="37"/>
    </row>
    <row r="271" spans="1:18" ht="15.75">
      <c r="A271" s="52">
        <v>1</v>
      </c>
      <c r="B271" s="51" t="s">
        <v>454</v>
      </c>
      <c r="C271" s="48" t="s">
        <v>455</v>
      </c>
      <c r="D271" s="67" t="s">
        <v>456</v>
      </c>
      <c r="E271" s="17">
        <v>43234</v>
      </c>
      <c r="F271" s="20" t="s">
        <v>337</v>
      </c>
      <c r="G271" s="36">
        <v>187374928</v>
      </c>
      <c r="H271" s="36">
        <v>10000000</v>
      </c>
      <c r="I271" s="8">
        <v>4684373</v>
      </c>
      <c r="J271" s="8">
        <v>1749628</v>
      </c>
      <c r="K271" s="8">
        <v>1939512</v>
      </c>
      <c r="L271" s="8">
        <v>1000000</v>
      </c>
      <c r="M271" s="8">
        <v>200000</v>
      </c>
      <c r="N271" s="8">
        <f>SUM(G271:M271)</f>
        <v>206948441</v>
      </c>
      <c r="O271" s="8">
        <f>206948441-N271</f>
        <v>0</v>
      </c>
      <c r="P271" s="8">
        <f t="shared" ref="P271" si="39">+N271+O271</f>
        <v>206948441</v>
      </c>
      <c r="Q271" s="77" t="s">
        <v>385</v>
      </c>
      <c r="R271" s="60" t="s">
        <v>338</v>
      </c>
    </row>
    <row r="272" spans="1:18" ht="15.75">
      <c r="A272" s="52"/>
      <c r="B272" s="51"/>
      <c r="C272" s="48"/>
      <c r="E272" s="17"/>
      <c r="F272" s="48"/>
      <c r="G272" s="36"/>
      <c r="H272" s="36"/>
      <c r="I272" s="36"/>
      <c r="J272" s="75"/>
      <c r="K272" s="36"/>
      <c r="L272" s="36"/>
      <c r="N272" s="8"/>
      <c r="O272" s="8"/>
      <c r="P272" s="8"/>
      <c r="Q272" s="59"/>
      <c r="R272" s="66"/>
    </row>
    <row r="273" spans="1:18" ht="16.5" thickBot="1">
      <c r="A273" s="18"/>
      <c r="B273" s="55"/>
      <c r="C273" s="56"/>
      <c r="D273" s="74"/>
      <c r="E273" s="56"/>
      <c r="F273" s="57"/>
      <c r="G273" s="19">
        <f t="shared" ref="G273" si="40">SUM(G271:G272)</f>
        <v>187374928</v>
      </c>
      <c r="H273" s="19">
        <f t="shared" ref="H273:J273" si="41">SUM(H271:H272)</f>
        <v>10000000</v>
      </c>
      <c r="I273" s="19">
        <f t="shared" si="41"/>
        <v>4684373</v>
      </c>
      <c r="J273" s="19">
        <f t="shared" si="41"/>
        <v>1749628</v>
      </c>
      <c r="K273" s="19">
        <f t="shared" ref="K273:P273" si="42">SUM(K271:K272)</f>
        <v>1939512</v>
      </c>
      <c r="L273" s="19">
        <f t="shared" si="42"/>
        <v>1000000</v>
      </c>
      <c r="M273" s="19">
        <f t="shared" si="42"/>
        <v>200000</v>
      </c>
      <c r="N273" s="19">
        <f t="shared" si="42"/>
        <v>206948441</v>
      </c>
      <c r="O273" s="19">
        <f t="shared" si="42"/>
        <v>0</v>
      </c>
      <c r="P273" s="19">
        <f t="shared" si="42"/>
        <v>206948441</v>
      </c>
      <c r="Q273" s="68"/>
      <c r="R273" s="70"/>
    </row>
    <row r="274" spans="1:18" ht="16.5" thickTop="1">
      <c r="A274" s="23"/>
      <c r="B274" s="22"/>
      <c r="C274" s="22"/>
      <c r="D274" s="23"/>
      <c r="E274" s="22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2"/>
      <c r="Q274" s="69"/>
    </row>
    <row r="275" spans="1:18" ht="15.75">
      <c r="A275" s="23"/>
      <c r="B275" s="28" t="s">
        <v>448</v>
      </c>
      <c r="C275" s="22"/>
      <c r="D275" s="39"/>
      <c r="F275" s="27"/>
      <c r="G275" s="28"/>
      <c r="H275" s="28"/>
      <c r="I275" s="28"/>
      <c r="J275" s="28"/>
      <c r="K275" s="28"/>
      <c r="L275" s="28"/>
      <c r="Q275" s="51"/>
    </row>
    <row r="276" spans="1:18" ht="15.75">
      <c r="A276" s="38"/>
      <c r="B276" s="40" t="s">
        <v>32</v>
      </c>
      <c r="C276" s="28" t="s">
        <v>28</v>
      </c>
      <c r="D276" s="39"/>
      <c r="F276" s="41"/>
      <c r="G276" s="143" t="s">
        <v>26</v>
      </c>
      <c r="H276" s="143"/>
      <c r="I276" s="143"/>
      <c r="K276" s="28"/>
    </row>
    <row r="277" spans="1:18" ht="15.75">
      <c r="A277" s="38"/>
      <c r="B277" s="40"/>
      <c r="C277" s="28"/>
      <c r="D277" s="39"/>
      <c r="F277" s="28"/>
      <c r="G277" s="28"/>
      <c r="H277" s="28"/>
      <c r="I277" s="28"/>
      <c r="J277" s="28"/>
      <c r="K277" s="28"/>
      <c r="L277" s="28"/>
    </row>
    <row r="278" spans="1:18" ht="15.75">
      <c r="A278" s="38"/>
      <c r="B278" s="40"/>
      <c r="C278" s="28"/>
      <c r="D278" s="39"/>
      <c r="F278" s="28"/>
      <c r="G278" s="28"/>
      <c r="H278" s="28"/>
      <c r="I278" s="28"/>
      <c r="J278" s="28"/>
      <c r="K278" s="28"/>
      <c r="L278" s="28"/>
    </row>
    <row r="279" spans="1:18" ht="15.75">
      <c r="A279" s="38"/>
      <c r="B279" s="40"/>
      <c r="C279" s="28"/>
      <c r="D279" s="39"/>
      <c r="F279" s="28"/>
      <c r="G279" s="28"/>
      <c r="H279" s="28"/>
      <c r="I279" s="28"/>
      <c r="J279" s="28"/>
      <c r="K279" s="28"/>
    </row>
    <row r="280" spans="1:18" ht="15.75">
      <c r="A280" s="38"/>
      <c r="B280" s="40"/>
      <c r="C280" s="28"/>
      <c r="D280" s="39"/>
      <c r="F280" s="28"/>
      <c r="G280" s="28"/>
      <c r="H280" s="28"/>
      <c r="I280" s="28"/>
      <c r="J280" s="28"/>
      <c r="K280" s="28"/>
      <c r="L280" s="28"/>
    </row>
    <row r="281" spans="1:18" ht="15.75">
      <c r="A281" s="38" t="s">
        <v>23</v>
      </c>
      <c r="B281" s="42" t="s">
        <v>27</v>
      </c>
      <c r="C281" s="43" t="s">
        <v>24</v>
      </c>
      <c r="D281" s="39"/>
      <c r="F281" s="29"/>
      <c r="G281" s="29" t="s">
        <v>16</v>
      </c>
      <c r="H281" s="29"/>
      <c r="I281" s="29" t="s">
        <v>30</v>
      </c>
    </row>
    <row r="282" spans="1:18" ht="15.75">
      <c r="A282" s="38"/>
      <c r="B282" s="44" t="s">
        <v>31</v>
      </c>
      <c r="C282" s="45" t="s">
        <v>20</v>
      </c>
      <c r="D282" s="39"/>
      <c r="F282" s="46"/>
      <c r="G282" s="46" t="s">
        <v>17</v>
      </c>
      <c r="H282" s="46"/>
      <c r="I282" s="46" t="s">
        <v>25</v>
      </c>
    </row>
    <row r="284" spans="1:18" ht="15.75">
      <c r="A284" s="21" t="s">
        <v>0</v>
      </c>
      <c r="B284" s="22"/>
      <c r="C284" s="23"/>
      <c r="D284" s="23"/>
      <c r="E284" s="23"/>
      <c r="F284" s="24"/>
      <c r="G284" s="24"/>
      <c r="H284" s="24"/>
      <c r="I284" s="24"/>
      <c r="J284" s="24"/>
      <c r="K284" s="24"/>
      <c r="L284" s="25"/>
    </row>
    <row r="285" spans="1:18" ht="15.75">
      <c r="A285" s="26" t="s">
        <v>443</v>
      </c>
      <c r="B285" s="21"/>
      <c r="C285" s="21"/>
      <c r="D285" s="21"/>
      <c r="E285" s="21"/>
      <c r="F285" s="24"/>
      <c r="G285" s="24"/>
      <c r="H285" s="24"/>
      <c r="I285" s="24"/>
      <c r="J285" s="24"/>
      <c r="K285" s="24"/>
      <c r="L285" s="25"/>
    </row>
    <row r="286" spans="1:18">
      <c r="A286" s="62"/>
      <c r="B286" s="62" t="s">
        <v>1</v>
      </c>
      <c r="C286" s="93" t="s">
        <v>2</v>
      </c>
      <c r="D286" s="117" t="s">
        <v>34</v>
      </c>
      <c r="E286" s="95" t="s">
        <v>3</v>
      </c>
      <c r="F286" s="93" t="s">
        <v>4</v>
      </c>
      <c r="G286" s="96" t="s">
        <v>18</v>
      </c>
      <c r="H286" s="96" t="s">
        <v>18</v>
      </c>
      <c r="I286" s="97" t="s">
        <v>7</v>
      </c>
      <c r="J286" s="96" t="s">
        <v>6</v>
      </c>
      <c r="K286" s="96" t="s">
        <v>29</v>
      </c>
      <c r="L286" s="96" t="s">
        <v>21</v>
      </c>
      <c r="M286" s="96" t="s">
        <v>8</v>
      </c>
      <c r="N286" s="96" t="s">
        <v>8</v>
      </c>
      <c r="O286" s="96" t="s">
        <v>9</v>
      </c>
      <c r="P286" s="62" t="s">
        <v>10</v>
      </c>
      <c r="Q286" s="98" t="s">
        <v>33</v>
      </c>
    </row>
    <row r="287" spans="1:18">
      <c r="A287" s="99"/>
      <c r="B287" s="99"/>
      <c r="C287" s="100"/>
      <c r="D287" s="101"/>
      <c r="E287" s="102"/>
      <c r="F287" s="100"/>
      <c r="G287" s="103" t="s">
        <v>12</v>
      </c>
      <c r="H287" s="103"/>
      <c r="I287" s="103" t="s">
        <v>19</v>
      </c>
      <c r="J287" s="103" t="s">
        <v>35</v>
      </c>
      <c r="K287" s="103" t="s">
        <v>22</v>
      </c>
      <c r="L287" s="103" t="s">
        <v>15</v>
      </c>
      <c r="M287" s="103" t="s">
        <v>13</v>
      </c>
      <c r="N287" s="103" t="s">
        <v>14</v>
      </c>
      <c r="O287" s="103" t="s">
        <v>12</v>
      </c>
      <c r="P287" s="99"/>
      <c r="Q287" s="104"/>
    </row>
    <row r="288" spans="1:18">
      <c r="A288" s="99"/>
      <c r="B288" s="99"/>
      <c r="C288" s="105"/>
      <c r="D288" s="101"/>
      <c r="E288" s="102"/>
      <c r="F288" s="100"/>
      <c r="G288" s="103" t="s">
        <v>409</v>
      </c>
      <c r="H288" s="103"/>
      <c r="I288" s="103" t="s">
        <v>5</v>
      </c>
      <c r="J288" s="103"/>
      <c r="K288" s="103"/>
      <c r="L288" s="103"/>
      <c r="M288" s="103"/>
      <c r="N288" s="103"/>
      <c r="O288" s="103"/>
      <c r="P288" s="99"/>
      <c r="Q288" s="104"/>
    </row>
    <row r="289" spans="1:17">
      <c r="A289" s="106"/>
      <c r="B289" s="106"/>
      <c r="C289" s="107"/>
      <c r="D289" s="108"/>
      <c r="E289" s="109"/>
      <c r="F289" s="110"/>
      <c r="G289" s="111"/>
      <c r="H289" s="112"/>
      <c r="I289" s="111"/>
      <c r="J289" s="111"/>
      <c r="K289" s="113"/>
      <c r="L289" s="108"/>
      <c r="M289" s="111"/>
      <c r="N289" s="111"/>
      <c r="O289" s="111"/>
      <c r="P289" s="106"/>
      <c r="Q289" s="114"/>
    </row>
    <row r="290" spans="1:17" ht="15.75">
      <c r="A290" s="52"/>
      <c r="B290" s="47"/>
      <c r="C290" s="48"/>
      <c r="D290" s="73"/>
      <c r="E290" s="17"/>
      <c r="F290" s="48"/>
      <c r="G290" s="36"/>
      <c r="H290" s="36"/>
      <c r="I290" s="36"/>
      <c r="J290" s="36"/>
      <c r="K290" s="8"/>
      <c r="M290" s="8"/>
      <c r="N290" s="8"/>
      <c r="O290" s="8"/>
      <c r="P290" s="35"/>
      <c r="Q290" s="37"/>
    </row>
    <row r="291" spans="1:17" ht="15.75">
      <c r="A291" s="52">
        <v>1</v>
      </c>
      <c r="B291" s="51" t="s">
        <v>461</v>
      </c>
      <c r="C291" s="48" t="s">
        <v>462</v>
      </c>
      <c r="D291" s="67" t="s">
        <v>463</v>
      </c>
      <c r="E291" s="17">
        <v>43234</v>
      </c>
      <c r="F291" s="20" t="s">
        <v>464</v>
      </c>
      <c r="G291" s="36">
        <v>34117724</v>
      </c>
      <c r="H291" s="36">
        <v>0</v>
      </c>
      <c r="I291" s="8">
        <v>852943</v>
      </c>
      <c r="J291" s="8">
        <v>425353</v>
      </c>
      <c r="K291" s="8">
        <v>158823</v>
      </c>
      <c r="L291" s="8">
        <v>200000</v>
      </c>
      <c r="M291" s="8">
        <f>SUM(G291:L291)</f>
        <v>35754843</v>
      </c>
      <c r="N291" s="8">
        <f>50000000-M291</f>
        <v>14245157</v>
      </c>
      <c r="O291" s="8">
        <f t="shared" ref="O291" si="43">+M291+N291</f>
        <v>50000000</v>
      </c>
      <c r="P291" s="59" t="s">
        <v>292</v>
      </c>
      <c r="Q291" s="60" t="s">
        <v>52</v>
      </c>
    </row>
    <row r="292" spans="1:17" ht="15.75">
      <c r="A292" s="52"/>
      <c r="B292" s="51"/>
      <c r="C292" s="48"/>
      <c r="E292" s="17"/>
      <c r="F292" s="48"/>
      <c r="G292" s="36"/>
      <c r="H292" s="36"/>
      <c r="I292" s="36"/>
      <c r="J292" s="36"/>
      <c r="K292" s="36"/>
      <c r="M292" s="8"/>
      <c r="N292" s="8"/>
      <c r="O292" s="8"/>
      <c r="P292" s="59"/>
      <c r="Q292" s="66"/>
    </row>
    <row r="293" spans="1:17" ht="16.5" thickBot="1">
      <c r="A293" s="18"/>
      <c r="B293" s="55"/>
      <c r="C293" s="56"/>
      <c r="D293" s="74"/>
      <c r="E293" s="56"/>
      <c r="F293" s="57"/>
      <c r="G293" s="19">
        <f t="shared" ref="G293" si="44">SUM(G291:G292)</f>
        <v>34117724</v>
      </c>
      <c r="H293" s="19">
        <f t="shared" ref="H293:O293" si="45">SUM(H291:H292)</f>
        <v>0</v>
      </c>
      <c r="I293" s="19">
        <f t="shared" si="45"/>
        <v>852943</v>
      </c>
      <c r="J293" s="19">
        <f t="shared" si="45"/>
        <v>425353</v>
      </c>
      <c r="K293" s="19">
        <f t="shared" si="45"/>
        <v>158823</v>
      </c>
      <c r="L293" s="19">
        <f t="shared" si="45"/>
        <v>200000</v>
      </c>
      <c r="M293" s="19">
        <f t="shared" si="45"/>
        <v>35754843</v>
      </c>
      <c r="N293" s="19">
        <f t="shared" si="45"/>
        <v>14245157</v>
      </c>
      <c r="O293" s="19">
        <f t="shared" si="45"/>
        <v>50000000</v>
      </c>
      <c r="P293" s="68"/>
      <c r="Q293" s="70"/>
    </row>
    <row r="294" spans="1:17" ht="16.5" thickTop="1">
      <c r="A294" s="23"/>
      <c r="B294" s="22"/>
      <c r="C294" s="22"/>
      <c r="D294" s="23"/>
      <c r="E294" s="22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2"/>
      <c r="Q294" s="69"/>
    </row>
    <row r="295" spans="1:17" ht="15.75">
      <c r="A295" s="23"/>
      <c r="B295" s="28" t="s">
        <v>432</v>
      </c>
      <c r="C295" s="22"/>
      <c r="D295" s="39"/>
      <c r="F295" s="27"/>
      <c r="G295" s="28"/>
      <c r="H295" s="28"/>
      <c r="I295" s="28"/>
      <c r="J295" s="28"/>
      <c r="K295" s="28"/>
      <c r="L295" s="28"/>
      <c r="Q295" s="51"/>
    </row>
    <row r="296" spans="1:17" ht="15.75">
      <c r="A296" s="38"/>
      <c r="B296" s="40" t="s">
        <v>32</v>
      </c>
      <c r="C296" s="28" t="s">
        <v>28</v>
      </c>
      <c r="D296" s="39"/>
      <c r="F296" s="41"/>
      <c r="G296" s="143" t="s">
        <v>26</v>
      </c>
      <c r="H296" s="143"/>
      <c r="I296" s="143"/>
      <c r="K296" s="41"/>
    </row>
    <row r="297" spans="1:17" ht="15.75">
      <c r="A297" s="38"/>
      <c r="B297" s="40"/>
      <c r="C297" s="28"/>
      <c r="D297" s="39"/>
      <c r="F297" s="28"/>
      <c r="G297" s="28"/>
      <c r="H297" s="28"/>
      <c r="I297" s="28"/>
      <c r="J297" s="28"/>
      <c r="K297" s="28"/>
      <c r="L297" s="28"/>
    </row>
    <row r="298" spans="1:17" ht="15.75">
      <c r="A298" s="38"/>
      <c r="B298" s="40"/>
      <c r="C298" s="28"/>
      <c r="D298" s="39"/>
      <c r="F298" s="28"/>
      <c r="G298" s="28"/>
      <c r="H298" s="28"/>
      <c r="I298" s="28"/>
      <c r="J298" s="28"/>
      <c r="K298" s="28"/>
      <c r="L298" s="28"/>
    </row>
    <row r="299" spans="1:17" ht="15.75">
      <c r="A299" s="38"/>
      <c r="B299" s="40"/>
      <c r="C299" s="28"/>
      <c r="D299" s="39"/>
      <c r="F299" s="28"/>
      <c r="G299" s="28"/>
      <c r="H299" s="28"/>
      <c r="I299" s="28"/>
      <c r="J299" s="28"/>
      <c r="K299" s="28"/>
    </row>
    <row r="300" spans="1:17" ht="15.75">
      <c r="A300" s="38"/>
      <c r="B300" s="40"/>
      <c r="C300" s="28"/>
      <c r="D300" s="39"/>
      <c r="F300" s="28"/>
      <c r="G300" s="28"/>
      <c r="H300" s="28"/>
      <c r="I300" s="28"/>
      <c r="J300" s="28"/>
      <c r="K300" s="28"/>
      <c r="L300" s="28"/>
    </row>
    <row r="301" spans="1:17" ht="15.75">
      <c r="A301" s="38" t="s">
        <v>23</v>
      </c>
      <c r="B301" s="42" t="s">
        <v>27</v>
      </c>
      <c r="C301" s="43" t="s">
        <v>24</v>
      </c>
      <c r="D301" s="39"/>
      <c r="F301" s="29"/>
      <c r="G301" s="29" t="s">
        <v>16</v>
      </c>
      <c r="H301" s="29"/>
      <c r="I301" s="29" t="s">
        <v>30</v>
      </c>
    </row>
    <row r="302" spans="1:17" ht="15.75">
      <c r="A302" s="38"/>
      <c r="B302" s="44" t="s">
        <v>31</v>
      </c>
      <c r="C302" s="45" t="s">
        <v>20</v>
      </c>
      <c r="D302" s="39"/>
      <c r="F302" s="46"/>
      <c r="G302" s="46" t="s">
        <v>17</v>
      </c>
      <c r="H302" s="46"/>
      <c r="I302" s="46" t="s">
        <v>25</v>
      </c>
    </row>
    <row r="304" spans="1:17" ht="15.75">
      <c r="A304" s="21" t="s">
        <v>0</v>
      </c>
      <c r="B304" s="22"/>
      <c r="C304" s="23"/>
      <c r="D304" s="23"/>
      <c r="E304" s="23"/>
      <c r="F304" s="24"/>
      <c r="G304" s="24"/>
      <c r="H304" s="24"/>
      <c r="I304" s="24"/>
      <c r="J304" s="24"/>
      <c r="K304" s="24"/>
      <c r="L304" s="25"/>
    </row>
    <row r="305" spans="1:17" ht="15.75">
      <c r="A305" s="26" t="s">
        <v>443</v>
      </c>
      <c r="B305" s="21"/>
      <c r="C305" s="21"/>
      <c r="D305" s="21"/>
      <c r="E305" s="21"/>
      <c r="F305" s="24"/>
      <c r="G305" s="24"/>
      <c r="H305" s="24"/>
      <c r="I305" s="24"/>
      <c r="J305" s="24"/>
      <c r="K305" s="24"/>
      <c r="L305" s="25"/>
    </row>
    <row r="306" spans="1:17">
      <c r="A306" s="62"/>
      <c r="B306" s="62" t="s">
        <v>1</v>
      </c>
      <c r="C306" s="93" t="s">
        <v>2</v>
      </c>
      <c r="D306" s="117" t="s">
        <v>34</v>
      </c>
      <c r="E306" s="95" t="s">
        <v>3</v>
      </c>
      <c r="F306" s="93" t="s">
        <v>4</v>
      </c>
      <c r="G306" s="96" t="s">
        <v>18</v>
      </c>
      <c r="H306" s="96" t="s">
        <v>18</v>
      </c>
      <c r="I306" s="97" t="s">
        <v>7</v>
      </c>
      <c r="J306" s="96" t="s">
        <v>6</v>
      </c>
      <c r="K306" s="96" t="s">
        <v>29</v>
      </c>
      <c r="L306" s="96" t="s">
        <v>21</v>
      </c>
      <c r="M306" s="96" t="s">
        <v>8</v>
      </c>
      <c r="N306" s="96" t="s">
        <v>8</v>
      </c>
      <c r="O306" s="96" t="s">
        <v>9</v>
      </c>
      <c r="P306" s="62" t="s">
        <v>10</v>
      </c>
      <c r="Q306" s="98" t="s">
        <v>33</v>
      </c>
    </row>
    <row r="307" spans="1:17">
      <c r="A307" s="99"/>
      <c r="B307" s="99"/>
      <c r="C307" s="100"/>
      <c r="D307" s="101"/>
      <c r="E307" s="102"/>
      <c r="F307" s="100"/>
      <c r="G307" s="103" t="s">
        <v>12</v>
      </c>
      <c r="H307" s="103"/>
      <c r="I307" s="103" t="s">
        <v>19</v>
      </c>
      <c r="J307" s="103" t="s">
        <v>35</v>
      </c>
      <c r="K307" s="103" t="s">
        <v>22</v>
      </c>
      <c r="L307" s="103" t="s">
        <v>15</v>
      </c>
      <c r="M307" s="103" t="s">
        <v>13</v>
      </c>
      <c r="N307" s="103" t="s">
        <v>14</v>
      </c>
      <c r="O307" s="103" t="s">
        <v>12</v>
      </c>
      <c r="P307" s="99"/>
      <c r="Q307" s="104"/>
    </row>
    <row r="308" spans="1:17">
      <c r="A308" s="99"/>
      <c r="B308" s="99"/>
      <c r="C308" s="105"/>
      <c r="D308" s="101"/>
      <c r="E308" s="102"/>
      <c r="F308" s="100"/>
      <c r="G308" s="103" t="s">
        <v>409</v>
      </c>
      <c r="H308" s="103"/>
      <c r="I308" s="103" t="s">
        <v>5</v>
      </c>
      <c r="J308" s="103"/>
      <c r="K308" s="103"/>
      <c r="L308" s="103"/>
      <c r="M308" s="103"/>
      <c r="N308" s="103"/>
      <c r="O308" s="103"/>
      <c r="P308" s="99"/>
      <c r="Q308" s="104"/>
    </row>
    <row r="309" spans="1:17">
      <c r="A309" s="106"/>
      <c r="B309" s="106"/>
      <c r="C309" s="107"/>
      <c r="D309" s="108"/>
      <c r="E309" s="109"/>
      <c r="F309" s="110"/>
      <c r="G309" s="111"/>
      <c r="H309" s="112"/>
      <c r="I309" s="111"/>
      <c r="J309" s="111"/>
      <c r="K309" s="113"/>
      <c r="L309" s="108"/>
      <c r="M309" s="111"/>
      <c r="N309" s="111"/>
      <c r="O309" s="111"/>
      <c r="P309" s="106"/>
      <c r="Q309" s="114"/>
    </row>
    <row r="310" spans="1:17" ht="15.75">
      <c r="A310" s="52"/>
      <c r="B310" s="47"/>
      <c r="C310" s="48"/>
      <c r="D310" s="73"/>
      <c r="E310" s="17"/>
      <c r="F310" s="48"/>
      <c r="G310" s="36"/>
      <c r="H310" s="36"/>
      <c r="I310" s="36"/>
      <c r="J310" s="36"/>
      <c r="K310" s="8"/>
      <c r="M310" s="8"/>
      <c r="N310" s="8"/>
      <c r="O310" s="8"/>
      <c r="P310" s="35"/>
      <c r="Q310" s="37"/>
    </row>
    <row r="311" spans="1:17" ht="15.75">
      <c r="A311" s="52">
        <v>1</v>
      </c>
      <c r="B311" s="51" t="s">
        <v>465</v>
      </c>
      <c r="C311" s="48" t="s">
        <v>466</v>
      </c>
      <c r="D311" s="67" t="s">
        <v>467</v>
      </c>
      <c r="E311" s="17">
        <v>43234</v>
      </c>
      <c r="F311" s="20" t="s">
        <v>468</v>
      </c>
      <c r="G311" s="36">
        <v>32349500</v>
      </c>
      <c r="H311" s="36">
        <v>0</v>
      </c>
      <c r="I311" s="8">
        <v>808738</v>
      </c>
      <c r="J311" s="8">
        <v>449677</v>
      </c>
      <c r="K311" s="8">
        <v>76505</v>
      </c>
      <c r="L311" s="8">
        <v>200000</v>
      </c>
      <c r="M311" s="8">
        <f>SUM(G311:L311)</f>
        <v>33884420</v>
      </c>
      <c r="N311" s="8">
        <f>40000000-M311</f>
        <v>6115580</v>
      </c>
      <c r="O311" s="8">
        <f t="shared" ref="O311" si="46">+M311+N311</f>
        <v>40000000</v>
      </c>
      <c r="P311" s="59" t="s">
        <v>292</v>
      </c>
      <c r="Q311" s="60" t="s">
        <v>52</v>
      </c>
    </row>
    <row r="312" spans="1:17" ht="15.75">
      <c r="A312" s="52"/>
      <c r="B312" s="51"/>
      <c r="C312" s="48"/>
      <c r="E312" s="17"/>
      <c r="F312" s="48"/>
      <c r="G312" s="36"/>
      <c r="H312" s="36"/>
      <c r="I312" s="36"/>
      <c r="J312" s="36"/>
      <c r="K312" s="36"/>
      <c r="M312" s="8"/>
      <c r="N312" s="8"/>
      <c r="O312" s="8"/>
      <c r="P312" s="59"/>
      <c r="Q312" s="66"/>
    </row>
    <row r="313" spans="1:17" ht="16.5" thickBot="1">
      <c r="A313" s="18"/>
      <c r="B313" s="55"/>
      <c r="C313" s="56"/>
      <c r="D313" s="74"/>
      <c r="E313" s="56"/>
      <c r="F313" s="57"/>
      <c r="G313" s="19">
        <f t="shared" ref="G313" si="47">SUM(G311:G312)</f>
        <v>32349500</v>
      </c>
      <c r="H313" s="19">
        <f t="shared" ref="H313:O313" si="48">SUM(H311:H312)</f>
        <v>0</v>
      </c>
      <c r="I313" s="19">
        <f t="shared" si="48"/>
        <v>808738</v>
      </c>
      <c r="J313" s="19">
        <f t="shared" si="48"/>
        <v>449677</v>
      </c>
      <c r="K313" s="19">
        <f t="shared" si="48"/>
        <v>76505</v>
      </c>
      <c r="L313" s="19">
        <f t="shared" si="48"/>
        <v>200000</v>
      </c>
      <c r="M313" s="19">
        <f t="shared" si="48"/>
        <v>33884420</v>
      </c>
      <c r="N313" s="19">
        <f t="shared" si="48"/>
        <v>6115580</v>
      </c>
      <c r="O313" s="19">
        <f t="shared" si="48"/>
        <v>40000000</v>
      </c>
      <c r="P313" s="68"/>
      <c r="Q313" s="70"/>
    </row>
    <row r="314" spans="1:17" ht="16.5" thickTop="1">
      <c r="A314" s="23"/>
      <c r="B314" s="22"/>
      <c r="C314" s="22"/>
      <c r="D314" s="23"/>
      <c r="E314" s="22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2"/>
      <c r="Q314" s="69"/>
    </row>
    <row r="315" spans="1:17" ht="15.75">
      <c r="A315" s="23"/>
      <c r="B315" s="28" t="s">
        <v>448</v>
      </c>
      <c r="C315" s="22"/>
      <c r="D315" s="39"/>
      <c r="F315" s="27"/>
      <c r="G315" s="28"/>
      <c r="H315" s="28"/>
      <c r="I315" s="28"/>
      <c r="J315" s="28"/>
      <c r="K315" s="28"/>
      <c r="L315" s="28"/>
      <c r="Q315" s="51"/>
    </row>
    <row r="316" spans="1:17" ht="15.75">
      <c r="A316" s="38"/>
      <c r="B316" s="40" t="s">
        <v>32</v>
      </c>
      <c r="C316" s="28" t="s">
        <v>28</v>
      </c>
      <c r="D316" s="39"/>
      <c r="F316" s="41"/>
      <c r="G316" s="143" t="s">
        <v>26</v>
      </c>
      <c r="H316" s="143"/>
      <c r="I316" s="143"/>
      <c r="K316" s="41"/>
    </row>
    <row r="317" spans="1:17" ht="15.75">
      <c r="A317" s="38"/>
      <c r="B317" s="40"/>
      <c r="C317" s="28"/>
      <c r="D317" s="39"/>
      <c r="F317" s="28"/>
      <c r="G317" s="28"/>
      <c r="H317" s="28"/>
      <c r="I317" s="28"/>
      <c r="J317" s="28"/>
      <c r="K317" s="28"/>
      <c r="L317" s="28"/>
    </row>
    <row r="318" spans="1:17" ht="15.75">
      <c r="A318" s="38"/>
      <c r="B318" s="40"/>
      <c r="C318" s="28"/>
      <c r="D318" s="39"/>
      <c r="F318" s="28"/>
      <c r="G318" s="28"/>
      <c r="H318" s="28"/>
      <c r="I318" s="28"/>
      <c r="J318" s="28"/>
      <c r="K318" s="28"/>
      <c r="L318" s="28"/>
    </row>
    <row r="319" spans="1:17" ht="15.75">
      <c r="A319" s="38"/>
      <c r="B319" s="40"/>
      <c r="C319" s="28"/>
      <c r="D319" s="39"/>
      <c r="F319" s="28"/>
      <c r="G319" s="28"/>
      <c r="H319" s="28"/>
      <c r="I319" s="28"/>
      <c r="J319" s="28"/>
      <c r="K319" s="28"/>
    </row>
    <row r="320" spans="1:17" ht="15.75">
      <c r="A320" s="38"/>
      <c r="B320" s="40"/>
      <c r="C320" s="28"/>
      <c r="D320" s="39"/>
      <c r="F320" s="28"/>
      <c r="G320" s="28"/>
      <c r="H320" s="28"/>
      <c r="I320" s="28"/>
      <c r="J320" s="28"/>
      <c r="K320" s="28"/>
      <c r="L320" s="28"/>
    </row>
    <row r="321" spans="1:17" ht="15.75">
      <c r="A321" s="38" t="s">
        <v>23</v>
      </c>
      <c r="B321" s="42" t="s">
        <v>27</v>
      </c>
      <c r="C321" s="43" t="s">
        <v>24</v>
      </c>
      <c r="D321" s="39"/>
      <c r="F321" s="29"/>
      <c r="G321" s="29" t="s">
        <v>16</v>
      </c>
      <c r="H321" s="29"/>
      <c r="I321" s="29" t="s">
        <v>30</v>
      </c>
    </row>
    <row r="322" spans="1:17" ht="15.75">
      <c r="A322" s="38"/>
      <c r="B322" s="44" t="s">
        <v>31</v>
      </c>
      <c r="C322" s="45" t="s">
        <v>20</v>
      </c>
      <c r="D322" s="39"/>
      <c r="F322" s="46"/>
      <c r="G322" s="46" t="s">
        <v>17</v>
      </c>
      <c r="H322" s="46"/>
      <c r="I322" s="46" t="s">
        <v>25</v>
      </c>
    </row>
    <row r="324" spans="1:17" ht="15.75">
      <c r="A324" s="21" t="s">
        <v>0</v>
      </c>
      <c r="B324" s="22"/>
      <c r="C324" s="23"/>
      <c r="D324" s="23"/>
      <c r="E324" s="23"/>
      <c r="F324" s="24"/>
      <c r="G324" s="24"/>
      <c r="H324" s="24"/>
      <c r="I324" s="24"/>
      <c r="J324" s="24"/>
      <c r="K324" s="24"/>
      <c r="L324" s="25"/>
    </row>
    <row r="325" spans="1:17" ht="15.75">
      <c r="A325" s="26" t="s">
        <v>443</v>
      </c>
      <c r="B325" s="21"/>
      <c r="C325" s="21"/>
      <c r="D325" s="21"/>
      <c r="E325" s="21"/>
      <c r="F325" s="24"/>
      <c r="G325" s="24"/>
      <c r="H325" s="24"/>
      <c r="I325" s="24"/>
      <c r="J325" s="24"/>
      <c r="K325" s="24"/>
      <c r="L325" s="25"/>
    </row>
    <row r="326" spans="1:17">
      <c r="A326" s="62"/>
      <c r="B326" s="62" t="s">
        <v>1</v>
      </c>
      <c r="C326" s="93" t="s">
        <v>2</v>
      </c>
      <c r="D326" s="117" t="s">
        <v>34</v>
      </c>
      <c r="E326" s="95" t="s">
        <v>3</v>
      </c>
      <c r="F326" s="93" t="s">
        <v>4</v>
      </c>
      <c r="G326" s="96" t="s">
        <v>18</v>
      </c>
      <c r="H326" s="96" t="s">
        <v>18</v>
      </c>
      <c r="I326" s="97" t="s">
        <v>7</v>
      </c>
      <c r="J326" s="96" t="s">
        <v>6</v>
      </c>
      <c r="K326" s="96" t="s">
        <v>29</v>
      </c>
      <c r="L326" s="96" t="s">
        <v>21</v>
      </c>
      <c r="M326" s="96" t="s">
        <v>8</v>
      </c>
      <c r="N326" s="96" t="s">
        <v>8</v>
      </c>
      <c r="O326" s="96" t="s">
        <v>9</v>
      </c>
      <c r="P326" s="62" t="s">
        <v>10</v>
      </c>
      <c r="Q326" s="98" t="s">
        <v>33</v>
      </c>
    </row>
    <row r="327" spans="1:17">
      <c r="A327" s="99"/>
      <c r="B327" s="99"/>
      <c r="C327" s="100"/>
      <c r="D327" s="101"/>
      <c r="E327" s="102"/>
      <c r="F327" s="100"/>
      <c r="G327" s="103" t="s">
        <v>12</v>
      </c>
      <c r="H327" s="103" t="s">
        <v>12</v>
      </c>
      <c r="I327" s="103" t="s">
        <v>19</v>
      </c>
      <c r="J327" s="103" t="s">
        <v>35</v>
      </c>
      <c r="K327" s="103" t="s">
        <v>22</v>
      </c>
      <c r="L327" s="103" t="s">
        <v>15</v>
      </c>
      <c r="M327" s="103" t="s">
        <v>13</v>
      </c>
      <c r="N327" s="103" t="s">
        <v>14</v>
      </c>
      <c r="O327" s="103" t="s">
        <v>12</v>
      </c>
      <c r="P327" s="99"/>
      <c r="Q327" s="104"/>
    </row>
    <row r="328" spans="1:17">
      <c r="A328" s="99"/>
      <c r="B328" s="99"/>
      <c r="C328" s="105"/>
      <c r="D328" s="101"/>
      <c r="E328" s="102"/>
      <c r="F328" s="100"/>
      <c r="G328" s="103" t="s">
        <v>81</v>
      </c>
      <c r="H328" s="103" t="s">
        <v>409</v>
      </c>
      <c r="I328" s="103" t="s">
        <v>5</v>
      </c>
      <c r="J328" s="103"/>
      <c r="K328" s="103"/>
      <c r="L328" s="103"/>
      <c r="M328" s="103"/>
      <c r="N328" s="103"/>
      <c r="O328" s="103"/>
      <c r="P328" s="99"/>
      <c r="Q328" s="104"/>
    </row>
    <row r="329" spans="1:17">
      <c r="A329" s="106"/>
      <c r="B329" s="106"/>
      <c r="C329" s="107"/>
      <c r="D329" s="108"/>
      <c r="E329" s="109"/>
      <c r="F329" s="110"/>
      <c r="G329" s="111"/>
      <c r="H329" s="112"/>
      <c r="I329" s="111"/>
      <c r="J329" s="111"/>
      <c r="K329" s="113"/>
      <c r="L329" s="108"/>
      <c r="M329" s="111"/>
      <c r="N329" s="111"/>
      <c r="O329" s="111"/>
      <c r="P329" s="106"/>
      <c r="Q329" s="114"/>
    </row>
    <row r="330" spans="1:17" ht="15.75">
      <c r="A330" s="52"/>
      <c r="B330" s="47"/>
      <c r="C330" s="48"/>
      <c r="D330" s="73"/>
      <c r="E330" s="17"/>
      <c r="F330" s="48"/>
      <c r="G330" s="36"/>
      <c r="H330" s="36"/>
      <c r="I330" s="36"/>
      <c r="J330" s="36"/>
      <c r="K330" s="8"/>
      <c r="M330" s="8"/>
      <c r="N330" s="8"/>
      <c r="O330" s="8"/>
      <c r="P330" s="35"/>
      <c r="Q330" s="37"/>
    </row>
    <row r="331" spans="1:17" ht="15.75">
      <c r="A331" s="52">
        <v>1</v>
      </c>
      <c r="B331" s="51" t="s">
        <v>469</v>
      </c>
      <c r="C331" s="48" t="s">
        <v>470</v>
      </c>
      <c r="D331" s="67" t="s">
        <v>471</v>
      </c>
      <c r="E331" s="17">
        <v>43234</v>
      </c>
      <c r="F331" s="20" t="s">
        <v>472</v>
      </c>
      <c r="G331" s="36">
        <v>913584</v>
      </c>
      <c r="H331" s="36">
        <v>29166000</v>
      </c>
      <c r="I331" s="8">
        <v>751990</v>
      </c>
      <c r="J331" s="8">
        <v>446227</v>
      </c>
      <c r="K331" s="8">
        <v>449204</v>
      </c>
      <c r="L331" s="8">
        <v>200000</v>
      </c>
      <c r="M331" s="8">
        <f>SUM(G331:L331)</f>
        <v>31927005</v>
      </c>
      <c r="N331" s="8">
        <f>75000000-M331</f>
        <v>43072995</v>
      </c>
      <c r="O331" s="8">
        <f t="shared" ref="O331" si="49">+M331+N331</f>
        <v>75000000</v>
      </c>
      <c r="P331" s="59" t="s">
        <v>192</v>
      </c>
      <c r="Q331" s="60" t="s">
        <v>52</v>
      </c>
    </row>
    <row r="332" spans="1:17" ht="15.75">
      <c r="A332" s="52"/>
      <c r="B332" s="51"/>
      <c r="C332" s="48"/>
      <c r="E332" s="17"/>
      <c r="F332" s="48"/>
      <c r="G332" s="36"/>
      <c r="H332" s="36"/>
      <c r="I332" s="36"/>
      <c r="J332" s="36"/>
      <c r="K332" s="36"/>
      <c r="M332" s="8"/>
      <c r="N332" s="8"/>
      <c r="O332" s="8"/>
      <c r="P332" s="59"/>
      <c r="Q332" s="66"/>
    </row>
    <row r="333" spans="1:17" ht="16.5" thickBot="1">
      <c r="A333" s="18"/>
      <c r="B333" s="55"/>
      <c r="C333" s="56"/>
      <c r="D333" s="74"/>
      <c r="E333" s="56"/>
      <c r="F333" s="57"/>
      <c r="G333" s="19">
        <f t="shared" ref="G333" si="50">SUM(G331:G332)</f>
        <v>913584</v>
      </c>
      <c r="H333" s="19">
        <f t="shared" ref="H333:O333" si="51">SUM(H331:H332)</f>
        <v>29166000</v>
      </c>
      <c r="I333" s="19">
        <f t="shared" si="51"/>
        <v>751990</v>
      </c>
      <c r="J333" s="19">
        <f t="shared" si="51"/>
        <v>446227</v>
      </c>
      <c r="K333" s="19">
        <f t="shared" si="51"/>
        <v>449204</v>
      </c>
      <c r="L333" s="19">
        <f t="shared" si="51"/>
        <v>200000</v>
      </c>
      <c r="M333" s="19">
        <f t="shared" si="51"/>
        <v>31927005</v>
      </c>
      <c r="N333" s="19">
        <f t="shared" si="51"/>
        <v>43072995</v>
      </c>
      <c r="O333" s="19">
        <f t="shared" si="51"/>
        <v>75000000</v>
      </c>
      <c r="P333" s="68"/>
      <c r="Q333" s="70"/>
    </row>
    <row r="334" spans="1:17" ht="16.5" thickTop="1">
      <c r="A334" s="23"/>
      <c r="B334" s="22"/>
      <c r="C334" s="22"/>
      <c r="D334" s="23"/>
      <c r="E334" s="22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2"/>
      <c r="Q334" s="69"/>
    </row>
    <row r="335" spans="1:17" ht="15.75">
      <c r="A335" s="23"/>
      <c r="B335" s="28" t="s">
        <v>448</v>
      </c>
      <c r="C335" s="22"/>
      <c r="D335" s="39"/>
      <c r="F335" s="27"/>
      <c r="G335" s="28"/>
      <c r="H335" s="28"/>
      <c r="I335" s="28"/>
      <c r="J335" s="28"/>
      <c r="K335" s="28"/>
      <c r="L335" s="28"/>
      <c r="Q335" s="51"/>
    </row>
    <row r="336" spans="1:17" ht="15.75">
      <c r="A336" s="38"/>
      <c r="B336" s="40" t="s">
        <v>32</v>
      </c>
      <c r="C336" s="28" t="s">
        <v>28</v>
      </c>
      <c r="D336" s="39"/>
      <c r="F336" s="41"/>
      <c r="G336" s="143" t="s">
        <v>26</v>
      </c>
      <c r="H336" s="143"/>
      <c r="I336" s="143"/>
      <c r="K336" s="41"/>
    </row>
    <row r="337" spans="1:18" ht="15.75">
      <c r="A337" s="38"/>
      <c r="B337" s="40"/>
      <c r="C337" s="28"/>
      <c r="D337" s="39"/>
      <c r="F337" s="28"/>
      <c r="G337" s="28"/>
      <c r="H337" s="28"/>
      <c r="I337" s="28"/>
      <c r="J337" s="28"/>
      <c r="K337" s="28"/>
      <c r="L337" s="28"/>
    </row>
    <row r="338" spans="1:18" ht="15.75">
      <c r="A338" s="38"/>
      <c r="B338" s="40"/>
      <c r="C338" s="28"/>
      <c r="D338" s="39"/>
      <c r="F338" s="28"/>
      <c r="G338" s="28"/>
      <c r="H338" s="28"/>
      <c r="I338" s="28"/>
      <c r="J338" s="28"/>
      <c r="K338" s="28"/>
      <c r="L338" s="28"/>
    </row>
    <row r="339" spans="1:18" ht="15.75">
      <c r="A339" s="38"/>
      <c r="B339" s="40"/>
      <c r="C339" s="28"/>
      <c r="D339" s="39"/>
      <c r="F339" s="28"/>
      <c r="G339" s="28"/>
      <c r="H339" s="28"/>
      <c r="I339" s="28"/>
      <c r="J339" s="28"/>
      <c r="K339" s="28"/>
    </row>
    <row r="340" spans="1:18" ht="15.75">
      <c r="A340" s="38"/>
      <c r="B340" s="40"/>
      <c r="C340" s="28"/>
      <c r="D340" s="39"/>
      <c r="F340" s="28"/>
      <c r="G340" s="28"/>
      <c r="H340" s="28"/>
      <c r="I340" s="28"/>
      <c r="J340" s="28"/>
      <c r="K340" s="28"/>
      <c r="L340" s="28"/>
    </row>
    <row r="341" spans="1:18" ht="15.75">
      <c r="A341" s="38" t="s">
        <v>23</v>
      </c>
      <c r="B341" s="42" t="s">
        <v>27</v>
      </c>
      <c r="C341" s="43" t="s">
        <v>24</v>
      </c>
      <c r="D341" s="39"/>
      <c r="F341" s="29"/>
      <c r="G341" s="29" t="s">
        <v>16</v>
      </c>
      <c r="H341" s="29"/>
      <c r="I341" s="29" t="s">
        <v>30</v>
      </c>
    </row>
    <row r="342" spans="1:18" ht="15.75">
      <c r="A342" s="38"/>
      <c r="B342" s="44" t="s">
        <v>31</v>
      </c>
      <c r="C342" s="45" t="s">
        <v>20</v>
      </c>
      <c r="D342" s="39"/>
      <c r="F342" s="46"/>
      <c r="G342" s="46" t="s">
        <v>17</v>
      </c>
      <c r="H342" s="46"/>
      <c r="I342" s="46" t="s">
        <v>25</v>
      </c>
    </row>
    <row r="344" spans="1:18" ht="15.75">
      <c r="A344" s="21" t="s">
        <v>0</v>
      </c>
      <c r="B344" s="22"/>
      <c r="C344" s="23"/>
      <c r="D344" s="23"/>
      <c r="E344" s="23"/>
      <c r="F344" s="24"/>
      <c r="G344" s="24"/>
      <c r="H344" s="24"/>
      <c r="I344" s="24"/>
      <c r="J344" s="24"/>
      <c r="K344" s="24"/>
      <c r="L344" s="25"/>
    </row>
    <row r="345" spans="1:18" ht="15.75">
      <c r="A345" s="26" t="s">
        <v>475</v>
      </c>
      <c r="B345" s="21"/>
      <c r="C345" s="21"/>
      <c r="D345" s="21"/>
      <c r="E345" s="21"/>
      <c r="F345" s="24"/>
      <c r="G345" s="24"/>
      <c r="H345" s="24"/>
      <c r="I345" s="24"/>
      <c r="J345" s="24"/>
      <c r="K345" s="24"/>
      <c r="L345" s="25"/>
    </row>
    <row r="346" spans="1:18">
      <c r="A346" s="62"/>
      <c r="B346" s="62" t="s">
        <v>1</v>
      </c>
      <c r="C346" s="93" t="s">
        <v>2</v>
      </c>
      <c r="D346" s="117" t="s">
        <v>34</v>
      </c>
      <c r="E346" s="95" t="s">
        <v>3</v>
      </c>
      <c r="F346" s="93" t="s">
        <v>4</v>
      </c>
      <c r="G346" s="96" t="s">
        <v>18</v>
      </c>
      <c r="H346" s="96" t="s">
        <v>18</v>
      </c>
      <c r="I346" s="96" t="s">
        <v>18</v>
      </c>
      <c r="J346" s="97" t="s">
        <v>7</v>
      </c>
      <c r="K346" s="96" t="s">
        <v>6</v>
      </c>
      <c r="L346" s="96" t="s">
        <v>29</v>
      </c>
      <c r="M346" s="96" t="s">
        <v>21</v>
      </c>
      <c r="N346" s="96" t="s">
        <v>8</v>
      </c>
      <c r="O346" s="96" t="s">
        <v>8</v>
      </c>
      <c r="P346" s="96" t="s">
        <v>9</v>
      </c>
      <c r="Q346" s="62" t="s">
        <v>10</v>
      </c>
      <c r="R346" s="98" t="s">
        <v>33</v>
      </c>
    </row>
    <row r="347" spans="1:18">
      <c r="A347" s="99"/>
      <c r="B347" s="99"/>
      <c r="C347" s="100"/>
      <c r="D347" s="101"/>
      <c r="E347" s="102"/>
      <c r="F347" s="100"/>
      <c r="G347" s="103" t="s">
        <v>12</v>
      </c>
      <c r="H347" s="103" t="s">
        <v>12</v>
      </c>
      <c r="I347" s="103" t="s">
        <v>12</v>
      </c>
      <c r="J347" s="119" t="s">
        <v>19</v>
      </c>
      <c r="K347" s="103" t="s">
        <v>35</v>
      </c>
      <c r="L347" s="103" t="s">
        <v>22</v>
      </c>
      <c r="M347" s="103" t="s">
        <v>15</v>
      </c>
      <c r="N347" s="103" t="s">
        <v>13</v>
      </c>
      <c r="O347" s="103" t="s">
        <v>14</v>
      </c>
      <c r="P347" s="103" t="s">
        <v>12</v>
      </c>
      <c r="Q347" s="99"/>
      <c r="R347" s="104"/>
    </row>
    <row r="348" spans="1:18">
      <c r="A348" s="99"/>
      <c r="B348" s="99"/>
      <c r="C348" s="105"/>
      <c r="D348" s="101"/>
      <c r="E348" s="102"/>
      <c r="F348" s="100"/>
      <c r="G348" s="103" t="s">
        <v>81</v>
      </c>
      <c r="H348" s="103" t="s">
        <v>41</v>
      </c>
      <c r="I348" s="103" t="s">
        <v>41</v>
      </c>
      <c r="J348" s="119" t="s">
        <v>5</v>
      </c>
      <c r="K348" s="103"/>
      <c r="L348" s="103"/>
      <c r="M348" s="103"/>
      <c r="N348" s="103"/>
      <c r="O348" s="103"/>
      <c r="P348" s="103"/>
      <c r="Q348" s="99"/>
      <c r="R348" s="104"/>
    </row>
    <row r="349" spans="1:18">
      <c r="A349" s="106"/>
      <c r="B349" s="106"/>
      <c r="C349" s="107"/>
      <c r="D349" s="108"/>
      <c r="E349" s="109"/>
      <c r="F349" s="110"/>
      <c r="G349" s="111"/>
      <c r="H349" s="112"/>
      <c r="I349" s="75"/>
      <c r="J349" s="120"/>
      <c r="K349" s="111"/>
      <c r="L349" s="113"/>
      <c r="M349" s="108"/>
      <c r="N349" s="111"/>
      <c r="O349" s="111"/>
      <c r="P349" s="111"/>
      <c r="Q349" s="106"/>
      <c r="R349" s="114"/>
    </row>
    <row r="350" spans="1:18" ht="15.75">
      <c r="A350" s="52"/>
      <c r="B350" s="47"/>
      <c r="C350" s="48"/>
      <c r="D350" s="73"/>
      <c r="E350" s="17"/>
      <c r="F350" s="48"/>
      <c r="G350" s="36"/>
      <c r="H350" s="36"/>
      <c r="I350" s="125"/>
      <c r="J350" s="36"/>
      <c r="K350" s="36"/>
      <c r="L350" s="8"/>
      <c r="N350" s="8"/>
      <c r="O350" s="8"/>
      <c r="P350" s="8"/>
      <c r="Q350" s="35"/>
      <c r="R350" s="37"/>
    </row>
    <row r="351" spans="1:18" ht="15.75">
      <c r="A351" s="52">
        <v>1</v>
      </c>
      <c r="B351" s="51" t="s">
        <v>231</v>
      </c>
      <c r="C351" s="48" t="s">
        <v>232</v>
      </c>
      <c r="D351" s="67" t="s">
        <v>473</v>
      </c>
      <c r="E351" s="17">
        <v>43235</v>
      </c>
      <c r="F351" s="20" t="s">
        <v>474</v>
      </c>
      <c r="G351" s="36">
        <v>3998000</v>
      </c>
      <c r="H351" s="36">
        <v>26660000</v>
      </c>
      <c r="I351" s="8">
        <v>9166666</v>
      </c>
      <c r="J351" s="8">
        <v>995617</v>
      </c>
      <c r="K351" s="8">
        <v>568000</v>
      </c>
      <c r="L351" s="8">
        <v>201753</v>
      </c>
      <c r="M351" s="8">
        <v>200000</v>
      </c>
      <c r="N351" s="8">
        <f>SUM(G351:M351)</f>
        <v>41790036</v>
      </c>
      <c r="O351" s="8">
        <f>60000000-N351</f>
        <v>18209964</v>
      </c>
      <c r="P351" s="8">
        <f t="shared" ref="P351" si="52">+N351+O351</f>
        <v>60000000</v>
      </c>
      <c r="Q351" s="77" t="s">
        <v>235</v>
      </c>
      <c r="R351" s="66" t="s">
        <v>52</v>
      </c>
    </row>
    <row r="352" spans="1:18" ht="15.75">
      <c r="A352" s="52"/>
      <c r="B352" s="51"/>
      <c r="C352" s="48"/>
      <c r="E352" s="17"/>
      <c r="F352" s="48"/>
      <c r="G352" s="36"/>
      <c r="H352" s="36"/>
      <c r="I352" s="75"/>
      <c r="J352" s="36"/>
      <c r="K352" s="36"/>
      <c r="L352" s="36"/>
      <c r="N352" s="8"/>
      <c r="O352" s="8"/>
      <c r="P352" s="8"/>
      <c r="Q352" s="59"/>
      <c r="R352" s="66"/>
    </row>
    <row r="353" spans="1:18" ht="16.5" thickBot="1">
      <c r="A353" s="18"/>
      <c r="B353" s="55"/>
      <c r="C353" s="56"/>
      <c r="D353" s="74"/>
      <c r="E353" s="56"/>
      <c r="F353" s="57"/>
      <c r="G353" s="19">
        <f>SUM(G351:G352)</f>
        <v>3998000</v>
      </c>
      <c r="H353" s="19">
        <f t="shared" ref="H353:P353" si="53">SUM(H351:H352)</f>
        <v>26660000</v>
      </c>
      <c r="I353" s="19">
        <f t="shared" si="53"/>
        <v>9166666</v>
      </c>
      <c r="J353" s="19">
        <f t="shared" si="53"/>
        <v>995617</v>
      </c>
      <c r="K353" s="19">
        <f t="shared" si="53"/>
        <v>568000</v>
      </c>
      <c r="L353" s="19">
        <f t="shared" si="53"/>
        <v>201753</v>
      </c>
      <c r="M353" s="19">
        <f t="shared" si="53"/>
        <v>200000</v>
      </c>
      <c r="N353" s="19">
        <f t="shared" si="53"/>
        <v>41790036</v>
      </c>
      <c r="O353" s="19">
        <f t="shared" si="53"/>
        <v>18209964</v>
      </c>
      <c r="P353" s="19">
        <f t="shared" si="53"/>
        <v>60000000</v>
      </c>
      <c r="Q353" s="68"/>
      <c r="R353" s="70"/>
    </row>
    <row r="354" spans="1:18" ht="16.5" thickTop="1">
      <c r="A354" s="23"/>
      <c r="B354" s="22"/>
      <c r="C354" s="22"/>
      <c r="D354" s="23"/>
      <c r="E354" s="22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2"/>
      <c r="Q354" s="69"/>
    </row>
    <row r="355" spans="1:18" ht="15.75">
      <c r="A355" s="23"/>
      <c r="B355" s="28" t="s">
        <v>476</v>
      </c>
      <c r="C355" s="22"/>
      <c r="D355" s="39"/>
      <c r="F355" s="27"/>
      <c r="G355" s="28"/>
      <c r="H355" s="28"/>
      <c r="I355" s="28"/>
      <c r="J355" s="28"/>
      <c r="K355" s="28"/>
      <c r="L355" s="28"/>
      <c r="Q355" s="51"/>
    </row>
    <row r="356" spans="1:18" ht="15.75">
      <c r="A356" s="38"/>
      <c r="B356" s="40" t="s">
        <v>32</v>
      </c>
      <c r="C356" s="28" t="s">
        <v>28</v>
      </c>
      <c r="D356" s="39"/>
      <c r="F356" s="41"/>
      <c r="G356" s="143" t="s">
        <v>26</v>
      </c>
      <c r="H356" s="143"/>
      <c r="I356" s="143"/>
      <c r="K356" s="41"/>
    </row>
    <row r="357" spans="1:18" ht="15.75">
      <c r="A357" s="38"/>
      <c r="B357" s="40"/>
      <c r="C357" s="28"/>
      <c r="D357" s="39"/>
      <c r="F357" s="28"/>
      <c r="G357" s="28"/>
      <c r="H357" s="28"/>
      <c r="I357" s="28"/>
      <c r="J357" s="28"/>
      <c r="K357" s="28"/>
      <c r="L357" s="28"/>
    </row>
    <row r="358" spans="1:18" ht="15.75">
      <c r="A358" s="38"/>
      <c r="B358" s="40"/>
      <c r="C358" s="28"/>
      <c r="D358" s="39"/>
      <c r="F358" s="28"/>
      <c r="G358" s="28"/>
      <c r="H358" s="28"/>
      <c r="I358" s="28"/>
      <c r="J358" s="28"/>
      <c r="K358" s="28"/>
      <c r="L358" s="28"/>
    </row>
    <row r="359" spans="1:18" ht="15.75">
      <c r="A359" s="38"/>
      <c r="B359" s="40"/>
      <c r="C359" s="28"/>
      <c r="D359" s="39"/>
      <c r="F359" s="28"/>
      <c r="G359" s="28"/>
      <c r="H359" s="28"/>
      <c r="I359" s="28"/>
      <c r="J359" s="28"/>
      <c r="K359" s="28"/>
    </row>
    <row r="360" spans="1:18" ht="15.75">
      <c r="A360" s="38"/>
      <c r="B360" s="40"/>
      <c r="C360" s="28"/>
      <c r="D360" s="39"/>
      <c r="F360" s="28"/>
      <c r="G360" s="28"/>
      <c r="H360" s="28"/>
      <c r="I360" s="28"/>
      <c r="J360" s="28"/>
      <c r="K360" s="28"/>
      <c r="L360" s="28"/>
    </row>
    <row r="361" spans="1:18" ht="15.75">
      <c r="A361" s="38" t="s">
        <v>23</v>
      </c>
      <c r="B361" s="42" t="s">
        <v>27</v>
      </c>
      <c r="C361" s="43" t="s">
        <v>24</v>
      </c>
      <c r="D361" s="39"/>
      <c r="F361" s="29"/>
      <c r="G361" s="29" t="s">
        <v>16</v>
      </c>
      <c r="H361" s="29"/>
      <c r="I361" s="29" t="s">
        <v>30</v>
      </c>
    </row>
    <row r="362" spans="1:18" ht="15.75">
      <c r="A362" s="38"/>
      <c r="B362" s="44" t="s">
        <v>31</v>
      </c>
      <c r="C362" s="45" t="s">
        <v>20</v>
      </c>
      <c r="D362" s="39"/>
      <c r="F362" s="46"/>
      <c r="G362" s="46" t="s">
        <v>17</v>
      </c>
      <c r="H362" s="46"/>
      <c r="I362" s="46" t="s">
        <v>25</v>
      </c>
    </row>
    <row r="364" spans="1:18" ht="15.75">
      <c r="A364" s="21" t="s">
        <v>0</v>
      </c>
      <c r="B364" s="22"/>
      <c r="C364" s="23"/>
      <c r="D364" s="23"/>
      <c r="E364" s="23"/>
      <c r="F364" s="24"/>
      <c r="G364" s="24"/>
      <c r="H364" s="24"/>
      <c r="I364" s="24"/>
      <c r="J364" s="24"/>
      <c r="K364" s="24"/>
      <c r="L364" s="25"/>
    </row>
    <row r="365" spans="1:18" ht="15.75">
      <c r="A365" s="26" t="s">
        <v>475</v>
      </c>
      <c r="B365" s="21"/>
      <c r="C365" s="21"/>
      <c r="D365" s="21"/>
      <c r="E365" s="21"/>
      <c r="F365" s="24"/>
      <c r="G365" s="24"/>
      <c r="H365" s="24"/>
      <c r="I365" s="24"/>
      <c r="J365" s="24"/>
      <c r="K365" s="24"/>
      <c r="L365" s="25"/>
    </row>
    <row r="366" spans="1:18">
      <c r="A366" s="62"/>
      <c r="B366" s="62" t="s">
        <v>1</v>
      </c>
      <c r="C366" s="93" t="s">
        <v>2</v>
      </c>
      <c r="D366" s="117" t="s">
        <v>34</v>
      </c>
      <c r="E366" s="95" t="s">
        <v>3</v>
      </c>
      <c r="F366" s="93" t="s">
        <v>4</v>
      </c>
      <c r="G366" s="96" t="s">
        <v>18</v>
      </c>
      <c r="H366" s="96" t="s">
        <v>18</v>
      </c>
      <c r="I366" s="96" t="s">
        <v>18</v>
      </c>
      <c r="J366" s="97" t="s">
        <v>7</v>
      </c>
      <c r="K366" s="96" t="s">
        <v>6</v>
      </c>
      <c r="L366" s="96" t="s">
        <v>29</v>
      </c>
      <c r="M366" s="96" t="s">
        <v>21</v>
      </c>
      <c r="N366" s="96" t="s">
        <v>8</v>
      </c>
      <c r="O366" s="96" t="s">
        <v>8</v>
      </c>
      <c r="P366" s="96" t="s">
        <v>9</v>
      </c>
      <c r="Q366" s="62" t="s">
        <v>10</v>
      </c>
      <c r="R366" s="98" t="s">
        <v>33</v>
      </c>
    </row>
    <row r="367" spans="1:18">
      <c r="A367" s="99"/>
      <c r="B367" s="99"/>
      <c r="C367" s="100"/>
      <c r="D367" s="101"/>
      <c r="E367" s="102"/>
      <c r="F367" s="100"/>
      <c r="G367" s="103" t="s">
        <v>12</v>
      </c>
      <c r="H367" s="103" t="s">
        <v>12</v>
      </c>
      <c r="I367" s="103" t="s">
        <v>12</v>
      </c>
      <c r="J367" s="119" t="s">
        <v>19</v>
      </c>
      <c r="K367" s="103" t="s">
        <v>35</v>
      </c>
      <c r="L367" s="103" t="s">
        <v>22</v>
      </c>
      <c r="M367" s="103" t="s">
        <v>15</v>
      </c>
      <c r="N367" s="103" t="s">
        <v>13</v>
      </c>
      <c r="O367" s="103" t="s">
        <v>14</v>
      </c>
      <c r="P367" s="103" t="s">
        <v>12</v>
      </c>
      <c r="Q367" s="99"/>
      <c r="R367" s="104"/>
    </row>
    <row r="368" spans="1:18">
      <c r="A368" s="99"/>
      <c r="B368" s="99"/>
      <c r="C368" s="105"/>
      <c r="D368" s="101"/>
      <c r="E368" s="102"/>
      <c r="F368" s="100"/>
      <c r="G368" s="103" t="s">
        <v>81</v>
      </c>
      <c r="H368" s="103" t="s">
        <v>41</v>
      </c>
      <c r="I368" s="103" t="s">
        <v>41</v>
      </c>
      <c r="J368" s="119" t="s">
        <v>5</v>
      </c>
      <c r="K368" s="103"/>
      <c r="L368" s="103"/>
      <c r="M368" s="103"/>
      <c r="N368" s="103"/>
      <c r="O368" s="103"/>
      <c r="P368" s="103"/>
      <c r="Q368" s="99"/>
      <c r="R368" s="104"/>
    </row>
    <row r="369" spans="1:18">
      <c r="A369" s="106"/>
      <c r="B369" s="106"/>
      <c r="C369" s="107"/>
      <c r="D369" s="108"/>
      <c r="E369" s="109"/>
      <c r="F369" s="110"/>
      <c r="G369" s="111"/>
      <c r="H369" s="112"/>
      <c r="I369" s="75"/>
      <c r="J369" s="120"/>
      <c r="K369" s="111"/>
      <c r="L369" s="113"/>
      <c r="M369" s="108"/>
      <c r="N369" s="111"/>
      <c r="O369" s="111"/>
      <c r="P369" s="111"/>
      <c r="Q369" s="106"/>
      <c r="R369" s="114"/>
    </row>
    <row r="370" spans="1:18" ht="15.75">
      <c r="A370" s="52"/>
      <c r="B370" s="47"/>
      <c r="C370" s="48"/>
      <c r="D370" s="73"/>
      <c r="E370" s="17"/>
      <c r="F370" s="48"/>
      <c r="G370" s="36"/>
      <c r="H370" s="36"/>
      <c r="I370" s="125"/>
      <c r="J370" s="36"/>
      <c r="K370" s="36"/>
      <c r="L370" s="8"/>
      <c r="N370" s="8"/>
      <c r="O370" s="8"/>
      <c r="P370" s="8"/>
      <c r="Q370" s="35"/>
      <c r="R370" s="37"/>
    </row>
    <row r="371" spans="1:18" ht="15.75">
      <c r="A371" s="52">
        <v>1</v>
      </c>
      <c r="B371" s="51" t="s">
        <v>477</v>
      </c>
      <c r="C371" s="48" t="s">
        <v>478</v>
      </c>
      <c r="D371" s="67" t="s">
        <v>479</v>
      </c>
      <c r="E371" s="17">
        <v>43235</v>
      </c>
      <c r="F371" s="20" t="s">
        <v>337</v>
      </c>
      <c r="G371" s="36">
        <v>0</v>
      </c>
      <c r="H371" s="36">
        <v>97111800</v>
      </c>
      <c r="I371" s="8">
        <v>0</v>
      </c>
      <c r="J371" s="8">
        <v>2427795</v>
      </c>
      <c r="K371" s="8">
        <v>1772068</v>
      </c>
      <c r="L371" s="8">
        <v>0</v>
      </c>
      <c r="M371" s="8">
        <v>200000</v>
      </c>
      <c r="N371" s="8">
        <f>SUM(G371:M371)</f>
        <v>101511663</v>
      </c>
      <c r="O371" s="8">
        <f>101511663-N371</f>
        <v>0</v>
      </c>
      <c r="P371" s="8">
        <f t="shared" ref="P371" si="54">+N371+O371</f>
        <v>101511663</v>
      </c>
      <c r="Q371" s="77" t="s">
        <v>192</v>
      </c>
      <c r="R371" s="66" t="s">
        <v>338</v>
      </c>
    </row>
    <row r="372" spans="1:18" ht="15.75">
      <c r="A372" s="52"/>
      <c r="B372" s="51"/>
      <c r="C372" s="48"/>
      <c r="E372" s="17"/>
      <c r="F372" s="48"/>
      <c r="G372" s="36"/>
      <c r="H372" s="36"/>
      <c r="I372" s="75"/>
      <c r="J372" s="36"/>
      <c r="K372" s="36"/>
      <c r="L372" s="36"/>
      <c r="N372" s="8"/>
      <c r="O372" s="8"/>
      <c r="P372" s="8"/>
      <c r="Q372" s="59"/>
      <c r="R372" s="66"/>
    </row>
    <row r="373" spans="1:18" ht="16.5" thickBot="1">
      <c r="A373" s="18"/>
      <c r="B373" s="55"/>
      <c r="C373" s="56"/>
      <c r="D373" s="74"/>
      <c r="E373" s="56"/>
      <c r="F373" s="57"/>
      <c r="G373" s="19">
        <f>SUM(G371:G372)</f>
        <v>0</v>
      </c>
      <c r="H373" s="19">
        <f t="shared" ref="H373:P373" si="55">SUM(H371:H372)</f>
        <v>97111800</v>
      </c>
      <c r="I373" s="19">
        <f t="shared" si="55"/>
        <v>0</v>
      </c>
      <c r="J373" s="19">
        <f t="shared" si="55"/>
        <v>2427795</v>
      </c>
      <c r="K373" s="19">
        <f t="shared" si="55"/>
        <v>1772068</v>
      </c>
      <c r="L373" s="19">
        <f t="shared" si="55"/>
        <v>0</v>
      </c>
      <c r="M373" s="19">
        <f t="shared" si="55"/>
        <v>200000</v>
      </c>
      <c r="N373" s="19">
        <f t="shared" si="55"/>
        <v>101511663</v>
      </c>
      <c r="O373" s="19">
        <f t="shared" si="55"/>
        <v>0</v>
      </c>
      <c r="P373" s="19">
        <f t="shared" si="55"/>
        <v>101511663</v>
      </c>
      <c r="Q373" s="68"/>
      <c r="R373" s="70"/>
    </row>
    <row r="374" spans="1:18" ht="16.5" thickTop="1">
      <c r="A374" s="23"/>
      <c r="B374" s="22"/>
      <c r="C374" s="22"/>
      <c r="D374" s="23"/>
      <c r="E374" s="22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2"/>
      <c r="Q374" s="69"/>
    </row>
    <row r="375" spans="1:18" ht="15.75">
      <c r="A375" s="23"/>
      <c r="B375" s="28" t="s">
        <v>476</v>
      </c>
      <c r="C375" s="22"/>
      <c r="D375" s="39"/>
      <c r="F375" s="27"/>
      <c r="G375" s="28"/>
      <c r="H375" s="28"/>
      <c r="I375" s="28"/>
      <c r="J375" s="28"/>
      <c r="K375" s="28"/>
      <c r="L375" s="28"/>
      <c r="Q375" s="51"/>
    </row>
    <row r="376" spans="1:18" ht="15.75">
      <c r="A376" s="38"/>
      <c r="B376" s="40" t="s">
        <v>32</v>
      </c>
      <c r="C376" s="28" t="s">
        <v>28</v>
      </c>
      <c r="D376" s="39"/>
      <c r="F376" s="41"/>
      <c r="G376" s="143" t="s">
        <v>26</v>
      </c>
      <c r="H376" s="143"/>
      <c r="I376" s="143"/>
      <c r="K376" s="41"/>
    </row>
    <row r="377" spans="1:18" ht="15.75">
      <c r="A377" s="38"/>
      <c r="B377" s="40"/>
      <c r="C377" s="28"/>
      <c r="D377" s="39"/>
      <c r="F377" s="28"/>
      <c r="G377" s="28"/>
      <c r="H377" s="28"/>
      <c r="I377" s="28"/>
      <c r="J377" s="28"/>
      <c r="K377" s="28"/>
      <c r="L377" s="28"/>
    </row>
    <row r="378" spans="1:18" ht="15.75">
      <c r="A378" s="38"/>
      <c r="B378" s="40"/>
      <c r="C378" s="28"/>
      <c r="D378" s="39"/>
      <c r="F378" s="28"/>
      <c r="G378" s="28"/>
      <c r="H378" s="28"/>
      <c r="I378" s="28"/>
      <c r="J378" s="28"/>
      <c r="K378" s="28"/>
      <c r="L378" s="28"/>
    </row>
    <row r="379" spans="1:18" ht="15.75">
      <c r="A379" s="38"/>
      <c r="B379" s="40"/>
      <c r="C379" s="28"/>
      <c r="D379" s="39"/>
      <c r="F379" s="28"/>
      <c r="G379" s="28"/>
      <c r="H379" s="28"/>
      <c r="I379" s="28"/>
      <c r="J379" s="28"/>
      <c r="K379" s="28"/>
    </row>
    <row r="380" spans="1:18" ht="15.75">
      <c r="A380" s="38"/>
      <c r="B380" s="40"/>
      <c r="C380" s="28"/>
      <c r="D380" s="39"/>
      <c r="F380" s="28"/>
      <c r="G380" s="28"/>
      <c r="H380" s="28"/>
      <c r="I380" s="28"/>
      <c r="J380" s="28"/>
      <c r="K380" s="28"/>
      <c r="L380" s="28"/>
    </row>
    <row r="381" spans="1:18" ht="15.75">
      <c r="A381" s="38" t="s">
        <v>23</v>
      </c>
      <c r="B381" s="42" t="s">
        <v>27</v>
      </c>
      <c r="C381" s="43" t="s">
        <v>24</v>
      </c>
      <c r="D381" s="39"/>
      <c r="F381" s="29"/>
      <c r="G381" s="29" t="s">
        <v>16</v>
      </c>
      <c r="H381" s="29"/>
      <c r="I381" s="29" t="s">
        <v>30</v>
      </c>
    </row>
    <row r="382" spans="1:18" ht="15.75">
      <c r="A382" s="38"/>
      <c r="B382" s="44" t="s">
        <v>31</v>
      </c>
      <c r="C382" s="45" t="s">
        <v>20</v>
      </c>
      <c r="D382" s="39"/>
      <c r="F382" s="46"/>
      <c r="G382" s="46" t="s">
        <v>17</v>
      </c>
      <c r="H382" s="46"/>
      <c r="I382" s="46" t="s">
        <v>25</v>
      </c>
    </row>
    <row r="384" spans="1:18" ht="15.75">
      <c r="A384" s="21" t="s">
        <v>0</v>
      </c>
      <c r="B384" s="22"/>
      <c r="C384" s="23"/>
      <c r="D384" s="23"/>
      <c r="E384" s="23"/>
      <c r="F384" s="24"/>
      <c r="G384" s="24"/>
      <c r="H384" s="24"/>
      <c r="I384" s="24"/>
      <c r="J384" s="24"/>
      <c r="K384" s="24"/>
      <c r="L384" s="25"/>
    </row>
    <row r="385" spans="1:18" ht="15.75">
      <c r="A385" s="26" t="s">
        <v>475</v>
      </c>
      <c r="B385" s="21"/>
      <c r="C385" s="21"/>
      <c r="D385" s="21"/>
      <c r="E385" s="21"/>
      <c r="F385" s="24"/>
      <c r="G385" s="24"/>
      <c r="H385" s="24"/>
      <c r="I385" s="24"/>
      <c r="J385" s="24"/>
      <c r="K385" s="24"/>
      <c r="L385" s="25"/>
    </row>
    <row r="386" spans="1:18">
      <c r="A386" s="62"/>
      <c r="B386" s="62" t="s">
        <v>1</v>
      </c>
      <c r="C386" s="93" t="s">
        <v>2</v>
      </c>
      <c r="D386" s="117" t="s">
        <v>34</v>
      </c>
      <c r="E386" s="95" t="s">
        <v>3</v>
      </c>
      <c r="F386" s="93" t="s">
        <v>4</v>
      </c>
      <c r="G386" s="96" t="s">
        <v>18</v>
      </c>
      <c r="H386" s="96" t="s">
        <v>18</v>
      </c>
      <c r="I386" s="96" t="s">
        <v>18</v>
      </c>
      <c r="J386" s="97" t="s">
        <v>7</v>
      </c>
      <c r="K386" s="96" t="s">
        <v>6</v>
      </c>
      <c r="L386" s="96" t="s">
        <v>29</v>
      </c>
      <c r="M386" s="96" t="s">
        <v>21</v>
      </c>
      <c r="N386" s="96" t="s">
        <v>8</v>
      </c>
      <c r="O386" s="96" t="s">
        <v>8</v>
      </c>
      <c r="P386" s="96" t="s">
        <v>9</v>
      </c>
      <c r="Q386" s="62" t="s">
        <v>10</v>
      </c>
      <c r="R386" s="98" t="s">
        <v>33</v>
      </c>
    </row>
    <row r="387" spans="1:18">
      <c r="A387" s="99"/>
      <c r="B387" s="99"/>
      <c r="C387" s="100"/>
      <c r="D387" s="101"/>
      <c r="E387" s="102"/>
      <c r="F387" s="100"/>
      <c r="G387" s="103" t="s">
        <v>12</v>
      </c>
      <c r="H387" s="103" t="s">
        <v>12</v>
      </c>
      <c r="I387" s="103" t="s">
        <v>12</v>
      </c>
      <c r="J387" s="119" t="s">
        <v>19</v>
      </c>
      <c r="K387" s="103" t="s">
        <v>35</v>
      </c>
      <c r="L387" s="103" t="s">
        <v>22</v>
      </c>
      <c r="M387" s="103" t="s">
        <v>15</v>
      </c>
      <c r="N387" s="103" t="s">
        <v>13</v>
      </c>
      <c r="O387" s="103" t="s">
        <v>14</v>
      </c>
      <c r="P387" s="103" t="s">
        <v>12</v>
      </c>
      <c r="Q387" s="99"/>
      <c r="R387" s="104"/>
    </row>
    <row r="388" spans="1:18">
      <c r="A388" s="99"/>
      <c r="B388" s="99"/>
      <c r="C388" s="105"/>
      <c r="D388" s="101"/>
      <c r="E388" s="102"/>
      <c r="F388" s="100"/>
      <c r="G388" s="103" t="s">
        <v>81</v>
      </c>
      <c r="H388" s="103" t="s">
        <v>41</v>
      </c>
      <c r="I388" s="103" t="s">
        <v>41</v>
      </c>
      <c r="J388" s="119" t="s">
        <v>5</v>
      </c>
      <c r="K388" s="103"/>
      <c r="L388" s="103"/>
      <c r="M388" s="103"/>
      <c r="N388" s="103"/>
      <c r="O388" s="103"/>
      <c r="P388" s="103"/>
      <c r="Q388" s="99"/>
      <c r="R388" s="104"/>
    </row>
    <row r="389" spans="1:18">
      <c r="A389" s="106"/>
      <c r="B389" s="106"/>
      <c r="C389" s="107"/>
      <c r="D389" s="108"/>
      <c r="E389" s="109"/>
      <c r="F389" s="110"/>
      <c r="G389" s="111"/>
      <c r="H389" s="112"/>
      <c r="I389" s="75"/>
      <c r="J389" s="120"/>
      <c r="K389" s="111"/>
      <c r="L389" s="113"/>
      <c r="M389" s="108"/>
      <c r="N389" s="111"/>
      <c r="O389" s="111"/>
      <c r="P389" s="111"/>
      <c r="Q389" s="106"/>
      <c r="R389" s="114"/>
    </row>
    <row r="390" spans="1:18" ht="15.75">
      <c r="A390" s="52"/>
      <c r="B390" s="47"/>
      <c r="C390" s="48"/>
      <c r="D390" s="73"/>
      <c r="E390" s="17"/>
      <c r="F390" s="48"/>
      <c r="G390" s="36"/>
      <c r="H390" s="36"/>
      <c r="I390" s="125"/>
      <c r="J390" s="36"/>
      <c r="K390" s="36"/>
      <c r="L390" s="8"/>
      <c r="N390" s="8"/>
      <c r="O390" s="8"/>
      <c r="P390" s="8"/>
      <c r="Q390" s="35"/>
      <c r="R390" s="37"/>
    </row>
    <row r="391" spans="1:18" ht="15.75">
      <c r="A391" s="52">
        <v>1</v>
      </c>
      <c r="B391" s="51" t="s">
        <v>480</v>
      </c>
      <c r="C391" s="48" t="s">
        <v>481</v>
      </c>
      <c r="D391" s="67" t="s">
        <v>482</v>
      </c>
      <c r="E391" s="17">
        <v>43235</v>
      </c>
      <c r="F391" s="20" t="s">
        <v>483</v>
      </c>
      <c r="G391" s="36">
        <v>0</v>
      </c>
      <c r="H391" s="36">
        <v>32221550</v>
      </c>
      <c r="I391" s="8">
        <v>0</v>
      </c>
      <c r="J391" s="8">
        <v>805539</v>
      </c>
      <c r="K391" s="8">
        <v>913563</v>
      </c>
      <c r="L391" s="8">
        <v>427785</v>
      </c>
      <c r="M391" s="8">
        <v>200000</v>
      </c>
      <c r="N391" s="8">
        <f>SUM(G391:M391)</f>
        <v>34568437</v>
      </c>
      <c r="O391" s="8">
        <f>75000000-N391</f>
        <v>40431563</v>
      </c>
      <c r="P391" s="8">
        <f t="shared" ref="P391" si="56">+N391+O391</f>
        <v>75000000</v>
      </c>
      <c r="Q391" s="59" t="s">
        <v>192</v>
      </c>
      <c r="R391" s="66" t="s">
        <v>52</v>
      </c>
    </row>
    <row r="392" spans="1:18" ht="15.75">
      <c r="A392" s="52"/>
      <c r="B392" s="51"/>
      <c r="C392" s="48"/>
      <c r="E392" s="17"/>
      <c r="F392" s="48"/>
      <c r="G392" s="36"/>
      <c r="H392" s="36"/>
      <c r="I392" s="75"/>
      <c r="J392" s="36"/>
      <c r="K392" s="36"/>
      <c r="L392" s="36"/>
      <c r="N392" s="8"/>
      <c r="O392" s="8"/>
      <c r="P392" s="8"/>
      <c r="Q392" s="59"/>
      <c r="R392" s="66"/>
    </row>
    <row r="393" spans="1:18" ht="16.5" thickBot="1">
      <c r="A393" s="18"/>
      <c r="B393" s="55"/>
      <c r="C393" s="56"/>
      <c r="D393" s="74"/>
      <c r="E393" s="56"/>
      <c r="F393" s="57"/>
      <c r="G393" s="19">
        <f>SUM(G391:G392)</f>
        <v>0</v>
      </c>
      <c r="H393" s="19">
        <f t="shared" ref="H393:P393" si="57">SUM(H391:H392)</f>
        <v>32221550</v>
      </c>
      <c r="I393" s="19">
        <f t="shared" si="57"/>
        <v>0</v>
      </c>
      <c r="J393" s="19">
        <f t="shared" si="57"/>
        <v>805539</v>
      </c>
      <c r="K393" s="19">
        <f t="shared" si="57"/>
        <v>913563</v>
      </c>
      <c r="L393" s="19">
        <f t="shared" si="57"/>
        <v>427785</v>
      </c>
      <c r="M393" s="19">
        <f t="shared" si="57"/>
        <v>200000</v>
      </c>
      <c r="N393" s="19">
        <f t="shared" si="57"/>
        <v>34568437</v>
      </c>
      <c r="O393" s="19">
        <f t="shared" si="57"/>
        <v>40431563</v>
      </c>
      <c r="P393" s="19">
        <f t="shared" si="57"/>
        <v>75000000</v>
      </c>
      <c r="Q393" s="68"/>
      <c r="R393" s="70"/>
    </row>
    <row r="394" spans="1:18" ht="16.5" thickTop="1">
      <c r="A394" s="23"/>
      <c r="B394" s="22"/>
      <c r="C394" s="22"/>
      <c r="D394" s="23"/>
      <c r="E394" s="22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2"/>
      <c r="Q394" s="69"/>
    </row>
    <row r="395" spans="1:18" ht="15.75">
      <c r="A395" s="23"/>
      <c r="B395" s="28" t="s">
        <v>476</v>
      </c>
      <c r="C395" s="22"/>
      <c r="D395" s="39"/>
      <c r="F395" s="27"/>
      <c r="G395" s="28"/>
      <c r="H395" s="28"/>
      <c r="I395" s="28"/>
      <c r="J395" s="28"/>
      <c r="K395" s="28"/>
      <c r="L395" s="28"/>
      <c r="Q395" s="51"/>
    </row>
    <row r="396" spans="1:18" ht="15.75">
      <c r="A396" s="38"/>
      <c r="B396" s="40" t="s">
        <v>32</v>
      </c>
      <c r="C396" s="28" t="s">
        <v>28</v>
      </c>
      <c r="D396" s="39"/>
      <c r="F396" s="41"/>
      <c r="G396" s="143" t="s">
        <v>26</v>
      </c>
      <c r="H396" s="143"/>
      <c r="I396" s="143"/>
      <c r="K396" s="41"/>
    </row>
    <row r="397" spans="1:18" ht="15.75">
      <c r="A397" s="38"/>
      <c r="B397" s="40"/>
      <c r="C397" s="28"/>
      <c r="D397" s="39"/>
      <c r="F397" s="28"/>
      <c r="G397" s="28"/>
      <c r="H397" s="28"/>
      <c r="I397" s="28"/>
      <c r="J397" s="28"/>
      <c r="K397" s="28"/>
      <c r="L397" s="28"/>
    </row>
    <row r="398" spans="1:18" ht="15.75">
      <c r="A398" s="38"/>
      <c r="B398" s="40"/>
      <c r="C398" s="28"/>
      <c r="D398" s="39"/>
      <c r="F398" s="28"/>
      <c r="G398" s="28"/>
      <c r="H398" s="28"/>
      <c r="I398" s="28"/>
      <c r="J398" s="28"/>
      <c r="K398" s="28"/>
      <c r="L398" s="28"/>
    </row>
    <row r="399" spans="1:18" ht="15.75">
      <c r="A399" s="38"/>
      <c r="B399" s="40"/>
      <c r="C399" s="28"/>
      <c r="D399" s="39"/>
      <c r="F399" s="28"/>
      <c r="G399" s="28"/>
      <c r="H399" s="28"/>
      <c r="I399" s="28"/>
      <c r="J399" s="28"/>
      <c r="K399" s="28"/>
    </row>
    <row r="400" spans="1:18" ht="15.75">
      <c r="A400" s="38"/>
      <c r="B400" s="40"/>
      <c r="C400" s="28"/>
      <c r="D400" s="39"/>
      <c r="F400" s="28"/>
      <c r="G400" s="28"/>
      <c r="H400" s="28"/>
      <c r="I400" s="28"/>
      <c r="J400" s="28"/>
      <c r="K400" s="28"/>
      <c r="L400" s="28"/>
    </row>
    <row r="401" spans="1:18" ht="15.75">
      <c r="A401" s="38" t="s">
        <v>23</v>
      </c>
      <c r="B401" s="42" t="s">
        <v>27</v>
      </c>
      <c r="C401" s="43" t="s">
        <v>24</v>
      </c>
      <c r="D401" s="39"/>
      <c r="F401" s="29"/>
      <c r="G401" s="29" t="s">
        <v>16</v>
      </c>
      <c r="H401" s="29"/>
      <c r="I401" s="29" t="s">
        <v>30</v>
      </c>
    </row>
    <row r="402" spans="1:18" ht="15.75">
      <c r="A402" s="38"/>
      <c r="B402" s="44" t="s">
        <v>31</v>
      </c>
      <c r="C402" s="45" t="s">
        <v>20</v>
      </c>
      <c r="D402" s="39"/>
      <c r="F402" s="46"/>
      <c r="G402" s="46" t="s">
        <v>17</v>
      </c>
      <c r="H402" s="46"/>
      <c r="I402" s="46" t="s">
        <v>25</v>
      </c>
    </row>
    <row r="404" spans="1:18" ht="15.75">
      <c r="A404" s="21" t="s">
        <v>0</v>
      </c>
      <c r="B404" s="22"/>
      <c r="C404" s="23"/>
      <c r="D404" s="23"/>
      <c r="E404" s="23"/>
      <c r="F404" s="24"/>
      <c r="G404" s="24"/>
      <c r="H404" s="24"/>
      <c r="I404" s="24"/>
      <c r="J404" s="24"/>
      <c r="K404" s="24"/>
      <c r="L404" s="25"/>
    </row>
    <row r="405" spans="1:18" ht="15.75">
      <c r="A405" s="26" t="s">
        <v>475</v>
      </c>
      <c r="B405" s="21"/>
      <c r="C405" s="21"/>
      <c r="D405" s="21"/>
      <c r="E405" s="21"/>
      <c r="F405" s="24"/>
      <c r="G405" s="24"/>
      <c r="H405" s="24"/>
      <c r="I405" s="24"/>
      <c r="J405" s="24"/>
      <c r="K405" s="24"/>
      <c r="L405" s="25"/>
    </row>
    <row r="406" spans="1:18">
      <c r="A406" s="62"/>
      <c r="B406" s="62" t="s">
        <v>1</v>
      </c>
      <c r="C406" s="93" t="s">
        <v>2</v>
      </c>
      <c r="D406" s="117" t="s">
        <v>34</v>
      </c>
      <c r="E406" s="95" t="s">
        <v>3</v>
      </c>
      <c r="F406" s="93" t="s">
        <v>4</v>
      </c>
      <c r="G406" s="96" t="s">
        <v>18</v>
      </c>
      <c r="H406" s="96" t="s">
        <v>18</v>
      </c>
      <c r="I406" s="96" t="s">
        <v>18</v>
      </c>
      <c r="J406" s="97" t="s">
        <v>7</v>
      </c>
      <c r="K406" s="96" t="s">
        <v>6</v>
      </c>
      <c r="L406" s="96" t="s">
        <v>29</v>
      </c>
      <c r="M406" s="96" t="s">
        <v>21</v>
      </c>
      <c r="N406" s="96" t="s">
        <v>8</v>
      </c>
      <c r="O406" s="96" t="s">
        <v>8</v>
      </c>
      <c r="P406" s="96" t="s">
        <v>9</v>
      </c>
      <c r="Q406" s="62" t="s">
        <v>10</v>
      </c>
      <c r="R406" s="98" t="s">
        <v>33</v>
      </c>
    </row>
    <row r="407" spans="1:18">
      <c r="A407" s="99"/>
      <c r="B407" s="99"/>
      <c r="C407" s="100"/>
      <c r="D407" s="101"/>
      <c r="E407" s="102"/>
      <c r="F407" s="100"/>
      <c r="G407" s="103" t="s">
        <v>12</v>
      </c>
      <c r="H407" s="103" t="s">
        <v>12</v>
      </c>
      <c r="I407" s="103" t="s">
        <v>12</v>
      </c>
      <c r="J407" s="119" t="s">
        <v>19</v>
      </c>
      <c r="K407" s="103" t="s">
        <v>35</v>
      </c>
      <c r="L407" s="103" t="s">
        <v>22</v>
      </c>
      <c r="M407" s="103" t="s">
        <v>15</v>
      </c>
      <c r="N407" s="103" t="s">
        <v>13</v>
      </c>
      <c r="O407" s="103" t="s">
        <v>14</v>
      </c>
      <c r="P407" s="103" t="s">
        <v>12</v>
      </c>
      <c r="Q407" s="99"/>
      <c r="R407" s="104"/>
    </row>
    <row r="408" spans="1:18">
      <c r="A408" s="99"/>
      <c r="B408" s="99"/>
      <c r="C408" s="105"/>
      <c r="D408" s="101"/>
      <c r="E408" s="102"/>
      <c r="F408" s="100"/>
      <c r="G408" s="103" t="s">
        <v>81</v>
      </c>
      <c r="H408" s="103" t="s">
        <v>41</v>
      </c>
      <c r="I408" s="103" t="s">
        <v>41</v>
      </c>
      <c r="J408" s="119" t="s">
        <v>5</v>
      </c>
      <c r="K408" s="103"/>
      <c r="L408" s="103"/>
      <c r="M408" s="103"/>
      <c r="N408" s="103"/>
      <c r="O408" s="103"/>
      <c r="P408" s="103"/>
      <c r="Q408" s="99"/>
      <c r="R408" s="104"/>
    </row>
    <row r="409" spans="1:18">
      <c r="A409" s="106"/>
      <c r="B409" s="106"/>
      <c r="C409" s="107"/>
      <c r="D409" s="108"/>
      <c r="E409" s="109"/>
      <c r="F409" s="110"/>
      <c r="G409" s="111"/>
      <c r="H409" s="112"/>
      <c r="I409" s="75"/>
      <c r="J409" s="120"/>
      <c r="K409" s="111"/>
      <c r="L409" s="113"/>
      <c r="M409" s="108"/>
      <c r="N409" s="111"/>
      <c r="O409" s="111"/>
      <c r="P409" s="111"/>
      <c r="Q409" s="106"/>
      <c r="R409" s="114"/>
    </row>
    <row r="410" spans="1:18" ht="15.75">
      <c r="A410" s="52"/>
      <c r="B410" s="47"/>
      <c r="C410" s="48"/>
      <c r="D410" s="73"/>
      <c r="E410" s="17"/>
      <c r="F410" s="48"/>
      <c r="G410" s="36"/>
      <c r="H410" s="36"/>
      <c r="I410" s="125"/>
      <c r="J410" s="36"/>
      <c r="K410" s="36"/>
      <c r="L410" s="8"/>
      <c r="N410" s="8"/>
      <c r="O410" s="8"/>
      <c r="P410" s="8"/>
      <c r="Q410" s="35"/>
      <c r="R410" s="37"/>
    </row>
    <row r="411" spans="1:18" ht="15.75">
      <c r="A411" s="52">
        <v>1</v>
      </c>
      <c r="B411" s="51" t="s">
        <v>484</v>
      </c>
      <c r="C411" s="48" t="s">
        <v>485</v>
      </c>
      <c r="D411" s="67" t="s">
        <v>486</v>
      </c>
      <c r="E411" s="17">
        <v>43235</v>
      </c>
      <c r="F411" s="20" t="s">
        <v>487</v>
      </c>
      <c r="G411" s="36">
        <v>0</v>
      </c>
      <c r="H411" s="36">
        <v>0</v>
      </c>
      <c r="I411" s="8">
        <v>0</v>
      </c>
      <c r="J411" s="8">
        <v>0</v>
      </c>
      <c r="K411" s="8">
        <v>0</v>
      </c>
      <c r="L411" s="8">
        <v>750000</v>
      </c>
      <c r="M411" s="8">
        <v>200000</v>
      </c>
      <c r="N411" s="8">
        <f>SUM(G411:M411)</f>
        <v>950000</v>
      </c>
      <c r="O411" s="8">
        <f>75950000-N411</f>
        <v>75000000</v>
      </c>
      <c r="P411" s="8">
        <f t="shared" ref="P411" si="58">+N411+O411</f>
        <v>75950000</v>
      </c>
      <c r="Q411" s="59" t="s">
        <v>488</v>
      </c>
      <c r="R411" s="66" t="s">
        <v>40</v>
      </c>
    </row>
    <row r="412" spans="1:18" ht="15.75">
      <c r="A412" s="52"/>
      <c r="B412" s="51"/>
      <c r="C412" s="48"/>
      <c r="E412" s="17"/>
      <c r="F412" s="48"/>
      <c r="G412" s="36"/>
      <c r="H412" s="36"/>
      <c r="I412" s="75"/>
      <c r="J412" s="36"/>
      <c r="K412" s="36"/>
      <c r="L412" s="36"/>
      <c r="N412" s="8"/>
      <c r="O412" s="8"/>
      <c r="P412" s="8"/>
      <c r="Q412" s="59"/>
      <c r="R412" s="66"/>
    </row>
    <row r="413" spans="1:18" ht="16.5" thickBot="1">
      <c r="A413" s="18"/>
      <c r="B413" s="55"/>
      <c r="C413" s="56"/>
      <c r="D413" s="74"/>
      <c r="E413" s="56"/>
      <c r="F413" s="57"/>
      <c r="G413" s="19">
        <f>SUM(G411:G412)</f>
        <v>0</v>
      </c>
      <c r="H413" s="19">
        <f t="shared" ref="H413:P413" si="59">SUM(H411:H412)</f>
        <v>0</v>
      </c>
      <c r="I413" s="19">
        <f t="shared" si="59"/>
        <v>0</v>
      </c>
      <c r="J413" s="19">
        <f t="shared" si="59"/>
        <v>0</v>
      </c>
      <c r="K413" s="19">
        <f t="shared" si="59"/>
        <v>0</v>
      </c>
      <c r="L413" s="19">
        <f t="shared" si="59"/>
        <v>750000</v>
      </c>
      <c r="M413" s="19">
        <f t="shared" si="59"/>
        <v>200000</v>
      </c>
      <c r="N413" s="19">
        <f t="shared" si="59"/>
        <v>950000</v>
      </c>
      <c r="O413" s="19">
        <f t="shared" si="59"/>
        <v>75000000</v>
      </c>
      <c r="P413" s="19">
        <f t="shared" si="59"/>
        <v>75950000</v>
      </c>
      <c r="Q413" s="68"/>
      <c r="R413" s="70"/>
    </row>
    <row r="414" spans="1:18" ht="16.5" thickTop="1">
      <c r="A414" s="23"/>
      <c r="B414" s="22"/>
      <c r="C414" s="22"/>
      <c r="D414" s="23"/>
      <c r="E414" s="22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2"/>
      <c r="Q414" s="69"/>
    </row>
    <row r="415" spans="1:18" ht="15.75">
      <c r="A415" s="23"/>
      <c r="B415" s="28" t="s">
        <v>476</v>
      </c>
      <c r="C415" s="22"/>
      <c r="D415" s="39"/>
      <c r="F415" s="27"/>
      <c r="G415" s="28"/>
      <c r="H415" s="28"/>
      <c r="I415" s="28"/>
      <c r="J415" s="28"/>
      <c r="K415" s="28"/>
      <c r="L415" s="28"/>
      <c r="Q415" s="51"/>
    </row>
    <row r="416" spans="1:18" ht="15.75">
      <c r="A416" s="38"/>
      <c r="B416" s="40" t="s">
        <v>32</v>
      </c>
      <c r="C416" s="28" t="s">
        <v>28</v>
      </c>
      <c r="D416" s="39"/>
      <c r="F416" s="41"/>
      <c r="G416" s="143" t="s">
        <v>26</v>
      </c>
      <c r="H416" s="143"/>
      <c r="I416" s="143"/>
      <c r="K416" s="41"/>
    </row>
    <row r="417" spans="1:18" ht="15.75">
      <c r="A417" s="38"/>
      <c r="B417" s="40"/>
      <c r="C417" s="28"/>
      <c r="D417" s="39"/>
      <c r="F417" s="28"/>
      <c r="G417" s="28"/>
      <c r="H417" s="28"/>
      <c r="I417" s="28"/>
      <c r="J417" s="28"/>
      <c r="K417" s="28"/>
      <c r="L417" s="28"/>
    </row>
    <row r="418" spans="1:18" ht="15.75">
      <c r="A418" s="38"/>
      <c r="B418" s="40"/>
      <c r="C418" s="28"/>
      <c r="D418" s="39"/>
      <c r="F418" s="28"/>
      <c r="G418" s="28"/>
      <c r="H418" s="28"/>
      <c r="I418" s="28"/>
      <c r="J418" s="28"/>
      <c r="K418" s="28"/>
      <c r="L418" s="28"/>
    </row>
    <row r="419" spans="1:18" ht="15.75">
      <c r="A419" s="38"/>
      <c r="B419" s="40"/>
      <c r="C419" s="28"/>
      <c r="D419" s="39"/>
      <c r="F419" s="28"/>
      <c r="G419" s="28"/>
      <c r="H419" s="28"/>
      <c r="I419" s="28"/>
      <c r="J419" s="28"/>
      <c r="K419" s="28"/>
    </row>
    <row r="420" spans="1:18" ht="15.75">
      <c r="A420" s="38"/>
      <c r="B420" s="40"/>
      <c r="C420" s="28"/>
      <c r="D420" s="39"/>
      <c r="F420" s="28"/>
      <c r="G420" s="28"/>
      <c r="H420" s="28"/>
      <c r="I420" s="28"/>
      <c r="J420" s="28"/>
      <c r="K420" s="28"/>
      <c r="L420" s="28"/>
    </row>
    <row r="421" spans="1:18" ht="15.75">
      <c r="A421" s="38" t="s">
        <v>23</v>
      </c>
      <c r="B421" s="42" t="s">
        <v>27</v>
      </c>
      <c r="C421" s="43" t="s">
        <v>24</v>
      </c>
      <c r="D421" s="39"/>
      <c r="F421" s="29"/>
      <c r="G421" s="29" t="s">
        <v>16</v>
      </c>
      <c r="H421" s="29"/>
      <c r="I421" s="29" t="s">
        <v>30</v>
      </c>
    </row>
    <row r="422" spans="1:18" ht="15.75">
      <c r="A422" s="38"/>
      <c r="B422" s="44" t="s">
        <v>31</v>
      </c>
      <c r="C422" s="45" t="s">
        <v>20</v>
      </c>
      <c r="D422" s="39"/>
      <c r="F422" s="46"/>
      <c r="G422" s="46" t="s">
        <v>17</v>
      </c>
      <c r="H422" s="46"/>
      <c r="I422" s="46" t="s">
        <v>25</v>
      </c>
    </row>
    <row r="424" spans="1:18" ht="15.75">
      <c r="A424" s="21" t="s">
        <v>0</v>
      </c>
      <c r="B424" s="22"/>
      <c r="C424" s="23"/>
      <c r="D424" s="23"/>
      <c r="E424" s="23"/>
      <c r="F424" s="24"/>
      <c r="G424" s="24"/>
      <c r="H424" s="24"/>
      <c r="I424" s="24"/>
      <c r="J424" s="24"/>
      <c r="K424" s="24"/>
      <c r="L424" s="25"/>
    </row>
    <row r="425" spans="1:18" ht="15.75">
      <c r="A425" s="26" t="s">
        <v>475</v>
      </c>
      <c r="B425" s="21"/>
      <c r="C425" s="21"/>
      <c r="D425" s="21"/>
      <c r="E425" s="21"/>
      <c r="F425" s="24"/>
      <c r="G425" s="24"/>
      <c r="H425" s="24"/>
      <c r="I425" s="24"/>
      <c r="J425" s="24"/>
      <c r="K425" s="24"/>
      <c r="L425" s="25"/>
    </row>
    <row r="426" spans="1:18">
      <c r="A426" s="62"/>
      <c r="B426" s="62" t="s">
        <v>1</v>
      </c>
      <c r="C426" s="93" t="s">
        <v>2</v>
      </c>
      <c r="D426" s="117" t="s">
        <v>34</v>
      </c>
      <c r="E426" s="95" t="s">
        <v>3</v>
      </c>
      <c r="F426" s="93" t="s">
        <v>4</v>
      </c>
      <c r="G426" s="96" t="s">
        <v>18</v>
      </c>
      <c r="H426" s="96" t="s">
        <v>18</v>
      </c>
      <c r="I426" s="96" t="s">
        <v>18</v>
      </c>
      <c r="J426" s="97" t="s">
        <v>7</v>
      </c>
      <c r="K426" s="96" t="s">
        <v>6</v>
      </c>
      <c r="L426" s="96" t="s">
        <v>29</v>
      </c>
      <c r="M426" s="96" t="s">
        <v>21</v>
      </c>
      <c r="N426" s="96" t="s">
        <v>8</v>
      </c>
      <c r="O426" s="96" t="s">
        <v>8</v>
      </c>
      <c r="P426" s="96" t="s">
        <v>9</v>
      </c>
      <c r="Q426" s="62" t="s">
        <v>10</v>
      </c>
      <c r="R426" s="98" t="s">
        <v>33</v>
      </c>
    </row>
    <row r="427" spans="1:18">
      <c r="A427" s="99"/>
      <c r="B427" s="99"/>
      <c r="C427" s="100"/>
      <c r="D427" s="101"/>
      <c r="E427" s="102"/>
      <c r="F427" s="100"/>
      <c r="G427" s="103" t="s">
        <v>12</v>
      </c>
      <c r="H427" s="103" t="s">
        <v>12</v>
      </c>
      <c r="I427" s="103" t="s">
        <v>12</v>
      </c>
      <c r="J427" s="119" t="s">
        <v>19</v>
      </c>
      <c r="K427" s="103" t="s">
        <v>35</v>
      </c>
      <c r="L427" s="103" t="s">
        <v>22</v>
      </c>
      <c r="M427" s="103" t="s">
        <v>15</v>
      </c>
      <c r="N427" s="103" t="s">
        <v>13</v>
      </c>
      <c r="O427" s="103" t="s">
        <v>14</v>
      </c>
      <c r="P427" s="103" t="s">
        <v>12</v>
      </c>
      <c r="Q427" s="99"/>
      <c r="R427" s="104"/>
    </row>
    <row r="428" spans="1:18">
      <c r="A428" s="99"/>
      <c r="B428" s="99"/>
      <c r="C428" s="105"/>
      <c r="D428" s="101"/>
      <c r="E428" s="102"/>
      <c r="F428" s="100"/>
      <c r="G428" s="103" t="s">
        <v>81</v>
      </c>
      <c r="H428" s="103" t="s">
        <v>41</v>
      </c>
      <c r="I428" s="103" t="s">
        <v>41</v>
      </c>
      <c r="J428" s="119" t="s">
        <v>5</v>
      </c>
      <c r="K428" s="103"/>
      <c r="L428" s="103"/>
      <c r="M428" s="103"/>
      <c r="N428" s="103"/>
      <c r="O428" s="103"/>
      <c r="P428" s="103"/>
      <c r="Q428" s="99"/>
      <c r="R428" s="104"/>
    </row>
    <row r="429" spans="1:18">
      <c r="A429" s="106"/>
      <c r="B429" s="106"/>
      <c r="C429" s="107"/>
      <c r="D429" s="108"/>
      <c r="E429" s="109"/>
      <c r="F429" s="110"/>
      <c r="G429" s="111"/>
      <c r="H429" s="112"/>
      <c r="I429" s="75"/>
      <c r="J429" s="120"/>
      <c r="K429" s="111"/>
      <c r="L429" s="113"/>
      <c r="M429" s="108"/>
      <c r="N429" s="111"/>
      <c r="O429" s="111"/>
      <c r="P429" s="111"/>
      <c r="Q429" s="106"/>
      <c r="R429" s="114"/>
    </row>
    <row r="430" spans="1:18" ht="15.75">
      <c r="A430" s="52"/>
      <c r="B430" s="47"/>
      <c r="C430" s="48"/>
      <c r="D430" s="73"/>
      <c r="E430" s="17"/>
      <c r="F430" s="48"/>
      <c r="G430" s="36"/>
      <c r="H430" s="36"/>
      <c r="I430" s="125"/>
      <c r="J430" s="36"/>
      <c r="K430" s="36"/>
      <c r="L430" s="8"/>
      <c r="N430" s="8"/>
      <c r="O430" s="8"/>
      <c r="P430" s="8"/>
      <c r="Q430" s="35"/>
      <c r="R430" s="37"/>
    </row>
    <row r="431" spans="1:18" ht="15.75">
      <c r="A431" s="52">
        <v>1</v>
      </c>
      <c r="B431" s="51" t="s">
        <v>489</v>
      </c>
      <c r="C431" s="48" t="s">
        <v>490</v>
      </c>
      <c r="D431" s="67" t="s">
        <v>491</v>
      </c>
      <c r="E431" s="17">
        <v>43235</v>
      </c>
      <c r="F431" s="20" t="s">
        <v>492</v>
      </c>
      <c r="G431" s="36">
        <v>0</v>
      </c>
      <c r="H431" s="36">
        <v>24880000</v>
      </c>
      <c r="I431" s="8">
        <v>0</v>
      </c>
      <c r="J431" s="8">
        <v>622000</v>
      </c>
      <c r="K431" s="8">
        <v>488387</v>
      </c>
      <c r="L431" s="8">
        <v>200000</v>
      </c>
      <c r="M431" s="8">
        <v>200000</v>
      </c>
      <c r="N431" s="8">
        <f>SUM(G431:M431)</f>
        <v>26390387</v>
      </c>
      <c r="O431" s="8">
        <f>50000000-N431</f>
        <v>23609613</v>
      </c>
      <c r="P431" s="8">
        <f t="shared" ref="P431" si="60">+N431+O431</f>
        <v>50000000</v>
      </c>
      <c r="Q431" s="59" t="s">
        <v>292</v>
      </c>
      <c r="R431" s="66" t="s">
        <v>52</v>
      </c>
    </row>
    <row r="432" spans="1:18" ht="15.75">
      <c r="A432" s="52"/>
      <c r="B432" s="51"/>
      <c r="C432" s="48"/>
      <c r="E432" s="17"/>
      <c r="F432" s="48"/>
      <c r="G432" s="36"/>
      <c r="H432" s="36"/>
      <c r="I432" s="75"/>
      <c r="J432" s="36"/>
      <c r="K432" s="36"/>
      <c r="L432" s="36"/>
      <c r="N432" s="8"/>
      <c r="O432" s="8"/>
      <c r="P432" s="8"/>
      <c r="Q432" s="59"/>
      <c r="R432" s="66"/>
    </row>
    <row r="433" spans="1:18" ht="16.5" thickBot="1">
      <c r="A433" s="18"/>
      <c r="B433" s="55"/>
      <c r="C433" s="56"/>
      <c r="D433" s="74"/>
      <c r="E433" s="56"/>
      <c r="F433" s="57"/>
      <c r="G433" s="19">
        <f>SUM(G431:G432)</f>
        <v>0</v>
      </c>
      <c r="H433" s="19">
        <f t="shared" ref="H433:P433" si="61">SUM(H431:H432)</f>
        <v>24880000</v>
      </c>
      <c r="I433" s="19">
        <f t="shared" si="61"/>
        <v>0</v>
      </c>
      <c r="J433" s="19">
        <f t="shared" si="61"/>
        <v>622000</v>
      </c>
      <c r="K433" s="19">
        <f t="shared" si="61"/>
        <v>488387</v>
      </c>
      <c r="L433" s="19">
        <f t="shared" si="61"/>
        <v>200000</v>
      </c>
      <c r="M433" s="19">
        <f t="shared" si="61"/>
        <v>200000</v>
      </c>
      <c r="N433" s="19">
        <f t="shared" si="61"/>
        <v>26390387</v>
      </c>
      <c r="O433" s="19">
        <f t="shared" si="61"/>
        <v>23609613</v>
      </c>
      <c r="P433" s="19">
        <f t="shared" si="61"/>
        <v>50000000</v>
      </c>
      <c r="Q433" s="68"/>
      <c r="R433" s="70"/>
    </row>
    <row r="434" spans="1:18" ht="16.5" thickTop="1">
      <c r="A434" s="23"/>
      <c r="B434" s="22"/>
      <c r="C434" s="22"/>
      <c r="D434" s="23"/>
      <c r="E434" s="22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2"/>
      <c r="Q434" s="69"/>
    </row>
    <row r="435" spans="1:18" ht="15.75">
      <c r="A435" s="23"/>
      <c r="B435" s="28" t="s">
        <v>476</v>
      </c>
      <c r="C435" s="22"/>
      <c r="D435" s="39"/>
      <c r="F435" s="27"/>
      <c r="G435" s="28"/>
      <c r="H435" s="28"/>
      <c r="I435" s="28"/>
      <c r="J435" s="28"/>
      <c r="K435" s="28"/>
      <c r="L435" s="28"/>
      <c r="Q435" s="51"/>
    </row>
    <row r="436" spans="1:18" ht="15.75">
      <c r="A436" s="38"/>
      <c r="B436" s="40" t="s">
        <v>32</v>
      </c>
      <c r="C436" s="28" t="s">
        <v>28</v>
      </c>
      <c r="D436" s="39"/>
      <c r="F436" s="41"/>
      <c r="G436" s="143" t="s">
        <v>26</v>
      </c>
      <c r="H436" s="143"/>
      <c r="I436" s="143"/>
      <c r="K436" s="41"/>
    </row>
    <row r="437" spans="1:18" ht="15.75">
      <c r="A437" s="38"/>
      <c r="B437" s="40"/>
      <c r="C437" s="28"/>
      <c r="D437" s="39"/>
      <c r="F437" s="28"/>
      <c r="G437" s="28"/>
      <c r="H437" s="28"/>
      <c r="I437" s="28"/>
      <c r="J437" s="28"/>
      <c r="K437" s="28"/>
      <c r="L437" s="28"/>
    </row>
    <row r="438" spans="1:18" ht="15.75">
      <c r="A438" s="38"/>
      <c r="B438" s="40"/>
      <c r="C438" s="28"/>
      <c r="D438" s="39"/>
      <c r="F438" s="28"/>
      <c r="G438" s="28"/>
      <c r="H438" s="28"/>
      <c r="I438" s="28"/>
      <c r="J438" s="28"/>
      <c r="K438" s="28"/>
      <c r="L438" s="28"/>
    </row>
    <row r="439" spans="1:18" ht="15.75">
      <c r="A439" s="38"/>
      <c r="B439" s="40"/>
      <c r="C439" s="28"/>
      <c r="D439" s="39"/>
      <c r="F439" s="28"/>
      <c r="G439" s="28"/>
      <c r="H439" s="28"/>
      <c r="I439" s="28"/>
      <c r="J439" s="28"/>
      <c r="K439" s="28"/>
    </row>
    <row r="440" spans="1:18" ht="15.75">
      <c r="A440" s="38"/>
      <c r="B440" s="40"/>
      <c r="C440" s="28"/>
      <c r="D440" s="39"/>
      <c r="F440" s="28"/>
      <c r="G440" s="28"/>
      <c r="H440" s="28"/>
      <c r="I440" s="28"/>
      <c r="J440" s="28"/>
      <c r="K440" s="28"/>
      <c r="L440" s="28"/>
    </row>
    <row r="441" spans="1:18" ht="15.75">
      <c r="A441" s="38" t="s">
        <v>23</v>
      </c>
      <c r="B441" s="42" t="s">
        <v>27</v>
      </c>
      <c r="C441" s="43" t="s">
        <v>24</v>
      </c>
      <c r="D441" s="39"/>
      <c r="F441" s="29"/>
      <c r="G441" s="29" t="s">
        <v>16</v>
      </c>
      <c r="H441" s="29"/>
      <c r="I441" s="29" t="s">
        <v>30</v>
      </c>
    </row>
    <row r="442" spans="1:18" ht="15.75">
      <c r="A442" s="38"/>
      <c r="B442" s="44" t="s">
        <v>31</v>
      </c>
      <c r="C442" s="45" t="s">
        <v>20</v>
      </c>
      <c r="D442" s="39"/>
      <c r="F442" s="46"/>
      <c r="G442" s="46" t="s">
        <v>17</v>
      </c>
      <c r="H442" s="46"/>
      <c r="I442" s="46" t="s">
        <v>25</v>
      </c>
    </row>
    <row r="444" spans="1:18" ht="15.75">
      <c r="A444" s="21" t="s">
        <v>0</v>
      </c>
      <c r="B444" s="22"/>
      <c r="C444" s="23"/>
      <c r="D444" s="23"/>
      <c r="E444" s="23"/>
      <c r="F444" s="24"/>
      <c r="G444" s="24"/>
      <c r="H444" s="24"/>
      <c r="I444" s="24"/>
      <c r="J444" s="24"/>
      <c r="K444" s="24"/>
      <c r="L444" s="25"/>
    </row>
    <row r="445" spans="1:18" ht="15.75">
      <c r="A445" s="26" t="s">
        <v>493</v>
      </c>
      <c r="B445" s="21"/>
      <c r="C445" s="21"/>
      <c r="D445" s="21"/>
      <c r="E445" s="21"/>
      <c r="F445" s="24"/>
      <c r="G445" s="24"/>
      <c r="H445" s="24"/>
      <c r="I445" s="24"/>
      <c r="J445" s="24"/>
      <c r="K445" s="24"/>
      <c r="L445" s="25"/>
    </row>
    <row r="446" spans="1:18">
      <c r="A446" s="62"/>
      <c r="B446" s="62" t="s">
        <v>1</v>
      </c>
      <c r="C446" s="93" t="s">
        <v>2</v>
      </c>
      <c r="D446" s="117" t="s">
        <v>34</v>
      </c>
      <c r="E446" s="95" t="s">
        <v>3</v>
      </c>
      <c r="F446" s="93" t="s">
        <v>4</v>
      </c>
      <c r="G446" s="96" t="s">
        <v>18</v>
      </c>
      <c r="H446" s="96" t="s">
        <v>18</v>
      </c>
      <c r="I446" s="96" t="s">
        <v>18</v>
      </c>
      <c r="J446" s="97" t="s">
        <v>7</v>
      </c>
      <c r="K446" s="96" t="s">
        <v>6</v>
      </c>
      <c r="L446" s="96" t="s">
        <v>29</v>
      </c>
      <c r="M446" s="96" t="s">
        <v>21</v>
      </c>
      <c r="N446" s="96" t="s">
        <v>8</v>
      </c>
      <c r="O446" s="96" t="s">
        <v>8</v>
      </c>
      <c r="P446" s="96" t="s">
        <v>9</v>
      </c>
      <c r="Q446" s="62" t="s">
        <v>10</v>
      </c>
      <c r="R446" s="98" t="s">
        <v>33</v>
      </c>
    </row>
    <row r="447" spans="1:18">
      <c r="A447" s="99"/>
      <c r="B447" s="99"/>
      <c r="C447" s="100"/>
      <c r="D447" s="101"/>
      <c r="E447" s="102"/>
      <c r="F447" s="100"/>
      <c r="G447" s="103" t="s">
        <v>12</v>
      </c>
      <c r="H447" s="103" t="s">
        <v>12</v>
      </c>
      <c r="I447" s="103" t="s">
        <v>12</v>
      </c>
      <c r="J447" s="119" t="s">
        <v>19</v>
      </c>
      <c r="K447" s="103" t="s">
        <v>35</v>
      </c>
      <c r="L447" s="103" t="s">
        <v>22</v>
      </c>
      <c r="M447" s="103" t="s">
        <v>15</v>
      </c>
      <c r="N447" s="103" t="s">
        <v>13</v>
      </c>
      <c r="O447" s="103" t="s">
        <v>14</v>
      </c>
      <c r="P447" s="103" t="s">
        <v>12</v>
      </c>
      <c r="Q447" s="99"/>
      <c r="R447" s="104"/>
    </row>
    <row r="448" spans="1:18">
      <c r="A448" s="99"/>
      <c r="B448" s="99"/>
      <c r="C448" s="105"/>
      <c r="D448" s="101"/>
      <c r="E448" s="102"/>
      <c r="F448" s="100"/>
      <c r="G448" s="103" t="s">
        <v>81</v>
      </c>
      <c r="H448" s="103" t="s">
        <v>41</v>
      </c>
      <c r="I448" s="103" t="s">
        <v>41</v>
      </c>
      <c r="J448" s="119" t="s">
        <v>5</v>
      </c>
      <c r="K448" s="103"/>
      <c r="L448" s="103"/>
      <c r="M448" s="103"/>
      <c r="N448" s="103"/>
      <c r="O448" s="103"/>
      <c r="P448" s="103"/>
      <c r="Q448" s="99"/>
      <c r="R448" s="104"/>
    </row>
    <row r="449" spans="1:18">
      <c r="A449" s="106"/>
      <c r="B449" s="106"/>
      <c r="C449" s="107"/>
      <c r="D449" s="108"/>
      <c r="E449" s="109"/>
      <c r="F449" s="110"/>
      <c r="G449" s="111"/>
      <c r="H449" s="112"/>
      <c r="I449" s="75"/>
      <c r="J449" s="120"/>
      <c r="K449" s="111"/>
      <c r="L449" s="113"/>
      <c r="M449" s="108"/>
      <c r="N449" s="111"/>
      <c r="O449" s="111"/>
      <c r="P449" s="111"/>
      <c r="Q449" s="106"/>
      <c r="R449" s="114"/>
    </row>
    <row r="450" spans="1:18" ht="15.75">
      <c r="A450" s="52"/>
      <c r="B450" s="47"/>
      <c r="C450" s="48"/>
      <c r="D450" s="73"/>
      <c r="E450" s="17"/>
      <c r="F450" s="48"/>
      <c r="G450" s="36"/>
      <c r="H450" s="36"/>
      <c r="I450" s="125"/>
      <c r="J450" s="36"/>
      <c r="K450" s="36"/>
      <c r="L450" s="8"/>
      <c r="N450" s="8"/>
      <c r="O450" s="8"/>
      <c r="P450" s="8"/>
      <c r="Q450" s="35"/>
      <c r="R450" s="37"/>
    </row>
    <row r="451" spans="1:18" ht="15.75">
      <c r="A451" s="52">
        <v>1</v>
      </c>
      <c r="B451" s="51" t="s">
        <v>494</v>
      </c>
      <c r="C451" s="48" t="s">
        <v>495</v>
      </c>
      <c r="D451" s="67" t="s">
        <v>496</v>
      </c>
      <c r="E451" s="17">
        <v>43236</v>
      </c>
      <c r="F451" s="20" t="s">
        <v>497</v>
      </c>
      <c r="G451" s="36">
        <v>0</v>
      </c>
      <c r="H451" s="36">
        <v>56240000</v>
      </c>
      <c r="I451" s="8">
        <v>0</v>
      </c>
      <c r="J451" s="8">
        <v>1406000</v>
      </c>
      <c r="K451" s="8">
        <v>764452</v>
      </c>
      <c r="L451" s="8">
        <v>337600</v>
      </c>
      <c r="M451" s="8">
        <v>200000</v>
      </c>
      <c r="N451" s="8">
        <f>SUM(G451:M451)</f>
        <v>58948052</v>
      </c>
      <c r="O451" s="8">
        <f>90000000-N451</f>
        <v>31051948</v>
      </c>
      <c r="P451" s="8">
        <f t="shared" ref="P451" si="62">+N451+O451</f>
        <v>90000000</v>
      </c>
      <c r="Q451" s="59" t="s">
        <v>292</v>
      </c>
      <c r="R451" s="66" t="s">
        <v>52</v>
      </c>
    </row>
    <row r="452" spans="1:18" ht="15.75">
      <c r="A452" s="52"/>
      <c r="B452" s="51"/>
      <c r="C452" s="48"/>
      <c r="E452" s="17"/>
      <c r="F452" s="48"/>
      <c r="G452" s="36"/>
      <c r="H452" s="36"/>
      <c r="I452" s="75"/>
      <c r="J452" s="36"/>
      <c r="K452" s="36"/>
      <c r="L452" s="36"/>
      <c r="N452" s="8"/>
      <c r="O452" s="8"/>
      <c r="P452" s="8"/>
      <c r="Q452" s="59"/>
      <c r="R452" s="66"/>
    </row>
    <row r="453" spans="1:18" ht="16.5" thickBot="1">
      <c r="A453" s="18"/>
      <c r="B453" s="55"/>
      <c r="C453" s="56"/>
      <c r="D453" s="74"/>
      <c r="E453" s="56"/>
      <c r="F453" s="57"/>
      <c r="G453" s="19">
        <f>SUM(G451:G452)</f>
        <v>0</v>
      </c>
      <c r="H453" s="19">
        <f t="shared" ref="H453:P453" si="63">SUM(H451:H452)</f>
        <v>56240000</v>
      </c>
      <c r="I453" s="19">
        <f t="shared" si="63"/>
        <v>0</v>
      </c>
      <c r="J453" s="19">
        <f t="shared" si="63"/>
        <v>1406000</v>
      </c>
      <c r="K453" s="19">
        <f t="shared" si="63"/>
        <v>764452</v>
      </c>
      <c r="L453" s="19">
        <f t="shared" si="63"/>
        <v>337600</v>
      </c>
      <c r="M453" s="19">
        <f t="shared" si="63"/>
        <v>200000</v>
      </c>
      <c r="N453" s="19">
        <f t="shared" si="63"/>
        <v>58948052</v>
      </c>
      <c r="O453" s="19">
        <f t="shared" si="63"/>
        <v>31051948</v>
      </c>
      <c r="P453" s="19">
        <f t="shared" si="63"/>
        <v>90000000</v>
      </c>
      <c r="Q453" s="68"/>
      <c r="R453" s="70"/>
    </row>
    <row r="454" spans="1:18" ht="16.5" thickTop="1">
      <c r="A454" s="23"/>
      <c r="B454" s="22"/>
      <c r="C454" s="22"/>
      <c r="D454" s="23"/>
      <c r="E454" s="22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2"/>
      <c r="Q454" s="69"/>
    </row>
    <row r="455" spans="1:18" ht="15.75">
      <c r="A455" s="23"/>
      <c r="B455" s="28" t="s">
        <v>498</v>
      </c>
      <c r="C455" s="22"/>
      <c r="D455" s="39"/>
      <c r="F455" s="27"/>
      <c r="G455" s="28"/>
      <c r="H455" s="28"/>
      <c r="I455" s="28"/>
      <c r="J455" s="28"/>
      <c r="K455" s="28"/>
      <c r="L455" s="28"/>
      <c r="Q455" s="51"/>
    </row>
    <row r="456" spans="1:18" ht="15.75">
      <c r="A456" s="38"/>
      <c r="B456" s="40" t="s">
        <v>32</v>
      </c>
      <c r="C456" s="28" t="s">
        <v>28</v>
      </c>
      <c r="D456" s="39"/>
      <c r="F456" s="41"/>
      <c r="G456" s="143" t="s">
        <v>26</v>
      </c>
      <c r="H456" s="143"/>
      <c r="I456" s="143"/>
      <c r="K456" s="41"/>
    </row>
    <row r="457" spans="1:18" ht="15.75">
      <c r="A457" s="38"/>
      <c r="B457" s="40"/>
      <c r="C457" s="28"/>
      <c r="D457" s="39"/>
      <c r="F457" s="28"/>
      <c r="G457" s="28"/>
      <c r="H457" s="28"/>
      <c r="I457" s="28"/>
      <c r="J457" s="28"/>
      <c r="K457" s="28"/>
      <c r="L457" s="28"/>
    </row>
    <row r="458" spans="1:18" ht="15.75">
      <c r="A458" s="38"/>
      <c r="B458" s="40"/>
      <c r="C458" s="28"/>
      <c r="D458" s="39"/>
      <c r="F458" s="28"/>
      <c r="G458" s="28"/>
      <c r="H458" s="28"/>
      <c r="I458" s="28"/>
      <c r="J458" s="28"/>
      <c r="K458" s="28"/>
      <c r="L458" s="28"/>
    </row>
    <row r="459" spans="1:18" ht="15.75">
      <c r="A459" s="38"/>
      <c r="B459" s="40"/>
      <c r="C459" s="28"/>
      <c r="D459" s="39"/>
      <c r="F459" s="28"/>
      <c r="G459" s="28"/>
      <c r="H459" s="28"/>
      <c r="I459" s="28"/>
      <c r="J459" s="28"/>
      <c r="K459" s="28"/>
    </row>
    <row r="460" spans="1:18" ht="15.75">
      <c r="A460" s="38"/>
      <c r="B460" s="40"/>
      <c r="C460" s="28"/>
      <c r="D460" s="39"/>
      <c r="F460" s="28"/>
      <c r="G460" s="28"/>
      <c r="H460" s="28"/>
      <c r="I460" s="28"/>
      <c r="J460" s="28"/>
      <c r="K460" s="28"/>
      <c r="L460" s="28"/>
    </row>
    <row r="461" spans="1:18" ht="15.75">
      <c r="A461" s="38" t="s">
        <v>23</v>
      </c>
      <c r="B461" s="42" t="s">
        <v>27</v>
      </c>
      <c r="C461" s="43" t="s">
        <v>24</v>
      </c>
      <c r="D461" s="39"/>
      <c r="F461" s="29"/>
      <c r="G461" s="29" t="s">
        <v>16</v>
      </c>
      <c r="H461" s="29"/>
      <c r="I461" s="29" t="s">
        <v>30</v>
      </c>
    </row>
    <row r="462" spans="1:18" ht="15.75">
      <c r="A462" s="38"/>
      <c r="B462" s="44" t="s">
        <v>31</v>
      </c>
      <c r="C462" s="45" t="s">
        <v>20</v>
      </c>
      <c r="D462" s="39"/>
      <c r="F462" s="46"/>
      <c r="G462" s="46" t="s">
        <v>17</v>
      </c>
      <c r="H462" s="46"/>
      <c r="I462" s="46" t="s">
        <v>25</v>
      </c>
    </row>
    <row r="464" spans="1:18" ht="15.75">
      <c r="A464" s="21" t="s">
        <v>0</v>
      </c>
      <c r="B464" s="22"/>
      <c r="C464" s="23"/>
      <c r="D464" s="23"/>
      <c r="E464" s="23"/>
      <c r="F464" s="24"/>
      <c r="G464" s="24"/>
      <c r="H464" s="24"/>
      <c r="I464" s="24"/>
      <c r="J464" s="24"/>
      <c r="K464" s="24"/>
      <c r="L464" s="25"/>
    </row>
    <row r="465" spans="1:18" ht="15.75">
      <c r="A465" s="26" t="s">
        <v>493</v>
      </c>
      <c r="B465" s="21"/>
      <c r="C465" s="21"/>
      <c r="D465" s="21"/>
      <c r="E465" s="21"/>
      <c r="F465" s="24"/>
      <c r="G465" s="24"/>
      <c r="H465" s="24"/>
      <c r="I465" s="24"/>
      <c r="J465" s="24"/>
      <c r="K465" s="24"/>
      <c r="L465" s="25"/>
    </row>
    <row r="466" spans="1:18">
      <c r="A466" s="62"/>
      <c r="B466" s="62" t="s">
        <v>1</v>
      </c>
      <c r="C466" s="93" t="s">
        <v>2</v>
      </c>
      <c r="D466" s="117" t="s">
        <v>34</v>
      </c>
      <c r="E466" s="95" t="s">
        <v>3</v>
      </c>
      <c r="F466" s="93" t="s">
        <v>4</v>
      </c>
      <c r="G466" s="96" t="s">
        <v>18</v>
      </c>
      <c r="H466" s="96" t="s">
        <v>18</v>
      </c>
      <c r="I466" s="96" t="s">
        <v>18</v>
      </c>
      <c r="J466" s="97" t="s">
        <v>7</v>
      </c>
      <c r="K466" s="96" t="s">
        <v>6</v>
      </c>
      <c r="L466" s="96" t="s">
        <v>29</v>
      </c>
      <c r="M466" s="96" t="s">
        <v>21</v>
      </c>
      <c r="N466" s="96" t="s">
        <v>8</v>
      </c>
      <c r="O466" s="96" t="s">
        <v>8</v>
      </c>
      <c r="P466" s="96" t="s">
        <v>9</v>
      </c>
      <c r="Q466" s="62" t="s">
        <v>10</v>
      </c>
      <c r="R466" s="98" t="s">
        <v>33</v>
      </c>
    </row>
    <row r="467" spans="1:18">
      <c r="A467" s="99"/>
      <c r="B467" s="99"/>
      <c r="C467" s="100"/>
      <c r="D467" s="101"/>
      <c r="E467" s="102"/>
      <c r="F467" s="100"/>
      <c r="G467" s="103" t="s">
        <v>12</v>
      </c>
      <c r="H467" s="103" t="s">
        <v>12</v>
      </c>
      <c r="I467" s="103" t="s">
        <v>12</v>
      </c>
      <c r="J467" s="119" t="s">
        <v>19</v>
      </c>
      <c r="K467" s="103" t="s">
        <v>35</v>
      </c>
      <c r="L467" s="103" t="s">
        <v>22</v>
      </c>
      <c r="M467" s="103" t="s">
        <v>15</v>
      </c>
      <c r="N467" s="103" t="s">
        <v>13</v>
      </c>
      <c r="O467" s="103" t="s">
        <v>14</v>
      </c>
      <c r="P467" s="103" t="s">
        <v>12</v>
      </c>
      <c r="Q467" s="99"/>
      <c r="R467" s="104"/>
    </row>
    <row r="468" spans="1:18">
      <c r="A468" s="99"/>
      <c r="B468" s="99"/>
      <c r="C468" s="105"/>
      <c r="D468" s="101"/>
      <c r="E468" s="102"/>
      <c r="F468" s="100"/>
      <c r="G468" s="103" t="s">
        <v>81</v>
      </c>
      <c r="H468" s="103" t="s">
        <v>41</v>
      </c>
      <c r="I468" s="103" t="s">
        <v>41</v>
      </c>
      <c r="J468" s="119" t="s">
        <v>5</v>
      </c>
      <c r="K468" s="103"/>
      <c r="L468" s="103"/>
      <c r="M468" s="103"/>
      <c r="N468" s="103"/>
      <c r="O468" s="103"/>
      <c r="P468" s="103"/>
      <c r="Q468" s="99"/>
      <c r="R468" s="104"/>
    </row>
    <row r="469" spans="1:18">
      <c r="A469" s="106"/>
      <c r="B469" s="106"/>
      <c r="C469" s="107"/>
      <c r="D469" s="108"/>
      <c r="E469" s="109"/>
      <c r="F469" s="110"/>
      <c r="G469" s="111"/>
      <c r="H469" s="112"/>
      <c r="I469" s="75"/>
      <c r="J469" s="120"/>
      <c r="K469" s="111"/>
      <c r="L469" s="113"/>
      <c r="M469" s="108"/>
      <c r="N469" s="111"/>
      <c r="O469" s="111"/>
      <c r="P469" s="111"/>
      <c r="Q469" s="106"/>
      <c r="R469" s="114"/>
    </row>
    <row r="470" spans="1:18" ht="15.75">
      <c r="A470" s="52"/>
      <c r="B470" s="47"/>
      <c r="C470" s="48"/>
      <c r="D470" s="73"/>
      <c r="E470" s="17"/>
      <c r="F470" s="48"/>
      <c r="G470" s="36"/>
      <c r="H470" s="36"/>
      <c r="I470" s="125"/>
      <c r="J470" s="36"/>
      <c r="K470" s="36"/>
      <c r="L470" s="8"/>
      <c r="N470" s="8"/>
      <c r="O470" s="8"/>
      <c r="P470" s="8"/>
      <c r="Q470" s="35"/>
      <c r="R470" s="37"/>
    </row>
    <row r="471" spans="1:18" ht="15.75">
      <c r="A471" s="52">
        <v>1</v>
      </c>
      <c r="B471" s="51" t="s">
        <v>499</v>
      </c>
      <c r="C471" s="48" t="s">
        <v>500</v>
      </c>
      <c r="D471" s="67" t="s">
        <v>501</v>
      </c>
      <c r="E471" s="17">
        <v>43236</v>
      </c>
      <c r="F471" s="20" t="s">
        <v>502</v>
      </c>
      <c r="G471" s="36">
        <v>0</v>
      </c>
      <c r="H471" s="36">
        <v>32920000</v>
      </c>
      <c r="I471" s="8">
        <v>0</v>
      </c>
      <c r="J471" s="8">
        <v>823000</v>
      </c>
      <c r="K471" s="8">
        <v>515935</v>
      </c>
      <c r="L471" s="8">
        <v>670800</v>
      </c>
      <c r="M471" s="8">
        <v>200000</v>
      </c>
      <c r="N471" s="8">
        <f>SUM(G471:M471)</f>
        <v>35129735</v>
      </c>
      <c r="O471" s="8">
        <f>100000000-N471</f>
        <v>64870265</v>
      </c>
      <c r="P471" s="8">
        <f t="shared" ref="P471" si="64">+N471+O471</f>
        <v>100000000</v>
      </c>
      <c r="Q471" s="59" t="s">
        <v>292</v>
      </c>
      <c r="R471" s="66" t="s">
        <v>52</v>
      </c>
    </row>
    <row r="472" spans="1:18" ht="15.75">
      <c r="A472" s="52"/>
      <c r="B472" s="51"/>
      <c r="C472" s="48"/>
      <c r="E472" s="17"/>
      <c r="F472" s="48"/>
      <c r="G472" s="36"/>
      <c r="H472" s="36"/>
      <c r="I472" s="75"/>
      <c r="J472" s="36"/>
      <c r="K472" s="36"/>
      <c r="L472" s="36"/>
      <c r="N472" s="8"/>
      <c r="O472" s="8"/>
      <c r="P472" s="8"/>
      <c r="Q472" s="59"/>
      <c r="R472" s="66"/>
    </row>
    <row r="473" spans="1:18" ht="16.5" thickBot="1">
      <c r="A473" s="18"/>
      <c r="B473" s="55"/>
      <c r="C473" s="56"/>
      <c r="D473" s="74"/>
      <c r="E473" s="56"/>
      <c r="F473" s="57"/>
      <c r="G473" s="19">
        <f>SUM(G471:G472)</f>
        <v>0</v>
      </c>
      <c r="H473" s="19">
        <f t="shared" ref="H473:P473" si="65">SUM(H471:H472)</f>
        <v>32920000</v>
      </c>
      <c r="I473" s="19">
        <f t="shared" si="65"/>
        <v>0</v>
      </c>
      <c r="J473" s="19">
        <f t="shared" si="65"/>
        <v>823000</v>
      </c>
      <c r="K473" s="19">
        <f t="shared" si="65"/>
        <v>515935</v>
      </c>
      <c r="L473" s="19">
        <f t="shared" si="65"/>
        <v>670800</v>
      </c>
      <c r="M473" s="19">
        <f t="shared" si="65"/>
        <v>200000</v>
      </c>
      <c r="N473" s="19">
        <f t="shared" si="65"/>
        <v>35129735</v>
      </c>
      <c r="O473" s="19">
        <f t="shared" si="65"/>
        <v>64870265</v>
      </c>
      <c r="P473" s="19">
        <f t="shared" si="65"/>
        <v>100000000</v>
      </c>
      <c r="Q473" s="68"/>
      <c r="R473" s="70"/>
    </row>
    <row r="474" spans="1:18" ht="16.5" thickTop="1">
      <c r="A474" s="23"/>
      <c r="B474" s="22"/>
      <c r="C474" s="22"/>
      <c r="D474" s="23"/>
      <c r="E474" s="22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2"/>
      <c r="Q474" s="69"/>
    </row>
    <row r="475" spans="1:18" ht="15.75">
      <c r="A475" s="23"/>
      <c r="B475" s="28" t="s">
        <v>498</v>
      </c>
      <c r="C475" s="22"/>
      <c r="D475" s="39"/>
      <c r="F475" s="27"/>
      <c r="G475" s="28"/>
      <c r="H475" s="28"/>
      <c r="I475" s="28"/>
      <c r="J475" s="28"/>
      <c r="K475" s="28"/>
      <c r="L475" s="28"/>
      <c r="Q475" s="51"/>
    </row>
    <row r="476" spans="1:18" ht="15.75">
      <c r="A476" s="38"/>
      <c r="B476" s="40" t="s">
        <v>32</v>
      </c>
      <c r="C476" s="28" t="s">
        <v>28</v>
      </c>
      <c r="D476" s="39"/>
      <c r="F476" s="41"/>
      <c r="G476" s="143" t="s">
        <v>26</v>
      </c>
      <c r="H476" s="143"/>
      <c r="I476" s="143"/>
      <c r="K476" s="41"/>
    </row>
    <row r="477" spans="1:18" ht="15.75">
      <c r="A477" s="38"/>
      <c r="B477" s="40"/>
      <c r="C477" s="28"/>
      <c r="D477" s="39"/>
      <c r="F477" s="28"/>
      <c r="G477" s="28"/>
      <c r="H477" s="28"/>
      <c r="I477" s="28"/>
      <c r="J477" s="28"/>
      <c r="K477" s="28"/>
      <c r="L477" s="28"/>
    </row>
    <row r="478" spans="1:18" ht="15.75">
      <c r="A478" s="38"/>
      <c r="B478" s="40"/>
      <c r="C478" s="28"/>
      <c r="D478" s="39"/>
      <c r="F478" s="28"/>
      <c r="G478" s="28"/>
      <c r="H478" s="28"/>
      <c r="I478" s="28"/>
      <c r="J478" s="28"/>
      <c r="K478" s="28"/>
      <c r="L478" s="28"/>
    </row>
    <row r="479" spans="1:18" ht="15.75">
      <c r="A479" s="38"/>
      <c r="B479" s="40"/>
      <c r="C479" s="28"/>
      <c r="D479" s="39"/>
      <c r="F479" s="28"/>
      <c r="G479" s="28"/>
      <c r="H479" s="28"/>
      <c r="I479" s="28"/>
      <c r="J479" s="28"/>
      <c r="K479" s="28"/>
    </row>
    <row r="480" spans="1:18" ht="15.75">
      <c r="A480" s="38"/>
      <c r="B480" s="40"/>
      <c r="C480" s="28"/>
      <c r="D480" s="39"/>
      <c r="F480" s="28"/>
      <c r="G480" s="28"/>
      <c r="H480" s="28"/>
      <c r="I480" s="28"/>
      <c r="J480" s="28"/>
      <c r="K480" s="28"/>
      <c r="L480" s="28"/>
    </row>
    <row r="481" spans="1:18" ht="15.75">
      <c r="A481" s="38" t="s">
        <v>23</v>
      </c>
      <c r="B481" s="42" t="s">
        <v>27</v>
      </c>
      <c r="C481" s="43" t="s">
        <v>24</v>
      </c>
      <c r="D481" s="39"/>
      <c r="F481" s="29"/>
      <c r="G481" s="29" t="s">
        <v>16</v>
      </c>
      <c r="H481" s="29"/>
      <c r="I481" s="29" t="s">
        <v>30</v>
      </c>
    </row>
    <row r="482" spans="1:18" ht="15.75">
      <c r="A482" s="38"/>
      <c r="B482" s="44" t="s">
        <v>31</v>
      </c>
      <c r="C482" s="45" t="s">
        <v>20</v>
      </c>
      <c r="D482" s="39"/>
      <c r="F482" s="46"/>
      <c r="G482" s="46" t="s">
        <v>17</v>
      </c>
      <c r="H482" s="46"/>
      <c r="I482" s="46" t="s">
        <v>25</v>
      </c>
    </row>
    <row r="484" spans="1:18" ht="15.75">
      <c r="A484" s="21" t="s">
        <v>0</v>
      </c>
      <c r="B484" s="22"/>
      <c r="C484" s="23"/>
      <c r="D484" s="23"/>
      <c r="E484" s="23"/>
      <c r="F484" s="24"/>
      <c r="G484" s="24"/>
      <c r="H484" s="24"/>
      <c r="I484" s="24"/>
      <c r="J484" s="24"/>
      <c r="K484" s="24"/>
      <c r="L484" s="25"/>
    </row>
    <row r="485" spans="1:18" ht="15.75">
      <c r="A485" s="26" t="s">
        <v>493</v>
      </c>
      <c r="B485" s="21"/>
      <c r="C485" s="21"/>
      <c r="D485" s="21"/>
      <c r="E485" s="21"/>
      <c r="F485" s="24"/>
      <c r="G485" s="24"/>
      <c r="H485" s="24"/>
      <c r="I485" s="24"/>
      <c r="J485" s="24"/>
      <c r="K485" s="24"/>
      <c r="L485" s="25"/>
    </row>
    <row r="486" spans="1:18">
      <c r="A486" s="62"/>
      <c r="B486" s="62" t="s">
        <v>1</v>
      </c>
      <c r="C486" s="93" t="s">
        <v>2</v>
      </c>
      <c r="D486" s="117" t="s">
        <v>34</v>
      </c>
      <c r="E486" s="95" t="s">
        <v>3</v>
      </c>
      <c r="F486" s="93" t="s">
        <v>4</v>
      </c>
      <c r="G486" s="96" t="s">
        <v>18</v>
      </c>
      <c r="H486" s="96" t="s">
        <v>18</v>
      </c>
      <c r="I486" s="96" t="s">
        <v>18</v>
      </c>
      <c r="J486" s="97" t="s">
        <v>7</v>
      </c>
      <c r="K486" s="96" t="s">
        <v>6</v>
      </c>
      <c r="L486" s="96" t="s">
        <v>29</v>
      </c>
      <c r="M486" s="96" t="s">
        <v>21</v>
      </c>
      <c r="N486" s="96" t="s">
        <v>8</v>
      </c>
      <c r="O486" s="96" t="s">
        <v>8</v>
      </c>
      <c r="P486" s="96" t="s">
        <v>9</v>
      </c>
      <c r="Q486" s="62" t="s">
        <v>10</v>
      </c>
      <c r="R486" s="98" t="s">
        <v>33</v>
      </c>
    </row>
    <row r="487" spans="1:18">
      <c r="A487" s="99"/>
      <c r="B487" s="99"/>
      <c r="C487" s="100"/>
      <c r="D487" s="101"/>
      <c r="E487" s="102"/>
      <c r="F487" s="100"/>
      <c r="G487" s="103" t="s">
        <v>12</v>
      </c>
      <c r="H487" s="103" t="s">
        <v>12</v>
      </c>
      <c r="I487" s="103" t="s">
        <v>12</v>
      </c>
      <c r="J487" s="119" t="s">
        <v>19</v>
      </c>
      <c r="K487" s="103" t="s">
        <v>35</v>
      </c>
      <c r="L487" s="103" t="s">
        <v>22</v>
      </c>
      <c r="M487" s="103" t="s">
        <v>15</v>
      </c>
      <c r="N487" s="103" t="s">
        <v>13</v>
      </c>
      <c r="O487" s="103" t="s">
        <v>14</v>
      </c>
      <c r="P487" s="103" t="s">
        <v>12</v>
      </c>
      <c r="Q487" s="99"/>
      <c r="R487" s="104"/>
    </row>
    <row r="488" spans="1:18">
      <c r="A488" s="99"/>
      <c r="B488" s="99"/>
      <c r="C488" s="105"/>
      <c r="D488" s="101"/>
      <c r="E488" s="102"/>
      <c r="F488" s="100"/>
      <c r="G488" s="103" t="s">
        <v>81</v>
      </c>
      <c r="H488" s="103" t="s">
        <v>41</v>
      </c>
      <c r="I488" s="103" t="s">
        <v>41</v>
      </c>
      <c r="J488" s="119" t="s">
        <v>5</v>
      </c>
      <c r="K488" s="103"/>
      <c r="L488" s="103"/>
      <c r="M488" s="103"/>
      <c r="N488" s="103"/>
      <c r="O488" s="103"/>
      <c r="P488" s="103"/>
      <c r="Q488" s="99"/>
      <c r="R488" s="104"/>
    </row>
    <row r="489" spans="1:18">
      <c r="A489" s="106"/>
      <c r="B489" s="106"/>
      <c r="C489" s="107"/>
      <c r="D489" s="108"/>
      <c r="E489" s="109"/>
      <c r="F489" s="110"/>
      <c r="G489" s="111"/>
      <c r="H489" s="112"/>
      <c r="I489" s="75"/>
      <c r="J489" s="120"/>
      <c r="K489" s="111"/>
      <c r="L489" s="113"/>
      <c r="M489" s="108"/>
      <c r="N489" s="111"/>
      <c r="O489" s="111"/>
      <c r="P489" s="111"/>
      <c r="Q489" s="106"/>
      <c r="R489" s="114"/>
    </row>
    <row r="490" spans="1:18" ht="15.75">
      <c r="A490" s="52"/>
      <c r="B490" s="47"/>
      <c r="C490" s="48"/>
      <c r="D490" s="73"/>
      <c r="E490" s="17"/>
      <c r="F490" s="48"/>
      <c r="G490" s="36"/>
      <c r="H490" s="36"/>
      <c r="I490" s="125"/>
      <c r="J490" s="36"/>
      <c r="K490" s="36"/>
      <c r="L490" s="8"/>
      <c r="N490" s="8"/>
      <c r="O490" s="8"/>
      <c r="P490" s="8"/>
      <c r="Q490" s="35"/>
      <c r="R490" s="37"/>
    </row>
    <row r="491" spans="1:18" ht="15.75">
      <c r="A491" s="52">
        <v>1</v>
      </c>
      <c r="B491" s="51" t="s">
        <v>503</v>
      </c>
      <c r="C491" s="48" t="s">
        <v>504</v>
      </c>
      <c r="D491" s="67" t="s">
        <v>505</v>
      </c>
      <c r="E491" s="17">
        <v>43236</v>
      </c>
      <c r="F491" s="20" t="s">
        <v>506</v>
      </c>
      <c r="G491" s="36">
        <v>1046100</v>
      </c>
      <c r="H491" s="36">
        <v>60840000</v>
      </c>
      <c r="I491" s="8">
        <v>0</v>
      </c>
      <c r="J491" s="8">
        <v>1547153</v>
      </c>
      <c r="K491" s="8">
        <v>766806</v>
      </c>
      <c r="L491" s="8">
        <v>381139</v>
      </c>
      <c r="M491" s="8">
        <v>200000</v>
      </c>
      <c r="N491" s="8">
        <f>SUM(G491:M491)</f>
        <v>64781198</v>
      </c>
      <c r="O491" s="8">
        <f>100000000-N491</f>
        <v>35218802</v>
      </c>
      <c r="P491" s="8">
        <f t="shared" ref="P491" si="66">+N491+O491</f>
        <v>100000000</v>
      </c>
      <c r="Q491" s="59" t="s">
        <v>507</v>
      </c>
      <c r="R491" s="66" t="s">
        <v>52</v>
      </c>
    </row>
    <row r="492" spans="1:18" ht="15.75">
      <c r="A492" s="52"/>
      <c r="B492" s="51"/>
      <c r="C492" s="48"/>
      <c r="E492" s="17"/>
      <c r="F492" s="48"/>
      <c r="G492" s="36"/>
      <c r="H492" s="36"/>
      <c r="I492" s="75"/>
      <c r="J492" s="36"/>
      <c r="K492" s="36"/>
      <c r="L492" s="36"/>
      <c r="N492" s="8"/>
      <c r="O492" s="8"/>
      <c r="P492" s="8"/>
      <c r="Q492" s="59"/>
      <c r="R492" s="66"/>
    </row>
    <row r="493" spans="1:18" ht="16.5" thickBot="1">
      <c r="A493" s="18"/>
      <c r="B493" s="55"/>
      <c r="C493" s="56"/>
      <c r="D493" s="74"/>
      <c r="E493" s="56"/>
      <c r="F493" s="57"/>
      <c r="G493" s="19">
        <f>SUM(G491:G492)</f>
        <v>1046100</v>
      </c>
      <c r="H493" s="19">
        <f t="shared" ref="H493:P493" si="67">SUM(H491:H492)</f>
        <v>60840000</v>
      </c>
      <c r="I493" s="19">
        <f t="shared" si="67"/>
        <v>0</v>
      </c>
      <c r="J493" s="19">
        <f t="shared" si="67"/>
        <v>1547153</v>
      </c>
      <c r="K493" s="19">
        <f t="shared" si="67"/>
        <v>766806</v>
      </c>
      <c r="L493" s="19">
        <f t="shared" si="67"/>
        <v>381139</v>
      </c>
      <c r="M493" s="19">
        <f t="shared" si="67"/>
        <v>200000</v>
      </c>
      <c r="N493" s="19">
        <f t="shared" si="67"/>
        <v>64781198</v>
      </c>
      <c r="O493" s="19">
        <f t="shared" si="67"/>
        <v>35218802</v>
      </c>
      <c r="P493" s="19">
        <f t="shared" si="67"/>
        <v>100000000</v>
      </c>
      <c r="Q493" s="68"/>
      <c r="R493" s="70"/>
    </row>
    <row r="494" spans="1:18" ht="16.5" thickTop="1">
      <c r="A494" s="23"/>
      <c r="B494" s="22"/>
      <c r="C494" s="22"/>
      <c r="D494" s="23"/>
      <c r="E494" s="22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2"/>
      <c r="Q494" s="69"/>
    </row>
    <row r="495" spans="1:18" ht="15.75">
      <c r="A495" s="23"/>
      <c r="B495" s="28" t="s">
        <v>498</v>
      </c>
      <c r="C495" s="22"/>
      <c r="D495" s="39"/>
      <c r="F495" s="27"/>
      <c r="G495" s="28"/>
      <c r="H495" s="28"/>
      <c r="I495" s="28"/>
      <c r="J495" s="28"/>
      <c r="K495" s="28"/>
      <c r="L495" s="28"/>
      <c r="Q495" s="51"/>
    </row>
    <row r="496" spans="1:18" ht="15.75">
      <c r="A496" s="38"/>
      <c r="B496" s="40" t="s">
        <v>32</v>
      </c>
      <c r="C496" s="28" t="s">
        <v>28</v>
      </c>
      <c r="D496" s="39"/>
      <c r="F496" s="41"/>
      <c r="G496" s="143" t="s">
        <v>26</v>
      </c>
      <c r="H496" s="143"/>
      <c r="I496" s="143"/>
      <c r="K496" s="41"/>
    </row>
    <row r="497" spans="1:18" ht="15.75">
      <c r="A497" s="38"/>
      <c r="B497" s="40"/>
      <c r="C497" s="28"/>
      <c r="D497" s="39"/>
      <c r="F497" s="28"/>
      <c r="G497" s="28"/>
      <c r="H497" s="28"/>
      <c r="I497" s="28"/>
      <c r="J497" s="28"/>
      <c r="K497" s="28"/>
      <c r="L497" s="28"/>
    </row>
    <row r="498" spans="1:18" ht="15.75">
      <c r="A498" s="38"/>
      <c r="B498" s="40"/>
      <c r="C498" s="28"/>
      <c r="D498" s="39"/>
      <c r="F498" s="28"/>
      <c r="G498" s="28"/>
      <c r="H498" s="28"/>
      <c r="I498" s="28"/>
      <c r="J498" s="28"/>
      <c r="K498" s="28"/>
      <c r="L498" s="28"/>
    </row>
    <row r="499" spans="1:18" ht="15.75">
      <c r="A499" s="38"/>
      <c r="B499" s="40"/>
      <c r="C499" s="28"/>
      <c r="D499" s="39"/>
      <c r="F499" s="28"/>
      <c r="G499" s="28"/>
      <c r="H499" s="28"/>
      <c r="I499" s="28"/>
      <c r="J499" s="28"/>
      <c r="K499" s="28"/>
    </row>
    <row r="500" spans="1:18" ht="15.75">
      <c r="A500" s="38"/>
      <c r="B500" s="40"/>
      <c r="C500" s="28"/>
      <c r="D500" s="39"/>
      <c r="F500" s="28"/>
      <c r="G500" s="28"/>
      <c r="H500" s="28"/>
      <c r="I500" s="28"/>
      <c r="J500" s="28"/>
      <c r="K500" s="28"/>
      <c r="L500" s="28"/>
    </row>
    <row r="501" spans="1:18" ht="15.75">
      <c r="A501" s="38" t="s">
        <v>23</v>
      </c>
      <c r="B501" s="42" t="s">
        <v>27</v>
      </c>
      <c r="C501" s="43" t="s">
        <v>24</v>
      </c>
      <c r="D501" s="39"/>
      <c r="F501" s="29"/>
      <c r="G501" s="29" t="s">
        <v>16</v>
      </c>
      <c r="H501" s="29"/>
      <c r="I501" s="29" t="s">
        <v>30</v>
      </c>
    </row>
    <row r="502" spans="1:18" ht="15.75">
      <c r="A502" s="38"/>
      <c r="B502" s="44" t="s">
        <v>31</v>
      </c>
      <c r="C502" s="45" t="s">
        <v>20</v>
      </c>
      <c r="D502" s="39"/>
      <c r="F502" s="46"/>
      <c r="G502" s="46" t="s">
        <v>17</v>
      </c>
      <c r="H502" s="46"/>
      <c r="I502" s="46" t="s">
        <v>25</v>
      </c>
    </row>
    <row r="504" spans="1:18" ht="15.75">
      <c r="A504" s="21" t="s">
        <v>0</v>
      </c>
      <c r="B504" s="22"/>
      <c r="C504" s="23"/>
      <c r="D504" s="23"/>
      <c r="E504" s="23"/>
      <c r="F504" s="24"/>
      <c r="G504" s="24"/>
      <c r="H504" s="24"/>
      <c r="I504" s="24"/>
      <c r="J504" s="24"/>
      <c r="K504" s="24"/>
      <c r="L504" s="25"/>
    </row>
    <row r="505" spans="1:18" ht="15.75">
      <c r="A505" s="26" t="s">
        <v>508</v>
      </c>
      <c r="B505" s="21"/>
      <c r="C505" s="21"/>
      <c r="D505" s="21"/>
      <c r="E505" s="21"/>
      <c r="F505" s="24"/>
      <c r="G505" s="24"/>
      <c r="H505" s="24"/>
      <c r="I505" s="24"/>
      <c r="J505" s="24"/>
      <c r="K505" s="24"/>
      <c r="L505" s="25"/>
    </row>
    <row r="506" spans="1:18">
      <c r="A506" s="62"/>
      <c r="B506" s="62" t="s">
        <v>1</v>
      </c>
      <c r="C506" s="93" t="s">
        <v>2</v>
      </c>
      <c r="D506" s="117" t="s">
        <v>34</v>
      </c>
      <c r="E506" s="95" t="s">
        <v>3</v>
      </c>
      <c r="F506" s="93" t="s">
        <v>4</v>
      </c>
      <c r="G506" s="96" t="s">
        <v>18</v>
      </c>
      <c r="H506" s="96" t="s">
        <v>18</v>
      </c>
      <c r="I506" s="96" t="s">
        <v>18</v>
      </c>
      <c r="J506" s="97" t="s">
        <v>7</v>
      </c>
      <c r="K506" s="96" t="s">
        <v>6</v>
      </c>
      <c r="L506" s="96" t="s">
        <v>29</v>
      </c>
      <c r="M506" s="96" t="s">
        <v>21</v>
      </c>
      <c r="N506" s="96" t="s">
        <v>8</v>
      </c>
      <c r="O506" s="96" t="s">
        <v>8</v>
      </c>
      <c r="P506" s="96" t="s">
        <v>9</v>
      </c>
      <c r="Q506" s="62" t="s">
        <v>10</v>
      </c>
      <c r="R506" s="98" t="s">
        <v>33</v>
      </c>
    </row>
    <row r="507" spans="1:18">
      <c r="A507" s="99"/>
      <c r="B507" s="99"/>
      <c r="C507" s="100"/>
      <c r="D507" s="101"/>
      <c r="E507" s="102"/>
      <c r="F507" s="100"/>
      <c r="G507" s="103" t="s">
        <v>12</v>
      </c>
      <c r="H507" s="103" t="s">
        <v>12</v>
      </c>
      <c r="I507" s="103" t="s">
        <v>12</v>
      </c>
      <c r="J507" s="119" t="s">
        <v>19</v>
      </c>
      <c r="K507" s="103" t="s">
        <v>35</v>
      </c>
      <c r="L507" s="103" t="s">
        <v>22</v>
      </c>
      <c r="M507" s="103" t="s">
        <v>15</v>
      </c>
      <c r="N507" s="103" t="s">
        <v>13</v>
      </c>
      <c r="O507" s="103" t="s">
        <v>14</v>
      </c>
      <c r="P507" s="103" t="s">
        <v>12</v>
      </c>
      <c r="Q507" s="99"/>
      <c r="R507" s="104"/>
    </row>
    <row r="508" spans="1:18">
      <c r="A508" s="99"/>
      <c r="B508" s="99"/>
      <c r="C508" s="105"/>
      <c r="D508" s="101"/>
      <c r="E508" s="102"/>
      <c r="F508" s="100"/>
      <c r="G508" s="103" t="s">
        <v>81</v>
      </c>
      <c r="H508" s="103" t="s">
        <v>41</v>
      </c>
      <c r="I508" s="103" t="s">
        <v>41</v>
      </c>
      <c r="J508" s="119" t="s">
        <v>5</v>
      </c>
      <c r="K508" s="103"/>
      <c r="L508" s="103"/>
      <c r="M508" s="103"/>
      <c r="N508" s="103"/>
      <c r="O508" s="103"/>
      <c r="P508" s="103"/>
      <c r="Q508" s="99"/>
      <c r="R508" s="104"/>
    </row>
    <row r="509" spans="1:18">
      <c r="A509" s="106"/>
      <c r="B509" s="106"/>
      <c r="C509" s="107"/>
      <c r="D509" s="108"/>
      <c r="E509" s="109"/>
      <c r="F509" s="110"/>
      <c r="G509" s="111"/>
      <c r="H509" s="112"/>
      <c r="I509" s="75"/>
      <c r="J509" s="120"/>
      <c r="K509" s="111"/>
      <c r="L509" s="113"/>
      <c r="M509" s="108"/>
      <c r="N509" s="111"/>
      <c r="O509" s="111"/>
      <c r="P509" s="111"/>
      <c r="Q509" s="106"/>
      <c r="R509" s="114"/>
    </row>
    <row r="510" spans="1:18" ht="15.75">
      <c r="A510" s="52"/>
      <c r="B510" s="47"/>
      <c r="C510" s="48"/>
      <c r="D510" s="73"/>
      <c r="E510" s="17"/>
      <c r="F510" s="48"/>
      <c r="G510" s="36"/>
      <c r="H510" s="36"/>
      <c r="I510" s="125"/>
      <c r="J510" s="36"/>
      <c r="K510" s="36"/>
      <c r="L510" s="8"/>
      <c r="N510" s="8"/>
      <c r="O510" s="8"/>
      <c r="P510" s="8"/>
      <c r="Q510" s="35"/>
      <c r="R510" s="37"/>
    </row>
    <row r="511" spans="1:18" ht="15.75">
      <c r="A511" s="52">
        <v>1</v>
      </c>
      <c r="B511" s="51" t="s">
        <v>509</v>
      </c>
      <c r="C511" s="48" t="s">
        <v>510</v>
      </c>
      <c r="D511" s="67" t="s">
        <v>511</v>
      </c>
      <c r="E511" s="17">
        <v>43237</v>
      </c>
      <c r="F511" s="20" t="s">
        <v>512</v>
      </c>
      <c r="G511" s="36">
        <v>0</v>
      </c>
      <c r="H511" s="36">
        <v>125147468</v>
      </c>
      <c r="I511" s="8">
        <v>0</v>
      </c>
      <c r="J511" s="8">
        <v>3128687</v>
      </c>
      <c r="K511" s="8">
        <v>1811174</v>
      </c>
      <c r="L511" s="8">
        <v>1038000</v>
      </c>
      <c r="M511" s="8">
        <v>200000</v>
      </c>
      <c r="N511" s="8">
        <f>SUM(G511:M511)</f>
        <v>131325329</v>
      </c>
      <c r="O511" s="8">
        <f>235125329-N511</f>
        <v>103800000</v>
      </c>
      <c r="P511" s="8">
        <f t="shared" ref="P511" si="68">+N511+O511</f>
        <v>235125329</v>
      </c>
      <c r="Q511" s="59" t="s">
        <v>441</v>
      </c>
      <c r="R511" s="66" t="s">
        <v>52</v>
      </c>
    </row>
    <row r="512" spans="1:18" ht="15.75">
      <c r="A512" s="52"/>
      <c r="B512" s="51"/>
      <c r="C512" s="48"/>
      <c r="E512" s="17"/>
      <c r="F512" s="48"/>
      <c r="G512" s="36"/>
      <c r="H512" s="36"/>
      <c r="I512" s="75"/>
      <c r="J512" s="36"/>
      <c r="K512" s="36"/>
      <c r="L512" s="36"/>
      <c r="N512" s="8"/>
      <c r="O512" s="8"/>
      <c r="P512" s="8"/>
      <c r="Q512" s="59"/>
      <c r="R512" s="66"/>
    </row>
    <row r="513" spans="1:18" ht="16.5" thickBot="1">
      <c r="A513" s="18"/>
      <c r="B513" s="55"/>
      <c r="C513" s="56"/>
      <c r="D513" s="74"/>
      <c r="E513" s="56"/>
      <c r="F513" s="57"/>
      <c r="G513" s="19">
        <f>SUM(G511:G512)</f>
        <v>0</v>
      </c>
      <c r="H513" s="19">
        <f t="shared" ref="H513:P513" si="69">SUM(H511:H512)</f>
        <v>125147468</v>
      </c>
      <c r="I513" s="19">
        <f t="shared" si="69"/>
        <v>0</v>
      </c>
      <c r="J513" s="19">
        <f t="shared" si="69"/>
        <v>3128687</v>
      </c>
      <c r="K513" s="19">
        <f t="shared" si="69"/>
        <v>1811174</v>
      </c>
      <c r="L513" s="19">
        <f t="shared" si="69"/>
        <v>1038000</v>
      </c>
      <c r="M513" s="19">
        <f t="shared" si="69"/>
        <v>200000</v>
      </c>
      <c r="N513" s="19">
        <f t="shared" si="69"/>
        <v>131325329</v>
      </c>
      <c r="O513" s="19">
        <f t="shared" si="69"/>
        <v>103800000</v>
      </c>
      <c r="P513" s="19">
        <f t="shared" si="69"/>
        <v>235125329</v>
      </c>
      <c r="Q513" s="68"/>
      <c r="R513" s="70"/>
    </row>
    <row r="514" spans="1:18" ht="16.5" thickTop="1">
      <c r="A514" s="23"/>
      <c r="B514" s="22"/>
      <c r="C514" s="22"/>
      <c r="D514" s="23"/>
      <c r="E514" s="22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2"/>
      <c r="Q514" s="69"/>
    </row>
    <row r="515" spans="1:18" ht="15.75">
      <c r="A515" s="23"/>
      <c r="B515" s="28" t="s">
        <v>513</v>
      </c>
      <c r="C515" s="22"/>
      <c r="D515" s="39"/>
      <c r="F515" s="27"/>
      <c r="G515" s="28"/>
      <c r="H515" s="28"/>
      <c r="I515" s="28"/>
      <c r="J515" s="28"/>
      <c r="K515" s="28"/>
      <c r="L515" s="28"/>
      <c r="Q515" s="51"/>
    </row>
    <row r="516" spans="1:18" ht="15.75">
      <c r="A516" s="38"/>
      <c r="B516" s="40" t="s">
        <v>32</v>
      </c>
      <c r="C516" s="28" t="s">
        <v>28</v>
      </c>
      <c r="D516" s="39"/>
      <c r="F516" s="41"/>
      <c r="G516" s="143" t="s">
        <v>26</v>
      </c>
      <c r="H516" s="143"/>
      <c r="I516" s="143"/>
      <c r="K516" s="41"/>
    </row>
    <row r="517" spans="1:18" ht="15.75">
      <c r="A517" s="38"/>
      <c r="B517" s="40"/>
      <c r="C517" s="28"/>
      <c r="D517" s="39"/>
      <c r="F517" s="28"/>
      <c r="G517" s="28"/>
      <c r="H517" s="28"/>
      <c r="I517" s="28"/>
      <c r="J517" s="28"/>
      <c r="K517" s="28"/>
      <c r="L517" s="28"/>
    </row>
    <row r="518" spans="1:18" ht="15.75">
      <c r="A518" s="38"/>
      <c r="B518" s="40"/>
      <c r="C518" s="28"/>
      <c r="D518" s="39"/>
      <c r="F518" s="28"/>
      <c r="G518" s="28"/>
      <c r="H518" s="28"/>
      <c r="I518" s="28"/>
      <c r="J518" s="28"/>
      <c r="K518" s="28"/>
      <c r="L518" s="28"/>
    </row>
    <row r="519" spans="1:18" ht="15.75">
      <c r="A519" s="38"/>
      <c r="B519" s="40"/>
      <c r="C519" s="28"/>
      <c r="D519" s="39"/>
      <c r="F519" s="28"/>
      <c r="G519" s="28"/>
      <c r="H519" s="28"/>
      <c r="I519" s="28"/>
      <c r="J519" s="28"/>
      <c r="K519" s="28"/>
    </row>
    <row r="520" spans="1:18" ht="15.75">
      <c r="A520" s="38"/>
      <c r="B520" s="40"/>
      <c r="C520" s="28"/>
      <c r="D520" s="39"/>
      <c r="F520" s="28"/>
      <c r="G520" s="28"/>
      <c r="H520" s="28"/>
      <c r="I520" s="28"/>
      <c r="J520" s="28"/>
      <c r="K520" s="28"/>
      <c r="L520" s="28"/>
    </row>
    <row r="521" spans="1:18" ht="15.75">
      <c r="A521" s="38" t="s">
        <v>23</v>
      </c>
      <c r="B521" s="42" t="s">
        <v>27</v>
      </c>
      <c r="C521" s="43" t="s">
        <v>24</v>
      </c>
      <c r="D521" s="39"/>
      <c r="F521" s="29"/>
      <c r="G521" s="29" t="s">
        <v>16</v>
      </c>
      <c r="H521" s="29"/>
      <c r="I521" s="29" t="s">
        <v>30</v>
      </c>
    </row>
    <row r="522" spans="1:18" ht="15.75">
      <c r="A522" s="38"/>
      <c r="B522" s="44" t="s">
        <v>31</v>
      </c>
      <c r="C522" s="45" t="s">
        <v>20</v>
      </c>
      <c r="D522" s="39"/>
      <c r="F522" s="46"/>
      <c r="G522" s="46" t="s">
        <v>17</v>
      </c>
      <c r="H522" s="46"/>
      <c r="I522" s="46" t="s">
        <v>25</v>
      </c>
    </row>
    <row r="523" spans="1:18" ht="15.75">
      <c r="A523" s="38"/>
      <c r="B523" s="44"/>
      <c r="C523" s="45"/>
      <c r="D523" s="39"/>
      <c r="F523" s="46"/>
      <c r="G523" s="46"/>
      <c r="H523" s="46"/>
      <c r="I523" s="46"/>
    </row>
    <row r="524" spans="1:18" ht="15.75">
      <c r="H524" s="36">
        <v>61412679</v>
      </c>
      <c r="I524" s="8">
        <v>1535317</v>
      </c>
    </row>
    <row r="525" spans="1:18" ht="15.75">
      <c r="A525" s="21" t="s">
        <v>0</v>
      </c>
      <c r="B525" s="22"/>
      <c r="C525" s="23"/>
      <c r="D525" s="23"/>
      <c r="E525" s="23"/>
      <c r="F525" s="24"/>
      <c r="G525" s="24"/>
      <c r="H525" s="24"/>
      <c r="I525" s="24"/>
      <c r="J525" s="24"/>
      <c r="K525" s="24"/>
      <c r="L525" s="25"/>
    </row>
    <row r="526" spans="1:18" ht="15.75">
      <c r="A526" s="26" t="s">
        <v>508</v>
      </c>
      <c r="B526" s="21"/>
      <c r="C526" s="21"/>
      <c r="D526" s="21"/>
      <c r="E526" s="21"/>
      <c r="F526" s="24"/>
      <c r="G526" s="24"/>
      <c r="H526" s="24"/>
      <c r="I526" s="24"/>
      <c r="J526" s="24"/>
      <c r="K526" s="24"/>
      <c r="L526" s="25"/>
    </row>
    <row r="527" spans="1:18">
      <c r="A527" s="62"/>
      <c r="B527" s="62" t="s">
        <v>1</v>
      </c>
      <c r="C527" s="93" t="s">
        <v>2</v>
      </c>
      <c r="D527" s="117" t="s">
        <v>34</v>
      </c>
      <c r="E527" s="95" t="s">
        <v>3</v>
      </c>
      <c r="F527" s="93" t="s">
        <v>4</v>
      </c>
      <c r="G527" s="96" t="s">
        <v>18</v>
      </c>
      <c r="H527" s="96" t="s">
        <v>18</v>
      </c>
      <c r="I527" s="97" t="s">
        <v>7</v>
      </c>
      <c r="J527" s="96" t="s">
        <v>6</v>
      </c>
      <c r="K527" s="96" t="s">
        <v>6</v>
      </c>
      <c r="L527" s="96" t="s">
        <v>458</v>
      </c>
      <c r="M527" s="96" t="s">
        <v>21</v>
      </c>
      <c r="N527" s="96" t="s">
        <v>8</v>
      </c>
      <c r="O527" s="96" t="s">
        <v>8</v>
      </c>
      <c r="P527" s="96" t="s">
        <v>9</v>
      </c>
      <c r="Q527" s="62" t="s">
        <v>10</v>
      </c>
      <c r="R527" s="98" t="s">
        <v>33</v>
      </c>
    </row>
    <row r="528" spans="1:18">
      <c r="A528" s="99"/>
      <c r="B528" s="99"/>
      <c r="C528" s="100"/>
      <c r="D528" s="101"/>
      <c r="E528" s="102"/>
      <c r="F528" s="100"/>
      <c r="G528" s="103" t="s">
        <v>12</v>
      </c>
      <c r="H528" s="103" t="s">
        <v>12</v>
      </c>
      <c r="I528" s="119" t="s">
        <v>19</v>
      </c>
      <c r="J528" s="103" t="s">
        <v>35</v>
      </c>
      <c r="K528" s="103" t="s">
        <v>517</v>
      </c>
      <c r="L528" s="103" t="s">
        <v>517</v>
      </c>
      <c r="M528" s="103" t="s">
        <v>15</v>
      </c>
      <c r="N528" s="103" t="s">
        <v>13</v>
      </c>
      <c r="O528" s="103" t="s">
        <v>14</v>
      </c>
      <c r="P528" s="103" t="s">
        <v>12</v>
      </c>
      <c r="Q528" s="99"/>
      <c r="R528" s="104"/>
    </row>
    <row r="529" spans="1:18">
      <c r="A529" s="99"/>
      <c r="B529" s="99"/>
      <c r="C529" s="105"/>
      <c r="D529" s="101"/>
      <c r="E529" s="102"/>
      <c r="F529" s="100"/>
      <c r="G529" s="103" t="s">
        <v>81</v>
      </c>
      <c r="H529" s="103" t="s">
        <v>41</v>
      </c>
      <c r="I529" s="119" t="s">
        <v>5</v>
      </c>
      <c r="J529" s="103"/>
      <c r="K529" s="103"/>
      <c r="L529" s="103"/>
      <c r="M529" s="103"/>
      <c r="N529" s="103"/>
      <c r="O529" s="103"/>
      <c r="P529" s="103"/>
      <c r="Q529" s="99"/>
      <c r="R529" s="104"/>
    </row>
    <row r="530" spans="1:18">
      <c r="A530" s="106"/>
      <c r="B530" s="106"/>
      <c r="C530" s="107"/>
      <c r="D530" s="108"/>
      <c r="E530" s="109"/>
      <c r="F530" s="110"/>
      <c r="G530" s="111"/>
      <c r="H530" s="112"/>
      <c r="I530" s="75"/>
      <c r="J530" s="120"/>
      <c r="K530" s="111"/>
      <c r="L530" s="113"/>
      <c r="M530" s="108"/>
      <c r="N530" s="111"/>
      <c r="O530" s="111"/>
      <c r="P530" s="111"/>
      <c r="Q530" s="106"/>
      <c r="R530" s="114"/>
    </row>
    <row r="531" spans="1:18" ht="15.75">
      <c r="A531" s="52"/>
      <c r="B531" s="47"/>
      <c r="C531" s="48"/>
      <c r="D531" s="73"/>
      <c r="E531" s="17"/>
      <c r="F531" s="48"/>
      <c r="G531" s="36"/>
      <c r="H531" s="36"/>
      <c r="I531" s="125"/>
      <c r="J531" s="36"/>
      <c r="K531" s="36"/>
      <c r="L531" s="8"/>
      <c r="N531" s="8"/>
      <c r="O531" s="8"/>
      <c r="P531" s="8"/>
      <c r="Q531" s="35"/>
      <c r="R531" s="37"/>
    </row>
    <row r="532" spans="1:18" ht="15.75">
      <c r="A532" s="52">
        <v>1</v>
      </c>
      <c r="B532" s="51" t="s">
        <v>514</v>
      </c>
      <c r="C532" s="48" t="s">
        <v>515</v>
      </c>
      <c r="D532" s="67" t="s">
        <v>516</v>
      </c>
      <c r="E532" s="17">
        <v>43237</v>
      </c>
      <c r="F532" s="20" t="s">
        <v>337</v>
      </c>
      <c r="G532" s="36">
        <v>0</v>
      </c>
      <c r="H532" s="36">
        <v>60719629</v>
      </c>
      <c r="I532" s="8">
        <v>1517991</v>
      </c>
      <c r="J532" s="8">
        <v>1007490</v>
      </c>
      <c r="K532" s="8">
        <v>1288811</v>
      </c>
      <c r="L532" s="8">
        <v>200000</v>
      </c>
      <c r="M532" s="8">
        <v>200000</v>
      </c>
      <c r="N532" s="8">
        <f>SUM(G532:M532)</f>
        <v>64933921</v>
      </c>
      <c r="O532" s="8">
        <f>64933921-N532</f>
        <v>0</v>
      </c>
      <c r="P532" s="8">
        <f t="shared" ref="P532" si="70">+N532+O532</f>
        <v>64933921</v>
      </c>
      <c r="Q532" s="77" t="s">
        <v>518</v>
      </c>
      <c r="R532" s="66" t="s">
        <v>519</v>
      </c>
    </row>
    <row r="533" spans="1:18" ht="15.75">
      <c r="A533" s="52"/>
      <c r="B533" s="51"/>
      <c r="C533" s="48"/>
      <c r="E533" s="17"/>
      <c r="F533" s="48"/>
      <c r="G533" s="36"/>
      <c r="H533" s="36"/>
      <c r="I533" s="75"/>
      <c r="J533" s="36"/>
      <c r="K533" s="36"/>
      <c r="L533" s="36"/>
      <c r="N533" s="8"/>
      <c r="O533" s="8"/>
      <c r="P533" s="8"/>
      <c r="Q533" s="59"/>
      <c r="R533" s="66" t="s">
        <v>520</v>
      </c>
    </row>
    <row r="534" spans="1:18" ht="16.5" thickBot="1">
      <c r="A534" s="18"/>
      <c r="B534" s="55"/>
      <c r="C534" s="56"/>
      <c r="D534" s="74"/>
      <c r="E534" s="56"/>
      <c r="F534" s="57"/>
      <c r="G534" s="19">
        <f>SUM(G532:G533)</f>
        <v>0</v>
      </c>
      <c r="H534" s="19">
        <f t="shared" ref="H534:P534" si="71">SUM(H532:H533)</f>
        <v>60719629</v>
      </c>
      <c r="I534" s="19">
        <f t="shared" si="71"/>
        <v>1517991</v>
      </c>
      <c r="J534" s="19">
        <f t="shared" si="71"/>
        <v>1007490</v>
      </c>
      <c r="K534" s="19">
        <f t="shared" si="71"/>
        <v>1288811</v>
      </c>
      <c r="L534" s="19">
        <f t="shared" si="71"/>
        <v>200000</v>
      </c>
      <c r="M534" s="19">
        <f t="shared" si="71"/>
        <v>200000</v>
      </c>
      <c r="N534" s="19">
        <f t="shared" si="71"/>
        <v>64933921</v>
      </c>
      <c r="O534" s="19">
        <f t="shared" si="71"/>
        <v>0</v>
      </c>
      <c r="P534" s="19">
        <f t="shared" si="71"/>
        <v>64933921</v>
      </c>
      <c r="Q534" s="68"/>
      <c r="R534" s="70"/>
    </row>
    <row r="535" spans="1:18" ht="16.5" thickTop="1">
      <c r="A535" s="23"/>
      <c r="B535" s="22"/>
      <c r="C535" s="22"/>
      <c r="D535" s="23"/>
      <c r="E535" s="22"/>
      <c r="F535" s="27"/>
      <c r="G535" s="27"/>
      <c r="H535" s="36"/>
      <c r="I535" s="8"/>
      <c r="J535" s="27"/>
      <c r="K535" s="27"/>
      <c r="L535" s="27"/>
      <c r="M535" s="27"/>
      <c r="N535" s="27"/>
      <c r="O535" s="27"/>
      <c r="P535" s="22"/>
      <c r="Q535" s="69"/>
    </row>
    <row r="536" spans="1:18" ht="15.75">
      <c r="A536" s="23"/>
      <c r="B536" s="28" t="s">
        <v>513</v>
      </c>
      <c r="C536" s="22"/>
      <c r="D536" s="39"/>
      <c r="F536" s="27"/>
      <c r="G536" s="28"/>
      <c r="H536" s="28"/>
      <c r="I536" s="28"/>
      <c r="J536" s="28"/>
      <c r="K536" s="28"/>
      <c r="L536" s="28"/>
      <c r="Q536" s="51"/>
    </row>
    <row r="537" spans="1:18" ht="15.75">
      <c r="A537" s="38"/>
      <c r="B537" s="40" t="s">
        <v>32</v>
      </c>
      <c r="C537" s="28" t="s">
        <v>28</v>
      </c>
      <c r="D537" s="39"/>
      <c r="F537" s="41"/>
      <c r="G537" s="143" t="s">
        <v>26</v>
      </c>
      <c r="H537" s="143"/>
      <c r="I537" s="143"/>
      <c r="K537" s="41"/>
    </row>
    <row r="538" spans="1:18" ht="15.75">
      <c r="A538" s="38"/>
      <c r="B538" s="40"/>
      <c r="C538" s="28"/>
      <c r="D538" s="39"/>
      <c r="F538" s="28"/>
      <c r="G538" s="28"/>
      <c r="H538" s="28"/>
      <c r="I538" s="28"/>
      <c r="J538" s="28"/>
      <c r="K538" s="28"/>
      <c r="L538" s="28"/>
    </row>
    <row r="539" spans="1:18" ht="15.75">
      <c r="A539" s="38"/>
      <c r="B539" s="40"/>
      <c r="C539" s="28"/>
      <c r="D539" s="39"/>
      <c r="F539" s="28"/>
      <c r="G539" s="28"/>
      <c r="H539" s="28"/>
      <c r="I539" s="28"/>
      <c r="J539" s="28"/>
      <c r="K539" s="28"/>
      <c r="L539" s="28"/>
    </row>
    <row r="540" spans="1:18" ht="15.75">
      <c r="A540" s="38"/>
      <c r="B540" s="40"/>
      <c r="C540" s="28"/>
      <c r="D540" s="39"/>
      <c r="F540" s="28"/>
      <c r="G540" s="28"/>
      <c r="H540" s="28"/>
      <c r="I540" s="28"/>
      <c r="J540" s="28"/>
      <c r="K540" s="28"/>
    </row>
    <row r="541" spans="1:18" ht="15.75">
      <c r="A541" s="38"/>
      <c r="B541" s="40"/>
      <c r="C541" s="28"/>
      <c r="D541" s="39"/>
      <c r="F541" s="28"/>
      <c r="G541" s="28"/>
      <c r="H541" s="28"/>
      <c r="I541" s="28"/>
      <c r="J541" s="28"/>
      <c r="K541" s="28"/>
      <c r="L541" s="28"/>
    </row>
    <row r="542" spans="1:18" ht="15.75">
      <c r="A542" s="38" t="s">
        <v>23</v>
      </c>
      <c r="B542" s="42" t="s">
        <v>27</v>
      </c>
      <c r="C542" s="43" t="s">
        <v>24</v>
      </c>
      <c r="D542" s="39"/>
      <c r="F542" s="29"/>
      <c r="G542" s="29" t="s">
        <v>16</v>
      </c>
      <c r="H542" s="29"/>
      <c r="I542" s="29" t="s">
        <v>30</v>
      </c>
    </row>
    <row r="543" spans="1:18" ht="15.75">
      <c r="A543" s="38"/>
      <c r="B543" s="44" t="s">
        <v>31</v>
      </c>
      <c r="C543" s="45" t="s">
        <v>20</v>
      </c>
      <c r="D543" s="39"/>
      <c r="F543" s="46"/>
      <c r="G543" s="46" t="s">
        <v>17</v>
      </c>
      <c r="H543" s="46"/>
      <c r="I543" s="46" t="s">
        <v>25</v>
      </c>
    </row>
    <row r="545" spans="1:18" ht="15.75">
      <c r="A545" s="21" t="s">
        <v>0</v>
      </c>
      <c r="B545" s="22"/>
      <c r="C545" s="23"/>
      <c r="D545" s="23"/>
      <c r="E545" s="23"/>
      <c r="F545" s="24"/>
      <c r="G545" s="24"/>
      <c r="H545" s="24"/>
      <c r="I545" s="24"/>
      <c r="J545" s="24"/>
      <c r="K545" s="24"/>
      <c r="L545" s="25"/>
    </row>
    <row r="546" spans="1:18" ht="15.75">
      <c r="A546" s="26" t="s">
        <v>521</v>
      </c>
      <c r="B546" s="21"/>
      <c r="C546" s="21"/>
      <c r="D546" s="21"/>
      <c r="E546" s="21"/>
      <c r="F546" s="24"/>
      <c r="G546" s="24"/>
      <c r="H546" s="24"/>
      <c r="I546" s="24"/>
      <c r="J546" s="24"/>
      <c r="K546" s="24"/>
      <c r="L546" s="25"/>
    </row>
    <row r="547" spans="1:18">
      <c r="A547" s="62"/>
      <c r="B547" s="62" t="s">
        <v>1</v>
      </c>
      <c r="C547" s="93" t="s">
        <v>2</v>
      </c>
      <c r="D547" s="117" t="s">
        <v>34</v>
      </c>
      <c r="E547" s="95" t="s">
        <v>3</v>
      </c>
      <c r="F547" s="93" t="s">
        <v>4</v>
      </c>
      <c r="G547" s="96" t="s">
        <v>18</v>
      </c>
      <c r="H547" s="96" t="s">
        <v>18</v>
      </c>
      <c r="I547" s="96" t="s">
        <v>18</v>
      </c>
      <c r="J547" s="97" t="s">
        <v>7</v>
      </c>
      <c r="K547" s="96" t="s">
        <v>6</v>
      </c>
      <c r="L547" s="96" t="s">
        <v>29</v>
      </c>
      <c r="M547" s="96" t="s">
        <v>21</v>
      </c>
      <c r="N547" s="96" t="s">
        <v>8</v>
      </c>
      <c r="O547" s="96" t="s">
        <v>8</v>
      </c>
      <c r="P547" s="96" t="s">
        <v>9</v>
      </c>
      <c r="Q547" s="62" t="s">
        <v>10</v>
      </c>
      <c r="R547" s="98" t="s">
        <v>33</v>
      </c>
    </row>
    <row r="548" spans="1:18">
      <c r="A548" s="99"/>
      <c r="B548" s="99"/>
      <c r="C548" s="100"/>
      <c r="D548" s="101"/>
      <c r="E548" s="102"/>
      <c r="F548" s="100"/>
      <c r="G548" s="103" t="s">
        <v>12</v>
      </c>
      <c r="H548" s="103" t="s">
        <v>12</v>
      </c>
      <c r="I548" s="103" t="s">
        <v>12</v>
      </c>
      <c r="J548" s="119" t="s">
        <v>19</v>
      </c>
      <c r="K548" s="103" t="s">
        <v>35</v>
      </c>
      <c r="L548" s="103" t="s">
        <v>22</v>
      </c>
      <c r="M548" s="103" t="s">
        <v>15</v>
      </c>
      <c r="N548" s="103" t="s">
        <v>13</v>
      </c>
      <c r="O548" s="103" t="s">
        <v>14</v>
      </c>
      <c r="P548" s="103" t="s">
        <v>12</v>
      </c>
      <c r="Q548" s="99"/>
      <c r="R548" s="104"/>
    </row>
    <row r="549" spans="1:18">
      <c r="A549" s="99"/>
      <c r="B549" s="99"/>
      <c r="C549" s="105"/>
      <c r="D549" s="101"/>
      <c r="E549" s="102"/>
      <c r="F549" s="100"/>
      <c r="G549" s="103" t="s">
        <v>81</v>
      </c>
      <c r="H549" s="103" t="s">
        <v>41</v>
      </c>
      <c r="I549" s="103" t="s">
        <v>41</v>
      </c>
      <c r="J549" s="119" t="s">
        <v>5</v>
      </c>
      <c r="K549" s="103"/>
      <c r="L549" s="103"/>
      <c r="M549" s="103"/>
      <c r="N549" s="103"/>
      <c r="O549" s="103"/>
      <c r="P549" s="103"/>
      <c r="Q549" s="99"/>
      <c r="R549" s="104"/>
    </row>
    <row r="550" spans="1:18">
      <c r="A550" s="106"/>
      <c r="B550" s="106"/>
      <c r="C550" s="107"/>
      <c r="D550" s="108"/>
      <c r="E550" s="109"/>
      <c r="F550" s="110"/>
      <c r="G550" s="111"/>
      <c r="H550" s="112"/>
      <c r="I550" s="75"/>
      <c r="J550" s="120"/>
      <c r="K550" s="111"/>
      <c r="L550" s="113"/>
      <c r="M550" s="108"/>
      <c r="N550" s="111"/>
      <c r="O550" s="111"/>
      <c r="P550" s="111"/>
      <c r="Q550" s="106"/>
      <c r="R550" s="114"/>
    </row>
    <row r="551" spans="1:18" ht="15.75">
      <c r="A551" s="52"/>
      <c r="B551" s="47"/>
      <c r="C551" s="48"/>
      <c r="D551" s="73"/>
      <c r="E551" s="17"/>
      <c r="F551" s="48"/>
      <c r="G551" s="36"/>
      <c r="H551" s="36"/>
      <c r="I551" s="125"/>
      <c r="J551" s="36"/>
      <c r="K551" s="36"/>
      <c r="L551" s="8"/>
      <c r="N551" s="8"/>
      <c r="O551" s="8"/>
      <c r="P551" s="8"/>
      <c r="Q551" s="35"/>
      <c r="R551" s="37"/>
    </row>
    <row r="552" spans="1:18" ht="15.75">
      <c r="A552" s="52">
        <v>1</v>
      </c>
      <c r="B552" s="51" t="s">
        <v>63</v>
      </c>
      <c r="C552" s="48" t="s">
        <v>64</v>
      </c>
      <c r="D552" s="67" t="s">
        <v>522</v>
      </c>
      <c r="E552" s="17">
        <v>43238</v>
      </c>
      <c r="F552" s="20" t="s">
        <v>337</v>
      </c>
      <c r="G552" s="36">
        <v>0</v>
      </c>
      <c r="H552" s="36">
        <v>73983622</v>
      </c>
      <c r="I552" s="8">
        <v>0</v>
      </c>
      <c r="J552" s="8">
        <v>1849591</v>
      </c>
      <c r="K552" s="8">
        <v>1069932</v>
      </c>
      <c r="L552" s="8">
        <v>0</v>
      </c>
      <c r="M552" s="8">
        <v>200000</v>
      </c>
      <c r="N552" s="8">
        <f>SUM(G552:M552)</f>
        <v>77103145</v>
      </c>
      <c r="O552" s="8">
        <f>77103145-N552</f>
        <v>0</v>
      </c>
      <c r="P552" s="8">
        <f t="shared" ref="P552" si="72">+N552+O552</f>
        <v>77103145</v>
      </c>
      <c r="Q552" s="59" t="s">
        <v>67</v>
      </c>
      <c r="R552" s="66" t="s">
        <v>338</v>
      </c>
    </row>
    <row r="553" spans="1:18" ht="15.75">
      <c r="A553" s="52"/>
      <c r="B553" s="51"/>
      <c r="C553" s="48"/>
      <c r="E553" s="17"/>
      <c r="F553" s="48"/>
      <c r="G553" s="36"/>
      <c r="H553" s="36"/>
      <c r="I553" s="75"/>
      <c r="J553" s="36"/>
      <c r="K553" s="36"/>
      <c r="L553" s="36"/>
      <c r="N553" s="8"/>
      <c r="O553" s="8"/>
      <c r="P553" s="8"/>
      <c r="Q553" s="59"/>
      <c r="R553" s="66"/>
    </row>
    <row r="554" spans="1:18" ht="16.5" thickBot="1">
      <c r="A554" s="18"/>
      <c r="B554" s="55"/>
      <c r="C554" s="56"/>
      <c r="D554" s="74"/>
      <c r="E554" s="56"/>
      <c r="F554" s="57"/>
      <c r="G554" s="19">
        <f>SUM(G552:G553)</f>
        <v>0</v>
      </c>
      <c r="H554" s="19">
        <f t="shared" ref="H554:P554" si="73">SUM(H552:H553)</f>
        <v>73983622</v>
      </c>
      <c r="I554" s="19">
        <f t="shared" si="73"/>
        <v>0</v>
      </c>
      <c r="J554" s="19">
        <f t="shared" si="73"/>
        <v>1849591</v>
      </c>
      <c r="K554" s="19">
        <f t="shared" si="73"/>
        <v>1069932</v>
      </c>
      <c r="L554" s="19">
        <f t="shared" si="73"/>
        <v>0</v>
      </c>
      <c r="M554" s="19">
        <f t="shared" si="73"/>
        <v>200000</v>
      </c>
      <c r="N554" s="19">
        <f t="shared" si="73"/>
        <v>77103145</v>
      </c>
      <c r="O554" s="19">
        <f t="shared" si="73"/>
        <v>0</v>
      </c>
      <c r="P554" s="19">
        <f t="shared" si="73"/>
        <v>77103145</v>
      </c>
      <c r="Q554" s="68"/>
      <c r="R554" s="70"/>
    </row>
    <row r="555" spans="1:18" ht="16.5" thickTop="1">
      <c r="A555" s="23"/>
      <c r="B555" s="22"/>
      <c r="C555" s="22"/>
      <c r="D555" s="23"/>
      <c r="E555" s="22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2"/>
      <c r="Q555" s="69"/>
    </row>
    <row r="556" spans="1:18" ht="15.75">
      <c r="A556" s="23"/>
      <c r="B556" s="28" t="s">
        <v>523</v>
      </c>
      <c r="C556" s="22"/>
      <c r="D556" s="39"/>
      <c r="F556" s="27"/>
      <c r="G556" s="28"/>
      <c r="H556" s="28"/>
      <c r="I556" s="28"/>
      <c r="J556" s="28"/>
      <c r="K556" s="28"/>
      <c r="L556" s="28"/>
      <c r="Q556" s="51"/>
    </row>
    <row r="557" spans="1:18" ht="15.75">
      <c r="A557" s="38"/>
      <c r="B557" s="40" t="s">
        <v>32</v>
      </c>
      <c r="C557" s="28" t="s">
        <v>28</v>
      </c>
      <c r="D557" s="39"/>
      <c r="F557" s="41"/>
      <c r="G557" s="143" t="s">
        <v>26</v>
      </c>
      <c r="H557" s="143"/>
      <c r="I557" s="143"/>
      <c r="K557" s="41"/>
    </row>
    <row r="558" spans="1:18" ht="15.75">
      <c r="A558" s="38"/>
      <c r="B558" s="40"/>
      <c r="C558" s="28"/>
      <c r="D558" s="39"/>
      <c r="F558" s="28"/>
      <c r="G558" s="28"/>
      <c r="H558" s="28"/>
      <c r="I558" s="28"/>
      <c r="J558" s="28"/>
      <c r="K558" s="28"/>
      <c r="L558" s="28"/>
    </row>
    <row r="559" spans="1:18" ht="15.75">
      <c r="A559" s="38"/>
      <c r="B559" s="40"/>
      <c r="C559" s="28"/>
      <c r="D559" s="39"/>
      <c r="F559" s="28"/>
      <c r="G559" s="28"/>
      <c r="H559" s="28"/>
      <c r="I559" s="28"/>
      <c r="J559" s="28"/>
      <c r="K559" s="28"/>
      <c r="L559" s="28"/>
    </row>
    <row r="560" spans="1:18" ht="15.75">
      <c r="A560" s="38"/>
      <c r="B560" s="40"/>
      <c r="C560" s="28"/>
      <c r="D560" s="39"/>
      <c r="F560" s="28"/>
      <c r="G560" s="28"/>
      <c r="H560" s="28"/>
      <c r="I560" s="28"/>
      <c r="J560" s="28"/>
      <c r="K560" s="28"/>
    </row>
    <row r="561" spans="1:18" ht="15.75">
      <c r="A561" s="38"/>
      <c r="B561" s="40"/>
      <c r="C561" s="28"/>
      <c r="D561" s="39"/>
      <c r="F561" s="28"/>
      <c r="G561" s="28"/>
      <c r="H561" s="28"/>
      <c r="I561" s="28"/>
      <c r="J561" s="28"/>
      <c r="K561" s="28"/>
      <c r="L561" s="28"/>
    </row>
    <row r="562" spans="1:18" ht="15.75">
      <c r="A562" s="38" t="s">
        <v>23</v>
      </c>
      <c r="B562" s="42" t="s">
        <v>27</v>
      </c>
      <c r="C562" s="43" t="s">
        <v>24</v>
      </c>
      <c r="D562" s="39"/>
      <c r="F562" s="29"/>
      <c r="G562" s="29" t="s">
        <v>16</v>
      </c>
      <c r="H562" s="29"/>
      <c r="I562" s="29" t="s">
        <v>30</v>
      </c>
    </row>
    <row r="563" spans="1:18" ht="15.75">
      <c r="A563" s="38"/>
      <c r="B563" s="44" t="s">
        <v>31</v>
      </c>
      <c r="C563" s="45" t="s">
        <v>20</v>
      </c>
      <c r="D563" s="39"/>
      <c r="F563" s="46"/>
      <c r="G563" s="46" t="s">
        <v>17</v>
      </c>
      <c r="H563" s="46"/>
      <c r="I563" s="46" t="s">
        <v>25</v>
      </c>
    </row>
    <row r="565" spans="1:18" ht="15.75">
      <c r="A565" s="21" t="s">
        <v>0</v>
      </c>
      <c r="B565" s="22"/>
      <c r="C565" s="23"/>
      <c r="D565" s="23"/>
      <c r="E565" s="23"/>
      <c r="F565" s="24"/>
      <c r="G565" s="24"/>
      <c r="H565" s="24"/>
      <c r="I565" s="24"/>
      <c r="J565" s="24"/>
      <c r="K565" s="24"/>
      <c r="L565" s="25"/>
    </row>
    <row r="566" spans="1:18" ht="15.75">
      <c r="A566" s="26" t="s">
        <v>521</v>
      </c>
      <c r="B566" s="21"/>
      <c r="C566" s="21"/>
      <c r="D566" s="21"/>
      <c r="E566" s="21"/>
      <c r="F566" s="24"/>
      <c r="G566" s="24"/>
      <c r="H566" s="24"/>
      <c r="I566" s="24"/>
      <c r="J566" s="24"/>
      <c r="K566" s="24"/>
      <c r="L566" s="25"/>
    </row>
    <row r="567" spans="1:18">
      <c r="A567" s="62"/>
      <c r="B567" s="62" t="s">
        <v>1</v>
      </c>
      <c r="C567" s="93" t="s">
        <v>2</v>
      </c>
      <c r="D567" s="117" t="s">
        <v>34</v>
      </c>
      <c r="E567" s="95" t="s">
        <v>3</v>
      </c>
      <c r="F567" s="93" t="s">
        <v>4</v>
      </c>
      <c r="G567" s="96" t="s">
        <v>18</v>
      </c>
      <c r="H567" s="96" t="s">
        <v>18</v>
      </c>
      <c r="I567" s="96" t="s">
        <v>527</v>
      </c>
      <c r="J567" s="97" t="s">
        <v>7</v>
      </c>
      <c r="K567" s="96" t="s">
        <v>6</v>
      </c>
      <c r="L567" s="96" t="s">
        <v>29</v>
      </c>
      <c r="M567" s="96" t="s">
        <v>21</v>
      </c>
      <c r="N567" s="96" t="s">
        <v>8</v>
      </c>
      <c r="O567" s="96" t="s">
        <v>8</v>
      </c>
      <c r="P567" s="96" t="s">
        <v>9</v>
      </c>
      <c r="Q567" s="62" t="s">
        <v>10</v>
      </c>
      <c r="R567" s="98" t="s">
        <v>33</v>
      </c>
    </row>
    <row r="568" spans="1:18">
      <c r="A568" s="99"/>
      <c r="B568" s="99"/>
      <c r="C568" s="100"/>
      <c r="D568" s="101"/>
      <c r="E568" s="102"/>
      <c r="F568" s="100"/>
      <c r="G568" s="103" t="s">
        <v>12</v>
      </c>
      <c r="H568" s="103" t="s">
        <v>12</v>
      </c>
      <c r="I568" s="101" t="s">
        <v>528</v>
      </c>
      <c r="J568" s="119" t="s">
        <v>19</v>
      </c>
      <c r="K568" s="103" t="s">
        <v>35</v>
      </c>
      <c r="L568" s="103" t="s">
        <v>22</v>
      </c>
      <c r="M568" s="103" t="s">
        <v>15</v>
      </c>
      <c r="N568" s="103" t="s">
        <v>13</v>
      </c>
      <c r="O568" s="103" t="s">
        <v>14</v>
      </c>
      <c r="P568" s="103" t="s">
        <v>12</v>
      </c>
      <c r="Q568" s="99"/>
      <c r="R568" s="104"/>
    </row>
    <row r="569" spans="1:18">
      <c r="A569" s="99"/>
      <c r="B569" s="99"/>
      <c r="C569" s="105"/>
      <c r="D569" s="101"/>
      <c r="E569" s="102"/>
      <c r="F569" s="100"/>
      <c r="G569" s="103" t="s">
        <v>81</v>
      </c>
      <c r="H569" s="103" t="s">
        <v>41</v>
      </c>
      <c r="I569" s="103" t="s">
        <v>529</v>
      </c>
      <c r="J569" s="119" t="s">
        <v>5</v>
      </c>
      <c r="K569" s="103"/>
      <c r="L569" s="103"/>
      <c r="M569" s="103"/>
      <c r="N569" s="103"/>
      <c r="O569" s="103"/>
      <c r="P569" s="103"/>
      <c r="Q569" s="99"/>
      <c r="R569" s="104"/>
    </row>
    <row r="570" spans="1:18">
      <c r="A570" s="106"/>
      <c r="B570" s="106"/>
      <c r="C570" s="107"/>
      <c r="D570" s="108"/>
      <c r="E570" s="109"/>
      <c r="F570" s="110"/>
      <c r="G570" s="111"/>
      <c r="H570" s="112"/>
      <c r="I570" s="75"/>
      <c r="J570" s="120"/>
      <c r="K570" s="111"/>
      <c r="L570" s="113"/>
      <c r="M570" s="108"/>
      <c r="N570" s="111"/>
      <c r="O570" s="111"/>
      <c r="P570" s="111"/>
      <c r="Q570" s="106"/>
      <c r="R570" s="114"/>
    </row>
    <row r="571" spans="1:18" ht="15.75">
      <c r="A571" s="52"/>
      <c r="B571" s="47"/>
      <c r="C571" s="48"/>
      <c r="D571" s="73"/>
      <c r="E571" s="17"/>
      <c r="F571" s="48"/>
      <c r="G571" s="36"/>
      <c r="H571" s="36"/>
      <c r="I571" s="125"/>
      <c r="J571" s="36"/>
      <c r="K571" s="36"/>
      <c r="L571" s="8"/>
      <c r="N571" s="8"/>
      <c r="O571" s="8"/>
      <c r="P571" s="8"/>
      <c r="Q571" s="35"/>
      <c r="R571" s="37"/>
    </row>
    <row r="572" spans="1:18" ht="15.75">
      <c r="A572" s="52">
        <v>1</v>
      </c>
      <c r="B572" s="51" t="s">
        <v>524</v>
      </c>
      <c r="C572" s="48" t="s">
        <v>525</v>
      </c>
      <c r="D572" s="67" t="s">
        <v>526</v>
      </c>
      <c r="E572" s="17">
        <v>43238</v>
      </c>
      <c r="F572" s="20" t="s">
        <v>337</v>
      </c>
      <c r="G572" s="36">
        <v>3055500</v>
      </c>
      <c r="H572" s="36">
        <v>253150706</v>
      </c>
      <c r="I572" s="8">
        <v>10000000</v>
      </c>
      <c r="J572" s="8">
        <v>0</v>
      </c>
      <c r="K572" s="8">
        <v>0</v>
      </c>
      <c r="L572" s="8">
        <v>0</v>
      </c>
      <c r="M572" s="8">
        <v>0</v>
      </c>
      <c r="N572" s="8">
        <f>SUM(G572:M572)</f>
        <v>266206206</v>
      </c>
      <c r="O572" s="8">
        <f>266206206-N572</f>
        <v>0</v>
      </c>
      <c r="P572" s="8">
        <f t="shared" ref="P572" si="74">+N572+O572</f>
        <v>266206206</v>
      </c>
      <c r="Q572" s="59" t="s">
        <v>124</v>
      </c>
      <c r="R572" s="66" t="s">
        <v>338</v>
      </c>
    </row>
    <row r="573" spans="1:18" ht="15.75">
      <c r="A573" s="52"/>
      <c r="B573" s="51"/>
      <c r="C573" s="48"/>
      <c r="E573" s="17"/>
      <c r="F573" s="48"/>
      <c r="G573" s="36"/>
      <c r="H573" s="36"/>
      <c r="I573" s="75"/>
      <c r="J573" s="36"/>
      <c r="K573" s="36"/>
      <c r="L573" s="36"/>
      <c r="N573" s="8"/>
      <c r="O573" s="8"/>
      <c r="P573" s="8"/>
      <c r="Q573" s="59"/>
      <c r="R573" s="66"/>
    </row>
    <row r="574" spans="1:18" ht="16.5" thickBot="1">
      <c r="A574" s="18"/>
      <c r="B574" s="55"/>
      <c r="C574" s="56"/>
      <c r="D574" s="74"/>
      <c r="E574" s="56"/>
      <c r="F574" s="57"/>
      <c r="G574" s="19">
        <f>SUM(G572:G573)</f>
        <v>3055500</v>
      </c>
      <c r="H574" s="19">
        <f t="shared" ref="H574:P574" si="75">SUM(H572:H573)</f>
        <v>253150706</v>
      </c>
      <c r="I574" s="19">
        <f t="shared" si="75"/>
        <v>10000000</v>
      </c>
      <c r="J574" s="19">
        <f t="shared" si="75"/>
        <v>0</v>
      </c>
      <c r="K574" s="19">
        <f t="shared" si="75"/>
        <v>0</v>
      </c>
      <c r="L574" s="19">
        <f t="shared" si="75"/>
        <v>0</v>
      </c>
      <c r="M574" s="19">
        <f t="shared" si="75"/>
        <v>0</v>
      </c>
      <c r="N574" s="19">
        <f t="shared" si="75"/>
        <v>266206206</v>
      </c>
      <c r="O574" s="19">
        <f t="shared" si="75"/>
        <v>0</v>
      </c>
      <c r="P574" s="19">
        <f t="shared" si="75"/>
        <v>266206206</v>
      </c>
      <c r="Q574" s="68"/>
      <c r="R574" s="70"/>
    </row>
    <row r="575" spans="1:18" ht="16.5" thickTop="1">
      <c r="A575" s="23"/>
      <c r="B575" s="22"/>
      <c r="C575" s="22"/>
      <c r="D575" s="23"/>
      <c r="E575" s="22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2"/>
      <c r="Q575" s="69"/>
    </row>
    <row r="576" spans="1:18" ht="15.75">
      <c r="A576" s="23"/>
      <c r="B576" s="28" t="s">
        <v>523</v>
      </c>
      <c r="C576" s="22"/>
      <c r="D576" s="39"/>
      <c r="F576" s="27"/>
      <c r="G576" s="28"/>
      <c r="H576" s="28"/>
      <c r="I576" s="28"/>
      <c r="J576" s="28"/>
      <c r="K576" s="28"/>
      <c r="L576" s="28"/>
      <c r="Q576" s="51"/>
    </row>
    <row r="577" spans="1:18" ht="15.75">
      <c r="A577" s="38"/>
      <c r="B577" s="40" t="s">
        <v>32</v>
      </c>
      <c r="C577" s="28" t="s">
        <v>28</v>
      </c>
      <c r="D577" s="39"/>
      <c r="F577" s="41"/>
      <c r="G577" s="143" t="s">
        <v>26</v>
      </c>
      <c r="H577" s="143"/>
      <c r="I577" s="143"/>
      <c r="K577" s="41"/>
    </row>
    <row r="578" spans="1:18" ht="15.75">
      <c r="A578" s="38"/>
      <c r="B578" s="40"/>
      <c r="C578" s="28"/>
      <c r="D578" s="39"/>
      <c r="F578" s="28"/>
      <c r="G578" s="28"/>
      <c r="H578" s="28"/>
      <c r="I578" s="28"/>
      <c r="J578" s="28"/>
      <c r="K578" s="28"/>
      <c r="L578" s="28"/>
    </row>
    <row r="579" spans="1:18" ht="15.75">
      <c r="A579" s="38"/>
      <c r="B579" s="40"/>
      <c r="C579" s="28"/>
      <c r="D579" s="39"/>
      <c r="F579" s="28"/>
      <c r="G579" s="28"/>
      <c r="H579" s="28"/>
      <c r="I579" s="28"/>
      <c r="J579" s="28"/>
      <c r="K579" s="28"/>
      <c r="L579" s="28"/>
    </row>
    <row r="580" spans="1:18" ht="15.75">
      <c r="A580" s="38"/>
      <c r="B580" s="40"/>
      <c r="C580" s="28"/>
      <c r="D580" s="39"/>
      <c r="F580" s="28"/>
      <c r="G580" s="28"/>
      <c r="H580" s="28"/>
      <c r="I580" s="28"/>
      <c r="J580" s="28"/>
      <c r="K580" s="28"/>
    </row>
    <row r="581" spans="1:18" ht="15.75">
      <c r="A581" s="38"/>
      <c r="B581" s="40"/>
      <c r="C581" s="28"/>
      <c r="D581" s="39"/>
      <c r="F581" s="28"/>
      <c r="G581" s="28"/>
      <c r="H581" s="28"/>
      <c r="I581" s="28"/>
      <c r="J581" s="28"/>
      <c r="K581" s="28"/>
      <c r="L581" s="28"/>
    </row>
    <row r="582" spans="1:18" ht="15.75">
      <c r="A582" s="38" t="s">
        <v>23</v>
      </c>
      <c r="B582" s="42" t="s">
        <v>27</v>
      </c>
      <c r="C582" s="43" t="s">
        <v>24</v>
      </c>
      <c r="D582" s="39"/>
      <c r="F582" s="29"/>
      <c r="G582" s="29" t="s">
        <v>16</v>
      </c>
      <c r="H582" s="29"/>
      <c r="I582" s="29" t="s">
        <v>30</v>
      </c>
    </row>
    <row r="583" spans="1:18" ht="15.75">
      <c r="A583" s="38"/>
      <c r="B583" s="44" t="s">
        <v>31</v>
      </c>
      <c r="C583" s="45" t="s">
        <v>20</v>
      </c>
      <c r="D583" s="39"/>
      <c r="F583" s="46"/>
      <c r="G583" s="46" t="s">
        <v>17</v>
      </c>
      <c r="H583" s="46"/>
      <c r="I583" s="46" t="s">
        <v>25</v>
      </c>
    </row>
    <row r="585" spans="1:18" ht="15.75">
      <c r="A585" s="21" t="s">
        <v>0</v>
      </c>
      <c r="B585" s="22"/>
      <c r="C585" s="23"/>
      <c r="D585" s="23"/>
      <c r="E585" s="23"/>
      <c r="F585" s="24"/>
      <c r="G585" s="24"/>
      <c r="H585" s="24"/>
      <c r="I585" s="24"/>
      <c r="J585" s="24"/>
      <c r="K585" s="24"/>
      <c r="L585" s="25"/>
    </row>
    <row r="586" spans="1:18" ht="15.75">
      <c r="A586" s="26" t="s">
        <v>533</v>
      </c>
      <c r="B586" s="21"/>
      <c r="C586" s="21"/>
      <c r="D586" s="21"/>
      <c r="E586" s="21"/>
      <c r="F586" s="24"/>
      <c r="G586" s="24"/>
      <c r="H586" s="24"/>
      <c r="I586" s="24"/>
      <c r="J586" s="24"/>
      <c r="K586" s="24"/>
      <c r="L586" s="25"/>
    </row>
    <row r="587" spans="1:18">
      <c r="A587" s="62"/>
      <c r="B587" s="62" t="s">
        <v>1</v>
      </c>
      <c r="C587" s="93" t="s">
        <v>2</v>
      </c>
      <c r="D587" s="117" t="s">
        <v>34</v>
      </c>
      <c r="E587" s="95" t="s">
        <v>3</v>
      </c>
      <c r="F587" s="93" t="s">
        <v>4</v>
      </c>
      <c r="G587" s="96" t="s">
        <v>18</v>
      </c>
      <c r="H587" s="96" t="s">
        <v>18</v>
      </c>
      <c r="I587" s="96" t="s">
        <v>540</v>
      </c>
      <c r="J587" s="97" t="s">
        <v>7</v>
      </c>
      <c r="K587" s="96" t="s">
        <v>6</v>
      </c>
      <c r="L587" s="96" t="s">
        <v>29</v>
      </c>
      <c r="M587" s="96" t="s">
        <v>21</v>
      </c>
      <c r="N587" s="96" t="s">
        <v>8</v>
      </c>
      <c r="O587" s="96" t="s">
        <v>8</v>
      </c>
      <c r="P587" s="96" t="s">
        <v>9</v>
      </c>
      <c r="Q587" s="62" t="s">
        <v>10</v>
      </c>
      <c r="R587" s="98" t="s">
        <v>33</v>
      </c>
    </row>
    <row r="588" spans="1:18">
      <c r="A588" s="99"/>
      <c r="B588" s="99"/>
      <c r="C588" s="100"/>
      <c r="D588" s="101"/>
      <c r="E588" s="102"/>
      <c r="F588" s="100"/>
      <c r="G588" s="103" t="s">
        <v>12</v>
      </c>
      <c r="H588" s="103" t="s">
        <v>12</v>
      </c>
      <c r="I588" s="127" t="s">
        <v>541</v>
      </c>
      <c r="J588" s="119" t="s">
        <v>19</v>
      </c>
      <c r="K588" s="103" t="s">
        <v>35</v>
      </c>
      <c r="L588" s="103" t="s">
        <v>22</v>
      </c>
      <c r="M588" s="103" t="s">
        <v>15</v>
      </c>
      <c r="N588" s="103" t="s">
        <v>13</v>
      </c>
      <c r="O588" s="103" t="s">
        <v>14</v>
      </c>
      <c r="P588" s="103" t="s">
        <v>12</v>
      </c>
      <c r="Q588" s="99"/>
      <c r="R588" s="104"/>
    </row>
    <row r="589" spans="1:18">
      <c r="A589" s="99"/>
      <c r="B589" s="99"/>
      <c r="C589" s="105"/>
      <c r="D589" s="101"/>
      <c r="E589" s="102"/>
      <c r="F589" s="100"/>
      <c r="G589" s="103" t="s">
        <v>41</v>
      </c>
      <c r="H589" s="103" t="s">
        <v>41</v>
      </c>
      <c r="I589" s="103"/>
      <c r="J589" s="119" t="s">
        <v>5</v>
      </c>
      <c r="K589" s="103"/>
      <c r="L589" s="103"/>
      <c r="M589" s="103"/>
      <c r="N589" s="103"/>
      <c r="O589" s="103"/>
      <c r="P589" s="103"/>
      <c r="Q589" s="99"/>
      <c r="R589" s="104"/>
    </row>
    <row r="590" spans="1:18">
      <c r="A590" s="106"/>
      <c r="B590" s="106"/>
      <c r="C590" s="107"/>
      <c r="D590" s="108"/>
      <c r="E590" s="109"/>
      <c r="F590" s="110"/>
      <c r="G590" s="111"/>
      <c r="H590" s="112"/>
      <c r="I590" s="75"/>
      <c r="J590" s="120"/>
      <c r="K590" s="111"/>
      <c r="L590" s="113"/>
      <c r="M590" s="108"/>
      <c r="N590" s="111"/>
      <c r="O590" s="111"/>
      <c r="P590" s="111"/>
      <c r="Q590" s="106"/>
      <c r="R590" s="114"/>
    </row>
    <row r="591" spans="1:18" ht="15.75">
      <c r="A591" s="52"/>
      <c r="B591" s="47"/>
      <c r="C591" s="48"/>
      <c r="D591" s="73"/>
      <c r="E591" s="17"/>
      <c r="F591" s="48"/>
      <c r="G591" s="36"/>
      <c r="H591" s="36"/>
      <c r="I591" s="125"/>
      <c r="J591" s="36"/>
      <c r="K591" s="36"/>
      <c r="L591" s="8"/>
      <c r="N591" s="8"/>
      <c r="O591" s="8"/>
      <c r="P591" s="8"/>
      <c r="Q591" s="35"/>
      <c r="R591" s="37"/>
    </row>
    <row r="592" spans="1:18" ht="15.75">
      <c r="A592" s="52">
        <v>1</v>
      </c>
      <c r="B592" s="51" t="s">
        <v>530</v>
      </c>
      <c r="C592" s="48" t="s">
        <v>531</v>
      </c>
      <c r="D592" s="67" t="s">
        <v>532</v>
      </c>
      <c r="E592" s="17">
        <v>43245</v>
      </c>
      <c r="F592" s="20" t="s">
        <v>337</v>
      </c>
      <c r="G592" s="36">
        <v>26151874</v>
      </c>
      <c r="H592" s="36">
        <v>9151500</v>
      </c>
      <c r="I592" s="8">
        <v>0</v>
      </c>
      <c r="J592" s="8">
        <v>882584</v>
      </c>
      <c r="K592" s="8">
        <v>0</v>
      </c>
      <c r="L592" s="8">
        <v>0</v>
      </c>
      <c r="M592" s="8">
        <v>200000</v>
      </c>
      <c r="N592" s="8">
        <f>SUM(G592:M592)</f>
        <v>36385958</v>
      </c>
      <c r="O592" s="8">
        <f>36385958-N592</f>
        <v>0</v>
      </c>
      <c r="P592" s="8">
        <f t="shared" ref="P592" si="76">+N592+O592</f>
        <v>36385958</v>
      </c>
      <c r="Q592" s="59" t="s">
        <v>346</v>
      </c>
      <c r="R592" s="66" t="s">
        <v>338</v>
      </c>
    </row>
    <row r="593" spans="1:18" ht="15.75">
      <c r="A593" s="52">
        <v>2</v>
      </c>
      <c r="B593" s="51" t="s">
        <v>537</v>
      </c>
      <c r="C593" s="48" t="s">
        <v>538</v>
      </c>
      <c r="D593" s="67" t="s">
        <v>539</v>
      </c>
      <c r="E593" s="17">
        <v>43245</v>
      </c>
      <c r="F593" s="20" t="s">
        <v>337</v>
      </c>
      <c r="G593" s="36">
        <v>379160000</v>
      </c>
      <c r="H593" s="36">
        <v>0</v>
      </c>
      <c r="I593" s="8">
        <v>0</v>
      </c>
      <c r="J593" s="8">
        <v>9479000</v>
      </c>
      <c r="K593" s="8">
        <v>0</v>
      </c>
      <c r="L593" s="8">
        <v>0</v>
      </c>
      <c r="M593" s="8">
        <v>200000</v>
      </c>
      <c r="N593" s="8">
        <f>SUM(G593:M593)</f>
        <v>388839000</v>
      </c>
      <c r="O593" s="8">
        <f>388839000-N593</f>
        <v>0</v>
      </c>
      <c r="P593" s="8">
        <f t="shared" ref="P593" si="77">+N593+O593</f>
        <v>388839000</v>
      </c>
      <c r="Q593" s="59" t="s">
        <v>542</v>
      </c>
      <c r="R593" s="66" t="s">
        <v>338</v>
      </c>
    </row>
    <row r="594" spans="1:18" ht="15.75">
      <c r="A594" s="52"/>
      <c r="B594" s="51"/>
      <c r="C594" s="48"/>
      <c r="E594" s="17"/>
      <c r="F594" s="48"/>
      <c r="G594" s="36"/>
      <c r="H594" s="36"/>
      <c r="I594" s="75"/>
      <c r="J594" s="36"/>
      <c r="K594" s="36"/>
      <c r="L594" s="36"/>
      <c r="N594" s="8"/>
      <c r="O594" s="8"/>
      <c r="P594" s="8"/>
      <c r="Q594" s="59"/>
      <c r="R594" s="66"/>
    </row>
    <row r="595" spans="1:18" ht="16.5" thickBot="1">
      <c r="A595" s="18"/>
      <c r="B595" s="55"/>
      <c r="C595" s="56"/>
      <c r="D595" s="74"/>
      <c r="E595" s="56"/>
      <c r="F595" s="57"/>
      <c r="G595" s="19">
        <f>SUM(G592:G594)</f>
        <v>405311874</v>
      </c>
      <c r="H595" s="19">
        <f t="shared" ref="H595:P595" si="78">SUM(H592:H594)</f>
        <v>9151500</v>
      </c>
      <c r="I595" s="19">
        <f t="shared" si="78"/>
        <v>0</v>
      </c>
      <c r="J595" s="19">
        <f t="shared" si="78"/>
        <v>10361584</v>
      </c>
      <c r="K595" s="19">
        <f t="shared" si="78"/>
        <v>0</v>
      </c>
      <c r="L595" s="19">
        <f t="shared" si="78"/>
        <v>0</v>
      </c>
      <c r="M595" s="19">
        <f t="shared" si="78"/>
        <v>400000</v>
      </c>
      <c r="N595" s="19">
        <f t="shared" si="78"/>
        <v>425224958</v>
      </c>
      <c r="O595" s="19">
        <f t="shared" si="78"/>
        <v>0</v>
      </c>
      <c r="P595" s="19">
        <f t="shared" si="78"/>
        <v>425224958</v>
      </c>
      <c r="Q595" s="68"/>
      <c r="R595" s="70"/>
    </row>
    <row r="596" spans="1:18" ht="16.5" thickTop="1">
      <c r="A596" s="23"/>
      <c r="B596" s="22"/>
      <c r="C596" s="22"/>
      <c r="D596" s="23"/>
      <c r="E596" s="22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2"/>
      <c r="Q596" s="69"/>
    </row>
    <row r="597" spans="1:18" ht="15.75">
      <c r="A597" s="23"/>
      <c r="B597" s="28" t="s">
        <v>543</v>
      </c>
      <c r="C597" s="22"/>
      <c r="D597" s="39"/>
      <c r="F597" s="27"/>
      <c r="G597" s="28"/>
      <c r="H597" s="28"/>
      <c r="I597" s="28"/>
      <c r="J597" s="28"/>
      <c r="K597" s="28"/>
      <c r="L597" s="28"/>
      <c r="Q597" s="51"/>
    </row>
    <row r="598" spans="1:18" ht="15.75">
      <c r="A598" s="38"/>
      <c r="B598" s="40" t="s">
        <v>32</v>
      </c>
      <c r="C598" s="28" t="s">
        <v>28</v>
      </c>
      <c r="D598" s="39"/>
      <c r="F598" s="41"/>
      <c r="G598" s="143" t="s">
        <v>26</v>
      </c>
      <c r="H598" s="143"/>
      <c r="I598" s="143"/>
      <c r="K598" s="41"/>
    </row>
    <row r="599" spans="1:18" ht="15.75">
      <c r="A599" s="38"/>
      <c r="B599" s="40"/>
      <c r="C599" s="28"/>
      <c r="D599" s="39"/>
      <c r="F599" s="28"/>
      <c r="G599" s="28"/>
      <c r="H599" s="28"/>
      <c r="I599" s="28"/>
      <c r="J599" s="28"/>
      <c r="K599" s="28"/>
      <c r="L599" s="28"/>
    </row>
    <row r="600" spans="1:18" ht="15.75">
      <c r="A600" s="38"/>
      <c r="B600" s="40"/>
      <c r="C600" s="28"/>
      <c r="D600" s="39"/>
      <c r="F600" s="28"/>
      <c r="G600" s="28"/>
      <c r="H600" s="28"/>
      <c r="I600" s="28"/>
      <c r="J600" s="28"/>
      <c r="K600" s="28"/>
      <c r="L600" s="28"/>
    </row>
    <row r="601" spans="1:18" ht="15.75">
      <c r="A601" s="38"/>
      <c r="B601" s="40"/>
      <c r="C601" s="28"/>
      <c r="D601" s="39"/>
      <c r="F601" s="28"/>
      <c r="G601" s="28"/>
      <c r="H601" s="28"/>
      <c r="I601" s="28"/>
      <c r="J601" s="28"/>
      <c r="K601" s="28"/>
    </row>
    <row r="602" spans="1:18" ht="15.75">
      <c r="A602" s="38"/>
      <c r="B602" s="40"/>
      <c r="C602" s="28"/>
      <c r="D602" s="39"/>
      <c r="F602" s="28"/>
      <c r="G602" s="28"/>
      <c r="H602" s="28"/>
      <c r="I602" s="28"/>
      <c r="J602" s="28"/>
      <c r="K602" s="28"/>
      <c r="L602" s="28"/>
    </row>
    <row r="603" spans="1:18" ht="15.75">
      <c r="A603" s="38" t="s">
        <v>23</v>
      </c>
      <c r="B603" s="42" t="s">
        <v>27</v>
      </c>
      <c r="C603" s="43" t="s">
        <v>24</v>
      </c>
      <c r="D603" s="39"/>
      <c r="F603" s="29"/>
      <c r="G603" s="29" t="s">
        <v>16</v>
      </c>
      <c r="H603" s="29"/>
      <c r="I603" s="29" t="s">
        <v>30</v>
      </c>
    </row>
    <row r="604" spans="1:18" ht="15.75">
      <c r="A604" s="38"/>
      <c r="B604" s="44" t="s">
        <v>31</v>
      </c>
      <c r="C604" s="45" t="s">
        <v>20</v>
      </c>
      <c r="D604" s="39"/>
      <c r="F604" s="46"/>
      <c r="G604" s="46" t="s">
        <v>17</v>
      </c>
      <c r="H604" s="46"/>
      <c r="I604" s="46" t="s">
        <v>25</v>
      </c>
    </row>
    <row r="606" spans="1:18" ht="15.75">
      <c r="A606" s="21" t="s">
        <v>0</v>
      </c>
      <c r="B606" s="22"/>
      <c r="C606" s="23"/>
      <c r="D606" s="23"/>
      <c r="E606" s="23"/>
      <c r="F606" s="24"/>
      <c r="G606" s="24"/>
      <c r="H606" s="24"/>
      <c r="I606" s="24"/>
      <c r="J606" s="24"/>
      <c r="K606" s="24"/>
      <c r="L606" s="25"/>
    </row>
    <row r="607" spans="1:18" ht="15.75">
      <c r="A607" s="26" t="s">
        <v>533</v>
      </c>
      <c r="B607" s="21"/>
      <c r="C607" s="21"/>
      <c r="D607" s="21"/>
      <c r="E607" s="21"/>
      <c r="F607" s="24"/>
      <c r="G607" s="24"/>
      <c r="H607" s="24"/>
      <c r="I607" s="24"/>
      <c r="J607" s="124" t="s">
        <v>601</v>
      </c>
      <c r="K607" s="24"/>
      <c r="L607" s="25"/>
    </row>
    <row r="608" spans="1:18">
      <c r="A608" s="62"/>
      <c r="B608" s="62" t="s">
        <v>1</v>
      </c>
      <c r="C608" s="93" t="s">
        <v>2</v>
      </c>
      <c r="D608" s="117" t="s">
        <v>34</v>
      </c>
      <c r="E608" s="95" t="s">
        <v>3</v>
      </c>
      <c r="F608" s="93" t="s">
        <v>4</v>
      </c>
      <c r="G608" s="96" t="s">
        <v>18</v>
      </c>
      <c r="H608" s="96" t="s">
        <v>18</v>
      </c>
      <c r="I608" s="96" t="s">
        <v>540</v>
      </c>
      <c r="J608" s="97" t="s">
        <v>544</v>
      </c>
      <c r="K608" s="96" t="s">
        <v>6</v>
      </c>
      <c r="L608" s="96" t="s">
        <v>29</v>
      </c>
      <c r="M608" s="96" t="s">
        <v>21</v>
      </c>
      <c r="N608" s="96" t="s">
        <v>8</v>
      </c>
      <c r="O608" s="96" t="s">
        <v>8</v>
      </c>
      <c r="P608" s="96" t="s">
        <v>9</v>
      </c>
      <c r="Q608" s="62" t="s">
        <v>10</v>
      </c>
      <c r="R608" s="98" t="s">
        <v>33</v>
      </c>
    </row>
    <row r="609" spans="1:18">
      <c r="A609" s="99"/>
      <c r="B609" s="99"/>
      <c r="C609" s="100"/>
      <c r="D609" s="101"/>
      <c r="E609" s="102"/>
      <c r="F609" s="100"/>
      <c r="G609" s="103" t="s">
        <v>12</v>
      </c>
      <c r="H609" s="103" t="s">
        <v>12</v>
      </c>
      <c r="I609" s="127" t="s">
        <v>541</v>
      </c>
      <c r="J609" s="119" t="s">
        <v>19</v>
      </c>
      <c r="K609" s="103" t="s">
        <v>35</v>
      </c>
      <c r="L609" s="103" t="s">
        <v>22</v>
      </c>
      <c r="M609" s="103" t="s">
        <v>15</v>
      </c>
      <c r="N609" s="103" t="s">
        <v>13</v>
      </c>
      <c r="O609" s="103" t="s">
        <v>14</v>
      </c>
      <c r="P609" s="103" t="s">
        <v>12</v>
      </c>
      <c r="Q609" s="99"/>
      <c r="R609" s="104"/>
    </row>
    <row r="610" spans="1:18">
      <c r="A610" s="99"/>
      <c r="B610" s="99"/>
      <c r="C610" s="105"/>
      <c r="D610" s="101"/>
      <c r="E610" s="102"/>
      <c r="F610" s="100"/>
      <c r="G610" s="103" t="s">
        <v>41</v>
      </c>
      <c r="H610" s="103" t="s">
        <v>41</v>
      </c>
      <c r="I610" s="103"/>
      <c r="J610" s="119" t="s">
        <v>5</v>
      </c>
      <c r="K610" s="103"/>
      <c r="L610" s="103"/>
      <c r="M610" s="103"/>
      <c r="N610" s="103"/>
      <c r="O610" s="103"/>
      <c r="P610" s="103"/>
      <c r="Q610" s="99"/>
      <c r="R610" s="104"/>
    </row>
    <row r="611" spans="1:18">
      <c r="A611" s="106"/>
      <c r="B611" s="106"/>
      <c r="C611" s="107"/>
      <c r="D611" s="108"/>
      <c r="E611" s="109"/>
      <c r="F611" s="110"/>
      <c r="G611" s="111"/>
      <c r="H611" s="112"/>
      <c r="I611" s="75"/>
      <c r="J611" s="120"/>
      <c r="K611" s="111"/>
      <c r="L611" s="113"/>
      <c r="M611" s="108"/>
      <c r="N611" s="111"/>
      <c r="O611" s="111"/>
      <c r="P611" s="111"/>
      <c r="Q611" s="106"/>
      <c r="R611" s="114"/>
    </row>
    <row r="612" spans="1:18" ht="15.75">
      <c r="A612" s="52"/>
      <c r="B612" s="47"/>
      <c r="C612" s="48"/>
      <c r="D612" s="73"/>
      <c r="E612" s="17"/>
      <c r="F612" s="48"/>
      <c r="G612" s="36"/>
      <c r="H612" s="36"/>
      <c r="I612" s="125"/>
      <c r="J612" s="36"/>
      <c r="K612" s="36"/>
      <c r="L612" s="8"/>
      <c r="N612" s="8"/>
      <c r="O612" s="8"/>
      <c r="P612" s="8"/>
      <c r="Q612" s="35"/>
      <c r="R612" s="37"/>
    </row>
    <row r="613" spans="1:18" ht="15.75">
      <c r="A613" s="52">
        <v>1</v>
      </c>
      <c r="B613" s="51" t="s">
        <v>534</v>
      </c>
      <c r="C613" s="48" t="s">
        <v>535</v>
      </c>
      <c r="D613" s="67" t="s">
        <v>536</v>
      </c>
      <c r="E613" s="17">
        <v>43245</v>
      </c>
      <c r="F613" s="20" t="s">
        <v>337</v>
      </c>
      <c r="G613" s="36">
        <v>322800000</v>
      </c>
      <c r="H613" s="36">
        <v>0</v>
      </c>
      <c r="I613" s="8">
        <v>0</v>
      </c>
      <c r="J613" s="8">
        <v>4842000</v>
      </c>
      <c r="K613" s="8">
        <v>0</v>
      </c>
      <c r="L613" s="8">
        <v>0</v>
      </c>
      <c r="M613" s="8">
        <v>200000</v>
      </c>
      <c r="N613" s="8">
        <f>SUM(G613:M613)</f>
        <v>327842000</v>
      </c>
      <c r="O613" s="8">
        <f>327842000-N613</f>
        <v>0</v>
      </c>
      <c r="P613" s="8">
        <f t="shared" ref="P613" si="79">+N613+O613</f>
        <v>327842000</v>
      </c>
      <c r="Q613" s="59" t="s">
        <v>545</v>
      </c>
      <c r="R613" s="66" t="s">
        <v>338</v>
      </c>
    </row>
    <row r="614" spans="1:18" ht="15.75">
      <c r="A614" s="52"/>
      <c r="B614" s="51"/>
      <c r="C614" s="48"/>
      <c r="E614" s="17"/>
      <c r="F614" s="48"/>
      <c r="G614" s="36"/>
      <c r="H614" s="36"/>
      <c r="I614" s="75"/>
      <c r="J614" s="36"/>
      <c r="K614" s="36"/>
      <c r="L614" s="36"/>
      <c r="N614" s="8"/>
      <c r="O614" s="8"/>
      <c r="P614" s="8"/>
      <c r="Q614" s="59"/>
      <c r="R614" s="66"/>
    </row>
    <row r="615" spans="1:18" ht="16.5" thickBot="1">
      <c r="A615" s="18"/>
      <c r="B615" s="55"/>
      <c r="C615" s="56"/>
      <c r="D615" s="74"/>
      <c r="E615" s="56"/>
      <c r="F615" s="57"/>
      <c r="G615" s="19">
        <f t="shared" ref="G615:P615" si="80">SUM(G613:G614)</f>
        <v>322800000</v>
      </c>
      <c r="H615" s="19">
        <f t="shared" si="80"/>
        <v>0</v>
      </c>
      <c r="I615" s="19">
        <f t="shared" si="80"/>
        <v>0</v>
      </c>
      <c r="J615" s="19">
        <f t="shared" si="80"/>
        <v>4842000</v>
      </c>
      <c r="K615" s="19">
        <f t="shared" si="80"/>
        <v>0</v>
      </c>
      <c r="L615" s="19">
        <f t="shared" si="80"/>
        <v>0</v>
      </c>
      <c r="M615" s="19">
        <f t="shared" si="80"/>
        <v>200000</v>
      </c>
      <c r="N615" s="19">
        <f t="shared" si="80"/>
        <v>327842000</v>
      </c>
      <c r="O615" s="19">
        <f t="shared" si="80"/>
        <v>0</v>
      </c>
      <c r="P615" s="19">
        <f t="shared" si="80"/>
        <v>327842000</v>
      </c>
      <c r="Q615" s="68"/>
      <c r="R615" s="70"/>
    </row>
    <row r="616" spans="1:18" ht="16.5" thickTop="1">
      <c r="A616" s="23"/>
      <c r="B616" s="22"/>
      <c r="C616" s="22"/>
      <c r="D616" s="23"/>
      <c r="E616" s="22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2"/>
      <c r="Q616" s="69"/>
    </row>
    <row r="617" spans="1:18" ht="15.75">
      <c r="A617" s="23"/>
      <c r="B617" s="28" t="s">
        <v>543</v>
      </c>
      <c r="C617" s="22"/>
      <c r="D617" s="39"/>
      <c r="F617" s="27"/>
      <c r="G617" s="28"/>
      <c r="H617" s="28"/>
      <c r="I617" s="28"/>
      <c r="J617" s="28"/>
      <c r="K617" s="28"/>
      <c r="L617" s="28"/>
      <c r="Q617" s="51"/>
    </row>
    <row r="618" spans="1:18" ht="15.75">
      <c r="A618" s="38"/>
      <c r="B618" s="40" t="s">
        <v>32</v>
      </c>
      <c r="C618" s="28" t="s">
        <v>28</v>
      </c>
      <c r="D618" s="39"/>
      <c r="F618" s="41"/>
      <c r="G618" s="143" t="s">
        <v>26</v>
      </c>
      <c r="H618" s="143"/>
      <c r="I618" s="143"/>
      <c r="K618" s="41"/>
    </row>
    <row r="619" spans="1:18" ht="15.75">
      <c r="A619" s="38"/>
      <c r="B619" s="40"/>
      <c r="C619" s="28"/>
      <c r="D619" s="39"/>
      <c r="F619" s="28"/>
      <c r="G619" s="28"/>
      <c r="H619" s="28"/>
      <c r="I619" s="28"/>
      <c r="J619" s="28"/>
      <c r="K619" s="28"/>
      <c r="L619" s="28"/>
    </row>
    <row r="620" spans="1:18" ht="15.75">
      <c r="A620" s="38"/>
      <c r="B620" s="40"/>
      <c r="C620" s="28"/>
      <c r="D620" s="39"/>
      <c r="F620" s="28"/>
      <c r="G620" s="28"/>
      <c r="H620" s="28"/>
      <c r="I620" s="28"/>
      <c r="J620" s="28"/>
      <c r="K620" s="28"/>
      <c r="L620" s="28"/>
    </row>
    <row r="621" spans="1:18" ht="15.75">
      <c r="A621" s="38"/>
      <c r="B621" s="40"/>
      <c r="C621" s="28"/>
      <c r="D621" s="39"/>
      <c r="F621" s="28"/>
      <c r="G621" s="28"/>
      <c r="H621" s="28"/>
      <c r="I621" s="28"/>
      <c r="J621" s="28"/>
      <c r="K621" s="28"/>
    </row>
    <row r="622" spans="1:18" ht="15.75">
      <c r="A622" s="38"/>
      <c r="B622" s="40"/>
      <c r="C622" s="28"/>
      <c r="D622" s="39"/>
      <c r="F622" s="28"/>
      <c r="G622" s="28"/>
      <c r="H622" s="28"/>
      <c r="I622" s="28"/>
      <c r="J622" s="28"/>
      <c r="K622" s="28"/>
      <c r="L622" s="28"/>
    </row>
    <row r="623" spans="1:18" ht="15.75">
      <c r="A623" s="38" t="s">
        <v>23</v>
      </c>
      <c r="B623" s="42" t="s">
        <v>27</v>
      </c>
      <c r="C623" s="43" t="s">
        <v>24</v>
      </c>
      <c r="D623" s="39"/>
      <c r="F623" s="29"/>
      <c r="G623" s="29" t="s">
        <v>16</v>
      </c>
      <c r="H623" s="29"/>
      <c r="I623" s="29" t="s">
        <v>30</v>
      </c>
    </row>
    <row r="624" spans="1:18" ht="15.75">
      <c r="A624" s="38"/>
      <c r="B624" s="44" t="s">
        <v>31</v>
      </c>
      <c r="C624" s="45" t="s">
        <v>20</v>
      </c>
      <c r="D624" s="39"/>
      <c r="F624" s="46"/>
      <c r="G624" s="46" t="s">
        <v>17</v>
      </c>
      <c r="H624" s="46"/>
      <c r="I624" s="46" t="s">
        <v>25</v>
      </c>
    </row>
    <row r="626" spans="1:18" ht="15.75">
      <c r="A626" s="21" t="s">
        <v>0</v>
      </c>
      <c r="B626" s="22"/>
      <c r="C626" s="23"/>
      <c r="D626" s="23"/>
      <c r="E626" s="23"/>
      <c r="F626" s="24"/>
      <c r="G626" s="24"/>
      <c r="H626" s="24"/>
      <c r="I626" s="24"/>
      <c r="J626" s="24"/>
      <c r="K626" s="24"/>
      <c r="L626" s="25"/>
    </row>
    <row r="627" spans="1:18" ht="15.75">
      <c r="A627" s="26" t="s">
        <v>533</v>
      </c>
      <c r="B627" s="21"/>
      <c r="C627" s="21"/>
      <c r="D627" s="21"/>
      <c r="E627" s="21"/>
      <c r="F627" s="24"/>
      <c r="G627" s="24"/>
      <c r="H627" s="24"/>
      <c r="I627" s="24"/>
      <c r="J627" s="24"/>
      <c r="K627" s="24"/>
      <c r="L627" s="25"/>
    </row>
    <row r="628" spans="1:18">
      <c r="A628" s="62"/>
      <c r="B628" s="62" t="s">
        <v>1</v>
      </c>
      <c r="C628" s="93" t="s">
        <v>2</v>
      </c>
      <c r="D628" s="117" t="s">
        <v>34</v>
      </c>
      <c r="E628" s="95" t="s">
        <v>3</v>
      </c>
      <c r="F628" s="93" t="s">
        <v>4</v>
      </c>
      <c r="G628" s="96" t="s">
        <v>18</v>
      </c>
      <c r="H628" s="96" t="s">
        <v>18</v>
      </c>
      <c r="I628" s="96" t="s">
        <v>540</v>
      </c>
      <c r="J628" s="97" t="s">
        <v>7</v>
      </c>
      <c r="K628" s="32" t="s">
        <v>6</v>
      </c>
      <c r="L628" s="96" t="s">
        <v>29</v>
      </c>
      <c r="M628" s="96" t="s">
        <v>21</v>
      </c>
      <c r="N628" s="96" t="s">
        <v>8</v>
      </c>
      <c r="O628" s="96" t="s">
        <v>8</v>
      </c>
      <c r="P628" s="96" t="s">
        <v>9</v>
      </c>
      <c r="Q628" s="62" t="s">
        <v>10</v>
      </c>
      <c r="R628" s="98" t="s">
        <v>33</v>
      </c>
    </row>
    <row r="629" spans="1:18">
      <c r="A629" s="99"/>
      <c r="B629" s="99"/>
      <c r="C629" s="100"/>
      <c r="D629" s="101"/>
      <c r="E629" s="102"/>
      <c r="F629" s="100"/>
      <c r="G629" s="103" t="s">
        <v>12</v>
      </c>
      <c r="H629" s="103" t="s">
        <v>12</v>
      </c>
      <c r="I629" s="127" t="s">
        <v>517</v>
      </c>
      <c r="J629" s="119" t="s">
        <v>19</v>
      </c>
      <c r="K629" s="33" t="s">
        <v>35</v>
      </c>
      <c r="L629" s="103" t="s">
        <v>22</v>
      </c>
      <c r="M629" s="103" t="s">
        <v>15</v>
      </c>
      <c r="N629" s="103" t="s">
        <v>13</v>
      </c>
      <c r="O629" s="103" t="s">
        <v>14</v>
      </c>
      <c r="P629" s="103" t="s">
        <v>12</v>
      </c>
      <c r="Q629" s="99"/>
      <c r="R629" s="104"/>
    </row>
    <row r="630" spans="1:18">
      <c r="A630" s="99"/>
      <c r="B630" s="99"/>
      <c r="C630" s="105"/>
      <c r="D630" s="101"/>
      <c r="E630" s="102"/>
      <c r="F630" s="100"/>
      <c r="G630" s="103" t="s">
        <v>41</v>
      </c>
      <c r="H630" s="103" t="s">
        <v>41</v>
      </c>
      <c r="I630" s="103" t="s">
        <v>382</v>
      </c>
      <c r="J630" s="119" t="s">
        <v>5</v>
      </c>
      <c r="K630" s="103"/>
      <c r="L630" s="103"/>
      <c r="M630" s="103"/>
      <c r="N630" s="103"/>
      <c r="O630" s="103"/>
      <c r="P630" s="103"/>
      <c r="Q630" s="99"/>
      <c r="R630" s="104"/>
    </row>
    <row r="631" spans="1:18">
      <c r="A631" s="106"/>
      <c r="B631" s="106"/>
      <c r="C631" s="107"/>
      <c r="D631" s="108"/>
      <c r="E631" s="109"/>
      <c r="F631" s="110"/>
      <c r="G631" s="111"/>
      <c r="H631" s="112"/>
      <c r="I631" s="75"/>
      <c r="J631" s="120"/>
      <c r="K631" s="111"/>
      <c r="L631" s="113"/>
      <c r="M631" s="108"/>
      <c r="N631" s="111"/>
      <c r="O631" s="111"/>
      <c r="P631" s="111"/>
      <c r="Q631" s="106"/>
      <c r="R631" s="114"/>
    </row>
    <row r="632" spans="1:18" ht="15.75">
      <c r="A632" s="52"/>
      <c r="B632" s="47"/>
      <c r="C632" s="48"/>
      <c r="D632" s="73"/>
      <c r="E632" s="17"/>
      <c r="F632" s="48"/>
      <c r="G632" s="36"/>
      <c r="H632" s="36"/>
      <c r="I632" s="125"/>
      <c r="J632" s="36"/>
      <c r="K632" s="36"/>
      <c r="L632" s="8"/>
      <c r="N632" s="8"/>
      <c r="O632" s="8"/>
      <c r="P632" s="8"/>
      <c r="Q632" s="35"/>
      <c r="R632" s="37"/>
    </row>
    <row r="633" spans="1:18" ht="15.75">
      <c r="A633" s="52">
        <v>1</v>
      </c>
      <c r="B633" s="51" t="s">
        <v>546</v>
      </c>
      <c r="C633" s="48" t="s">
        <v>547</v>
      </c>
      <c r="D633" s="67" t="s">
        <v>548</v>
      </c>
      <c r="E633" s="17">
        <v>43245</v>
      </c>
      <c r="F633" s="20" t="s">
        <v>549</v>
      </c>
      <c r="G633" s="36">
        <v>0</v>
      </c>
      <c r="H633" s="36">
        <v>2083150</v>
      </c>
      <c r="I633" s="8">
        <v>0</v>
      </c>
      <c r="J633" s="8">
        <v>52079</v>
      </c>
      <c r="K633" s="8">
        <v>0</v>
      </c>
      <c r="L633" s="8">
        <v>200000</v>
      </c>
      <c r="M633" s="8">
        <v>200000</v>
      </c>
      <c r="N633" s="8">
        <f>SUM(G633:M633)</f>
        <v>2535229</v>
      </c>
      <c r="O633" s="8">
        <f>50000000-N633</f>
        <v>47464771</v>
      </c>
      <c r="P633" s="8">
        <f t="shared" ref="P633:P634" si="81">+N633+O633</f>
        <v>50000000</v>
      </c>
      <c r="Q633" s="77" t="s">
        <v>550</v>
      </c>
      <c r="R633" s="66" t="s">
        <v>52</v>
      </c>
    </row>
    <row r="634" spans="1:18" ht="15.75">
      <c r="A634" s="52">
        <v>2</v>
      </c>
      <c r="B634" s="51" t="s">
        <v>556</v>
      </c>
      <c r="C634" s="48" t="s">
        <v>557</v>
      </c>
      <c r="D634" s="67" t="s">
        <v>558</v>
      </c>
      <c r="E634" s="17">
        <v>43245</v>
      </c>
      <c r="F634" s="20" t="s">
        <v>559</v>
      </c>
      <c r="G634" s="36">
        <v>0</v>
      </c>
      <c r="H634" s="36">
        <v>4500000</v>
      </c>
      <c r="I634" s="8">
        <v>0</v>
      </c>
      <c r="J634" s="8">
        <v>112500</v>
      </c>
      <c r="K634" s="8">
        <v>0</v>
      </c>
      <c r="L634" s="8">
        <v>670000</v>
      </c>
      <c r="M634" s="8">
        <v>200000</v>
      </c>
      <c r="N634" s="8">
        <f>SUM(G634:M634)</f>
        <v>5482500</v>
      </c>
      <c r="O634" s="8">
        <f>97000000-N634</f>
        <v>91517500</v>
      </c>
      <c r="P634" s="8">
        <f t="shared" si="81"/>
        <v>97000000</v>
      </c>
      <c r="Q634" s="77" t="s">
        <v>215</v>
      </c>
      <c r="R634" s="66" t="s">
        <v>52</v>
      </c>
    </row>
    <row r="635" spans="1:18" ht="15.75">
      <c r="A635" s="52">
        <v>3</v>
      </c>
      <c r="B635" s="51" t="s">
        <v>551</v>
      </c>
      <c r="C635" s="48" t="s">
        <v>552</v>
      </c>
      <c r="D635" s="67" t="s">
        <v>553</v>
      </c>
      <c r="E635" s="17">
        <v>43245</v>
      </c>
      <c r="F635" s="20" t="s">
        <v>554</v>
      </c>
      <c r="G635" s="36">
        <v>0</v>
      </c>
      <c r="H635" s="36">
        <v>34000000</v>
      </c>
      <c r="I635" s="8">
        <v>0</v>
      </c>
      <c r="J635" s="8">
        <v>850000</v>
      </c>
      <c r="K635" s="8">
        <v>0</v>
      </c>
      <c r="L635" s="8">
        <v>910000</v>
      </c>
      <c r="M635" s="8">
        <v>200000</v>
      </c>
      <c r="N635" s="8">
        <f>SUM(G635:M635)</f>
        <v>35960000</v>
      </c>
      <c r="O635" s="8">
        <f>125000000-N635</f>
        <v>89040000</v>
      </c>
      <c r="P635" s="8">
        <f t="shared" ref="P635" si="82">+N635+O635</f>
        <v>125000000</v>
      </c>
      <c r="Q635" s="128" t="s">
        <v>555</v>
      </c>
      <c r="R635" s="66" t="s">
        <v>52</v>
      </c>
    </row>
    <row r="636" spans="1:18" ht="15.75">
      <c r="A636" s="52">
        <v>4</v>
      </c>
      <c r="B636" s="51" t="s">
        <v>565</v>
      </c>
      <c r="C636" s="48" t="s">
        <v>566</v>
      </c>
      <c r="D636" s="67" t="s">
        <v>567</v>
      </c>
      <c r="E636" s="17">
        <v>43245</v>
      </c>
      <c r="F636" s="20" t="s">
        <v>568</v>
      </c>
      <c r="G636" s="36">
        <v>0</v>
      </c>
      <c r="H636" s="36">
        <v>92602468</v>
      </c>
      <c r="I636" s="8">
        <v>0</v>
      </c>
      <c r="J636" s="8">
        <v>2315062</v>
      </c>
      <c r="K636" s="8">
        <v>0</v>
      </c>
      <c r="L636" s="8">
        <v>1573975</v>
      </c>
      <c r="M636" s="8">
        <v>200000</v>
      </c>
      <c r="N636" s="8">
        <f>SUM(G636:M636)</f>
        <v>96691505</v>
      </c>
      <c r="O636" s="8">
        <f>250000000-N636</f>
        <v>153308495</v>
      </c>
      <c r="P636" s="8">
        <f t="shared" ref="P636" si="83">+N636+O636</f>
        <v>250000000</v>
      </c>
      <c r="Q636" s="77" t="s">
        <v>292</v>
      </c>
      <c r="R636" s="66" t="s">
        <v>52</v>
      </c>
    </row>
    <row r="637" spans="1:18" ht="15.75">
      <c r="A637" s="52"/>
      <c r="B637" s="51"/>
      <c r="C637" s="48"/>
      <c r="E637" s="17"/>
      <c r="F637" s="48"/>
      <c r="G637" s="36"/>
      <c r="H637" s="36"/>
      <c r="I637" s="75"/>
      <c r="J637" s="36"/>
      <c r="K637" s="36"/>
      <c r="L637" s="36"/>
      <c r="N637" s="8"/>
      <c r="O637" s="8"/>
      <c r="P637" s="8"/>
      <c r="Q637" s="59"/>
      <c r="R637" s="66"/>
    </row>
    <row r="638" spans="1:18" ht="16.5" thickBot="1">
      <c r="A638" s="18"/>
      <c r="B638" s="55"/>
      <c r="C638" s="56"/>
      <c r="D638" s="74"/>
      <c r="E638" s="56"/>
      <c r="F638" s="57"/>
      <c r="G638" s="19">
        <f>SUM(G633:G637)</f>
        <v>0</v>
      </c>
      <c r="H638" s="19">
        <f t="shared" ref="H638:P638" si="84">SUM(H633:H637)</f>
        <v>133185618</v>
      </c>
      <c r="I638" s="19">
        <f t="shared" si="84"/>
        <v>0</v>
      </c>
      <c r="J638" s="19">
        <f t="shared" si="84"/>
        <v>3329641</v>
      </c>
      <c r="K638" s="19">
        <f t="shared" si="84"/>
        <v>0</v>
      </c>
      <c r="L638" s="19">
        <f t="shared" si="84"/>
        <v>3353975</v>
      </c>
      <c r="M638" s="19">
        <f t="shared" si="84"/>
        <v>800000</v>
      </c>
      <c r="N638" s="19">
        <f t="shared" si="84"/>
        <v>140669234</v>
      </c>
      <c r="O638" s="19">
        <f t="shared" si="84"/>
        <v>381330766</v>
      </c>
      <c r="P638" s="19">
        <f t="shared" si="84"/>
        <v>522000000</v>
      </c>
      <c r="Q638" s="68"/>
      <c r="R638" s="70"/>
    </row>
    <row r="639" spans="1:18" ht="16.5" thickTop="1">
      <c r="A639" s="23"/>
      <c r="B639" s="22"/>
      <c r="C639" s="22"/>
      <c r="D639" s="23"/>
      <c r="E639" s="22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2"/>
      <c r="Q639" s="69"/>
    </row>
    <row r="640" spans="1:18" ht="15.75">
      <c r="A640" s="23"/>
      <c r="B640" s="28" t="s">
        <v>543</v>
      </c>
      <c r="C640" s="22"/>
      <c r="D640" s="39"/>
      <c r="F640" s="27"/>
      <c r="G640" s="28"/>
      <c r="H640" s="28"/>
      <c r="I640" s="28"/>
      <c r="J640" s="28"/>
      <c r="K640" s="28"/>
      <c r="L640" s="28"/>
      <c r="Q640" s="51"/>
    </row>
    <row r="641" spans="1:18" ht="15.75">
      <c r="A641" s="38"/>
      <c r="B641" s="40" t="s">
        <v>32</v>
      </c>
      <c r="C641" s="28" t="s">
        <v>28</v>
      </c>
      <c r="D641" s="39"/>
      <c r="F641" s="41"/>
      <c r="G641" s="143" t="s">
        <v>26</v>
      </c>
      <c r="H641" s="143"/>
      <c r="I641" s="143"/>
      <c r="K641" s="41"/>
    </row>
    <row r="642" spans="1:18" ht="15.75">
      <c r="A642" s="38"/>
      <c r="B642" s="40"/>
      <c r="C642" s="28"/>
      <c r="D642" s="39"/>
      <c r="F642" s="28"/>
      <c r="G642" s="28"/>
      <c r="H642" s="28"/>
      <c r="I642" s="28"/>
      <c r="J642" s="28"/>
      <c r="K642" s="28"/>
      <c r="L642" s="28"/>
    </row>
    <row r="643" spans="1:18" ht="15.75">
      <c r="A643" s="38"/>
      <c r="B643" s="40"/>
      <c r="C643" s="28"/>
      <c r="D643" s="39"/>
      <c r="F643" s="28"/>
      <c r="G643" s="28"/>
      <c r="H643" s="28"/>
      <c r="I643" s="28"/>
      <c r="J643" s="28"/>
      <c r="K643" s="28"/>
      <c r="L643" s="28"/>
    </row>
    <row r="644" spans="1:18" ht="15.75">
      <c r="A644" s="38"/>
      <c r="B644" s="40"/>
      <c r="C644" s="28"/>
      <c r="D644" s="39"/>
      <c r="F644" s="28"/>
      <c r="G644" s="28"/>
      <c r="H644" s="28"/>
      <c r="I644" s="28"/>
      <c r="J644" s="28"/>
      <c r="K644" s="28"/>
    </row>
    <row r="645" spans="1:18" ht="15.75">
      <c r="A645" s="38"/>
      <c r="B645" s="40"/>
      <c r="C645" s="28"/>
      <c r="D645" s="39"/>
      <c r="F645" s="28"/>
      <c r="G645" s="28"/>
      <c r="H645" s="28"/>
      <c r="I645" s="28"/>
      <c r="J645" s="28"/>
      <c r="K645" s="28"/>
      <c r="L645" s="28"/>
    </row>
    <row r="646" spans="1:18" ht="15.75">
      <c r="A646" s="38" t="s">
        <v>23</v>
      </c>
      <c r="B646" s="42" t="s">
        <v>27</v>
      </c>
      <c r="C646" s="43" t="s">
        <v>24</v>
      </c>
      <c r="D646" s="39"/>
      <c r="F646" s="29"/>
      <c r="G646" s="29" t="s">
        <v>16</v>
      </c>
      <c r="H646" s="29"/>
      <c r="I646" s="29" t="s">
        <v>30</v>
      </c>
    </row>
    <row r="647" spans="1:18" ht="15.75">
      <c r="A647" s="38"/>
      <c r="B647" s="44" t="s">
        <v>31</v>
      </c>
      <c r="C647" s="45" t="s">
        <v>20</v>
      </c>
      <c r="D647" s="39"/>
      <c r="F647" s="46"/>
      <c r="G647" s="46" t="s">
        <v>17</v>
      </c>
      <c r="H647" s="46"/>
      <c r="I647" s="46" t="s">
        <v>25</v>
      </c>
    </row>
    <row r="649" spans="1:18" ht="15.75">
      <c r="A649" s="21" t="s">
        <v>0</v>
      </c>
      <c r="B649" s="22"/>
      <c r="C649" s="23"/>
      <c r="D649" s="23"/>
      <c r="E649" s="23"/>
      <c r="F649" s="24"/>
      <c r="G649" s="24"/>
      <c r="H649" s="24"/>
      <c r="I649" s="24"/>
      <c r="J649" s="24"/>
      <c r="K649" s="24"/>
      <c r="L649" s="25"/>
    </row>
    <row r="650" spans="1:18" ht="15.75">
      <c r="A650" s="26" t="s">
        <v>533</v>
      </c>
      <c r="B650" s="21"/>
      <c r="C650" s="21"/>
      <c r="D650" s="21"/>
      <c r="E650" s="21"/>
      <c r="F650" s="24"/>
      <c r="G650" s="24"/>
      <c r="H650" s="24"/>
      <c r="I650" s="24"/>
      <c r="J650" s="24"/>
      <c r="K650" s="24"/>
      <c r="L650" s="25"/>
    </row>
    <row r="651" spans="1:18">
      <c r="A651" s="62"/>
      <c r="B651" s="62" t="s">
        <v>1</v>
      </c>
      <c r="C651" s="93" t="s">
        <v>2</v>
      </c>
      <c r="D651" s="117" t="s">
        <v>34</v>
      </c>
      <c r="E651" s="95" t="s">
        <v>3</v>
      </c>
      <c r="F651" s="93" t="s">
        <v>4</v>
      </c>
      <c r="G651" s="96" t="s">
        <v>18</v>
      </c>
      <c r="H651" s="96" t="s">
        <v>540</v>
      </c>
      <c r="I651" s="97" t="s">
        <v>7</v>
      </c>
      <c r="J651" s="97" t="s">
        <v>6</v>
      </c>
      <c r="K651" s="97" t="s">
        <v>632</v>
      </c>
      <c r="L651" s="96" t="s">
        <v>29</v>
      </c>
      <c r="M651" s="96" t="s">
        <v>21</v>
      </c>
      <c r="N651" s="96" t="s">
        <v>8</v>
      </c>
      <c r="O651" s="96" t="s">
        <v>8</v>
      </c>
      <c r="P651" s="96" t="s">
        <v>9</v>
      </c>
      <c r="Q651" s="62" t="s">
        <v>10</v>
      </c>
      <c r="R651" s="98" t="s">
        <v>33</v>
      </c>
    </row>
    <row r="652" spans="1:18">
      <c r="A652" s="99"/>
      <c r="B652" s="99"/>
      <c r="C652" s="100"/>
      <c r="D652" s="101"/>
      <c r="E652" s="102"/>
      <c r="F652" s="100"/>
      <c r="G652" s="103" t="s">
        <v>12</v>
      </c>
      <c r="H652" s="127" t="s">
        <v>517</v>
      </c>
      <c r="I652" s="119" t="s">
        <v>19</v>
      </c>
      <c r="J652" s="119" t="s">
        <v>517</v>
      </c>
      <c r="K652" s="119" t="s">
        <v>517</v>
      </c>
      <c r="L652" s="103" t="s">
        <v>22</v>
      </c>
      <c r="M652" s="103" t="s">
        <v>15</v>
      </c>
      <c r="N652" s="103" t="s">
        <v>13</v>
      </c>
      <c r="O652" s="103" t="s">
        <v>14</v>
      </c>
      <c r="P652" s="103" t="s">
        <v>12</v>
      </c>
      <c r="Q652" s="99"/>
      <c r="R652" s="104"/>
    </row>
    <row r="653" spans="1:18">
      <c r="A653" s="99"/>
      <c r="B653" s="99"/>
      <c r="C653" s="105"/>
      <c r="D653" s="101"/>
      <c r="E653" s="102"/>
      <c r="F653" s="100"/>
      <c r="G653" s="103" t="s">
        <v>41</v>
      </c>
      <c r="H653" s="103" t="s">
        <v>382</v>
      </c>
      <c r="I653" s="119" t="s">
        <v>5</v>
      </c>
      <c r="J653" s="119" t="s">
        <v>382</v>
      </c>
      <c r="K653" s="119" t="s">
        <v>382</v>
      </c>
      <c r="L653" s="103"/>
      <c r="M653" s="103"/>
      <c r="N653" s="103"/>
      <c r="O653" s="103"/>
      <c r="P653" s="103"/>
      <c r="Q653" s="99"/>
      <c r="R653" s="104"/>
    </row>
    <row r="654" spans="1:18">
      <c r="A654" s="106"/>
      <c r="B654" s="106"/>
      <c r="C654" s="107"/>
      <c r="D654" s="108"/>
      <c r="E654" s="109"/>
      <c r="F654" s="110"/>
      <c r="G654" s="111"/>
      <c r="H654" s="112"/>
      <c r="I654" s="75"/>
      <c r="J654" s="120" t="s">
        <v>90</v>
      </c>
      <c r="K654" s="120" t="s">
        <v>90</v>
      </c>
      <c r="L654" s="113"/>
      <c r="M654" s="108"/>
      <c r="N654" s="111"/>
      <c r="O654" s="111"/>
      <c r="P654" s="111"/>
      <c r="Q654" s="106"/>
      <c r="R654" s="114"/>
    </row>
    <row r="655" spans="1:18" ht="15.75">
      <c r="A655" s="52"/>
      <c r="B655" s="47"/>
      <c r="C655" s="48"/>
      <c r="D655" s="73"/>
      <c r="E655" s="17"/>
      <c r="F655" s="48"/>
      <c r="G655" s="36"/>
      <c r="H655" s="36"/>
      <c r="I655" s="125"/>
      <c r="J655" s="36"/>
      <c r="K655" s="36"/>
      <c r="L655" s="8"/>
      <c r="N655" s="8"/>
      <c r="O655" s="8"/>
      <c r="P655" s="8"/>
      <c r="Q655" s="35"/>
      <c r="R655" s="37"/>
    </row>
    <row r="656" spans="1:18" ht="15.75">
      <c r="A656" s="52">
        <v>1</v>
      </c>
      <c r="B656" s="51" t="s">
        <v>569</v>
      </c>
      <c r="C656" s="48" t="s">
        <v>570</v>
      </c>
      <c r="D656" s="67" t="s">
        <v>571</v>
      </c>
      <c r="E656" s="17">
        <v>43245</v>
      </c>
      <c r="F656" s="20" t="s">
        <v>572</v>
      </c>
      <c r="G656" s="36">
        <v>147515447</v>
      </c>
      <c r="H656" s="8">
        <v>24069026</v>
      </c>
      <c r="I656" s="8">
        <v>3687886</v>
      </c>
      <c r="J656" s="8">
        <v>312897</v>
      </c>
      <c r="K656" s="8">
        <v>2406903</v>
      </c>
      <c r="L656" s="8">
        <v>1000000</v>
      </c>
      <c r="M656" s="8">
        <v>200000</v>
      </c>
      <c r="N656" s="8">
        <f>SUM(G656:M656)</f>
        <v>179192159</v>
      </c>
      <c r="O656" s="8">
        <f>279192159-N656</f>
        <v>100000000</v>
      </c>
      <c r="P656" s="8">
        <f t="shared" ref="P656" si="85">+N656+O656</f>
        <v>279192159</v>
      </c>
      <c r="Q656" s="59" t="s">
        <v>573</v>
      </c>
      <c r="R656" s="66" t="s">
        <v>52</v>
      </c>
    </row>
    <row r="657" spans="1:18" ht="15.75">
      <c r="A657" s="52"/>
      <c r="B657" s="51"/>
      <c r="C657" s="48"/>
      <c r="E657" s="17"/>
      <c r="F657" s="48"/>
      <c r="G657" s="36"/>
      <c r="H657" s="36"/>
      <c r="I657" s="75"/>
      <c r="J657" s="36"/>
      <c r="K657" s="36"/>
      <c r="L657" s="36"/>
      <c r="N657" s="8"/>
      <c r="O657" s="8"/>
      <c r="P657" s="8"/>
      <c r="Q657" s="59"/>
      <c r="R657" s="66"/>
    </row>
    <row r="658" spans="1:18" ht="16.5" thickBot="1">
      <c r="A658" s="18"/>
      <c r="B658" s="55"/>
      <c r="C658" s="56"/>
      <c r="D658" s="74"/>
      <c r="E658" s="56"/>
      <c r="F658" s="57"/>
      <c r="G658" s="19">
        <f t="shared" ref="G658:P658" si="86">SUM(G656:G657)</f>
        <v>147515447</v>
      </c>
      <c r="H658" s="19">
        <f t="shared" si="86"/>
        <v>24069026</v>
      </c>
      <c r="I658" s="19">
        <f t="shared" si="86"/>
        <v>3687886</v>
      </c>
      <c r="J658" s="19">
        <f t="shared" si="86"/>
        <v>312897</v>
      </c>
      <c r="K658" s="19">
        <f t="shared" si="86"/>
        <v>2406903</v>
      </c>
      <c r="L658" s="19">
        <f t="shared" si="86"/>
        <v>1000000</v>
      </c>
      <c r="M658" s="19">
        <f t="shared" si="86"/>
        <v>200000</v>
      </c>
      <c r="N658" s="19">
        <f t="shared" si="86"/>
        <v>179192159</v>
      </c>
      <c r="O658" s="19">
        <f t="shared" si="86"/>
        <v>100000000</v>
      </c>
      <c r="P658" s="19">
        <f t="shared" si="86"/>
        <v>279192159</v>
      </c>
      <c r="Q658" s="68"/>
      <c r="R658" s="70"/>
    </row>
    <row r="659" spans="1:18" ht="16.5" thickTop="1">
      <c r="A659" s="23"/>
      <c r="B659" s="22"/>
      <c r="C659" s="22"/>
      <c r="D659" s="23"/>
      <c r="E659" s="22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2"/>
      <c r="Q659" s="69"/>
    </row>
    <row r="660" spans="1:18" ht="15.75">
      <c r="A660" s="23"/>
      <c r="B660" s="28" t="s">
        <v>543</v>
      </c>
      <c r="C660" s="22"/>
      <c r="D660" s="39"/>
      <c r="F660" s="27"/>
      <c r="G660" s="28"/>
      <c r="H660" s="28"/>
      <c r="I660" s="28"/>
      <c r="J660" s="28"/>
      <c r="K660" s="28"/>
      <c r="L660" s="28"/>
      <c r="Q660" s="51"/>
    </row>
    <row r="661" spans="1:18" ht="15.75">
      <c r="A661" s="38"/>
      <c r="B661" s="40" t="s">
        <v>32</v>
      </c>
      <c r="C661" s="28" t="s">
        <v>28</v>
      </c>
      <c r="D661" s="39"/>
      <c r="F661" s="41"/>
      <c r="G661" s="143" t="s">
        <v>26</v>
      </c>
      <c r="H661" s="143"/>
      <c r="I661" s="143"/>
      <c r="K661" s="41"/>
    </row>
    <row r="662" spans="1:18" ht="15.75">
      <c r="A662" s="38"/>
      <c r="B662" s="40"/>
      <c r="C662" s="28"/>
      <c r="D662" s="39"/>
      <c r="F662" s="28"/>
      <c r="G662" s="28"/>
      <c r="H662" s="28"/>
      <c r="I662" s="28"/>
      <c r="J662" s="28"/>
      <c r="K662" s="28"/>
      <c r="L662" s="28"/>
    </row>
    <row r="663" spans="1:18" ht="15.75">
      <c r="A663" s="38"/>
      <c r="B663" s="40"/>
      <c r="C663" s="28"/>
      <c r="D663" s="39"/>
      <c r="F663" s="28"/>
      <c r="G663" s="28"/>
      <c r="H663" s="28"/>
      <c r="I663" s="28"/>
      <c r="J663" s="28"/>
      <c r="K663" s="28"/>
      <c r="L663" s="28"/>
    </row>
    <row r="664" spans="1:18" ht="15.75">
      <c r="A664" s="38"/>
      <c r="B664" s="40"/>
      <c r="C664" s="28"/>
      <c r="D664" s="39"/>
      <c r="F664" s="28"/>
      <c r="G664" s="28"/>
      <c r="H664" s="28"/>
      <c r="I664" s="28"/>
      <c r="J664" s="28"/>
      <c r="K664" s="28"/>
    </row>
    <row r="665" spans="1:18" ht="15.75">
      <c r="A665" s="38"/>
      <c r="B665" s="40"/>
      <c r="C665" s="28"/>
      <c r="D665" s="39"/>
      <c r="F665" s="28"/>
      <c r="G665" s="28"/>
      <c r="H665" s="28"/>
      <c r="I665" s="28"/>
      <c r="J665" s="28"/>
      <c r="K665" s="28"/>
      <c r="L665" s="28"/>
    </row>
    <row r="666" spans="1:18" ht="15.75">
      <c r="A666" s="38" t="s">
        <v>23</v>
      </c>
      <c r="B666" s="42" t="s">
        <v>27</v>
      </c>
      <c r="C666" s="43" t="s">
        <v>24</v>
      </c>
      <c r="D666" s="39"/>
      <c r="F666" s="29"/>
      <c r="G666" s="29" t="s">
        <v>16</v>
      </c>
      <c r="H666" s="29"/>
      <c r="I666" s="29" t="s">
        <v>30</v>
      </c>
    </row>
    <row r="667" spans="1:18" ht="15.75">
      <c r="A667" s="38"/>
      <c r="B667" s="44" t="s">
        <v>31</v>
      </c>
      <c r="C667" s="45" t="s">
        <v>20</v>
      </c>
      <c r="D667" s="39"/>
      <c r="F667" s="46"/>
      <c r="G667" s="46" t="s">
        <v>17</v>
      </c>
      <c r="H667" s="46"/>
      <c r="I667" s="46" t="s">
        <v>25</v>
      </c>
    </row>
    <row r="669" spans="1:18" ht="15.75">
      <c r="A669" s="21" t="s">
        <v>0</v>
      </c>
      <c r="B669" s="22"/>
      <c r="C669" s="23"/>
      <c r="D669" s="23"/>
      <c r="E669" s="23"/>
      <c r="F669" s="24"/>
      <c r="G669" s="24"/>
      <c r="H669" s="24"/>
      <c r="I669" s="24"/>
      <c r="J669" s="24"/>
      <c r="K669" s="24"/>
      <c r="L669" s="25"/>
    </row>
    <row r="670" spans="1:18" ht="15.75">
      <c r="A670" s="26" t="s">
        <v>574</v>
      </c>
      <c r="B670" s="21"/>
      <c r="C670" s="21"/>
      <c r="D670" s="21"/>
      <c r="E670" s="21"/>
      <c r="F670" s="24"/>
      <c r="G670" s="24"/>
      <c r="H670" s="24"/>
      <c r="I670" s="24"/>
      <c r="J670" s="24"/>
      <c r="K670" s="24"/>
      <c r="L670" s="25"/>
    </row>
    <row r="671" spans="1:18">
      <c r="A671" s="62"/>
      <c r="B671" s="62" t="s">
        <v>1</v>
      </c>
      <c r="C671" s="93" t="s">
        <v>2</v>
      </c>
      <c r="D671" s="117" t="s">
        <v>34</v>
      </c>
      <c r="E671" s="95" t="s">
        <v>3</v>
      </c>
      <c r="F671" s="93" t="s">
        <v>4</v>
      </c>
      <c r="G671" s="96" t="s">
        <v>18</v>
      </c>
      <c r="H671" s="96" t="s">
        <v>540</v>
      </c>
      <c r="I671" s="97" t="s">
        <v>7</v>
      </c>
      <c r="J671" s="97" t="s">
        <v>6</v>
      </c>
      <c r="K671" s="97" t="s">
        <v>6</v>
      </c>
      <c r="L671" s="96" t="s">
        <v>29</v>
      </c>
      <c r="M671" s="96" t="s">
        <v>21</v>
      </c>
      <c r="N671" s="96" t="s">
        <v>8</v>
      </c>
      <c r="O671" s="96" t="s">
        <v>8</v>
      </c>
      <c r="P671" s="96" t="s">
        <v>9</v>
      </c>
      <c r="Q671" s="62" t="s">
        <v>10</v>
      </c>
      <c r="R671" s="98" t="s">
        <v>33</v>
      </c>
    </row>
    <row r="672" spans="1:18">
      <c r="A672" s="99"/>
      <c r="B672" s="99"/>
      <c r="C672" s="100"/>
      <c r="D672" s="101"/>
      <c r="E672" s="102"/>
      <c r="F672" s="100"/>
      <c r="G672" s="103" t="s">
        <v>12</v>
      </c>
      <c r="H672" s="127" t="s">
        <v>517</v>
      </c>
      <c r="I672" s="119" t="s">
        <v>19</v>
      </c>
      <c r="J672" s="119" t="s">
        <v>517</v>
      </c>
      <c r="K672" s="119" t="s">
        <v>517</v>
      </c>
      <c r="L672" s="103" t="s">
        <v>22</v>
      </c>
      <c r="M672" s="103" t="s">
        <v>15</v>
      </c>
      <c r="N672" s="103" t="s">
        <v>13</v>
      </c>
      <c r="O672" s="103" t="s">
        <v>14</v>
      </c>
      <c r="P672" s="103" t="s">
        <v>12</v>
      </c>
      <c r="Q672" s="99"/>
      <c r="R672" s="104"/>
    </row>
    <row r="673" spans="1:18">
      <c r="A673" s="99"/>
      <c r="B673" s="99"/>
      <c r="C673" s="105"/>
      <c r="D673" s="101"/>
      <c r="E673" s="102"/>
      <c r="F673" s="100"/>
      <c r="G673" s="103" t="s">
        <v>41</v>
      </c>
      <c r="H673" s="103" t="s">
        <v>382</v>
      </c>
      <c r="I673" s="119" t="s">
        <v>5</v>
      </c>
      <c r="J673" s="119" t="s">
        <v>382</v>
      </c>
      <c r="K673" s="119" t="s">
        <v>382</v>
      </c>
      <c r="L673" s="103"/>
      <c r="M673" s="103"/>
      <c r="N673" s="103"/>
      <c r="O673" s="103"/>
      <c r="P673" s="103"/>
      <c r="Q673" s="99"/>
      <c r="R673" s="104"/>
    </row>
    <row r="674" spans="1:18">
      <c r="A674" s="106"/>
      <c r="B674" s="106"/>
      <c r="C674" s="107"/>
      <c r="D674" s="108"/>
      <c r="E674" s="109"/>
      <c r="F674" s="110"/>
      <c r="G674" s="111"/>
      <c r="H674" s="112"/>
      <c r="I674" s="75"/>
      <c r="J674" s="120" t="s">
        <v>90</v>
      </c>
      <c r="K674" s="120" t="s">
        <v>90</v>
      </c>
      <c r="L674" s="113"/>
      <c r="M674" s="108"/>
      <c r="N674" s="111"/>
      <c r="O674" s="111"/>
      <c r="P674" s="111"/>
      <c r="Q674" s="106"/>
      <c r="R674" s="114"/>
    </row>
    <row r="675" spans="1:18" ht="15.75">
      <c r="A675" s="52"/>
      <c r="B675" s="47"/>
      <c r="C675" s="48"/>
      <c r="D675" s="73"/>
      <c r="E675" s="17"/>
      <c r="F675" s="48"/>
      <c r="G675" s="36"/>
      <c r="H675" s="36"/>
      <c r="I675" s="125"/>
      <c r="J675" s="36"/>
      <c r="K675" s="36"/>
      <c r="L675" s="8"/>
      <c r="N675" s="8"/>
      <c r="O675" s="8"/>
      <c r="P675" s="8"/>
      <c r="Q675" s="35"/>
      <c r="R675" s="37"/>
    </row>
    <row r="676" spans="1:18" ht="15.75">
      <c r="A676" s="52">
        <v>1</v>
      </c>
      <c r="B676" s="51" t="s">
        <v>575</v>
      </c>
      <c r="C676" s="48" t="s">
        <v>576</v>
      </c>
      <c r="D676" s="67" t="s">
        <v>577</v>
      </c>
      <c r="E676" s="17">
        <v>43248</v>
      </c>
      <c r="F676" s="20" t="s">
        <v>578</v>
      </c>
      <c r="G676" s="36">
        <v>32419417</v>
      </c>
      <c r="H676" s="8">
        <v>0</v>
      </c>
      <c r="I676" s="8">
        <v>810485</v>
      </c>
      <c r="J676" s="8">
        <v>0</v>
      </c>
      <c r="K676" s="8">
        <v>0</v>
      </c>
      <c r="L676" s="8">
        <v>100000</v>
      </c>
      <c r="M676" s="8">
        <v>200000</v>
      </c>
      <c r="N676" s="8">
        <f>SUM(G676:M676)</f>
        <v>33529902</v>
      </c>
      <c r="O676" s="8">
        <f>43529902-N676</f>
        <v>10000000</v>
      </c>
      <c r="P676" s="8">
        <f t="shared" ref="P676" si="87">+N676+O676</f>
        <v>43529902</v>
      </c>
      <c r="Q676" s="59" t="s">
        <v>134</v>
      </c>
      <c r="R676" s="66" t="s">
        <v>52</v>
      </c>
    </row>
    <row r="677" spans="1:18" ht="15.75">
      <c r="A677" s="52">
        <v>2</v>
      </c>
      <c r="B677" s="51" t="s">
        <v>465</v>
      </c>
      <c r="C677" s="48" t="s">
        <v>466</v>
      </c>
      <c r="D677" s="67" t="s">
        <v>579</v>
      </c>
      <c r="E677" s="17">
        <v>43248</v>
      </c>
      <c r="F677" s="20" t="s">
        <v>468</v>
      </c>
      <c r="G677" s="36">
        <v>29154000</v>
      </c>
      <c r="H677" s="8">
        <v>0</v>
      </c>
      <c r="I677" s="8">
        <v>728850</v>
      </c>
      <c r="J677" s="8">
        <v>0</v>
      </c>
      <c r="K677" s="8">
        <v>0</v>
      </c>
      <c r="L677" s="8">
        <v>391540</v>
      </c>
      <c r="M677" s="8">
        <v>200000</v>
      </c>
      <c r="N677" s="8">
        <f>SUM(G677:M677)</f>
        <v>30474390</v>
      </c>
      <c r="O677" s="8">
        <f>70474390-N677</f>
        <v>40000000</v>
      </c>
      <c r="P677" s="8">
        <f t="shared" ref="P677" si="88">+N677+O677</f>
        <v>70474390</v>
      </c>
      <c r="Q677" s="59" t="s">
        <v>393</v>
      </c>
      <c r="R677" s="66" t="s">
        <v>52</v>
      </c>
    </row>
    <row r="678" spans="1:18" ht="15.75">
      <c r="A678" s="52">
        <v>3</v>
      </c>
      <c r="B678" s="51" t="s">
        <v>580</v>
      </c>
      <c r="C678" s="48" t="s">
        <v>581</v>
      </c>
      <c r="D678" s="67" t="s">
        <v>582</v>
      </c>
      <c r="E678" s="17">
        <v>43248</v>
      </c>
      <c r="F678" s="20" t="s">
        <v>583</v>
      </c>
      <c r="G678" s="36">
        <v>30971500</v>
      </c>
      <c r="H678" s="8">
        <v>0</v>
      </c>
      <c r="I678" s="8">
        <v>774288</v>
      </c>
      <c r="J678" s="8">
        <v>0</v>
      </c>
      <c r="K678" s="8">
        <v>0</v>
      </c>
      <c r="L678" s="8">
        <v>1000000</v>
      </c>
      <c r="M678" s="8">
        <v>200000</v>
      </c>
      <c r="N678" s="8">
        <f>SUM(G678:M678)</f>
        <v>32945788</v>
      </c>
      <c r="O678" s="8">
        <f>132945788-N678</f>
        <v>100000000</v>
      </c>
      <c r="P678" s="8">
        <f t="shared" ref="P678" si="89">+N678+O678</f>
        <v>132945788</v>
      </c>
      <c r="Q678" s="59" t="s">
        <v>584</v>
      </c>
      <c r="R678" s="66" t="s">
        <v>52</v>
      </c>
    </row>
    <row r="679" spans="1:18" ht="15.75">
      <c r="A679" s="52"/>
      <c r="B679" s="51"/>
      <c r="C679" s="48"/>
      <c r="E679" s="17"/>
      <c r="F679" s="48"/>
      <c r="G679" s="36"/>
      <c r="H679" s="36"/>
      <c r="I679" s="75"/>
      <c r="J679" s="36"/>
      <c r="K679" s="36"/>
      <c r="L679" s="36"/>
      <c r="N679" s="8"/>
      <c r="O679" s="8"/>
      <c r="P679" s="8"/>
      <c r="Q679" s="59"/>
      <c r="R679" s="66"/>
    </row>
    <row r="680" spans="1:18" ht="16.5" thickBot="1">
      <c r="A680" s="18"/>
      <c r="B680" s="55"/>
      <c r="C680" s="56"/>
      <c r="D680" s="74"/>
      <c r="E680" s="56"/>
      <c r="F680" s="57"/>
      <c r="G680" s="19">
        <f t="shared" ref="G680:P680" si="90">SUM(G676:G679)</f>
        <v>92544917</v>
      </c>
      <c r="H680" s="19">
        <f t="shared" si="90"/>
        <v>0</v>
      </c>
      <c r="I680" s="19">
        <f t="shared" si="90"/>
        <v>2313623</v>
      </c>
      <c r="J680" s="19">
        <f t="shared" si="90"/>
        <v>0</v>
      </c>
      <c r="K680" s="19">
        <f t="shared" si="90"/>
        <v>0</v>
      </c>
      <c r="L680" s="19">
        <f t="shared" si="90"/>
        <v>1491540</v>
      </c>
      <c r="M680" s="19">
        <f t="shared" si="90"/>
        <v>600000</v>
      </c>
      <c r="N680" s="19">
        <f t="shared" si="90"/>
        <v>96950080</v>
      </c>
      <c r="O680" s="19">
        <f t="shared" si="90"/>
        <v>150000000</v>
      </c>
      <c r="P680" s="19">
        <f t="shared" si="90"/>
        <v>246950080</v>
      </c>
      <c r="Q680" s="68"/>
      <c r="R680" s="70"/>
    </row>
    <row r="681" spans="1:18" ht="16.5" thickTop="1">
      <c r="A681" s="23"/>
      <c r="B681" s="22"/>
      <c r="C681" s="22"/>
      <c r="D681" s="23"/>
      <c r="E681" s="22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2"/>
      <c r="Q681" s="69"/>
    </row>
    <row r="682" spans="1:18" ht="15.75">
      <c r="A682" s="23"/>
      <c r="B682" s="28" t="s">
        <v>590</v>
      </c>
      <c r="C682" s="22"/>
      <c r="D682" s="39"/>
      <c r="F682" s="27"/>
      <c r="G682" s="28"/>
      <c r="H682" s="28"/>
      <c r="I682" s="28"/>
      <c r="J682" s="28"/>
      <c r="K682" s="28"/>
      <c r="L682" s="28"/>
      <c r="Q682" s="51"/>
    </row>
    <row r="683" spans="1:18" ht="15.75">
      <c r="A683" s="38"/>
      <c r="B683" s="40" t="s">
        <v>32</v>
      </c>
      <c r="C683" s="28" t="s">
        <v>28</v>
      </c>
      <c r="D683" s="39"/>
      <c r="F683" s="41"/>
      <c r="G683" s="143" t="s">
        <v>26</v>
      </c>
      <c r="H683" s="143"/>
      <c r="I683" s="143"/>
      <c r="K683" s="41"/>
    </row>
    <row r="684" spans="1:18" ht="15.75">
      <c r="A684" s="38"/>
      <c r="B684" s="40"/>
      <c r="C684" s="28"/>
      <c r="D684" s="39"/>
      <c r="F684" s="28"/>
      <c r="G684" s="28"/>
      <c r="H684" s="28"/>
      <c r="I684" s="28"/>
      <c r="J684" s="28"/>
      <c r="K684" s="28"/>
      <c r="L684" s="28"/>
    </row>
    <row r="685" spans="1:18" ht="15.75">
      <c r="A685" s="38"/>
      <c r="B685" s="40"/>
      <c r="C685" s="28"/>
      <c r="D685" s="39"/>
      <c r="F685" s="28"/>
      <c r="G685" s="28"/>
      <c r="H685" s="28"/>
      <c r="I685" s="28"/>
      <c r="J685" s="28"/>
      <c r="K685" s="28"/>
      <c r="L685" s="28"/>
    </row>
    <row r="686" spans="1:18" ht="15.75">
      <c r="A686" s="38"/>
      <c r="B686" s="40"/>
      <c r="C686" s="28"/>
      <c r="D686" s="39"/>
      <c r="F686" s="28"/>
      <c r="G686" s="28"/>
      <c r="H686" s="28"/>
      <c r="I686" s="28"/>
      <c r="J686" s="28"/>
      <c r="K686" s="28"/>
    </row>
    <row r="687" spans="1:18" ht="15.75">
      <c r="A687" s="38"/>
      <c r="B687" s="40"/>
      <c r="C687" s="28"/>
      <c r="D687" s="39"/>
      <c r="F687" s="28"/>
      <c r="G687" s="28"/>
      <c r="H687" s="28"/>
      <c r="I687" s="28"/>
      <c r="J687" s="28"/>
      <c r="K687" s="28"/>
      <c r="L687" s="28"/>
    </row>
    <row r="688" spans="1:18" ht="15.75">
      <c r="A688" s="38" t="s">
        <v>23</v>
      </c>
      <c r="B688" s="42" t="s">
        <v>27</v>
      </c>
      <c r="C688" s="43" t="s">
        <v>24</v>
      </c>
      <c r="D688" s="39"/>
      <c r="F688" s="29"/>
      <c r="G688" s="29" t="s">
        <v>16</v>
      </c>
      <c r="H688" s="29"/>
      <c r="I688" s="29" t="s">
        <v>30</v>
      </c>
    </row>
    <row r="689" spans="1:18" ht="15.75">
      <c r="A689" s="38"/>
      <c r="B689" s="44" t="s">
        <v>31</v>
      </c>
      <c r="C689" s="45" t="s">
        <v>20</v>
      </c>
      <c r="D689" s="39"/>
      <c r="F689" s="46"/>
      <c r="G689" s="46" t="s">
        <v>17</v>
      </c>
      <c r="H689" s="46"/>
      <c r="I689" s="46" t="s">
        <v>25</v>
      </c>
    </row>
    <row r="691" spans="1:18" ht="15.75">
      <c r="A691" s="21" t="s">
        <v>0</v>
      </c>
      <c r="B691" s="22"/>
      <c r="C691" s="23"/>
      <c r="D691" s="23"/>
      <c r="E691" s="23"/>
      <c r="F691" s="24"/>
      <c r="G691" s="24"/>
      <c r="H691" s="24"/>
      <c r="I691" s="24"/>
      <c r="J691" s="24"/>
      <c r="K691" s="24"/>
      <c r="L691" s="25"/>
    </row>
    <row r="692" spans="1:18" ht="15.75">
      <c r="A692" s="26" t="s">
        <v>574</v>
      </c>
      <c r="B692" s="21"/>
      <c r="C692" s="21"/>
      <c r="D692" s="21"/>
      <c r="E692" s="21"/>
      <c r="F692" s="24"/>
      <c r="G692" s="24"/>
      <c r="H692" s="24"/>
      <c r="I692" s="24"/>
      <c r="J692" s="24"/>
      <c r="K692" s="24"/>
      <c r="L692" s="25"/>
    </row>
    <row r="693" spans="1:18">
      <c r="A693" s="62"/>
      <c r="B693" s="62" t="s">
        <v>1</v>
      </c>
      <c r="C693" s="93" t="s">
        <v>2</v>
      </c>
      <c r="D693" s="117" t="s">
        <v>34</v>
      </c>
      <c r="E693" s="95" t="s">
        <v>3</v>
      </c>
      <c r="F693" s="93" t="s">
        <v>4</v>
      </c>
      <c r="G693" s="96" t="s">
        <v>18</v>
      </c>
      <c r="H693" s="96" t="s">
        <v>540</v>
      </c>
      <c r="I693" s="97" t="s">
        <v>7</v>
      </c>
      <c r="J693" s="97" t="s">
        <v>6</v>
      </c>
      <c r="K693" s="97" t="s">
        <v>6</v>
      </c>
      <c r="L693" s="96" t="s">
        <v>29</v>
      </c>
      <c r="M693" s="96" t="s">
        <v>21</v>
      </c>
      <c r="N693" s="96" t="s">
        <v>8</v>
      </c>
      <c r="O693" s="96" t="s">
        <v>8</v>
      </c>
      <c r="P693" s="96" t="s">
        <v>9</v>
      </c>
      <c r="Q693" s="62" t="s">
        <v>10</v>
      </c>
      <c r="R693" s="98" t="s">
        <v>33</v>
      </c>
    </row>
    <row r="694" spans="1:18">
      <c r="A694" s="99"/>
      <c r="B694" s="99"/>
      <c r="C694" s="100"/>
      <c r="D694" s="101"/>
      <c r="E694" s="102"/>
      <c r="F694" s="100"/>
      <c r="G694" s="103" t="s">
        <v>12</v>
      </c>
      <c r="H694" s="127" t="s">
        <v>517</v>
      </c>
      <c r="I694" s="119" t="s">
        <v>19</v>
      </c>
      <c r="J694" s="119" t="s">
        <v>517</v>
      </c>
      <c r="K694" s="119" t="s">
        <v>517</v>
      </c>
      <c r="L694" s="103" t="s">
        <v>22</v>
      </c>
      <c r="M694" s="103" t="s">
        <v>15</v>
      </c>
      <c r="N694" s="103" t="s">
        <v>13</v>
      </c>
      <c r="O694" s="103" t="s">
        <v>14</v>
      </c>
      <c r="P694" s="103" t="s">
        <v>12</v>
      </c>
      <c r="Q694" s="99"/>
      <c r="R694" s="104"/>
    </row>
    <row r="695" spans="1:18">
      <c r="A695" s="99"/>
      <c r="B695" s="99"/>
      <c r="C695" s="105"/>
      <c r="D695" s="101"/>
      <c r="E695" s="102"/>
      <c r="F695" s="100"/>
      <c r="G695" s="103" t="s">
        <v>41</v>
      </c>
      <c r="H695" s="103" t="s">
        <v>382</v>
      </c>
      <c r="I695" s="119" t="s">
        <v>5</v>
      </c>
      <c r="J695" s="119" t="s">
        <v>382</v>
      </c>
      <c r="K695" s="119" t="s">
        <v>382</v>
      </c>
      <c r="L695" s="103"/>
      <c r="M695" s="103"/>
      <c r="N695" s="103"/>
      <c r="O695" s="103"/>
      <c r="P695" s="103"/>
      <c r="Q695" s="99"/>
      <c r="R695" s="104"/>
    </row>
    <row r="696" spans="1:18">
      <c r="A696" s="106"/>
      <c r="B696" s="106"/>
      <c r="C696" s="107"/>
      <c r="D696" s="108"/>
      <c r="E696" s="109"/>
      <c r="F696" s="110"/>
      <c r="G696" s="111"/>
      <c r="H696" s="112"/>
      <c r="I696" s="75"/>
      <c r="J696" s="120" t="s">
        <v>90</v>
      </c>
      <c r="K696" s="120" t="s">
        <v>90</v>
      </c>
      <c r="L696" s="113"/>
      <c r="M696" s="108"/>
      <c r="N696" s="111"/>
      <c r="O696" s="111"/>
      <c r="P696" s="111"/>
      <c r="Q696" s="106"/>
      <c r="R696" s="114"/>
    </row>
    <row r="697" spans="1:18" ht="15.75">
      <c r="A697" s="52"/>
      <c r="B697" s="47"/>
      <c r="C697" s="48"/>
      <c r="D697" s="73"/>
      <c r="E697" s="17"/>
      <c r="F697" s="48"/>
      <c r="G697" s="36"/>
      <c r="H697" s="36"/>
      <c r="I697" s="125"/>
      <c r="J697" s="36"/>
      <c r="K697" s="36"/>
      <c r="L697" s="8"/>
      <c r="N697" s="8"/>
      <c r="O697" s="8"/>
      <c r="P697" s="8"/>
      <c r="Q697" s="35"/>
      <c r="R697" s="37"/>
    </row>
    <row r="698" spans="1:18" ht="15.75">
      <c r="A698" s="52">
        <v>1</v>
      </c>
      <c r="B698" s="51" t="s">
        <v>591</v>
      </c>
      <c r="C698" s="48" t="s">
        <v>592</v>
      </c>
      <c r="D698" s="67" t="s">
        <v>593</v>
      </c>
      <c r="E698" s="17">
        <v>43248</v>
      </c>
      <c r="F698" s="20" t="s">
        <v>594</v>
      </c>
      <c r="G698" s="36">
        <v>99920000</v>
      </c>
      <c r="H698" s="8">
        <v>0</v>
      </c>
      <c r="I698" s="8">
        <v>2498000</v>
      </c>
      <c r="J698" s="8">
        <v>0</v>
      </c>
      <c r="K698" s="8">
        <v>0</v>
      </c>
      <c r="L698" s="8">
        <v>750800</v>
      </c>
      <c r="M698" s="8">
        <v>200000</v>
      </c>
      <c r="N698" s="8">
        <f>SUM(G698:M698)</f>
        <v>103368800</v>
      </c>
      <c r="O698" s="8">
        <f>175000000-N698</f>
        <v>71631200</v>
      </c>
      <c r="P698" s="8">
        <f t="shared" ref="P698" si="91">+N698+O698</f>
        <v>175000000</v>
      </c>
      <c r="Q698" s="59" t="s">
        <v>287</v>
      </c>
      <c r="R698" s="66" t="s">
        <v>52</v>
      </c>
    </row>
    <row r="699" spans="1:18" ht="15.75">
      <c r="A699" s="52"/>
      <c r="B699" s="51"/>
      <c r="C699" s="48"/>
      <c r="E699" s="17"/>
      <c r="F699" s="48"/>
      <c r="G699" s="36"/>
      <c r="H699" s="36"/>
      <c r="I699" s="75"/>
      <c r="J699" s="36"/>
      <c r="K699" s="36"/>
      <c r="L699" s="36"/>
      <c r="N699" s="8"/>
      <c r="O699" s="8"/>
      <c r="P699" s="8"/>
      <c r="Q699" s="59"/>
      <c r="R699" s="66"/>
    </row>
    <row r="700" spans="1:18" ht="16.5" thickBot="1">
      <c r="A700" s="18"/>
      <c r="B700" s="55"/>
      <c r="C700" s="56"/>
      <c r="D700" s="74"/>
      <c r="E700" s="56"/>
      <c r="F700" s="57"/>
      <c r="G700" s="19">
        <f t="shared" ref="G700:P700" si="92">SUM(G698:G699)</f>
        <v>99920000</v>
      </c>
      <c r="H700" s="19">
        <f t="shared" si="92"/>
        <v>0</v>
      </c>
      <c r="I700" s="19">
        <f t="shared" si="92"/>
        <v>2498000</v>
      </c>
      <c r="J700" s="19">
        <f t="shared" si="92"/>
        <v>0</v>
      </c>
      <c r="K700" s="19">
        <f t="shared" si="92"/>
        <v>0</v>
      </c>
      <c r="L700" s="19">
        <f t="shared" si="92"/>
        <v>750800</v>
      </c>
      <c r="M700" s="19">
        <f t="shared" si="92"/>
        <v>200000</v>
      </c>
      <c r="N700" s="19">
        <f t="shared" si="92"/>
        <v>103368800</v>
      </c>
      <c r="O700" s="19">
        <f t="shared" si="92"/>
        <v>71631200</v>
      </c>
      <c r="P700" s="19">
        <f t="shared" si="92"/>
        <v>175000000</v>
      </c>
      <c r="Q700" s="68"/>
      <c r="R700" s="70"/>
    </row>
    <row r="701" spans="1:18" ht="16.5" thickTop="1">
      <c r="A701" s="23"/>
      <c r="B701" s="22"/>
      <c r="C701" s="22"/>
      <c r="D701" s="23"/>
      <c r="E701" s="22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2"/>
      <c r="Q701" s="69"/>
    </row>
    <row r="702" spans="1:18" ht="15.75">
      <c r="A702" s="23"/>
      <c r="B702" s="28" t="s">
        <v>590</v>
      </c>
      <c r="C702" s="22"/>
      <c r="D702" s="39"/>
      <c r="F702" s="27"/>
      <c r="G702" s="28"/>
      <c r="H702" s="28"/>
      <c r="I702" s="28"/>
      <c r="J702" s="28"/>
      <c r="K702" s="28"/>
      <c r="L702" s="28"/>
      <c r="Q702" s="51"/>
    </row>
    <row r="703" spans="1:18" ht="15.75">
      <c r="A703" s="38"/>
      <c r="B703" s="40" t="s">
        <v>32</v>
      </c>
      <c r="C703" s="28" t="s">
        <v>28</v>
      </c>
      <c r="D703" s="39"/>
      <c r="F703" s="41"/>
      <c r="G703" s="143" t="s">
        <v>26</v>
      </c>
      <c r="H703" s="143"/>
      <c r="I703" s="143"/>
      <c r="K703" s="41"/>
    </row>
    <row r="704" spans="1:18" ht="15.75">
      <c r="A704" s="38"/>
      <c r="B704" s="40"/>
      <c r="C704" s="28"/>
      <c r="D704" s="39"/>
      <c r="F704" s="28"/>
      <c r="G704" s="28"/>
      <c r="H704" s="28"/>
      <c r="I704" s="28"/>
      <c r="J704" s="28"/>
      <c r="K704" s="28"/>
      <c r="L704" s="28"/>
    </row>
    <row r="705" spans="1:18" ht="15.75">
      <c r="A705" s="38"/>
      <c r="B705" s="40"/>
      <c r="C705" s="28"/>
      <c r="D705" s="39"/>
      <c r="F705" s="28"/>
      <c r="G705" s="28"/>
      <c r="H705" s="28"/>
      <c r="I705" s="28"/>
      <c r="J705" s="28"/>
      <c r="K705" s="28"/>
      <c r="L705" s="28"/>
    </row>
    <row r="706" spans="1:18" ht="15.75">
      <c r="A706" s="38"/>
      <c r="B706" s="40"/>
      <c r="C706" s="28"/>
      <c r="D706" s="39"/>
      <c r="F706" s="28"/>
      <c r="G706" s="28"/>
      <c r="H706" s="28"/>
      <c r="I706" s="28"/>
      <c r="J706" s="28"/>
      <c r="K706" s="28"/>
    </row>
    <row r="707" spans="1:18" ht="15.75">
      <c r="A707" s="38"/>
      <c r="B707" s="40"/>
      <c r="C707" s="28"/>
      <c r="D707" s="39"/>
      <c r="F707" s="28"/>
      <c r="G707" s="28"/>
      <c r="H707" s="28"/>
      <c r="I707" s="28"/>
      <c r="J707" s="28"/>
      <c r="K707" s="28"/>
      <c r="L707" s="28"/>
    </row>
    <row r="708" spans="1:18" ht="15.75">
      <c r="A708" s="38" t="s">
        <v>23</v>
      </c>
      <c r="B708" s="42" t="s">
        <v>27</v>
      </c>
      <c r="C708" s="43" t="s">
        <v>24</v>
      </c>
      <c r="D708" s="39"/>
      <c r="F708" s="29"/>
      <c r="G708" s="29" t="s">
        <v>16</v>
      </c>
      <c r="H708" s="29"/>
      <c r="I708" s="29" t="s">
        <v>30</v>
      </c>
    </row>
    <row r="709" spans="1:18" ht="15.75">
      <c r="A709" s="38"/>
      <c r="B709" s="44" t="s">
        <v>31</v>
      </c>
      <c r="C709" s="45" t="s">
        <v>20</v>
      </c>
      <c r="D709" s="39"/>
      <c r="F709" s="46"/>
      <c r="G709" s="46" t="s">
        <v>17</v>
      </c>
      <c r="H709" s="46"/>
      <c r="I709" s="46" t="s">
        <v>25</v>
      </c>
    </row>
    <row r="710" spans="1:18" ht="15.75">
      <c r="A710" s="38"/>
      <c r="B710" s="44"/>
      <c r="C710" s="45"/>
      <c r="D710" s="39"/>
      <c r="F710" s="46"/>
      <c r="G710" s="46"/>
      <c r="H710" s="46"/>
      <c r="I710" s="46"/>
    </row>
    <row r="711" spans="1:18" ht="15.75">
      <c r="A711" s="21" t="s">
        <v>0</v>
      </c>
      <c r="B711" s="22"/>
      <c r="C711" s="23"/>
      <c r="D711" s="23"/>
      <c r="E711" s="23"/>
      <c r="F711" s="24"/>
      <c r="G711" s="24"/>
      <c r="H711" s="24"/>
      <c r="I711" s="24"/>
      <c r="J711" s="24"/>
      <c r="K711" s="24"/>
      <c r="L711" s="25"/>
    </row>
    <row r="712" spans="1:18" ht="15.75">
      <c r="A712" s="26" t="s">
        <v>574</v>
      </c>
      <c r="B712" s="21"/>
      <c r="C712" s="21"/>
      <c r="D712" s="21"/>
      <c r="E712" s="21"/>
      <c r="F712" s="24"/>
      <c r="G712" s="24"/>
      <c r="H712" s="24"/>
      <c r="I712" s="24"/>
      <c r="J712" s="24"/>
      <c r="K712" s="24"/>
      <c r="L712" s="25"/>
    </row>
    <row r="713" spans="1:18">
      <c r="A713" s="62"/>
      <c r="B713" s="62" t="s">
        <v>1</v>
      </c>
      <c r="C713" s="93" t="s">
        <v>2</v>
      </c>
      <c r="D713" s="117" t="s">
        <v>34</v>
      </c>
      <c r="E713" s="95" t="s">
        <v>3</v>
      </c>
      <c r="F713" s="93" t="s">
        <v>4</v>
      </c>
      <c r="G713" s="96" t="s">
        <v>18</v>
      </c>
      <c r="H713" s="96" t="s">
        <v>540</v>
      </c>
      <c r="I713" s="97" t="s">
        <v>7</v>
      </c>
      <c r="J713" s="97" t="s">
        <v>6</v>
      </c>
      <c r="K713" s="97" t="s">
        <v>6</v>
      </c>
      <c r="L713" s="96" t="s">
        <v>29</v>
      </c>
      <c r="M713" s="96" t="s">
        <v>21</v>
      </c>
      <c r="N713" s="96" t="s">
        <v>8</v>
      </c>
      <c r="O713" s="96" t="s">
        <v>8</v>
      </c>
      <c r="P713" s="96" t="s">
        <v>9</v>
      </c>
      <c r="Q713" s="62" t="s">
        <v>10</v>
      </c>
      <c r="R713" s="98" t="s">
        <v>33</v>
      </c>
    </row>
    <row r="714" spans="1:18">
      <c r="A714" s="99"/>
      <c r="B714" s="99"/>
      <c r="C714" s="100"/>
      <c r="D714" s="101"/>
      <c r="E714" s="102"/>
      <c r="F714" s="100"/>
      <c r="G714" s="103" t="s">
        <v>12</v>
      </c>
      <c r="H714" s="127" t="s">
        <v>517</v>
      </c>
      <c r="I714" s="119" t="s">
        <v>19</v>
      </c>
      <c r="J714" s="119" t="s">
        <v>517</v>
      </c>
      <c r="K714" s="119" t="s">
        <v>517</v>
      </c>
      <c r="L714" s="103" t="s">
        <v>22</v>
      </c>
      <c r="M714" s="103" t="s">
        <v>15</v>
      </c>
      <c r="N714" s="103" t="s">
        <v>13</v>
      </c>
      <c r="O714" s="103" t="s">
        <v>14</v>
      </c>
      <c r="P714" s="103" t="s">
        <v>12</v>
      </c>
      <c r="Q714" s="99"/>
      <c r="R714" s="104"/>
    </row>
    <row r="715" spans="1:18">
      <c r="A715" s="99"/>
      <c r="B715" s="99"/>
      <c r="C715" s="105"/>
      <c r="D715" s="101"/>
      <c r="E715" s="102"/>
      <c r="F715" s="100"/>
      <c r="G715" s="103" t="s">
        <v>41</v>
      </c>
      <c r="H715" s="103" t="s">
        <v>382</v>
      </c>
      <c r="I715" s="119" t="s">
        <v>5</v>
      </c>
      <c r="J715" s="119" t="s">
        <v>382</v>
      </c>
      <c r="K715" s="119" t="s">
        <v>382</v>
      </c>
      <c r="L715" s="103"/>
      <c r="M715" s="103"/>
      <c r="N715" s="103"/>
      <c r="O715" s="103"/>
      <c r="P715" s="103"/>
      <c r="Q715" s="99"/>
      <c r="R715" s="104"/>
    </row>
    <row r="716" spans="1:18">
      <c r="A716" s="106"/>
      <c r="B716" s="106"/>
      <c r="C716" s="107"/>
      <c r="D716" s="108"/>
      <c r="E716" s="109"/>
      <c r="F716" s="110"/>
      <c r="G716" s="111"/>
      <c r="H716" s="112"/>
      <c r="I716" s="75"/>
      <c r="J716" s="120" t="s">
        <v>90</v>
      </c>
      <c r="K716" s="120" t="s">
        <v>90</v>
      </c>
      <c r="L716" s="113"/>
      <c r="M716" s="108"/>
      <c r="N716" s="111"/>
      <c r="O716" s="111"/>
      <c r="P716" s="111"/>
      <c r="Q716" s="106"/>
      <c r="R716" s="114"/>
    </row>
    <row r="717" spans="1:18" ht="15.75">
      <c r="A717" s="52"/>
      <c r="B717" s="47"/>
      <c r="C717" s="48"/>
      <c r="D717" s="73"/>
      <c r="E717" s="17"/>
      <c r="F717" s="48"/>
      <c r="G717" s="36"/>
      <c r="H717" s="36"/>
      <c r="I717" s="125"/>
      <c r="J717" s="36"/>
      <c r="K717" s="36"/>
      <c r="L717" s="8"/>
      <c r="N717" s="8"/>
      <c r="O717" s="8"/>
      <c r="P717" s="8"/>
      <c r="Q717" s="35"/>
      <c r="R717" s="37"/>
    </row>
    <row r="718" spans="1:18" ht="15.75">
      <c r="A718" s="52">
        <v>1</v>
      </c>
      <c r="B718" s="51" t="s">
        <v>36</v>
      </c>
      <c r="C718" s="48" t="s">
        <v>37</v>
      </c>
      <c r="D718" s="67" t="s">
        <v>595</v>
      </c>
      <c r="E718" s="17">
        <v>43248</v>
      </c>
      <c r="F718" s="20" t="s">
        <v>38</v>
      </c>
      <c r="G718" s="36">
        <v>0</v>
      </c>
      <c r="H718" s="8">
        <v>0</v>
      </c>
      <c r="I718" s="8">
        <v>0</v>
      </c>
      <c r="J718" s="8">
        <v>0</v>
      </c>
      <c r="K718" s="8">
        <v>0</v>
      </c>
      <c r="L718" s="8">
        <v>200000</v>
      </c>
      <c r="M718" s="8">
        <v>0</v>
      </c>
      <c r="N718" s="8">
        <f>SUM(G718:M718)</f>
        <v>200000</v>
      </c>
      <c r="O718" s="8">
        <f>20000000-N718</f>
        <v>19800000</v>
      </c>
      <c r="P718" s="8">
        <f t="shared" ref="P718" si="93">+N718+O718</f>
        <v>20000000</v>
      </c>
      <c r="Q718" s="59" t="s">
        <v>39</v>
      </c>
      <c r="R718" s="66" t="s">
        <v>40</v>
      </c>
    </row>
    <row r="719" spans="1:18" ht="15.75">
      <c r="A719" s="52"/>
      <c r="B719" s="51"/>
      <c r="C719" s="48"/>
      <c r="E719" s="17"/>
      <c r="F719" s="48"/>
      <c r="G719" s="36"/>
      <c r="H719" s="36"/>
      <c r="I719" s="75"/>
      <c r="J719" s="36"/>
      <c r="K719" s="36"/>
      <c r="L719" s="36"/>
      <c r="N719" s="8"/>
      <c r="O719" s="8"/>
      <c r="P719" s="8"/>
      <c r="Q719" s="59"/>
      <c r="R719" s="66"/>
    </row>
    <row r="720" spans="1:18" ht="16.5" thickBot="1">
      <c r="A720" s="18"/>
      <c r="B720" s="55"/>
      <c r="C720" s="56"/>
      <c r="D720" s="74"/>
      <c r="E720" s="56"/>
      <c r="F720" s="57"/>
      <c r="G720" s="19">
        <f t="shared" ref="G720:P720" si="94">SUM(G718:G719)</f>
        <v>0</v>
      </c>
      <c r="H720" s="19">
        <f t="shared" si="94"/>
        <v>0</v>
      </c>
      <c r="I720" s="19">
        <f t="shared" si="94"/>
        <v>0</v>
      </c>
      <c r="J720" s="19">
        <f t="shared" si="94"/>
        <v>0</v>
      </c>
      <c r="K720" s="19">
        <f t="shared" si="94"/>
        <v>0</v>
      </c>
      <c r="L720" s="19">
        <f t="shared" si="94"/>
        <v>200000</v>
      </c>
      <c r="M720" s="19">
        <f t="shared" si="94"/>
        <v>0</v>
      </c>
      <c r="N720" s="19">
        <f t="shared" si="94"/>
        <v>200000</v>
      </c>
      <c r="O720" s="19">
        <f t="shared" si="94"/>
        <v>19800000</v>
      </c>
      <c r="P720" s="19">
        <f t="shared" si="94"/>
        <v>20000000</v>
      </c>
      <c r="Q720" s="68"/>
      <c r="R720" s="70"/>
    </row>
    <row r="721" spans="1:17" ht="16.5" thickTop="1">
      <c r="A721" s="23"/>
      <c r="B721" s="22"/>
      <c r="C721" s="22"/>
      <c r="D721" s="23"/>
      <c r="E721" s="22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2"/>
      <c r="Q721" s="69"/>
    </row>
    <row r="722" spans="1:17" ht="15.75">
      <c r="A722" s="23"/>
      <c r="B722" s="28" t="s">
        <v>590</v>
      </c>
      <c r="C722" s="22"/>
      <c r="D722" s="39"/>
      <c r="F722" s="27"/>
      <c r="G722" s="28"/>
      <c r="H722" s="28"/>
      <c r="I722" s="28"/>
      <c r="J722" s="28"/>
      <c r="K722" s="28"/>
      <c r="L722" s="28"/>
      <c r="Q722" s="51"/>
    </row>
    <row r="723" spans="1:17" ht="15.75">
      <c r="A723" s="38"/>
      <c r="B723" s="40" t="s">
        <v>32</v>
      </c>
      <c r="C723" s="28" t="s">
        <v>28</v>
      </c>
      <c r="D723" s="39"/>
      <c r="F723" s="41"/>
      <c r="G723" s="143" t="s">
        <v>26</v>
      </c>
      <c r="H723" s="143"/>
      <c r="I723" s="143"/>
      <c r="K723" s="41"/>
    </row>
    <row r="724" spans="1:17" ht="15.75">
      <c r="A724" s="38"/>
      <c r="B724" s="40"/>
      <c r="C724" s="28"/>
      <c r="D724" s="39"/>
      <c r="F724" s="28"/>
      <c r="G724" s="28"/>
      <c r="H724" s="28"/>
      <c r="I724" s="28"/>
      <c r="J724" s="28"/>
      <c r="K724" s="28"/>
      <c r="L724" s="28"/>
    </row>
    <row r="725" spans="1:17" ht="15.75">
      <c r="A725" s="38"/>
      <c r="B725" s="40"/>
      <c r="C725" s="28"/>
      <c r="D725" s="39"/>
      <c r="F725" s="28"/>
      <c r="G725" s="28"/>
      <c r="H725" s="28"/>
      <c r="I725" s="28"/>
      <c r="J725" s="28"/>
      <c r="K725" s="28"/>
      <c r="L725" s="28"/>
    </row>
    <row r="726" spans="1:17" ht="15.75">
      <c r="A726" s="38"/>
      <c r="B726" s="40"/>
      <c r="C726" s="28"/>
      <c r="D726" s="39"/>
      <c r="F726" s="28"/>
      <c r="G726" s="28"/>
      <c r="H726" s="28"/>
      <c r="I726" s="28"/>
      <c r="J726" s="28"/>
      <c r="K726" s="28"/>
    </row>
    <row r="727" spans="1:17" ht="15.75">
      <c r="A727" s="38"/>
      <c r="B727" s="40"/>
      <c r="C727" s="28"/>
      <c r="D727" s="39"/>
      <c r="F727" s="28"/>
      <c r="G727" s="28"/>
      <c r="H727" s="28"/>
      <c r="I727" s="28"/>
      <c r="J727" s="28"/>
      <c r="K727" s="28"/>
      <c r="L727" s="28"/>
    </row>
    <row r="728" spans="1:17" ht="15.75">
      <c r="A728" s="38" t="s">
        <v>23</v>
      </c>
      <c r="B728" s="42" t="s">
        <v>27</v>
      </c>
      <c r="C728" s="43" t="s">
        <v>24</v>
      </c>
      <c r="D728" s="39"/>
      <c r="F728" s="29"/>
      <c r="G728" s="29" t="s">
        <v>16</v>
      </c>
      <c r="H728" s="29"/>
      <c r="I728" s="29" t="s">
        <v>30</v>
      </c>
    </row>
    <row r="729" spans="1:17" ht="15.75">
      <c r="A729" s="38"/>
      <c r="B729" s="44" t="s">
        <v>31</v>
      </c>
      <c r="C729" s="45" t="s">
        <v>20</v>
      </c>
      <c r="D729" s="39"/>
      <c r="F729" s="46"/>
      <c r="G729" s="46" t="s">
        <v>17</v>
      </c>
      <c r="H729" s="46"/>
      <c r="I729" s="46" t="s">
        <v>25</v>
      </c>
    </row>
    <row r="731" spans="1:17">
      <c r="A731" s="34" t="s">
        <v>596</v>
      </c>
    </row>
    <row r="732" spans="1:17" customFormat="1" ht="15.75">
      <c r="A732" s="22" t="s">
        <v>597</v>
      </c>
      <c r="B732" s="22"/>
      <c r="C732" s="22"/>
      <c r="D732" s="22"/>
      <c r="E732" s="22"/>
      <c r="F732" s="22"/>
      <c r="G732" s="34"/>
      <c r="H732" s="22"/>
      <c r="I732" s="22"/>
      <c r="J732" s="34"/>
      <c r="K732" s="34"/>
    </row>
    <row r="733" spans="1:17" customFormat="1" ht="15.75">
      <c r="A733" s="129" t="s">
        <v>598</v>
      </c>
      <c r="B733" s="22"/>
      <c r="C733" s="22"/>
      <c r="D733" s="22"/>
      <c r="E733" s="22"/>
      <c r="F733" s="22"/>
      <c r="G733" s="34"/>
      <c r="H733" s="22"/>
      <c r="I733" s="22"/>
      <c r="J733" s="34"/>
      <c r="K733" s="34"/>
    </row>
    <row r="734" spans="1:17" customFormat="1" ht="15.75">
      <c r="A734" s="129" t="s">
        <v>599</v>
      </c>
      <c r="B734" s="22"/>
      <c r="C734" s="22"/>
      <c r="D734" s="22"/>
      <c r="E734" s="22"/>
      <c r="F734" s="22"/>
      <c r="G734" s="34"/>
      <c r="H734" s="22"/>
      <c r="I734" s="22"/>
      <c r="J734" s="34"/>
      <c r="K734" s="34"/>
    </row>
    <row r="735" spans="1:17" customFormat="1" ht="15.75">
      <c r="A735" s="129" t="s">
        <v>600</v>
      </c>
      <c r="B735" s="22"/>
      <c r="C735" s="22"/>
      <c r="D735" s="22"/>
      <c r="E735" s="22"/>
      <c r="F735" s="22"/>
      <c r="G735" s="34"/>
      <c r="H735" s="22"/>
      <c r="I735" s="22"/>
      <c r="J735" s="34"/>
      <c r="K735" s="34"/>
    </row>
    <row r="737" spans="1:18" ht="15.75">
      <c r="A737" s="21" t="s">
        <v>0</v>
      </c>
      <c r="B737" s="22"/>
      <c r="C737" s="23"/>
      <c r="D737" s="23"/>
      <c r="E737" s="23"/>
      <c r="F737" s="24"/>
      <c r="G737" s="24"/>
      <c r="H737" s="24"/>
      <c r="I737" s="24"/>
      <c r="J737" s="24"/>
      <c r="K737" s="24"/>
      <c r="L737" s="25"/>
    </row>
    <row r="738" spans="1:18" ht="15.75">
      <c r="A738" s="26" t="s">
        <v>574</v>
      </c>
      <c r="B738" s="21"/>
      <c r="C738" s="21"/>
      <c r="D738" s="21"/>
      <c r="E738" s="21"/>
      <c r="F738" s="24"/>
      <c r="G738" s="24"/>
      <c r="H738" s="24"/>
      <c r="I738" s="24"/>
      <c r="J738" s="24"/>
      <c r="K738" s="24"/>
      <c r="L738" s="25"/>
    </row>
    <row r="739" spans="1:18">
      <c r="A739" s="62"/>
      <c r="B739" s="62" t="s">
        <v>1</v>
      </c>
      <c r="C739" s="93" t="s">
        <v>2</v>
      </c>
      <c r="D739" s="117" t="s">
        <v>34</v>
      </c>
      <c r="E739" s="95" t="s">
        <v>3</v>
      </c>
      <c r="F739" s="93" t="s">
        <v>4</v>
      </c>
      <c r="G739" s="96" t="s">
        <v>18</v>
      </c>
      <c r="H739" s="96" t="s">
        <v>540</v>
      </c>
      <c r="I739" s="97" t="s">
        <v>7</v>
      </c>
      <c r="J739" s="97" t="s">
        <v>6</v>
      </c>
      <c r="K739" s="130" t="s">
        <v>6</v>
      </c>
      <c r="L739" s="96" t="s">
        <v>29</v>
      </c>
      <c r="M739" s="96" t="s">
        <v>21</v>
      </c>
      <c r="N739" s="96" t="s">
        <v>8</v>
      </c>
      <c r="O739" s="96" t="s">
        <v>8</v>
      </c>
      <c r="P739" s="96" t="s">
        <v>9</v>
      </c>
      <c r="Q739" s="62" t="s">
        <v>10</v>
      </c>
      <c r="R739" s="98" t="s">
        <v>33</v>
      </c>
    </row>
    <row r="740" spans="1:18">
      <c r="A740" s="99"/>
      <c r="B740" s="99"/>
      <c r="C740" s="100"/>
      <c r="D740" s="101"/>
      <c r="E740" s="102"/>
      <c r="F740" s="100"/>
      <c r="G740" s="103" t="s">
        <v>12</v>
      </c>
      <c r="H740" s="127" t="s">
        <v>517</v>
      </c>
      <c r="I740" s="119" t="s">
        <v>19</v>
      </c>
      <c r="J740" s="119" t="s">
        <v>517</v>
      </c>
      <c r="K740" s="131" t="s">
        <v>517</v>
      </c>
      <c r="L740" s="103" t="s">
        <v>22</v>
      </c>
      <c r="M740" s="103" t="s">
        <v>15</v>
      </c>
      <c r="N740" s="103" t="s">
        <v>13</v>
      </c>
      <c r="O740" s="103" t="s">
        <v>14</v>
      </c>
      <c r="P740" s="103" t="s">
        <v>12</v>
      </c>
      <c r="Q740" s="99"/>
      <c r="R740" s="104"/>
    </row>
    <row r="741" spans="1:18">
      <c r="A741" s="99"/>
      <c r="B741" s="99"/>
      <c r="C741" s="105"/>
      <c r="D741" s="101"/>
      <c r="E741" s="102"/>
      <c r="F741" s="100"/>
      <c r="G741" s="103" t="s">
        <v>41</v>
      </c>
      <c r="H741" s="103" t="s">
        <v>382</v>
      </c>
      <c r="I741" s="119" t="s">
        <v>5</v>
      </c>
      <c r="J741" s="119" t="s">
        <v>382</v>
      </c>
      <c r="K741" s="131" t="s">
        <v>382</v>
      </c>
      <c r="L741" s="103"/>
      <c r="M741" s="103"/>
      <c r="N741" s="103"/>
      <c r="O741" s="103"/>
      <c r="P741" s="103"/>
      <c r="Q741" s="99"/>
      <c r="R741" s="104"/>
    </row>
    <row r="742" spans="1:18">
      <c r="A742" s="106"/>
      <c r="B742" s="106"/>
      <c r="C742" s="107"/>
      <c r="D742" s="108"/>
      <c r="E742" s="109"/>
      <c r="F742" s="110"/>
      <c r="G742" s="111"/>
      <c r="H742" s="112"/>
      <c r="I742" s="75"/>
      <c r="J742" s="120" t="s">
        <v>90</v>
      </c>
      <c r="K742" s="132" t="s">
        <v>90</v>
      </c>
      <c r="L742" s="113"/>
      <c r="M742" s="108"/>
      <c r="N742" s="111"/>
      <c r="O742" s="111"/>
      <c r="P742" s="111"/>
      <c r="Q742" s="106"/>
      <c r="R742" s="114"/>
    </row>
    <row r="743" spans="1:18" ht="15.75">
      <c r="A743" s="52"/>
      <c r="B743" s="47"/>
      <c r="C743" s="48"/>
      <c r="D743" s="73"/>
      <c r="E743" s="17"/>
      <c r="F743" s="48"/>
      <c r="G743" s="36"/>
      <c r="H743" s="36"/>
      <c r="I743" s="125"/>
      <c r="J743" s="36"/>
      <c r="K743" s="36"/>
      <c r="L743" s="8"/>
      <c r="N743" s="8"/>
      <c r="O743" s="8"/>
      <c r="P743" s="8"/>
      <c r="Q743" s="35"/>
      <c r="R743" s="37"/>
    </row>
    <row r="744" spans="1:18" ht="15.75">
      <c r="A744" s="52">
        <v>1</v>
      </c>
      <c r="B744" s="51" t="s">
        <v>585</v>
      </c>
      <c r="C744" s="48" t="s">
        <v>586</v>
      </c>
      <c r="D744" s="67" t="s">
        <v>587</v>
      </c>
      <c r="E744" s="17">
        <v>43248</v>
      </c>
      <c r="F744" s="20" t="s">
        <v>588</v>
      </c>
      <c r="G744" s="36">
        <f>42900000-5000000</f>
        <v>37900000</v>
      </c>
      <c r="H744" s="8">
        <v>0</v>
      </c>
      <c r="I744" s="8">
        <v>947500</v>
      </c>
      <c r="J744" s="8">
        <v>0</v>
      </c>
      <c r="K744" s="8">
        <v>0</v>
      </c>
      <c r="L744" s="8">
        <v>1121000</v>
      </c>
      <c r="M744" s="8">
        <v>200000</v>
      </c>
      <c r="N744" s="8">
        <f>SUM(G744:M744)</f>
        <v>40168500</v>
      </c>
      <c r="O744" s="8">
        <f>150000000-N744</f>
        <v>109831500</v>
      </c>
      <c r="P744" s="8">
        <f t="shared" ref="P744" si="95">+N744+O744</f>
        <v>150000000</v>
      </c>
      <c r="Q744" s="77" t="s">
        <v>589</v>
      </c>
      <c r="R744" s="66" t="s">
        <v>52</v>
      </c>
    </row>
    <row r="745" spans="1:18" ht="15.75">
      <c r="A745" s="52"/>
      <c r="B745" s="51"/>
      <c r="C745" s="48"/>
      <c r="E745" s="17"/>
      <c r="F745" s="48"/>
      <c r="G745" s="36"/>
      <c r="H745" s="36"/>
      <c r="I745" s="75"/>
      <c r="J745" s="36"/>
      <c r="K745" s="36"/>
      <c r="L745" s="36"/>
      <c r="N745" s="8"/>
      <c r="O745" s="8"/>
      <c r="P745" s="8"/>
      <c r="Q745" s="59"/>
      <c r="R745" s="66"/>
    </row>
    <row r="746" spans="1:18" ht="16.5" thickBot="1">
      <c r="A746" s="18"/>
      <c r="B746" s="55"/>
      <c r="C746" s="56"/>
      <c r="D746" s="74"/>
      <c r="E746" s="56"/>
      <c r="F746" s="57"/>
      <c r="G746" s="19">
        <f t="shared" ref="G746:P746" si="96">SUM(G744:G745)</f>
        <v>37900000</v>
      </c>
      <c r="H746" s="19">
        <f t="shared" si="96"/>
        <v>0</v>
      </c>
      <c r="I746" s="19">
        <f t="shared" si="96"/>
        <v>947500</v>
      </c>
      <c r="J746" s="19">
        <f t="shared" si="96"/>
        <v>0</v>
      </c>
      <c r="K746" s="19">
        <f t="shared" si="96"/>
        <v>0</v>
      </c>
      <c r="L746" s="19">
        <f t="shared" si="96"/>
        <v>1121000</v>
      </c>
      <c r="M746" s="19">
        <f t="shared" si="96"/>
        <v>200000</v>
      </c>
      <c r="N746" s="19">
        <f t="shared" si="96"/>
        <v>40168500</v>
      </c>
      <c r="O746" s="19">
        <f t="shared" si="96"/>
        <v>109831500</v>
      </c>
      <c r="P746" s="19">
        <f t="shared" si="96"/>
        <v>150000000</v>
      </c>
      <c r="Q746" s="68"/>
      <c r="R746" s="70"/>
    </row>
    <row r="747" spans="1:18" ht="16.5" thickTop="1">
      <c r="A747" s="23"/>
      <c r="B747" s="22"/>
      <c r="C747" s="22"/>
      <c r="D747" s="23"/>
      <c r="E747" s="22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2"/>
      <c r="Q747" s="69"/>
    </row>
    <row r="748" spans="1:18" ht="15.75">
      <c r="A748" s="23"/>
      <c r="B748" s="28" t="s">
        <v>590</v>
      </c>
      <c r="C748" s="22"/>
      <c r="D748" s="39"/>
      <c r="F748" s="27"/>
      <c r="G748" s="28"/>
      <c r="H748" s="28"/>
      <c r="I748" s="28"/>
      <c r="J748" s="28"/>
      <c r="K748" s="28"/>
      <c r="L748" s="28"/>
      <c r="Q748" s="51"/>
    </row>
    <row r="749" spans="1:18" ht="15.75">
      <c r="A749" s="38"/>
      <c r="B749" s="40" t="s">
        <v>32</v>
      </c>
      <c r="C749" s="28" t="s">
        <v>28</v>
      </c>
      <c r="D749" s="39"/>
      <c r="F749" s="41"/>
      <c r="G749" s="143" t="s">
        <v>26</v>
      </c>
      <c r="H749" s="143"/>
      <c r="I749" s="143"/>
      <c r="K749" s="41"/>
    </row>
    <row r="750" spans="1:18" ht="15.75">
      <c r="A750" s="38"/>
      <c r="B750" s="40"/>
      <c r="C750" s="28"/>
      <c r="D750" s="39"/>
      <c r="F750" s="28"/>
      <c r="G750" s="28"/>
      <c r="H750" s="28"/>
      <c r="I750" s="28"/>
      <c r="J750" s="28"/>
      <c r="K750" s="28"/>
      <c r="L750" s="28"/>
    </row>
    <row r="751" spans="1:18" ht="15.75">
      <c r="A751" s="38"/>
      <c r="B751" s="40"/>
      <c r="C751" s="28"/>
      <c r="D751" s="39"/>
      <c r="F751" s="28"/>
      <c r="G751" s="28"/>
      <c r="H751" s="28"/>
      <c r="I751" s="28"/>
      <c r="J751" s="28"/>
      <c r="K751" s="28"/>
      <c r="L751" s="28"/>
    </row>
    <row r="752" spans="1:18" ht="15.75">
      <c r="A752" s="38"/>
      <c r="B752" s="40"/>
      <c r="C752" s="28"/>
      <c r="D752" s="39"/>
      <c r="F752" s="28"/>
      <c r="G752" s="28"/>
      <c r="H752" s="28"/>
      <c r="I752" s="28"/>
      <c r="J752" s="28"/>
      <c r="K752" s="28"/>
    </row>
    <row r="753" spans="1:18" ht="15.75">
      <c r="A753" s="38"/>
      <c r="B753" s="40"/>
      <c r="C753" s="28"/>
      <c r="D753" s="39"/>
      <c r="F753" s="28"/>
      <c r="G753" s="28"/>
      <c r="H753" s="28"/>
      <c r="I753" s="28"/>
      <c r="J753" s="28"/>
      <c r="K753" s="28"/>
      <c r="L753" s="28"/>
    </row>
    <row r="754" spans="1:18" ht="15.75">
      <c r="A754" s="38" t="s">
        <v>23</v>
      </c>
      <c r="B754" s="42" t="s">
        <v>27</v>
      </c>
      <c r="C754" s="43" t="s">
        <v>24</v>
      </c>
      <c r="D754" s="39"/>
      <c r="F754" s="29"/>
      <c r="G754" s="29" t="s">
        <v>16</v>
      </c>
      <c r="H754" s="29"/>
      <c r="I754" s="29" t="s">
        <v>30</v>
      </c>
    </row>
    <row r="755" spans="1:18" ht="15.75">
      <c r="A755" s="38"/>
      <c r="B755" s="44" t="s">
        <v>31</v>
      </c>
      <c r="C755" s="45" t="s">
        <v>20</v>
      </c>
      <c r="D755" s="39"/>
      <c r="F755" s="46"/>
      <c r="G755" s="46" t="s">
        <v>17</v>
      </c>
      <c r="H755" s="46"/>
      <c r="I755" s="46" t="s">
        <v>25</v>
      </c>
    </row>
    <row r="757" spans="1:18" ht="15.75">
      <c r="A757" s="21" t="s">
        <v>0</v>
      </c>
      <c r="B757" s="22"/>
      <c r="C757" s="23"/>
      <c r="D757" s="23"/>
      <c r="E757" s="23"/>
      <c r="F757" s="24"/>
      <c r="G757" s="24"/>
      <c r="H757" s="24"/>
      <c r="I757" s="24"/>
      <c r="J757" s="24"/>
      <c r="K757" s="24"/>
      <c r="L757" s="25"/>
    </row>
    <row r="758" spans="1:18" ht="15.75">
      <c r="A758" s="26" t="s">
        <v>574</v>
      </c>
      <c r="B758" s="21"/>
      <c r="C758" s="21"/>
      <c r="D758" s="21"/>
      <c r="E758" s="21"/>
      <c r="F758" s="24"/>
      <c r="G758" s="24"/>
      <c r="H758" s="24"/>
      <c r="I758" s="24"/>
      <c r="J758" s="24"/>
      <c r="K758" s="24"/>
      <c r="L758" s="25"/>
    </row>
    <row r="759" spans="1:18">
      <c r="A759" s="62"/>
      <c r="B759" s="62" t="s">
        <v>1</v>
      </c>
      <c r="C759" s="93" t="s">
        <v>2</v>
      </c>
      <c r="D759" s="117" t="s">
        <v>34</v>
      </c>
      <c r="E759" s="95" t="s">
        <v>3</v>
      </c>
      <c r="F759" s="93" t="s">
        <v>4</v>
      </c>
      <c r="G759" s="96" t="s">
        <v>18</v>
      </c>
      <c r="H759" s="96" t="s">
        <v>540</v>
      </c>
      <c r="I759" s="97" t="s">
        <v>7</v>
      </c>
      <c r="J759" s="97" t="s">
        <v>6</v>
      </c>
      <c r="K759" s="130" t="s">
        <v>6</v>
      </c>
      <c r="L759" s="96" t="s">
        <v>29</v>
      </c>
      <c r="M759" s="96" t="s">
        <v>21</v>
      </c>
      <c r="N759" s="96" t="s">
        <v>8</v>
      </c>
      <c r="O759" s="96" t="s">
        <v>8</v>
      </c>
      <c r="P759" s="96" t="s">
        <v>9</v>
      </c>
      <c r="Q759" s="62" t="s">
        <v>10</v>
      </c>
      <c r="R759" s="98" t="s">
        <v>33</v>
      </c>
    </row>
    <row r="760" spans="1:18">
      <c r="A760" s="99"/>
      <c r="B760" s="99"/>
      <c r="C760" s="100"/>
      <c r="D760" s="101"/>
      <c r="E760" s="102"/>
      <c r="F760" s="100"/>
      <c r="G760" s="103" t="s">
        <v>12</v>
      </c>
      <c r="H760" s="127" t="s">
        <v>517</v>
      </c>
      <c r="I760" s="119" t="s">
        <v>19</v>
      </c>
      <c r="J760" s="119" t="s">
        <v>517</v>
      </c>
      <c r="K760" s="131" t="s">
        <v>517</v>
      </c>
      <c r="L760" s="103" t="s">
        <v>22</v>
      </c>
      <c r="M760" s="103" t="s">
        <v>15</v>
      </c>
      <c r="N760" s="103" t="s">
        <v>13</v>
      </c>
      <c r="O760" s="103" t="s">
        <v>14</v>
      </c>
      <c r="P760" s="103" t="s">
        <v>12</v>
      </c>
      <c r="Q760" s="99"/>
      <c r="R760" s="104"/>
    </row>
    <row r="761" spans="1:18">
      <c r="A761" s="99"/>
      <c r="B761" s="99"/>
      <c r="C761" s="105"/>
      <c r="D761" s="101"/>
      <c r="E761" s="102"/>
      <c r="F761" s="100"/>
      <c r="G761" s="103" t="s">
        <v>41</v>
      </c>
      <c r="H761" s="103" t="s">
        <v>382</v>
      </c>
      <c r="I761" s="119" t="s">
        <v>5</v>
      </c>
      <c r="J761" s="119" t="s">
        <v>382</v>
      </c>
      <c r="K761" s="131" t="s">
        <v>382</v>
      </c>
      <c r="L761" s="103"/>
      <c r="M761" s="103"/>
      <c r="N761" s="103"/>
      <c r="O761" s="103"/>
      <c r="P761" s="103"/>
      <c r="Q761" s="99"/>
      <c r="R761" s="104"/>
    </row>
    <row r="762" spans="1:18">
      <c r="A762" s="106"/>
      <c r="B762" s="106"/>
      <c r="C762" s="107"/>
      <c r="D762" s="108"/>
      <c r="E762" s="109"/>
      <c r="F762" s="110"/>
      <c r="G762" s="111"/>
      <c r="H762" s="112"/>
      <c r="I762" s="75"/>
      <c r="J762" s="120" t="s">
        <v>90</v>
      </c>
      <c r="K762" s="132" t="s">
        <v>90</v>
      </c>
      <c r="L762" s="113"/>
      <c r="M762" s="108"/>
      <c r="N762" s="111"/>
      <c r="O762" s="111"/>
      <c r="P762" s="111"/>
      <c r="Q762" s="106"/>
      <c r="R762" s="114"/>
    </row>
    <row r="763" spans="1:18" ht="15.75">
      <c r="A763" s="52"/>
      <c r="B763" s="47"/>
      <c r="C763" s="48"/>
      <c r="D763" s="73"/>
      <c r="E763" s="17"/>
      <c r="F763" s="48"/>
      <c r="G763" s="36"/>
      <c r="H763" s="36"/>
      <c r="I763" s="125"/>
      <c r="J763" s="36"/>
      <c r="K763" s="36"/>
      <c r="L763" s="8"/>
      <c r="N763" s="8"/>
      <c r="O763" s="8"/>
      <c r="P763" s="8"/>
      <c r="Q763" s="35"/>
      <c r="R763" s="37"/>
    </row>
    <row r="764" spans="1:18" ht="15.75">
      <c r="A764" s="52">
        <v>1</v>
      </c>
      <c r="B764" s="51" t="s">
        <v>560</v>
      </c>
      <c r="C764" s="48" t="s">
        <v>561</v>
      </c>
      <c r="D764" s="67" t="s">
        <v>562</v>
      </c>
      <c r="E764" s="17">
        <v>43248</v>
      </c>
      <c r="F764" s="20" t="s">
        <v>563</v>
      </c>
      <c r="G764" s="36">
        <v>87910000</v>
      </c>
      <c r="H764" s="8">
        <v>0</v>
      </c>
      <c r="I764" s="8">
        <v>2197750</v>
      </c>
      <c r="J764" s="8">
        <v>0</v>
      </c>
      <c r="K764" s="8">
        <v>0</v>
      </c>
      <c r="L764" s="8">
        <v>500000</v>
      </c>
      <c r="M764" s="8">
        <v>200000</v>
      </c>
      <c r="N764" s="8">
        <f>SUM(G764:M764)</f>
        <v>90807750</v>
      </c>
      <c r="O764" s="8">
        <f>140807750-N764</f>
        <v>50000000</v>
      </c>
      <c r="P764" s="8">
        <f t="shared" ref="P764" si="97">+N764+O764</f>
        <v>140807750</v>
      </c>
      <c r="Q764" s="77" t="s">
        <v>564</v>
      </c>
      <c r="R764" s="66" t="s">
        <v>52</v>
      </c>
    </row>
    <row r="765" spans="1:18" ht="15.75">
      <c r="A765" s="52"/>
      <c r="B765" s="51"/>
      <c r="C765" s="48"/>
      <c r="E765" s="17"/>
      <c r="F765" s="48"/>
      <c r="G765" s="36"/>
      <c r="H765" s="36"/>
      <c r="I765" s="75"/>
      <c r="J765" s="36"/>
      <c r="K765" s="36"/>
      <c r="L765" s="36"/>
      <c r="N765" s="8"/>
      <c r="O765" s="8"/>
      <c r="P765" s="8"/>
      <c r="Q765" s="59"/>
      <c r="R765" s="66"/>
    </row>
    <row r="766" spans="1:18" ht="16.5" thickBot="1">
      <c r="A766" s="18"/>
      <c r="B766" s="55"/>
      <c r="C766" s="56"/>
      <c r="D766" s="74"/>
      <c r="E766" s="56"/>
      <c r="F766" s="57"/>
      <c r="G766" s="19">
        <f t="shared" ref="G766:P766" si="98">SUM(G764:G765)</f>
        <v>87910000</v>
      </c>
      <c r="H766" s="19">
        <f t="shared" si="98"/>
        <v>0</v>
      </c>
      <c r="I766" s="19">
        <f t="shared" si="98"/>
        <v>2197750</v>
      </c>
      <c r="J766" s="19">
        <f t="shared" si="98"/>
        <v>0</v>
      </c>
      <c r="K766" s="19">
        <f t="shared" si="98"/>
        <v>0</v>
      </c>
      <c r="L766" s="19">
        <f t="shared" si="98"/>
        <v>500000</v>
      </c>
      <c r="M766" s="19">
        <f t="shared" si="98"/>
        <v>200000</v>
      </c>
      <c r="N766" s="19">
        <f t="shared" si="98"/>
        <v>90807750</v>
      </c>
      <c r="O766" s="19">
        <f t="shared" si="98"/>
        <v>50000000</v>
      </c>
      <c r="P766" s="19">
        <f t="shared" si="98"/>
        <v>140807750</v>
      </c>
      <c r="Q766" s="68"/>
      <c r="R766" s="70"/>
    </row>
    <row r="767" spans="1:18" ht="16.5" thickTop="1">
      <c r="A767" s="23"/>
      <c r="B767" s="22"/>
      <c r="C767" s="22"/>
      <c r="D767" s="23"/>
      <c r="E767" s="22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2"/>
      <c r="Q767" s="69"/>
    </row>
    <row r="768" spans="1:18" ht="15.75">
      <c r="A768" s="23"/>
      <c r="B768" s="28" t="s">
        <v>590</v>
      </c>
      <c r="C768" s="22"/>
      <c r="D768" s="39"/>
      <c r="F768" s="27"/>
      <c r="G768" s="28"/>
      <c r="H768" s="28"/>
      <c r="I768" s="28"/>
      <c r="J768" s="28"/>
      <c r="K768" s="28"/>
      <c r="L768" s="28"/>
      <c r="Q768" s="51"/>
    </row>
    <row r="769" spans="1:18" ht="15.75">
      <c r="A769" s="38"/>
      <c r="B769" s="40" t="s">
        <v>32</v>
      </c>
      <c r="C769" s="28" t="s">
        <v>28</v>
      </c>
      <c r="D769" s="39"/>
      <c r="F769" s="41"/>
      <c r="G769" s="143" t="s">
        <v>26</v>
      </c>
      <c r="H769" s="143"/>
      <c r="I769" s="143"/>
      <c r="K769" s="41"/>
    </row>
    <row r="770" spans="1:18" ht="15.75">
      <c r="A770" s="38"/>
      <c r="B770" s="40"/>
      <c r="C770" s="28"/>
      <c r="D770" s="39"/>
      <c r="F770" s="28"/>
      <c r="G770" s="28"/>
      <c r="H770" s="28"/>
      <c r="I770" s="28"/>
      <c r="J770" s="28"/>
      <c r="K770" s="28"/>
      <c r="L770" s="28"/>
    </row>
    <row r="771" spans="1:18" ht="15.75">
      <c r="A771" s="38"/>
      <c r="B771" s="40"/>
      <c r="C771" s="28"/>
      <c r="D771" s="39"/>
      <c r="F771" s="28"/>
      <c r="G771" s="28"/>
      <c r="H771" s="28"/>
      <c r="I771" s="28"/>
      <c r="J771" s="28"/>
      <c r="K771" s="28"/>
      <c r="L771" s="28"/>
    </row>
    <row r="772" spans="1:18" ht="15.75">
      <c r="A772" s="38"/>
      <c r="B772" s="40"/>
      <c r="C772" s="28"/>
      <c r="D772" s="39"/>
      <c r="F772" s="28"/>
      <c r="G772" s="28"/>
      <c r="H772" s="28"/>
      <c r="I772" s="28"/>
      <c r="J772" s="28"/>
      <c r="K772" s="28"/>
    </row>
    <row r="773" spans="1:18" ht="15.75">
      <c r="A773" s="38"/>
      <c r="B773" s="40"/>
      <c r="C773" s="28"/>
      <c r="D773" s="39"/>
      <c r="F773" s="28"/>
      <c r="G773" s="28"/>
      <c r="H773" s="28"/>
      <c r="I773" s="28"/>
      <c r="J773" s="28"/>
      <c r="K773" s="28"/>
      <c r="L773" s="28"/>
    </row>
    <row r="774" spans="1:18" ht="15.75">
      <c r="A774" s="38" t="s">
        <v>23</v>
      </c>
      <c r="B774" s="42" t="s">
        <v>27</v>
      </c>
      <c r="C774" s="43" t="s">
        <v>24</v>
      </c>
      <c r="D774" s="39"/>
      <c r="F774" s="29"/>
      <c r="G774" s="29" t="s">
        <v>16</v>
      </c>
      <c r="H774" s="29"/>
      <c r="I774" s="29" t="s">
        <v>30</v>
      </c>
    </row>
    <row r="775" spans="1:18" ht="15.75">
      <c r="A775" s="38"/>
      <c r="B775" s="44" t="s">
        <v>31</v>
      </c>
      <c r="C775" s="45" t="s">
        <v>20</v>
      </c>
      <c r="D775" s="39"/>
      <c r="F775" s="46"/>
      <c r="G775" s="46" t="s">
        <v>17</v>
      </c>
      <c r="H775" s="46"/>
      <c r="I775" s="46" t="s">
        <v>25</v>
      </c>
    </row>
    <row r="777" spans="1:18" ht="15.75">
      <c r="A777" s="21" t="s">
        <v>0</v>
      </c>
      <c r="B777" s="22"/>
      <c r="C777" s="23"/>
      <c r="D777" s="23"/>
      <c r="E777" s="23"/>
      <c r="F777" s="24"/>
      <c r="G777" s="24"/>
      <c r="H777" s="24"/>
      <c r="I777" s="24"/>
      <c r="J777" s="24"/>
      <c r="K777" s="24"/>
      <c r="L777" s="25"/>
    </row>
    <row r="778" spans="1:18" ht="15.75">
      <c r="A778" s="26" t="s">
        <v>602</v>
      </c>
      <c r="B778" s="21"/>
      <c r="C778" s="21"/>
      <c r="D778" s="21"/>
      <c r="E778" s="21"/>
      <c r="F778" s="24"/>
      <c r="G778" s="24"/>
      <c r="H778" s="24"/>
      <c r="I778" s="24"/>
      <c r="J778" s="24"/>
      <c r="K778" s="24"/>
      <c r="L778" s="25"/>
    </row>
    <row r="779" spans="1:18">
      <c r="A779" s="62"/>
      <c r="B779" s="62" t="s">
        <v>1</v>
      </c>
      <c r="C779" s="93" t="s">
        <v>2</v>
      </c>
      <c r="D779" s="117" t="s">
        <v>34</v>
      </c>
      <c r="E779" s="95" t="s">
        <v>3</v>
      </c>
      <c r="F779" s="93" t="s">
        <v>4</v>
      </c>
      <c r="G779" s="96" t="s">
        <v>18</v>
      </c>
      <c r="H779" s="96" t="s">
        <v>18</v>
      </c>
      <c r="I779" s="97" t="s">
        <v>7</v>
      </c>
      <c r="J779" s="130" t="s">
        <v>6</v>
      </c>
      <c r="K779" s="130" t="s">
        <v>6</v>
      </c>
      <c r="L779" s="96" t="s">
        <v>29</v>
      </c>
      <c r="M779" s="96" t="s">
        <v>21</v>
      </c>
      <c r="N779" s="96" t="s">
        <v>8</v>
      </c>
      <c r="O779" s="96" t="s">
        <v>8</v>
      </c>
      <c r="P779" s="96" t="s">
        <v>9</v>
      </c>
      <c r="Q779" s="62" t="s">
        <v>10</v>
      </c>
      <c r="R779" s="98" t="s">
        <v>33</v>
      </c>
    </row>
    <row r="780" spans="1:18">
      <c r="A780" s="99"/>
      <c r="B780" s="99"/>
      <c r="C780" s="100"/>
      <c r="D780" s="101"/>
      <c r="E780" s="102"/>
      <c r="F780" s="100"/>
      <c r="G780" s="103" t="s">
        <v>12</v>
      </c>
      <c r="H780" s="103" t="s">
        <v>12</v>
      </c>
      <c r="I780" s="119" t="s">
        <v>19</v>
      </c>
      <c r="J780" s="131" t="s">
        <v>517</v>
      </c>
      <c r="K780" s="131" t="s">
        <v>517</v>
      </c>
      <c r="L780" s="103" t="s">
        <v>22</v>
      </c>
      <c r="M780" s="103" t="s">
        <v>15</v>
      </c>
      <c r="N780" s="103" t="s">
        <v>13</v>
      </c>
      <c r="O780" s="103" t="s">
        <v>14</v>
      </c>
      <c r="P780" s="103" t="s">
        <v>12</v>
      </c>
      <c r="Q780" s="99"/>
      <c r="R780" s="104"/>
    </row>
    <row r="781" spans="1:18">
      <c r="A781" s="99"/>
      <c r="B781" s="99"/>
      <c r="C781" s="105"/>
      <c r="D781" s="101"/>
      <c r="E781" s="102"/>
      <c r="F781" s="100"/>
      <c r="G781" s="103" t="s">
        <v>81</v>
      </c>
      <c r="H781" s="103" t="s">
        <v>22</v>
      </c>
      <c r="I781" s="119" t="s">
        <v>5</v>
      </c>
      <c r="J781" s="131" t="s">
        <v>382</v>
      </c>
      <c r="K781" s="131" t="s">
        <v>382</v>
      </c>
      <c r="L781" s="103"/>
      <c r="M781" s="103"/>
      <c r="N781" s="103"/>
      <c r="O781" s="103"/>
      <c r="P781" s="103"/>
      <c r="Q781" s="99"/>
      <c r="R781" s="104"/>
    </row>
    <row r="782" spans="1:18">
      <c r="A782" s="106"/>
      <c r="B782" s="106"/>
      <c r="C782" s="107"/>
      <c r="D782" s="108"/>
      <c r="E782" s="109"/>
      <c r="F782" s="110"/>
      <c r="G782" s="111"/>
      <c r="H782" s="112"/>
      <c r="I782" s="75"/>
      <c r="J782" s="132" t="s">
        <v>90</v>
      </c>
      <c r="K782" s="132" t="s">
        <v>90</v>
      </c>
      <c r="L782" s="113"/>
      <c r="M782" s="108"/>
      <c r="N782" s="111"/>
      <c r="O782" s="111"/>
      <c r="P782" s="111"/>
      <c r="Q782" s="106"/>
      <c r="R782" s="114"/>
    </row>
    <row r="783" spans="1:18" ht="15.75">
      <c r="A783" s="52"/>
      <c r="B783" s="47"/>
      <c r="C783" s="48"/>
      <c r="D783" s="73"/>
      <c r="E783" s="17"/>
      <c r="F783" s="48"/>
      <c r="G783" s="36"/>
      <c r="H783" s="36"/>
      <c r="I783" s="125"/>
      <c r="J783" s="36"/>
      <c r="K783" s="36"/>
      <c r="L783" s="8"/>
      <c r="N783" s="8"/>
      <c r="O783" s="8"/>
      <c r="P783" s="8"/>
      <c r="Q783" s="35"/>
      <c r="R783" s="37"/>
    </row>
    <row r="784" spans="1:18" ht="15.75">
      <c r="A784" s="52">
        <v>1</v>
      </c>
      <c r="B784" s="51" t="s">
        <v>603</v>
      </c>
      <c r="C784" s="48" t="s">
        <v>604</v>
      </c>
      <c r="D784" s="67" t="s">
        <v>605</v>
      </c>
      <c r="E784" s="17">
        <v>43250</v>
      </c>
      <c r="F784" s="20" t="s">
        <v>606</v>
      </c>
      <c r="G784" s="36">
        <v>22494000</v>
      </c>
      <c r="H784" s="8">
        <v>0</v>
      </c>
      <c r="I784" s="8">
        <v>562350</v>
      </c>
      <c r="J784" s="8">
        <v>0</v>
      </c>
      <c r="K784" s="8">
        <v>0</v>
      </c>
      <c r="L784" s="8">
        <v>100000</v>
      </c>
      <c r="M784" s="8">
        <v>200000</v>
      </c>
      <c r="N784" s="8">
        <f>SUM(G784:M784)</f>
        <v>23356350</v>
      </c>
      <c r="O784" s="8">
        <f>40000000-N784</f>
        <v>16643650</v>
      </c>
      <c r="P784" s="8">
        <f t="shared" ref="P784" si="99">+N784+O784</f>
        <v>40000000</v>
      </c>
      <c r="Q784" s="77" t="s">
        <v>192</v>
      </c>
      <c r="R784" s="66" t="s">
        <v>52</v>
      </c>
    </row>
    <row r="785" spans="1:18" ht="15.75">
      <c r="A785" s="52">
        <v>2</v>
      </c>
      <c r="B785" s="51" t="s">
        <v>615</v>
      </c>
      <c r="C785" s="48" t="s">
        <v>616</v>
      </c>
      <c r="D785" s="67" t="s">
        <v>617</v>
      </c>
      <c r="E785" s="17">
        <v>43250</v>
      </c>
      <c r="F785" s="20" t="s">
        <v>618</v>
      </c>
      <c r="G785" s="36">
        <v>0</v>
      </c>
      <c r="H785" s="8">
        <v>61299056</v>
      </c>
      <c r="I785" s="8">
        <v>1532476</v>
      </c>
      <c r="J785" s="8">
        <v>0</v>
      </c>
      <c r="K785" s="8">
        <v>0</v>
      </c>
      <c r="L785" s="8">
        <v>387009</v>
      </c>
      <c r="M785" s="8">
        <v>200000</v>
      </c>
      <c r="N785" s="8">
        <f>SUM(G785:M785)</f>
        <v>63418541</v>
      </c>
      <c r="O785" s="8">
        <f>100000000-N785</f>
        <v>36581459</v>
      </c>
      <c r="P785" s="8">
        <f t="shared" ref="P785" si="100">+N785+O785</f>
        <v>100000000</v>
      </c>
      <c r="Q785" s="77" t="s">
        <v>159</v>
      </c>
      <c r="R785" s="66" t="s">
        <v>52</v>
      </c>
    </row>
    <row r="786" spans="1:18" ht="15.75">
      <c r="A786" s="52">
        <v>3</v>
      </c>
      <c r="B786" s="51" t="s">
        <v>607</v>
      </c>
      <c r="C786" s="48" t="s">
        <v>608</v>
      </c>
      <c r="D786" s="67" t="s">
        <v>609</v>
      </c>
      <c r="E786" s="17">
        <v>43250</v>
      </c>
      <c r="F786" s="20" t="s">
        <v>610</v>
      </c>
      <c r="G786" s="36">
        <v>18009439</v>
      </c>
      <c r="H786" s="8">
        <v>107639253</v>
      </c>
      <c r="I786" s="8">
        <v>3141217</v>
      </c>
      <c r="J786" s="8">
        <v>0</v>
      </c>
      <c r="K786" s="8">
        <v>0</v>
      </c>
      <c r="L786" s="8">
        <v>800000</v>
      </c>
      <c r="M786" s="8">
        <v>200000</v>
      </c>
      <c r="N786" s="8">
        <f>SUM(G786:M786)</f>
        <v>129789909</v>
      </c>
      <c r="O786" s="8">
        <f>209789909-N786</f>
        <v>80000000</v>
      </c>
      <c r="P786" s="8">
        <f t="shared" ref="P786" si="101">+N786+O786</f>
        <v>209789909</v>
      </c>
      <c r="Q786" s="77" t="s">
        <v>205</v>
      </c>
      <c r="R786" s="66" t="s">
        <v>52</v>
      </c>
    </row>
    <row r="787" spans="1:18" ht="15.75">
      <c r="A787" s="52">
        <v>4</v>
      </c>
      <c r="B787" s="51" t="s">
        <v>611</v>
      </c>
      <c r="C787" s="48" t="s">
        <v>612</v>
      </c>
      <c r="D787" s="67" t="s">
        <v>613</v>
      </c>
      <c r="E787" s="17">
        <v>43250</v>
      </c>
      <c r="F787" s="20" t="s">
        <v>614</v>
      </c>
      <c r="G787" s="36">
        <v>0</v>
      </c>
      <c r="H787" s="8">
        <v>120454000</v>
      </c>
      <c r="I787" s="8">
        <v>3011350</v>
      </c>
      <c r="J787" s="8">
        <v>0</v>
      </c>
      <c r="K787" s="8">
        <v>0</v>
      </c>
      <c r="L787" s="8">
        <v>3795460</v>
      </c>
      <c r="M787" s="8">
        <v>200000</v>
      </c>
      <c r="N787" s="8">
        <f>SUM(G787:M787)</f>
        <v>127460810</v>
      </c>
      <c r="O787" s="8">
        <f>500000000-N787</f>
        <v>372539190</v>
      </c>
      <c r="P787" s="8">
        <f t="shared" ref="P787" si="102">+N787+O787</f>
        <v>500000000</v>
      </c>
      <c r="Q787" s="77" t="s">
        <v>39</v>
      </c>
      <c r="R787" s="66" t="s">
        <v>52</v>
      </c>
    </row>
    <row r="788" spans="1:18" ht="15.75">
      <c r="A788" s="52"/>
      <c r="B788" s="51"/>
      <c r="C788" s="48"/>
      <c r="E788" s="17"/>
      <c r="F788" s="48"/>
      <c r="G788" s="36"/>
      <c r="H788" s="36"/>
      <c r="I788" s="75"/>
      <c r="J788" s="36"/>
      <c r="K788" s="36"/>
      <c r="L788" s="36"/>
      <c r="N788" s="8"/>
      <c r="O788" s="8"/>
      <c r="P788" s="8"/>
      <c r="Q788" s="59"/>
      <c r="R788" s="66"/>
    </row>
    <row r="789" spans="1:18" ht="16.5" thickBot="1">
      <c r="A789" s="18"/>
      <c r="B789" s="55"/>
      <c r="C789" s="56"/>
      <c r="D789" s="74"/>
      <c r="E789" s="56"/>
      <c r="F789" s="57"/>
      <c r="G789" s="19">
        <f>SUM(G784:G788)</f>
        <v>40503439</v>
      </c>
      <c r="H789" s="19">
        <f t="shared" ref="H789:P789" si="103">SUM(H784:H788)</f>
        <v>289392309</v>
      </c>
      <c r="I789" s="19">
        <f t="shared" si="103"/>
        <v>8247393</v>
      </c>
      <c r="J789" s="19">
        <f t="shared" si="103"/>
        <v>0</v>
      </c>
      <c r="K789" s="19">
        <f t="shared" si="103"/>
        <v>0</v>
      </c>
      <c r="L789" s="19">
        <f t="shared" si="103"/>
        <v>5082469</v>
      </c>
      <c r="M789" s="19">
        <f t="shared" si="103"/>
        <v>800000</v>
      </c>
      <c r="N789" s="19">
        <f t="shared" si="103"/>
        <v>344025610</v>
      </c>
      <c r="O789" s="19">
        <f t="shared" si="103"/>
        <v>505764299</v>
      </c>
      <c r="P789" s="19">
        <f t="shared" si="103"/>
        <v>849789909</v>
      </c>
      <c r="Q789" s="68"/>
      <c r="R789" s="70"/>
    </row>
    <row r="790" spans="1:18" ht="16.5" thickTop="1">
      <c r="A790" s="23"/>
      <c r="B790" s="22"/>
      <c r="C790" s="22"/>
      <c r="D790" s="23"/>
      <c r="E790" s="22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2"/>
      <c r="Q790" s="69"/>
    </row>
    <row r="791" spans="1:18" ht="15.75">
      <c r="A791" s="23"/>
      <c r="B791" s="28" t="s">
        <v>619</v>
      </c>
      <c r="C791" s="22"/>
      <c r="D791" s="39"/>
      <c r="F791" s="27"/>
      <c r="G791" s="28"/>
      <c r="H791" s="28"/>
      <c r="I791" s="28"/>
      <c r="J791" s="28"/>
      <c r="K791" s="28"/>
      <c r="L791" s="28"/>
      <c r="Q791" s="51"/>
    </row>
    <row r="792" spans="1:18" ht="15.75">
      <c r="A792" s="38"/>
      <c r="B792" s="40" t="s">
        <v>32</v>
      </c>
      <c r="C792" s="28" t="s">
        <v>28</v>
      </c>
      <c r="D792" s="39"/>
      <c r="F792" s="41"/>
      <c r="G792" s="143" t="s">
        <v>26</v>
      </c>
      <c r="H792" s="143"/>
      <c r="I792" s="143"/>
      <c r="K792" s="41"/>
    </row>
    <row r="793" spans="1:18" ht="15.75">
      <c r="A793" s="38"/>
      <c r="B793" s="40"/>
      <c r="C793" s="28"/>
      <c r="D793" s="39"/>
      <c r="F793" s="28"/>
      <c r="G793" s="28"/>
      <c r="H793" s="28"/>
      <c r="I793" s="28"/>
      <c r="J793" s="28"/>
      <c r="K793" s="28"/>
      <c r="L793" s="28"/>
    </row>
    <row r="794" spans="1:18" ht="15.75">
      <c r="A794" s="38"/>
      <c r="B794" s="40"/>
      <c r="C794" s="28"/>
      <c r="D794" s="39"/>
      <c r="F794" s="28"/>
      <c r="G794" s="28"/>
      <c r="H794" s="28"/>
      <c r="I794" s="28"/>
      <c r="J794" s="28"/>
      <c r="K794" s="28"/>
      <c r="L794" s="28"/>
    </row>
    <row r="795" spans="1:18" ht="15.75">
      <c r="A795" s="38"/>
      <c r="B795" s="40"/>
      <c r="C795" s="28"/>
      <c r="D795" s="39"/>
      <c r="F795" s="28"/>
      <c r="G795" s="28"/>
      <c r="H795" s="28"/>
      <c r="I795" s="28"/>
      <c r="J795" s="28"/>
      <c r="K795" s="28"/>
    </row>
    <row r="796" spans="1:18" ht="15.75">
      <c r="A796" s="38"/>
      <c r="B796" s="40"/>
      <c r="C796" s="28"/>
      <c r="D796" s="39"/>
      <c r="F796" s="28"/>
      <c r="G796" s="28"/>
      <c r="H796" s="28"/>
      <c r="I796" s="28"/>
      <c r="J796" s="28"/>
      <c r="K796" s="28"/>
      <c r="L796" s="28"/>
    </row>
    <row r="797" spans="1:18" ht="15.75">
      <c r="A797" s="38" t="s">
        <v>23</v>
      </c>
      <c r="B797" s="42" t="s">
        <v>27</v>
      </c>
      <c r="C797" s="43" t="s">
        <v>24</v>
      </c>
      <c r="D797" s="39"/>
      <c r="F797" s="29"/>
      <c r="G797" s="29" t="s">
        <v>16</v>
      </c>
      <c r="H797" s="29"/>
      <c r="I797" s="29" t="s">
        <v>30</v>
      </c>
    </row>
    <row r="798" spans="1:18" ht="15.75">
      <c r="A798" s="38"/>
      <c r="B798" s="44" t="s">
        <v>31</v>
      </c>
      <c r="C798" s="45" t="s">
        <v>20</v>
      </c>
      <c r="D798" s="39"/>
      <c r="F798" s="46"/>
      <c r="G798" s="46" t="s">
        <v>17</v>
      </c>
      <c r="H798" s="46"/>
      <c r="I798" s="46" t="s">
        <v>25</v>
      </c>
    </row>
    <row r="800" spans="1:18" ht="15.75">
      <c r="A800" s="21" t="s">
        <v>0</v>
      </c>
      <c r="B800" s="22"/>
      <c r="C800" s="23"/>
      <c r="D800" s="23"/>
      <c r="E800" s="23"/>
      <c r="F800" s="24"/>
      <c r="G800" s="24"/>
      <c r="H800" s="24"/>
      <c r="I800" s="24"/>
      <c r="J800" s="24"/>
      <c r="K800" s="24"/>
      <c r="L800" s="25"/>
    </row>
    <row r="801" spans="1:18" ht="15.75">
      <c r="A801" s="26" t="s">
        <v>620</v>
      </c>
      <c r="B801" s="21"/>
      <c r="C801" s="21"/>
      <c r="D801" s="21"/>
      <c r="E801" s="21"/>
      <c r="F801" s="24"/>
      <c r="G801" s="24"/>
      <c r="H801" s="24"/>
      <c r="I801" s="24"/>
      <c r="J801" s="24"/>
      <c r="K801" s="24"/>
      <c r="L801" s="25"/>
    </row>
    <row r="802" spans="1:18">
      <c r="A802" s="62"/>
      <c r="B802" s="62" t="s">
        <v>1</v>
      </c>
      <c r="C802" s="93" t="s">
        <v>2</v>
      </c>
      <c r="D802" s="117" t="s">
        <v>34</v>
      </c>
      <c r="E802" s="95" t="s">
        <v>3</v>
      </c>
      <c r="F802" s="93" t="s">
        <v>4</v>
      </c>
      <c r="G802" s="96" t="s">
        <v>18</v>
      </c>
      <c r="H802" s="96" t="s">
        <v>18</v>
      </c>
      <c r="I802" s="97" t="s">
        <v>7</v>
      </c>
      <c r="J802" s="130" t="s">
        <v>6</v>
      </c>
      <c r="K802" s="130" t="s">
        <v>6</v>
      </c>
      <c r="L802" s="96" t="s">
        <v>29</v>
      </c>
      <c r="M802" s="96" t="s">
        <v>21</v>
      </c>
      <c r="N802" s="96" t="s">
        <v>8</v>
      </c>
      <c r="O802" s="96" t="s">
        <v>8</v>
      </c>
      <c r="P802" s="96" t="s">
        <v>9</v>
      </c>
      <c r="Q802" s="62" t="s">
        <v>10</v>
      </c>
      <c r="R802" s="98" t="s">
        <v>33</v>
      </c>
    </row>
    <row r="803" spans="1:18">
      <c r="A803" s="99"/>
      <c r="B803" s="99"/>
      <c r="C803" s="100"/>
      <c r="D803" s="101"/>
      <c r="E803" s="102"/>
      <c r="F803" s="100"/>
      <c r="G803" s="103" t="s">
        <v>12</v>
      </c>
      <c r="H803" s="103" t="s">
        <v>12</v>
      </c>
      <c r="I803" s="119" t="s">
        <v>19</v>
      </c>
      <c r="J803" s="131" t="s">
        <v>35</v>
      </c>
      <c r="K803" s="131" t="s">
        <v>517</v>
      </c>
      <c r="L803" s="103" t="s">
        <v>22</v>
      </c>
      <c r="M803" s="103" t="s">
        <v>15</v>
      </c>
      <c r="N803" s="103" t="s">
        <v>13</v>
      </c>
      <c r="O803" s="103" t="s">
        <v>14</v>
      </c>
      <c r="P803" s="103" t="s">
        <v>12</v>
      </c>
      <c r="Q803" s="99"/>
      <c r="R803" s="104"/>
    </row>
    <row r="804" spans="1:18">
      <c r="A804" s="99"/>
      <c r="B804" s="99"/>
      <c r="C804" s="105"/>
      <c r="D804" s="101"/>
      <c r="E804" s="102"/>
      <c r="F804" s="100"/>
      <c r="G804" s="103" t="s">
        <v>81</v>
      </c>
      <c r="H804" s="103" t="s">
        <v>22</v>
      </c>
      <c r="I804" s="119" t="s">
        <v>5</v>
      </c>
      <c r="J804" s="131"/>
      <c r="K804" s="131"/>
      <c r="L804" s="103"/>
      <c r="M804" s="103"/>
      <c r="N804" s="103"/>
      <c r="O804" s="103"/>
      <c r="P804" s="103"/>
      <c r="Q804" s="99"/>
      <c r="R804" s="104"/>
    </row>
    <row r="805" spans="1:18">
      <c r="A805" s="106"/>
      <c r="B805" s="106"/>
      <c r="C805" s="107"/>
      <c r="D805" s="108"/>
      <c r="E805" s="109"/>
      <c r="F805" s="110"/>
      <c r="G805" s="111"/>
      <c r="H805" s="112"/>
      <c r="I805" s="75"/>
      <c r="J805" s="132"/>
      <c r="K805" s="132"/>
      <c r="L805" s="113"/>
      <c r="M805" s="108"/>
      <c r="N805" s="111"/>
      <c r="O805" s="111"/>
      <c r="P805" s="111"/>
      <c r="Q805" s="106"/>
      <c r="R805" s="114"/>
    </row>
    <row r="806" spans="1:18" ht="15.75">
      <c r="A806" s="52"/>
      <c r="B806" s="47"/>
      <c r="C806" s="48"/>
      <c r="D806" s="73"/>
      <c r="E806" s="17"/>
      <c r="F806" s="48"/>
      <c r="G806" s="36"/>
      <c r="H806" s="36"/>
      <c r="I806" s="125"/>
      <c r="J806" s="36"/>
      <c r="K806" s="36"/>
      <c r="L806" s="8"/>
      <c r="N806" s="8"/>
      <c r="O806" s="8"/>
      <c r="P806" s="8"/>
      <c r="Q806" s="35"/>
      <c r="R806" s="37"/>
    </row>
    <row r="807" spans="1:18" ht="15.75">
      <c r="A807" s="52">
        <v>1</v>
      </c>
      <c r="B807" s="51" t="s">
        <v>621</v>
      </c>
      <c r="C807" s="48" t="s">
        <v>622</v>
      </c>
      <c r="D807" s="67" t="s">
        <v>623</v>
      </c>
      <c r="E807" s="17">
        <v>43251</v>
      </c>
      <c r="F807" s="20" t="s">
        <v>337</v>
      </c>
      <c r="G807" s="36">
        <v>198000</v>
      </c>
      <c r="H807" s="8">
        <v>121690717</v>
      </c>
      <c r="I807" s="8">
        <v>3047218</v>
      </c>
      <c r="J807" s="8">
        <v>0</v>
      </c>
      <c r="K807" s="8">
        <v>2933499</v>
      </c>
      <c r="L807" s="8">
        <v>0</v>
      </c>
      <c r="M807" s="8">
        <v>200000</v>
      </c>
      <c r="N807" s="8">
        <f>SUM(G807:M807)</f>
        <v>128069434</v>
      </c>
      <c r="O807" s="8">
        <f>128069434-N807</f>
        <v>0</v>
      </c>
      <c r="P807" s="8">
        <f t="shared" ref="P807" si="104">+N807+O807</f>
        <v>128069434</v>
      </c>
      <c r="Q807" s="77" t="s">
        <v>346</v>
      </c>
      <c r="R807" s="66" t="s">
        <v>338</v>
      </c>
    </row>
    <row r="808" spans="1:18" ht="15.75">
      <c r="A808" s="52"/>
      <c r="B808" s="51"/>
      <c r="C808" s="48"/>
      <c r="E808" s="17"/>
      <c r="F808" s="48"/>
      <c r="G808" s="36"/>
      <c r="H808" s="36"/>
      <c r="I808" s="75"/>
      <c r="J808" s="36"/>
      <c r="K808" s="36"/>
      <c r="L808" s="36"/>
      <c r="N808" s="8"/>
      <c r="O808" s="8"/>
      <c r="P808" s="8"/>
      <c r="Q808" s="59"/>
      <c r="R808" s="66"/>
    </row>
    <row r="809" spans="1:18" ht="16.5" thickBot="1">
      <c r="A809" s="18"/>
      <c r="B809" s="55"/>
      <c r="C809" s="56"/>
      <c r="D809" s="74"/>
      <c r="E809" s="56"/>
      <c r="F809" s="57"/>
      <c r="G809" s="19">
        <f t="shared" ref="G809:P809" si="105">SUM(G807:G808)</f>
        <v>198000</v>
      </c>
      <c r="H809" s="19">
        <f t="shared" si="105"/>
        <v>121690717</v>
      </c>
      <c r="I809" s="19">
        <f t="shared" si="105"/>
        <v>3047218</v>
      </c>
      <c r="J809" s="19">
        <f t="shared" si="105"/>
        <v>0</v>
      </c>
      <c r="K809" s="19">
        <f t="shared" si="105"/>
        <v>2933499</v>
      </c>
      <c r="L809" s="19">
        <f t="shared" si="105"/>
        <v>0</v>
      </c>
      <c r="M809" s="19">
        <f t="shared" si="105"/>
        <v>200000</v>
      </c>
      <c r="N809" s="19">
        <f t="shared" si="105"/>
        <v>128069434</v>
      </c>
      <c r="O809" s="19">
        <f t="shared" si="105"/>
        <v>0</v>
      </c>
      <c r="P809" s="19">
        <f t="shared" si="105"/>
        <v>128069434</v>
      </c>
      <c r="Q809" s="68"/>
      <c r="R809" s="70"/>
    </row>
    <row r="810" spans="1:18" ht="16.5" thickTop="1">
      <c r="A810" s="23"/>
      <c r="B810" s="22"/>
      <c r="C810" s="22"/>
      <c r="D810" s="23"/>
      <c r="E810" s="22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2"/>
      <c r="Q810" s="69"/>
    </row>
    <row r="811" spans="1:18" ht="15.75">
      <c r="A811" s="23"/>
      <c r="B811" s="28" t="s">
        <v>624</v>
      </c>
      <c r="C811" s="22"/>
      <c r="D811" s="39"/>
      <c r="F811" s="27"/>
      <c r="G811" s="28"/>
      <c r="H811" s="28"/>
      <c r="I811" s="28"/>
      <c r="J811" s="28"/>
      <c r="K811" s="28"/>
      <c r="L811" s="28"/>
      <c r="Q811" s="51"/>
    </row>
    <row r="812" spans="1:18" ht="15.75">
      <c r="A812" s="38"/>
      <c r="B812" s="40" t="s">
        <v>32</v>
      </c>
      <c r="C812" s="28" t="s">
        <v>28</v>
      </c>
      <c r="D812" s="39"/>
      <c r="F812" s="41"/>
      <c r="G812" s="143" t="s">
        <v>26</v>
      </c>
      <c r="H812" s="143"/>
      <c r="I812" s="143"/>
      <c r="K812" s="41"/>
    </row>
    <row r="813" spans="1:18" ht="15.75">
      <c r="A813" s="38"/>
      <c r="B813" s="40"/>
      <c r="C813" s="28"/>
      <c r="D813" s="39"/>
      <c r="F813" s="28"/>
      <c r="G813" s="28"/>
      <c r="H813" s="28"/>
      <c r="I813" s="28"/>
      <c r="J813" s="28"/>
      <c r="K813" s="28"/>
      <c r="L813" s="28"/>
    </row>
    <row r="814" spans="1:18" ht="15.75">
      <c r="A814" s="38"/>
      <c r="B814" s="40"/>
      <c r="C814" s="28"/>
      <c r="D814" s="39"/>
      <c r="F814" s="28"/>
      <c r="G814" s="28"/>
      <c r="H814" s="28"/>
      <c r="I814" s="28"/>
      <c r="J814" s="28"/>
      <c r="K814" s="28"/>
      <c r="L814" s="28"/>
    </row>
    <row r="815" spans="1:18" ht="15.75">
      <c r="A815" s="38"/>
      <c r="B815" s="40"/>
      <c r="C815" s="28"/>
      <c r="D815" s="39"/>
      <c r="F815" s="28"/>
      <c r="G815" s="28"/>
      <c r="H815" s="28"/>
      <c r="I815" s="28"/>
      <c r="J815" s="28"/>
      <c r="K815" s="28"/>
    </row>
    <row r="816" spans="1:18" ht="15.75">
      <c r="A816" s="38"/>
      <c r="B816" s="40"/>
      <c r="C816" s="28"/>
      <c r="D816" s="39"/>
      <c r="F816" s="28"/>
      <c r="G816" s="28"/>
      <c r="H816" s="28"/>
      <c r="I816" s="28"/>
      <c r="J816" s="28"/>
      <c r="K816" s="28"/>
      <c r="L816" s="28"/>
    </row>
    <row r="817" spans="1:18" ht="15.75">
      <c r="A817" s="38" t="s">
        <v>23</v>
      </c>
      <c r="B817" s="42" t="s">
        <v>27</v>
      </c>
      <c r="C817" s="43" t="s">
        <v>24</v>
      </c>
      <c r="D817" s="39"/>
      <c r="F817" s="29"/>
      <c r="G817" s="29" t="s">
        <v>16</v>
      </c>
      <c r="H817" s="29"/>
      <c r="I817" s="29" t="s">
        <v>30</v>
      </c>
    </row>
    <row r="818" spans="1:18" ht="15.75">
      <c r="A818" s="38"/>
      <c r="B818" s="44" t="s">
        <v>31</v>
      </c>
      <c r="C818" s="45" t="s">
        <v>20</v>
      </c>
      <c r="D818" s="39"/>
      <c r="F818" s="46"/>
      <c r="G818" s="46" t="s">
        <v>17</v>
      </c>
      <c r="H818" s="46"/>
      <c r="I818" s="46" t="s">
        <v>25</v>
      </c>
    </row>
    <row r="820" spans="1:18" ht="15.75">
      <c r="A820" s="21" t="s">
        <v>0</v>
      </c>
      <c r="B820" s="22"/>
      <c r="C820" s="23"/>
      <c r="D820" s="23"/>
      <c r="E820" s="23"/>
      <c r="F820" s="24"/>
      <c r="G820" s="24"/>
      <c r="H820" s="24"/>
      <c r="I820" s="24"/>
      <c r="J820" s="24"/>
      <c r="K820" s="24"/>
      <c r="L820" s="25"/>
    </row>
    <row r="821" spans="1:18" ht="15.75">
      <c r="A821" s="26" t="s">
        <v>620</v>
      </c>
      <c r="B821" s="21"/>
      <c r="C821" s="21"/>
      <c r="D821" s="21"/>
      <c r="E821" s="21"/>
      <c r="F821" s="24"/>
      <c r="G821" s="24"/>
      <c r="H821" s="24"/>
      <c r="I821" s="24"/>
      <c r="J821" s="24"/>
      <c r="K821" s="24"/>
      <c r="L821" s="25"/>
    </row>
    <row r="822" spans="1:18">
      <c r="A822" s="62"/>
      <c r="B822" s="62" t="s">
        <v>1</v>
      </c>
      <c r="C822" s="93" t="s">
        <v>2</v>
      </c>
      <c r="D822" s="117" t="s">
        <v>34</v>
      </c>
      <c r="E822" s="95" t="s">
        <v>3</v>
      </c>
      <c r="F822" s="93" t="s">
        <v>4</v>
      </c>
      <c r="G822" s="96" t="s">
        <v>18</v>
      </c>
      <c r="H822" s="96" t="s">
        <v>18</v>
      </c>
      <c r="I822" s="97" t="s">
        <v>7</v>
      </c>
      <c r="J822" s="130" t="s">
        <v>6</v>
      </c>
      <c r="K822" s="130" t="s">
        <v>6</v>
      </c>
      <c r="L822" s="96" t="s">
        <v>29</v>
      </c>
      <c r="M822" s="96" t="s">
        <v>21</v>
      </c>
      <c r="N822" s="96" t="s">
        <v>8</v>
      </c>
      <c r="O822" s="96" t="s">
        <v>8</v>
      </c>
      <c r="P822" s="96" t="s">
        <v>9</v>
      </c>
      <c r="Q822" s="62" t="s">
        <v>10</v>
      </c>
      <c r="R822" s="98" t="s">
        <v>33</v>
      </c>
    </row>
    <row r="823" spans="1:18">
      <c r="A823" s="99"/>
      <c r="B823" s="99"/>
      <c r="C823" s="100"/>
      <c r="D823" s="101"/>
      <c r="E823" s="102"/>
      <c r="F823" s="100"/>
      <c r="G823" s="103" t="s">
        <v>12</v>
      </c>
      <c r="H823" s="103" t="s">
        <v>12</v>
      </c>
      <c r="I823" s="119" t="s">
        <v>19</v>
      </c>
      <c r="J823" s="131" t="s">
        <v>35</v>
      </c>
      <c r="K823" s="131" t="s">
        <v>517</v>
      </c>
      <c r="L823" s="103" t="s">
        <v>22</v>
      </c>
      <c r="M823" s="103" t="s">
        <v>15</v>
      </c>
      <c r="N823" s="103" t="s">
        <v>13</v>
      </c>
      <c r="O823" s="103" t="s">
        <v>14</v>
      </c>
      <c r="P823" s="103" t="s">
        <v>12</v>
      </c>
      <c r="Q823" s="99"/>
      <c r="R823" s="104"/>
    </row>
    <row r="824" spans="1:18">
      <c r="A824" s="99"/>
      <c r="B824" s="99"/>
      <c r="C824" s="105"/>
      <c r="D824" s="101"/>
      <c r="E824" s="102"/>
      <c r="F824" s="100"/>
      <c r="G824" s="103" t="s">
        <v>81</v>
      </c>
      <c r="H824" s="103" t="s">
        <v>22</v>
      </c>
      <c r="I824" s="119" t="s">
        <v>5</v>
      </c>
      <c r="J824" s="131"/>
      <c r="K824" s="131"/>
      <c r="L824" s="103"/>
      <c r="M824" s="103"/>
      <c r="N824" s="103"/>
      <c r="O824" s="103"/>
      <c r="P824" s="103"/>
      <c r="Q824" s="99"/>
      <c r="R824" s="104"/>
    </row>
    <row r="825" spans="1:18">
      <c r="A825" s="106"/>
      <c r="B825" s="106"/>
      <c r="C825" s="107"/>
      <c r="D825" s="108"/>
      <c r="E825" s="109"/>
      <c r="F825" s="110"/>
      <c r="G825" s="111"/>
      <c r="H825" s="112"/>
      <c r="I825" s="75"/>
      <c r="J825" s="132"/>
      <c r="K825" s="132"/>
      <c r="L825" s="113"/>
      <c r="M825" s="108"/>
      <c r="N825" s="111"/>
      <c r="O825" s="111"/>
      <c r="P825" s="111"/>
      <c r="Q825" s="106"/>
      <c r="R825" s="114"/>
    </row>
    <row r="826" spans="1:18" ht="15.75">
      <c r="A826" s="52"/>
      <c r="B826" s="47"/>
      <c r="C826" s="48"/>
      <c r="D826" s="73"/>
      <c r="E826" s="17"/>
      <c r="F826" s="48"/>
      <c r="G826" s="36"/>
      <c r="H826" s="36"/>
      <c r="I826" s="125"/>
      <c r="J826" s="36"/>
      <c r="K826" s="36"/>
      <c r="L826" s="8"/>
      <c r="N826" s="8"/>
      <c r="O826" s="8"/>
      <c r="P826" s="8"/>
      <c r="Q826" s="35"/>
      <c r="R826" s="37"/>
    </row>
    <row r="827" spans="1:18" ht="15.75">
      <c r="A827" s="52">
        <v>1</v>
      </c>
      <c r="B827" s="51" t="s">
        <v>625</v>
      </c>
      <c r="C827" s="48" t="s">
        <v>626</v>
      </c>
      <c r="D827" s="67" t="s">
        <v>627</v>
      </c>
      <c r="E827" s="17">
        <v>43251</v>
      </c>
      <c r="F827" s="20" t="s">
        <v>628</v>
      </c>
      <c r="G827" s="36">
        <v>0</v>
      </c>
      <c r="H827" s="8">
        <v>0</v>
      </c>
      <c r="I827" s="8">
        <v>0</v>
      </c>
      <c r="J827" s="8">
        <v>0</v>
      </c>
      <c r="K827" s="8">
        <v>0</v>
      </c>
      <c r="L827" s="8">
        <v>200000</v>
      </c>
      <c r="M827" s="8">
        <v>0</v>
      </c>
      <c r="N827" s="8">
        <f>SUM(G827:M827)</f>
        <v>200000</v>
      </c>
      <c r="O827" s="8">
        <f>50000000-N827</f>
        <v>49800000</v>
      </c>
      <c r="P827" s="8">
        <f t="shared" ref="P827" si="106">+N827+O827</f>
        <v>50000000</v>
      </c>
      <c r="Q827" s="35" t="s">
        <v>629</v>
      </c>
      <c r="R827" s="66" t="s">
        <v>74</v>
      </c>
    </row>
    <row r="828" spans="1:18" ht="15.75">
      <c r="A828" s="52"/>
      <c r="B828" s="51"/>
      <c r="C828" s="48"/>
      <c r="E828" s="17"/>
      <c r="F828" s="48"/>
      <c r="G828" s="36"/>
      <c r="H828" s="36"/>
      <c r="I828" s="75"/>
      <c r="J828" s="36"/>
      <c r="K828" s="36"/>
      <c r="L828" s="36"/>
      <c r="N828" s="8"/>
      <c r="O828" s="8"/>
      <c r="P828" s="8"/>
      <c r="Q828" s="59"/>
      <c r="R828" s="66"/>
    </row>
    <row r="829" spans="1:18" ht="16.5" thickBot="1">
      <c r="A829" s="18"/>
      <c r="B829" s="55"/>
      <c r="C829" s="56"/>
      <c r="D829" s="74"/>
      <c r="E829" s="56"/>
      <c r="F829" s="57"/>
      <c r="G829" s="19">
        <f t="shared" ref="G829:P829" si="107">SUM(G827:G828)</f>
        <v>0</v>
      </c>
      <c r="H829" s="19">
        <f t="shared" si="107"/>
        <v>0</v>
      </c>
      <c r="I829" s="19">
        <f t="shared" si="107"/>
        <v>0</v>
      </c>
      <c r="J829" s="19">
        <f t="shared" si="107"/>
        <v>0</v>
      </c>
      <c r="K829" s="19">
        <f t="shared" si="107"/>
        <v>0</v>
      </c>
      <c r="L829" s="19">
        <f t="shared" si="107"/>
        <v>200000</v>
      </c>
      <c r="M829" s="19">
        <f t="shared" si="107"/>
        <v>0</v>
      </c>
      <c r="N829" s="19">
        <f t="shared" si="107"/>
        <v>200000</v>
      </c>
      <c r="O829" s="19">
        <f t="shared" si="107"/>
        <v>49800000</v>
      </c>
      <c r="P829" s="19">
        <f t="shared" si="107"/>
        <v>50000000</v>
      </c>
      <c r="Q829" s="68"/>
      <c r="R829" s="70"/>
    </row>
    <row r="830" spans="1:18" ht="16.5" thickTop="1">
      <c r="A830" s="23"/>
      <c r="B830" s="22"/>
      <c r="C830" s="22"/>
      <c r="D830" s="23"/>
      <c r="E830" s="22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2"/>
      <c r="Q830" s="69"/>
    </row>
    <row r="831" spans="1:18" ht="15.75">
      <c r="A831" s="23"/>
      <c r="B831" s="28" t="s">
        <v>624</v>
      </c>
      <c r="C831" s="22"/>
      <c r="D831" s="39"/>
      <c r="F831" s="27"/>
      <c r="G831" s="28"/>
      <c r="H831" s="28"/>
      <c r="I831" s="28"/>
      <c r="J831" s="28"/>
      <c r="K831" s="28"/>
      <c r="L831" s="28"/>
      <c r="Q831" s="51"/>
    </row>
    <row r="832" spans="1:18" ht="15.75">
      <c r="A832" s="38"/>
      <c r="B832" s="40" t="s">
        <v>32</v>
      </c>
      <c r="C832" s="28" t="s">
        <v>28</v>
      </c>
      <c r="D832" s="39"/>
      <c r="F832" s="41"/>
      <c r="G832" s="143" t="s">
        <v>26</v>
      </c>
      <c r="H832" s="143"/>
      <c r="I832" s="143"/>
      <c r="K832" s="41"/>
    </row>
    <row r="833" spans="1:12" ht="15.75">
      <c r="A833" s="38"/>
      <c r="B833" s="40"/>
      <c r="C833" s="28"/>
      <c r="D833" s="39"/>
      <c r="F833" s="28"/>
      <c r="G833" s="28"/>
      <c r="H833" s="28"/>
      <c r="I833" s="28"/>
      <c r="J833" s="28"/>
      <c r="K833" s="28"/>
      <c r="L833" s="28"/>
    </row>
    <row r="834" spans="1:12" ht="15.75">
      <c r="A834" s="38"/>
      <c r="B834" s="40"/>
      <c r="C834" s="28"/>
      <c r="D834" s="39"/>
      <c r="F834" s="28"/>
      <c r="G834" s="28"/>
      <c r="H834" s="28"/>
      <c r="I834" s="28"/>
      <c r="J834" s="28"/>
      <c r="K834" s="28"/>
      <c r="L834" s="28"/>
    </row>
    <row r="835" spans="1:12" ht="15.75">
      <c r="A835" s="38"/>
      <c r="B835" s="40"/>
      <c r="C835" s="28"/>
      <c r="D835" s="39"/>
      <c r="F835" s="28"/>
      <c r="G835" s="28"/>
      <c r="H835" s="28"/>
      <c r="I835" s="28"/>
      <c r="J835" s="28"/>
      <c r="K835" s="28"/>
    </row>
    <row r="836" spans="1:12" ht="15.75">
      <c r="A836" s="38"/>
      <c r="B836" s="40"/>
      <c r="C836" s="28"/>
      <c r="D836" s="39"/>
      <c r="F836" s="28"/>
      <c r="G836" s="28"/>
      <c r="H836" s="28"/>
      <c r="I836" s="28"/>
      <c r="J836" s="28"/>
      <c r="K836" s="28"/>
      <c r="L836" s="28"/>
    </row>
    <row r="837" spans="1:12" ht="15.75">
      <c r="A837" s="38" t="s">
        <v>23</v>
      </c>
      <c r="B837" s="42" t="s">
        <v>27</v>
      </c>
      <c r="C837" s="43" t="s">
        <v>24</v>
      </c>
      <c r="D837" s="39"/>
      <c r="F837" s="29"/>
      <c r="G837" s="29" t="s">
        <v>16</v>
      </c>
      <c r="H837" s="29"/>
      <c r="I837" s="29" t="s">
        <v>30</v>
      </c>
    </row>
    <row r="838" spans="1:12" ht="15.75">
      <c r="A838" s="38"/>
      <c r="B838" s="44" t="s">
        <v>31</v>
      </c>
      <c r="C838" s="45" t="s">
        <v>20</v>
      </c>
      <c r="D838" s="39"/>
      <c r="F838" s="46"/>
      <c r="G838" s="46" t="s">
        <v>17</v>
      </c>
      <c r="H838" s="46"/>
      <c r="I838" s="46" t="s">
        <v>25</v>
      </c>
    </row>
    <row r="841" spans="1:12" ht="15.75">
      <c r="B841" s="51" t="s">
        <v>625</v>
      </c>
      <c r="C841" s="48" t="s">
        <v>626</v>
      </c>
      <c r="D841" s="64" t="s">
        <v>631</v>
      </c>
    </row>
    <row r="842" spans="1:12">
      <c r="D842" s="34" t="s">
        <v>630</v>
      </c>
    </row>
    <row r="843" spans="1:12">
      <c r="A843" s="133"/>
    </row>
  </sheetData>
  <mergeCells count="41">
    <mergeCell ref="G812:I812"/>
    <mergeCell ref="G832:I832"/>
    <mergeCell ref="G703:I703"/>
    <mergeCell ref="G723:I723"/>
    <mergeCell ref="G749:I749"/>
    <mergeCell ref="G769:I769"/>
    <mergeCell ref="G792:I792"/>
    <mergeCell ref="G641:I641"/>
    <mergeCell ref="G661:I661"/>
    <mergeCell ref="G557:I557"/>
    <mergeCell ref="G577:I577"/>
    <mergeCell ref="G683:I683"/>
    <mergeCell ref="G316:I316"/>
    <mergeCell ref="G336:I336"/>
    <mergeCell ref="G356:I356"/>
    <mergeCell ref="G598:I598"/>
    <mergeCell ref="G618:I618"/>
    <mergeCell ref="G516:I516"/>
    <mergeCell ref="G537:I537"/>
    <mergeCell ref="G476:I476"/>
    <mergeCell ref="G496:I496"/>
    <mergeCell ref="G376:I376"/>
    <mergeCell ref="G396:I396"/>
    <mergeCell ref="G416:I416"/>
    <mergeCell ref="G436:I436"/>
    <mergeCell ref="G456:I456"/>
    <mergeCell ref="G135:I135"/>
    <mergeCell ref="G155:I155"/>
    <mergeCell ref="G115:I115"/>
    <mergeCell ref="G14:I14"/>
    <mergeCell ref="G34:I34"/>
    <mergeCell ref="G54:I54"/>
    <mergeCell ref="G74:I74"/>
    <mergeCell ref="G94:I94"/>
    <mergeCell ref="G276:I276"/>
    <mergeCell ref="G296:I296"/>
    <mergeCell ref="G175:I175"/>
    <mergeCell ref="G195:I195"/>
    <mergeCell ref="G215:I215"/>
    <mergeCell ref="G256:I256"/>
    <mergeCell ref="G235:I235"/>
  </mergeCells>
  <pageMargins left="0.11811023622047245" right="0.70866141732283472" top="0.74803149606299213" bottom="0.78740157480314965" header="0.31496062992125984" footer="0.31496062992125984"/>
  <pageSetup paperSize="5" scale="7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26"/>
  <sheetViews>
    <sheetView topLeftCell="A403" workbookViewId="0">
      <selection activeCell="G134" sqref="G134"/>
    </sheetView>
  </sheetViews>
  <sheetFormatPr defaultRowHeight="15"/>
  <cols>
    <col min="1" max="1" width="2.28515625" style="34" customWidth="1"/>
    <col min="2" max="2" width="19.85546875" style="34" customWidth="1"/>
    <col min="3" max="3" width="9.28515625" style="34" customWidth="1"/>
    <col min="4" max="4" width="8.140625" style="34" customWidth="1"/>
    <col min="5" max="5" width="11.140625" style="34" customWidth="1"/>
    <col min="6" max="6" width="14.85546875" style="34" customWidth="1"/>
    <col min="7" max="7" width="17.140625" style="34" customWidth="1"/>
    <col min="8" max="8" width="18.42578125" style="34" bestFit="1" customWidth="1"/>
    <col min="9" max="9" width="15.85546875" style="34" customWidth="1"/>
    <col min="10" max="10" width="14.28515625" style="34" bestFit="1" customWidth="1"/>
    <col min="11" max="11" width="12.42578125" style="34" bestFit="1" customWidth="1"/>
    <col min="12" max="12" width="14.42578125" style="34" bestFit="1" customWidth="1"/>
    <col min="13" max="13" width="14.28515625" style="34" bestFit="1" customWidth="1"/>
    <col min="14" max="14" width="16.5703125" style="34" bestFit="1" customWidth="1"/>
    <col min="15" max="15" width="16.85546875" style="34" customWidth="1"/>
    <col min="16" max="16" width="16.5703125" style="34" bestFit="1" customWidth="1"/>
    <col min="17" max="17" width="15.42578125" style="34" bestFit="1" customWidth="1"/>
    <col min="18" max="18" width="3.7109375" style="34" customWidth="1"/>
    <col min="19" max="19" width="5.7109375" style="34" customWidth="1"/>
    <col min="20" max="16384" width="9.140625" style="34"/>
  </cols>
  <sheetData>
    <row r="1" spans="1:18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8" ht="15.75">
      <c r="A2" s="26" t="s">
        <v>633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8">
      <c r="A3" s="62"/>
      <c r="B3" s="62" t="s">
        <v>1</v>
      </c>
      <c r="C3" s="93" t="s">
        <v>2</v>
      </c>
      <c r="D3" s="117" t="s">
        <v>34</v>
      </c>
      <c r="E3" s="95" t="s">
        <v>3</v>
      </c>
      <c r="F3" s="93" t="s">
        <v>4</v>
      </c>
      <c r="G3" s="96" t="s">
        <v>18</v>
      </c>
      <c r="H3" s="96" t="s">
        <v>18</v>
      </c>
      <c r="I3" s="97" t="s">
        <v>7</v>
      </c>
      <c r="J3" s="130" t="s">
        <v>6</v>
      </c>
      <c r="K3" s="130" t="s">
        <v>6</v>
      </c>
      <c r="L3" s="96" t="s">
        <v>29</v>
      </c>
      <c r="M3" s="96" t="s">
        <v>21</v>
      </c>
      <c r="N3" s="96" t="s">
        <v>8</v>
      </c>
      <c r="O3" s="96" t="s">
        <v>8</v>
      </c>
      <c r="P3" s="96" t="s">
        <v>9</v>
      </c>
      <c r="Q3" s="62" t="s">
        <v>10</v>
      </c>
      <c r="R3" s="98" t="s">
        <v>33</v>
      </c>
    </row>
    <row r="4" spans="1:18">
      <c r="A4" s="99"/>
      <c r="B4" s="99"/>
      <c r="C4" s="100"/>
      <c r="D4" s="101"/>
      <c r="E4" s="102"/>
      <c r="F4" s="100"/>
      <c r="G4" s="103" t="s">
        <v>12</v>
      </c>
      <c r="H4" s="103" t="s">
        <v>12</v>
      </c>
      <c r="I4" s="119" t="s">
        <v>19</v>
      </c>
      <c r="J4" s="131" t="s">
        <v>35</v>
      </c>
      <c r="K4" s="131" t="s">
        <v>517</v>
      </c>
      <c r="L4" s="103" t="s">
        <v>22</v>
      </c>
      <c r="M4" s="103" t="s">
        <v>15</v>
      </c>
      <c r="N4" s="103" t="s">
        <v>13</v>
      </c>
      <c r="O4" s="103" t="s">
        <v>14</v>
      </c>
      <c r="P4" s="103" t="s">
        <v>12</v>
      </c>
      <c r="Q4" s="99"/>
      <c r="R4" s="104"/>
    </row>
    <row r="5" spans="1:18">
      <c r="A5" s="99"/>
      <c r="B5" s="99"/>
      <c r="C5" s="105"/>
      <c r="D5" s="101"/>
      <c r="E5" s="102"/>
      <c r="F5" s="100"/>
      <c r="G5" s="103" t="s">
        <v>81</v>
      </c>
      <c r="H5" s="103" t="s">
        <v>90</v>
      </c>
      <c r="I5" s="119" t="s">
        <v>5</v>
      </c>
      <c r="J5" s="131"/>
      <c r="K5" s="131"/>
      <c r="L5" s="103"/>
      <c r="M5" s="103"/>
      <c r="N5" s="103"/>
      <c r="O5" s="103"/>
      <c r="P5" s="103"/>
      <c r="Q5" s="99"/>
      <c r="R5" s="104"/>
    </row>
    <row r="6" spans="1:18">
      <c r="A6" s="106"/>
      <c r="B6" s="106"/>
      <c r="C6" s="107"/>
      <c r="D6" s="108"/>
      <c r="E6" s="109"/>
      <c r="F6" s="110"/>
      <c r="G6" s="111"/>
      <c r="H6" s="112"/>
      <c r="I6" s="75"/>
      <c r="J6" s="132"/>
      <c r="K6" s="132"/>
      <c r="L6" s="113"/>
      <c r="M6" s="108"/>
      <c r="N6" s="111"/>
      <c r="O6" s="111"/>
      <c r="P6" s="111"/>
      <c r="Q6" s="106"/>
      <c r="R6" s="114"/>
    </row>
    <row r="7" spans="1:18" ht="15.75">
      <c r="A7" s="52"/>
      <c r="B7" s="47"/>
      <c r="C7" s="48"/>
      <c r="D7" s="73"/>
      <c r="E7" s="17"/>
      <c r="F7" s="48"/>
      <c r="G7" s="36"/>
      <c r="H7" s="36"/>
      <c r="I7" s="125"/>
      <c r="J7" s="36"/>
      <c r="K7" s="36"/>
      <c r="L7" s="8"/>
      <c r="N7" s="8"/>
      <c r="O7" s="8"/>
      <c r="P7" s="8"/>
      <c r="Q7" s="35"/>
      <c r="R7" s="37"/>
    </row>
    <row r="8" spans="1:18" ht="15.75">
      <c r="A8" s="52">
        <v>1</v>
      </c>
      <c r="B8" s="51" t="s">
        <v>634</v>
      </c>
      <c r="C8" s="48" t="s">
        <v>635</v>
      </c>
      <c r="D8" s="67" t="s">
        <v>636</v>
      </c>
      <c r="E8" s="17">
        <v>43255</v>
      </c>
      <c r="F8" s="20" t="s">
        <v>637</v>
      </c>
      <c r="G8" s="36">
        <v>0</v>
      </c>
      <c r="H8" s="8">
        <v>14329000</v>
      </c>
      <c r="I8" s="8">
        <v>358225</v>
      </c>
      <c r="J8" s="8">
        <v>129290</v>
      </c>
      <c r="K8" s="8">
        <v>0</v>
      </c>
      <c r="L8" s="8">
        <v>500000</v>
      </c>
      <c r="M8" s="8">
        <v>200000</v>
      </c>
      <c r="N8" s="8">
        <f>SUM(G8:M8)</f>
        <v>15516515</v>
      </c>
      <c r="O8" s="8">
        <f>80000000-N8</f>
        <v>64483485</v>
      </c>
      <c r="P8" s="8">
        <f t="shared" ref="P8" si="0">+N8+O8</f>
        <v>80000000</v>
      </c>
      <c r="Q8" s="77" t="s">
        <v>134</v>
      </c>
      <c r="R8" s="66" t="s">
        <v>52</v>
      </c>
    </row>
    <row r="9" spans="1:18" ht="15.75">
      <c r="A9" s="52"/>
      <c r="B9" s="51"/>
      <c r="C9" s="48"/>
      <c r="E9" s="17"/>
      <c r="F9" s="48"/>
      <c r="G9" s="36"/>
      <c r="H9" s="36"/>
      <c r="I9" s="75"/>
      <c r="J9" s="36"/>
      <c r="K9" s="36"/>
      <c r="L9" s="36"/>
      <c r="N9" s="8"/>
      <c r="O9" s="8"/>
      <c r="P9" s="8"/>
      <c r="Q9" s="59"/>
      <c r="R9" s="66"/>
    </row>
    <row r="10" spans="1:18" ht="16.5" thickBot="1">
      <c r="A10" s="18"/>
      <c r="B10" s="55"/>
      <c r="C10" s="56"/>
      <c r="D10" s="74"/>
      <c r="E10" s="56"/>
      <c r="F10" s="57"/>
      <c r="G10" s="19">
        <f t="shared" ref="G10:P10" si="1">SUM(G8:G9)</f>
        <v>0</v>
      </c>
      <c r="H10" s="19">
        <f t="shared" si="1"/>
        <v>14329000</v>
      </c>
      <c r="I10" s="19">
        <f t="shared" si="1"/>
        <v>358225</v>
      </c>
      <c r="J10" s="19">
        <f t="shared" si="1"/>
        <v>129290</v>
      </c>
      <c r="K10" s="19">
        <f t="shared" si="1"/>
        <v>0</v>
      </c>
      <c r="L10" s="19">
        <f t="shared" si="1"/>
        <v>500000</v>
      </c>
      <c r="M10" s="19">
        <f t="shared" si="1"/>
        <v>200000</v>
      </c>
      <c r="N10" s="19">
        <f t="shared" si="1"/>
        <v>15516515</v>
      </c>
      <c r="O10" s="19">
        <f t="shared" si="1"/>
        <v>64483485</v>
      </c>
      <c r="P10" s="19">
        <f t="shared" si="1"/>
        <v>80000000</v>
      </c>
      <c r="Q10" s="68"/>
      <c r="R10" s="70"/>
    </row>
    <row r="11" spans="1:18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8" ht="15.75">
      <c r="A12" s="23"/>
      <c r="B12" s="28" t="s">
        <v>638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8" ht="15.75">
      <c r="A13" s="38"/>
      <c r="B13" s="40" t="s">
        <v>32</v>
      </c>
      <c r="C13" s="28" t="s">
        <v>28</v>
      </c>
      <c r="D13" s="39"/>
      <c r="F13" s="41"/>
      <c r="G13" s="143" t="s">
        <v>26</v>
      </c>
      <c r="H13" s="143"/>
      <c r="I13" s="143"/>
      <c r="K13" s="41"/>
    </row>
    <row r="14" spans="1:18" ht="15.75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8" ht="15.7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8" ht="15.75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8" ht="15.75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8" ht="15.75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8" ht="15.75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0" spans="1:18">
      <c r="A20" s="135" t="s">
        <v>106</v>
      </c>
    </row>
    <row r="21" spans="1:18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8" s="134" customFormat="1" ht="15.75">
      <c r="A22" s="26" t="s">
        <v>639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M22" s="34"/>
      <c r="N22" s="34"/>
      <c r="O22" s="34"/>
      <c r="P22" s="34"/>
      <c r="Q22" s="34"/>
      <c r="R22" s="34"/>
    </row>
    <row r="23" spans="1:18" s="134" customFormat="1">
      <c r="A23" s="62"/>
      <c r="B23" s="62" t="s">
        <v>1</v>
      </c>
      <c r="C23" s="93" t="s">
        <v>2</v>
      </c>
      <c r="D23" s="117" t="s">
        <v>34</v>
      </c>
      <c r="E23" s="95" t="s">
        <v>3</v>
      </c>
      <c r="F23" s="93" t="s">
        <v>4</v>
      </c>
      <c r="G23" s="96" t="s">
        <v>18</v>
      </c>
      <c r="H23" s="96" t="s">
        <v>18</v>
      </c>
      <c r="I23" s="97" t="s">
        <v>7</v>
      </c>
      <c r="J23" s="130" t="s">
        <v>6</v>
      </c>
      <c r="K23" s="130" t="s">
        <v>6</v>
      </c>
      <c r="L23" s="96" t="s">
        <v>29</v>
      </c>
      <c r="M23" s="96" t="s">
        <v>21</v>
      </c>
      <c r="N23" s="96" t="s">
        <v>8</v>
      </c>
      <c r="O23" s="96" t="s">
        <v>8</v>
      </c>
      <c r="P23" s="96" t="s">
        <v>9</v>
      </c>
      <c r="Q23" s="62" t="s">
        <v>10</v>
      </c>
      <c r="R23" s="98" t="s">
        <v>33</v>
      </c>
    </row>
    <row r="24" spans="1:18" s="134" customFormat="1">
      <c r="A24" s="99"/>
      <c r="B24" s="99"/>
      <c r="C24" s="100"/>
      <c r="D24" s="101"/>
      <c r="E24" s="102"/>
      <c r="F24" s="100"/>
      <c r="G24" s="103" t="s">
        <v>12</v>
      </c>
      <c r="H24" s="103" t="s">
        <v>12</v>
      </c>
      <c r="I24" s="119" t="s">
        <v>19</v>
      </c>
      <c r="J24" s="131" t="s">
        <v>35</v>
      </c>
      <c r="K24" s="131" t="s">
        <v>517</v>
      </c>
      <c r="L24" s="103" t="s">
        <v>22</v>
      </c>
      <c r="M24" s="103" t="s">
        <v>15</v>
      </c>
      <c r="N24" s="103" t="s">
        <v>13</v>
      </c>
      <c r="O24" s="103" t="s">
        <v>14</v>
      </c>
      <c r="P24" s="103" t="s">
        <v>12</v>
      </c>
      <c r="Q24" s="99"/>
      <c r="R24" s="104"/>
    </row>
    <row r="25" spans="1:18">
      <c r="A25" s="99"/>
      <c r="B25" s="99"/>
      <c r="C25" s="105"/>
      <c r="D25" s="101"/>
      <c r="E25" s="102"/>
      <c r="F25" s="100"/>
      <c r="G25" s="103" t="s">
        <v>81</v>
      </c>
      <c r="H25" s="103" t="s">
        <v>90</v>
      </c>
      <c r="I25" s="119" t="s">
        <v>5</v>
      </c>
      <c r="J25" s="131"/>
      <c r="K25" s="131"/>
      <c r="L25" s="103"/>
      <c r="M25" s="103"/>
      <c r="N25" s="103"/>
      <c r="O25" s="103"/>
      <c r="P25" s="103"/>
      <c r="Q25" s="99"/>
      <c r="R25" s="104"/>
    </row>
    <row r="26" spans="1:18">
      <c r="A26" s="106"/>
      <c r="B26" s="106"/>
      <c r="C26" s="107"/>
      <c r="D26" s="108"/>
      <c r="E26" s="109"/>
      <c r="F26" s="110"/>
      <c r="G26" s="111"/>
      <c r="H26" s="112"/>
      <c r="I26" s="75"/>
      <c r="J26" s="132"/>
      <c r="K26" s="132"/>
      <c r="L26" s="113"/>
      <c r="M26" s="108"/>
      <c r="N26" s="111"/>
      <c r="O26" s="111"/>
      <c r="P26" s="111"/>
      <c r="Q26" s="106"/>
      <c r="R26" s="114"/>
    </row>
    <row r="27" spans="1:18" ht="15.75">
      <c r="A27" s="52"/>
      <c r="B27" s="47"/>
      <c r="C27" s="48"/>
      <c r="D27" s="73"/>
      <c r="E27" s="17"/>
      <c r="F27" s="48"/>
      <c r="G27" s="36"/>
      <c r="H27" s="36"/>
      <c r="I27" s="125"/>
      <c r="J27" s="36"/>
      <c r="K27" s="36"/>
      <c r="L27" s="8"/>
      <c r="N27" s="8"/>
      <c r="O27" s="8"/>
      <c r="P27" s="8"/>
      <c r="Q27" s="35"/>
      <c r="R27" s="37"/>
    </row>
    <row r="28" spans="1:18" ht="15.75">
      <c r="A28" s="52">
        <v>1</v>
      </c>
      <c r="B28" s="51" t="s">
        <v>640</v>
      </c>
      <c r="C28" s="48" t="s">
        <v>641</v>
      </c>
      <c r="D28" s="67" t="s">
        <v>642</v>
      </c>
      <c r="E28" s="17">
        <v>43256</v>
      </c>
      <c r="F28" s="20" t="s">
        <v>643</v>
      </c>
      <c r="G28" s="36">
        <v>0</v>
      </c>
      <c r="H28" s="8">
        <v>22494000</v>
      </c>
      <c r="I28" s="8">
        <v>562350</v>
      </c>
      <c r="J28" s="8">
        <v>141290</v>
      </c>
      <c r="K28" s="8">
        <v>0</v>
      </c>
      <c r="L28" s="8">
        <v>300000</v>
      </c>
      <c r="M28" s="8">
        <v>200000</v>
      </c>
      <c r="N28" s="8">
        <f>SUM(G28:M28)</f>
        <v>23697640</v>
      </c>
      <c r="O28" s="8">
        <f>60000000-N28</f>
        <v>36302360</v>
      </c>
      <c r="P28" s="8">
        <f t="shared" ref="P28" si="2">+N28+O28</f>
        <v>60000000</v>
      </c>
      <c r="Q28" s="77" t="s">
        <v>134</v>
      </c>
      <c r="R28" s="66" t="s">
        <v>52</v>
      </c>
    </row>
    <row r="29" spans="1:18" ht="15.75">
      <c r="A29" s="52"/>
      <c r="B29" s="51"/>
      <c r="C29" s="48"/>
      <c r="E29" s="17"/>
      <c r="F29" s="48"/>
      <c r="G29" s="36"/>
      <c r="H29" s="36"/>
      <c r="I29" s="75"/>
      <c r="J29" s="36"/>
      <c r="K29" s="36"/>
      <c r="L29" s="36"/>
      <c r="N29" s="8"/>
      <c r="O29" s="8"/>
      <c r="P29" s="8"/>
      <c r="Q29" s="59"/>
      <c r="R29" s="66"/>
    </row>
    <row r="30" spans="1:18" ht="16.5" thickBot="1">
      <c r="A30" s="18"/>
      <c r="B30" s="55"/>
      <c r="C30" s="56"/>
      <c r="D30" s="74"/>
      <c r="E30" s="56"/>
      <c r="F30" s="57"/>
      <c r="G30" s="19">
        <f t="shared" ref="G30:P30" si="3">SUM(G28:G29)</f>
        <v>0</v>
      </c>
      <c r="H30" s="19">
        <f t="shared" si="3"/>
        <v>22494000</v>
      </c>
      <c r="I30" s="19">
        <f t="shared" si="3"/>
        <v>562350</v>
      </c>
      <c r="J30" s="19">
        <f t="shared" si="3"/>
        <v>141290</v>
      </c>
      <c r="K30" s="19">
        <f t="shared" si="3"/>
        <v>0</v>
      </c>
      <c r="L30" s="19">
        <f t="shared" si="3"/>
        <v>300000</v>
      </c>
      <c r="M30" s="19">
        <f t="shared" si="3"/>
        <v>200000</v>
      </c>
      <c r="N30" s="19">
        <f t="shared" si="3"/>
        <v>23697640</v>
      </c>
      <c r="O30" s="19">
        <f t="shared" si="3"/>
        <v>36302360</v>
      </c>
      <c r="P30" s="19">
        <f t="shared" si="3"/>
        <v>60000000</v>
      </c>
      <c r="Q30" s="68"/>
      <c r="R30" s="70"/>
    </row>
    <row r="31" spans="1:18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8" ht="15.75">
      <c r="A32" s="23"/>
      <c r="B32" s="28" t="s">
        <v>644</v>
      </c>
      <c r="C32" s="22"/>
      <c r="D32" s="39"/>
      <c r="F32" s="27"/>
      <c r="G32" s="28"/>
      <c r="H32" s="28"/>
      <c r="I32" s="28"/>
      <c r="J32" s="28"/>
      <c r="K32" s="28"/>
      <c r="L32" s="28"/>
      <c r="Q32" s="51"/>
    </row>
    <row r="33" spans="1:18" ht="15.75">
      <c r="A33" s="38"/>
      <c r="B33" s="40" t="s">
        <v>32</v>
      </c>
      <c r="C33" s="28" t="s">
        <v>28</v>
      </c>
      <c r="D33" s="39"/>
      <c r="F33" s="41"/>
      <c r="G33" s="143" t="s">
        <v>26</v>
      </c>
      <c r="H33" s="143"/>
      <c r="I33" s="143"/>
      <c r="K33" s="41"/>
    </row>
    <row r="34" spans="1:18" ht="15.75">
      <c r="A34" s="38"/>
      <c r="B34" s="40"/>
      <c r="C34" s="28"/>
      <c r="D34" s="39"/>
      <c r="F34" s="28"/>
      <c r="G34" s="28"/>
      <c r="H34" s="28"/>
      <c r="I34" s="28"/>
      <c r="J34" s="28"/>
      <c r="K34" s="28"/>
      <c r="L34" s="28"/>
    </row>
    <row r="35" spans="1:18" ht="15.7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8" ht="15.75">
      <c r="A36" s="38"/>
      <c r="B36" s="40"/>
      <c r="C36" s="28"/>
      <c r="D36" s="39"/>
      <c r="F36" s="28"/>
      <c r="G36" s="28"/>
      <c r="H36" s="28"/>
      <c r="I36" s="28"/>
      <c r="J36" s="28"/>
      <c r="K36" s="28"/>
    </row>
    <row r="37" spans="1:18" ht="15.75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8" ht="15.75">
      <c r="A38" s="38" t="s">
        <v>23</v>
      </c>
      <c r="B38" s="42" t="s">
        <v>27</v>
      </c>
      <c r="C38" s="43" t="s">
        <v>24</v>
      </c>
      <c r="D38" s="39"/>
      <c r="F38" s="29"/>
      <c r="G38" s="29" t="s">
        <v>16</v>
      </c>
      <c r="H38" s="29"/>
      <c r="I38" s="29" t="s">
        <v>30</v>
      </c>
    </row>
    <row r="39" spans="1:18" ht="15.75">
      <c r="A39" s="38"/>
      <c r="B39" s="44" t="s">
        <v>31</v>
      </c>
      <c r="C39" s="45" t="s">
        <v>20</v>
      </c>
      <c r="D39" s="39"/>
      <c r="F39" s="46"/>
      <c r="G39" s="46" t="s">
        <v>17</v>
      </c>
      <c r="H39" s="46"/>
      <c r="I39" s="46" t="s">
        <v>25</v>
      </c>
    </row>
    <row r="41" spans="1:18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</row>
    <row r="42" spans="1:18" ht="15.75">
      <c r="A42" s="26" t="s">
        <v>639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</row>
    <row r="43" spans="1:18">
      <c r="A43" s="62"/>
      <c r="B43" s="62" t="s">
        <v>1</v>
      </c>
      <c r="C43" s="93" t="s">
        <v>2</v>
      </c>
      <c r="D43" s="117" t="s">
        <v>34</v>
      </c>
      <c r="E43" s="95" t="s">
        <v>3</v>
      </c>
      <c r="F43" s="93" t="s">
        <v>4</v>
      </c>
      <c r="G43" s="96" t="s">
        <v>18</v>
      </c>
      <c r="H43" s="96" t="s">
        <v>18</v>
      </c>
      <c r="I43" s="97" t="s">
        <v>7</v>
      </c>
      <c r="J43" s="130" t="s">
        <v>6</v>
      </c>
      <c r="K43" s="130" t="s">
        <v>6</v>
      </c>
      <c r="L43" s="96" t="s">
        <v>29</v>
      </c>
      <c r="M43" s="96" t="s">
        <v>21</v>
      </c>
      <c r="N43" s="96" t="s">
        <v>8</v>
      </c>
      <c r="O43" s="96" t="s">
        <v>8</v>
      </c>
      <c r="P43" s="96" t="s">
        <v>9</v>
      </c>
      <c r="Q43" s="62" t="s">
        <v>10</v>
      </c>
      <c r="R43" s="98" t="s">
        <v>33</v>
      </c>
    </row>
    <row r="44" spans="1:18">
      <c r="A44" s="99"/>
      <c r="B44" s="99"/>
      <c r="C44" s="100"/>
      <c r="D44" s="101"/>
      <c r="E44" s="102"/>
      <c r="F44" s="100"/>
      <c r="G44" s="103" t="s">
        <v>12</v>
      </c>
      <c r="H44" s="103" t="s">
        <v>12</v>
      </c>
      <c r="I44" s="119" t="s">
        <v>19</v>
      </c>
      <c r="J44" s="131" t="s">
        <v>35</v>
      </c>
      <c r="K44" s="131" t="s">
        <v>517</v>
      </c>
      <c r="L44" s="103" t="s">
        <v>22</v>
      </c>
      <c r="M44" s="103" t="s">
        <v>15</v>
      </c>
      <c r="N44" s="103" t="s">
        <v>13</v>
      </c>
      <c r="O44" s="103" t="s">
        <v>14</v>
      </c>
      <c r="P44" s="103" t="s">
        <v>12</v>
      </c>
      <c r="Q44" s="99"/>
      <c r="R44" s="104"/>
    </row>
    <row r="45" spans="1:18">
      <c r="A45" s="99"/>
      <c r="B45" s="99"/>
      <c r="C45" s="105"/>
      <c r="D45" s="101"/>
      <c r="E45" s="102"/>
      <c r="F45" s="100"/>
      <c r="G45" s="103" t="s">
        <v>81</v>
      </c>
      <c r="H45" s="103" t="s">
        <v>22</v>
      </c>
      <c r="I45" s="119" t="s">
        <v>5</v>
      </c>
      <c r="J45" s="131"/>
      <c r="K45" s="131"/>
      <c r="L45" s="103"/>
      <c r="M45" s="103"/>
      <c r="N45" s="103"/>
      <c r="O45" s="103"/>
      <c r="P45" s="103"/>
      <c r="Q45" s="99"/>
      <c r="R45" s="104"/>
    </row>
    <row r="46" spans="1:18">
      <c r="A46" s="106"/>
      <c r="B46" s="106"/>
      <c r="C46" s="107"/>
      <c r="D46" s="108"/>
      <c r="E46" s="109"/>
      <c r="F46" s="110"/>
      <c r="G46" s="111"/>
      <c r="H46" s="112"/>
      <c r="I46" s="75"/>
      <c r="J46" s="132"/>
      <c r="K46" s="132"/>
      <c r="L46" s="113"/>
      <c r="M46" s="108"/>
      <c r="N46" s="111"/>
      <c r="O46" s="111"/>
      <c r="P46" s="111"/>
      <c r="Q46" s="106"/>
      <c r="R46" s="114"/>
    </row>
    <row r="47" spans="1:18" ht="15.75">
      <c r="A47" s="52"/>
      <c r="B47" s="47"/>
      <c r="C47" s="48"/>
      <c r="D47" s="73"/>
      <c r="E47" s="17"/>
      <c r="F47" s="48"/>
      <c r="G47" s="36"/>
      <c r="H47" s="36"/>
      <c r="I47" s="125"/>
      <c r="J47" s="36"/>
      <c r="K47" s="36"/>
      <c r="L47" s="8"/>
      <c r="N47" s="8"/>
      <c r="O47" s="8"/>
      <c r="P47" s="8"/>
      <c r="Q47" s="35"/>
      <c r="R47" s="37"/>
    </row>
    <row r="48" spans="1:18" ht="15.75">
      <c r="A48" s="52">
        <v>1</v>
      </c>
      <c r="B48" s="51" t="s">
        <v>645</v>
      </c>
      <c r="C48" s="48" t="s">
        <v>646</v>
      </c>
      <c r="D48" s="67" t="s">
        <v>647</v>
      </c>
      <c r="E48" s="17">
        <v>43256</v>
      </c>
      <c r="F48" s="20" t="s">
        <v>648</v>
      </c>
      <c r="G48" s="36">
        <v>0</v>
      </c>
      <c r="H48" s="8">
        <v>65837908</v>
      </c>
      <c r="I48" s="8">
        <v>1645948</v>
      </c>
      <c r="J48" s="8">
        <v>463361</v>
      </c>
      <c r="K48" s="8">
        <v>0</v>
      </c>
      <c r="L48" s="8">
        <v>210000</v>
      </c>
      <c r="M48" s="8">
        <v>200000</v>
      </c>
      <c r="N48" s="8">
        <f>SUM(G48:M48)</f>
        <v>68357217</v>
      </c>
      <c r="O48" s="8">
        <f>89357217-N48</f>
        <v>21000000</v>
      </c>
      <c r="P48" s="8">
        <f t="shared" ref="P48" si="4">+N48+O48</f>
        <v>89357217</v>
      </c>
      <c r="Q48" s="77" t="s">
        <v>39</v>
      </c>
      <c r="R48" s="66" t="s">
        <v>52</v>
      </c>
    </row>
    <row r="49" spans="1:18" ht="15.75">
      <c r="A49" s="52"/>
      <c r="B49" s="51"/>
      <c r="C49" s="48"/>
      <c r="E49" s="17"/>
      <c r="F49" s="48"/>
      <c r="G49" s="36"/>
      <c r="H49" s="36"/>
      <c r="I49" s="75"/>
      <c r="J49" s="36"/>
      <c r="K49" s="36"/>
      <c r="L49" s="36"/>
      <c r="N49" s="8"/>
      <c r="O49" s="8"/>
      <c r="P49" s="8"/>
      <c r="Q49" s="59"/>
      <c r="R49" s="66"/>
    </row>
    <row r="50" spans="1:18" ht="16.5" thickBot="1">
      <c r="A50" s="18"/>
      <c r="B50" s="55"/>
      <c r="C50" s="56"/>
      <c r="D50" s="74"/>
      <c r="E50" s="56"/>
      <c r="F50" s="57"/>
      <c r="G50" s="19">
        <f t="shared" ref="G50:P50" si="5">SUM(G48:G49)</f>
        <v>0</v>
      </c>
      <c r="H50" s="19">
        <f t="shared" si="5"/>
        <v>65837908</v>
      </c>
      <c r="I50" s="19">
        <f t="shared" si="5"/>
        <v>1645948</v>
      </c>
      <c r="J50" s="19">
        <f t="shared" si="5"/>
        <v>463361</v>
      </c>
      <c r="K50" s="19">
        <f t="shared" si="5"/>
        <v>0</v>
      </c>
      <c r="L50" s="19">
        <f t="shared" si="5"/>
        <v>210000</v>
      </c>
      <c r="M50" s="19">
        <f t="shared" si="5"/>
        <v>200000</v>
      </c>
      <c r="N50" s="19">
        <f t="shared" si="5"/>
        <v>68357217</v>
      </c>
      <c r="O50" s="19">
        <f t="shared" si="5"/>
        <v>21000000</v>
      </c>
      <c r="P50" s="19">
        <f t="shared" si="5"/>
        <v>89357217</v>
      </c>
      <c r="Q50" s="68"/>
      <c r="R50" s="70"/>
    </row>
    <row r="51" spans="1:18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8" ht="15.75">
      <c r="A52" s="23"/>
      <c r="B52" s="28" t="s">
        <v>644</v>
      </c>
      <c r="C52" s="22"/>
      <c r="D52" s="39"/>
      <c r="F52" s="27"/>
      <c r="G52" s="28"/>
      <c r="H52" s="28"/>
      <c r="I52" s="28"/>
      <c r="J52" s="28"/>
      <c r="K52" s="28"/>
      <c r="L52" s="28"/>
      <c r="Q52" s="51"/>
    </row>
    <row r="53" spans="1:18" ht="15.75">
      <c r="A53" s="38"/>
      <c r="B53" s="40" t="s">
        <v>32</v>
      </c>
      <c r="C53" s="28" t="s">
        <v>28</v>
      </c>
      <c r="D53" s="39"/>
      <c r="F53" s="41"/>
      <c r="G53" s="143" t="s">
        <v>26</v>
      </c>
      <c r="H53" s="143"/>
      <c r="I53" s="143"/>
      <c r="K53" s="41"/>
    </row>
    <row r="54" spans="1:18" ht="15.75">
      <c r="A54" s="38"/>
      <c r="B54" s="40"/>
      <c r="C54" s="28"/>
      <c r="D54" s="39"/>
      <c r="F54" s="28"/>
      <c r="G54" s="28"/>
      <c r="H54" s="28"/>
      <c r="I54" s="28"/>
      <c r="J54" s="28"/>
      <c r="K54" s="28"/>
      <c r="L54" s="28"/>
    </row>
    <row r="55" spans="1:18" ht="15.75">
      <c r="A55" s="38"/>
      <c r="B55" s="40"/>
      <c r="C55" s="28"/>
      <c r="D55" s="39"/>
      <c r="F55" s="28"/>
      <c r="G55" s="28"/>
      <c r="H55" s="28"/>
      <c r="I55" s="28"/>
      <c r="J55" s="28"/>
      <c r="K55" s="28"/>
      <c r="L55" s="28"/>
    </row>
    <row r="56" spans="1:18" ht="15.75">
      <c r="A56" s="38"/>
      <c r="B56" s="40"/>
      <c r="C56" s="28"/>
      <c r="D56" s="39"/>
      <c r="F56" s="28"/>
      <c r="G56" s="28"/>
      <c r="H56" s="28"/>
      <c r="I56" s="28"/>
      <c r="J56" s="28"/>
      <c r="K56" s="28"/>
    </row>
    <row r="57" spans="1:18" ht="15.75">
      <c r="A57" s="38"/>
      <c r="B57" s="40"/>
      <c r="C57" s="28"/>
      <c r="D57" s="39"/>
      <c r="F57" s="28"/>
      <c r="G57" s="28"/>
      <c r="H57" s="28"/>
      <c r="I57" s="28"/>
      <c r="J57" s="28"/>
      <c r="K57" s="28"/>
      <c r="L57" s="28"/>
    </row>
    <row r="58" spans="1:18" ht="15.75">
      <c r="A58" s="38" t="s">
        <v>23</v>
      </c>
      <c r="B58" s="42" t="s">
        <v>27</v>
      </c>
      <c r="C58" s="43" t="s">
        <v>24</v>
      </c>
      <c r="D58" s="39"/>
      <c r="F58" s="29"/>
      <c r="G58" s="29" t="s">
        <v>16</v>
      </c>
      <c r="H58" s="29"/>
      <c r="I58" s="29" t="s">
        <v>30</v>
      </c>
    </row>
    <row r="59" spans="1:18" ht="15.75">
      <c r="A59" s="38"/>
      <c r="B59" s="44" t="s">
        <v>31</v>
      </c>
      <c r="C59" s="45" t="s">
        <v>20</v>
      </c>
      <c r="D59" s="39"/>
      <c r="F59" s="46"/>
      <c r="G59" s="46" t="s">
        <v>17</v>
      </c>
      <c r="H59" s="46"/>
      <c r="I59" s="46" t="s">
        <v>25</v>
      </c>
    </row>
    <row r="61" spans="1:18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</row>
    <row r="62" spans="1:18" ht="15.75">
      <c r="A62" s="26" t="s">
        <v>649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</row>
    <row r="63" spans="1:18">
      <c r="A63" s="62"/>
      <c r="B63" s="62" t="s">
        <v>1</v>
      </c>
      <c r="C63" s="93" t="s">
        <v>2</v>
      </c>
      <c r="D63" s="117" t="s">
        <v>34</v>
      </c>
      <c r="E63" s="95" t="s">
        <v>3</v>
      </c>
      <c r="F63" s="93" t="s">
        <v>4</v>
      </c>
      <c r="G63" s="96" t="s">
        <v>18</v>
      </c>
      <c r="H63" s="96" t="s">
        <v>18</v>
      </c>
      <c r="I63" s="97" t="s">
        <v>7</v>
      </c>
      <c r="J63" s="130" t="s">
        <v>6</v>
      </c>
      <c r="K63" s="130" t="s">
        <v>6</v>
      </c>
      <c r="L63" s="96" t="s">
        <v>29</v>
      </c>
      <c r="M63" s="96" t="s">
        <v>21</v>
      </c>
      <c r="N63" s="96" t="s">
        <v>8</v>
      </c>
      <c r="O63" s="96" t="s">
        <v>8</v>
      </c>
      <c r="P63" s="96" t="s">
        <v>9</v>
      </c>
      <c r="Q63" s="62" t="s">
        <v>10</v>
      </c>
      <c r="R63" s="98" t="s">
        <v>33</v>
      </c>
    </row>
    <row r="64" spans="1:18">
      <c r="A64" s="99"/>
      <c r="B64" s="99"/>
      <c r="C64" s="100"/>
      <c r="D64" s="101"/>
      <c r="E64" s="102"/>
      <c r="F64" s="100"/>
      <c r="G64" s="103" t="s">
        <v>12</v>
      </c>
      <c r="H64" s="103" t="s">
        <v>12</v>
      </c>
      <c r="I64" s="119" t="s">
        <v>19</v>
      </c>
      <c r="J64" s="131" t="s">
        <v>35</v>
      </c>
      <c r="K64" s="131" t="s">
        <v>517</v>
      </c>
      <c r="L64" s="103" t="s">
        <v>22</v>
      </c>
      <c r="M64" s="103" t="s">
        <v>15</v>
      </c>
      <c r="N64" s="103" t="s">
        <v>13</v>
      </c>
      <c r="O64" s="103" t="s">
        <v>14</v>
      </c>
      <c r="P64" s="103" t="s">
        <v>12</v>
      </c>
      <c r="Q64" s="99"/>
      <c r="R64" s="104"/>
    </row>
    <row r="65" spans="1:18">
      <c r="A65" s="99"/>
      <c r="B65" s="99"/>
      <c r="C65" s="105"/>
      <c r="D65" s="101"/>
      <c r="E65" s="102"/>
      <c r="F65" s="100"/>
      <c r="G65" s="103" t="s">
        <v>81</v>
      </c>
      <c r="H65" s="103" t="s">
        <v>22</v>
      </c>
      <c r="I65" s="119" t="s">
        <v>5</v>
      </c>
      <c r="J65" s="131"/>
      <c r="K65" s="131"/>
      <c r="L65" s="103"/>
      <c r="M65" s="103"/>
      <c r="N65" s="103"/>
      <c r="O65" s="103"/>
      <c r="P65" s="103"/>
      <c r="Q65" s="99"/>
      <c r="R65" s="104"/>
    </row>
    <row r="66" spans="1:18">
      <c r="A66" s="106"/>
      <c r="B66" s="106"/>
      <c r="C66" s="107"/>
      <c r="D66" s="108"/>
      <c r="E66" s="109"/>
      <c r="F66" s="110"/>
      <c r="G66" s="111"/>
      <c r="H66" s="112"/>
      <c r="I66" s="75"/>
      <c r="J66" s="132"/>
      <c r="K66" s="132"/>
      <c r="L66" s="113"/>
      <c r="M66" s="108"/>
      <c r="N66" s="111"/>
      <c r="O66" s="111"/>
      <c r="P66" s="111"/>
      <c r="Q66" s="106"/>
      <c r="R66" s="114"/>
    </row>
    <row r="67" spans="1:18" ht="15.75">
      <c r="A67" s="52"/>
      <c r="B67" s="47"/>
      <c r="C67" s="48"/>
      <c r="D67" s="73"/>
      <c r="E67" s="17"/>
      <c r="F67" s="48"/>
      <c r="G67" s="36"/>
      <c r="H67" s="36"/>
      <c r="I67" s="125"/>
      <c r="J67" s="36"/>
      <c r="K67" s="36"/>
      <c r="L67" s="8"/>
      <c r="N67" s="8"/>
      <c r="O67" s="8"/>
      <c r="P67" s="8"/>
      <c r="Q67" s="35"/>
      <c r="R67" s="37"/>
    </row>
    <row r="68" spans="1:18" ht="15.75">
      <c r="A68" s="52">
        <v>1</v>
      </c>
      <c r="B68" s="51" t="s">
        <v>650</v>
      </c>
      <c r="C68" s="48" t="s">
        <v>651</v>
      </c>
      <c r="D68" s="67" t="s">
        <v>652</v>
      </c>
      <c r="E68" s="17">
        <v>43257</v>
      </c>
      <c r="F68" s="20" t="s">
        <v>653</v>
      </c>
      <c r="G68" s="36">
        <v>0</v>
      </c>
      <c r="H68" s="8">
        <v>126400000</v>
      </c>
      <c r="I68" s="8">
        <v>3160000</v>
      </c>
      <c r="J68" s="8">
        <v>1181935</v>
      </c>
      <c r="K68" s="8">
        <v>0</v>
      </c>
      <c r="L68" s="8">
        <v>86000</v>
      </c>
      <c r="M68" s="8">
        <v>200000</v>
      </c>
      <c r="N68" s="8">
        <f>SUM(G68:M68)</f>
        <v>131027935</v>
      </c>
      <c r="O68" s="8">
        <f>135000000-N68</f>
        <v>3972065</v>
      </c>
      <c r="P68" s="8">
        <f t="shared" ref="P68" si="6">+N68+O68</f>
        <v>135000000</v>
      </c>
      <c r="Q68" s="77" t="s">
        <v>67</v>
      </c>
      <c r="R68" s="66" t="s">
        <v>52</v>
      </c>
    </row>
    <row r="69" spans="1:18" ht="15.75">
      <c r="A69" s="52"/>
      <c r="B69" s="51"/>
      <c r="C69" s="48"/>
      <c r="E69" s="17"/>
      <c r="F69" s="48"/>
      <c r="G69" s="36"/>
      <c r="H69" s="36"/>
      <c r="I69" s="75"/>
      <c r="J69" s="36"/>
      <c r="K69" s="36"/>
      <c r="L69" s="36"/>
      <c r="N69" s="8"/>
      <c r="O69" s="8"/>
      <c r="P69" s="8"/>
      <c r="Q69" s="59"/>
      <c r="R69" s="66"/>
    </row>
    <row r="70" spans="1:18" ht="16.5" thickBot="1">
      <c r="A70" s="18"/>
      <c r="B70" s="55"/>
      <c r="C70" s="56"/>
      <c r="D70" s="74"/>
      <c r="E70" s="56"/>
      <c r="F70" s="57"/>
      <c r="G70" s="19">
        <f t="shared" ref="G70:P70" si="7">SUM(G68:G69)</f>
        <v>0</v>
      </c>
      <c r="H70" s="19">
        <f t="shared" si="7"/>
        <v>126400000</v>
      </c>
      <c r="I70" s="19">
        <f t="shared" si="7"/>
        <v>3160000</v>
      </c>
      <c r="J70" s="19">
        <f t="shared" si="7"/>
        <v>1181935</v>
      </c>
      <c r="K70" s="19">
        <f t="shared" si="7"/>
        <v>0</v>
      </c>
      <c r="L70" s="19">
        <f t="shared" si="7"/>
        <v>86000</v>
      </c>
      <c r="M70" s="19">
        <f t="shared" si="7"/>
        <v>200000</v>
      </c>
      <c r="N70" s="19">
        <f t="shared" si="7"/>
        <v>131027935</v>
      </c>
      <c r="O70" s="19">
        <f t="shared" si="7"/>
        <v>3972065</v>
      </c>
      <c r="P70" s="19">
        <f t="shared" si="7"/>
        <v>135000000</v>
      </c>
      <c r="Q70" s="68"/>
      <c r="R70" s="70"/>
    </row>
    <row r="71" spans="1:18" ht="16.5" thickTop="1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8" ht="15.75">
      <c r="A72" s="23"/>
      <c r="B72" s="28" t="s">
        <v>654</v>
      </c>
      <c r="C72" s="22"/>
      <c r="D72" s="39"/>
      <c r="F72" s="27"/>
      <c r="G72" s="28"/>
      <c r="H72" s="28"/>
      <c r="I72" s="28"/>
      <c r="J72" s="28"/>
      <c r="K72" s="28"/>
      <c r="L72" s="28"/>
      <c r="Q72" s="51"/>
    </row>
    <row r="73" spans="1:18" ht="15.75">
      <c r="A73" s="38"/>
      <c r="B73" s="40" t="s">
        <v>32</v>
      </c>
      <c r="C73" s="28" t="s">
        <v>28</v>
      </c>
      <c r="D73" s="39"/>
      <c r="F73" s="41"/>
      <c r="G73" s="143" t="s">
        <v>26</v>
      </c>
      <c r="H73" s="143"/>
      <c r="I73" s="143"/>
      <c r="K73" s="41"/>
    </row>
    <row r="74" spans="1:18" ht="15.75">
      <c r="A74" s="38"/>
      <c r="B74" s="40"/>
      <c r="C74" s="28"/>
      <c r="D74" s="39"/>
      <c r="F74" s="28"/>
      <c r="G74" s="28"/>
      <c r="H74" s="28"/>
      <c r="I74" s="28"/>
      <c r="J74" s="28"/>
      <c r="K74" s="28"/>
      <c r="L74" s="28"/>
    </row>
    <row r="75" spans="1:18" ht="15.75">
      <c r="A75" s="38"/>
      <c r="B75" s="40"/>
      <c r="C75" s="28"/>
      <c r="D75" s="39"/>
      <c r="F75" s="28"/>
      <c r="G75" s="28"/>
      <c r="H75" s="28"/>
      <c r="I75" s="28"/>
      <c r="J75" s="28"/>
      <c r="K75" s="28"/>
      <c r="L75" s="28"/>
    </row>
    <row r="76" spans="1:18" ht="15.75">
      <c r="A76" s="38"/>
      <c r="B76" s="40"/>
      <c r="C76" s="28"/>
      <c r="D76" s="39"/>
      <c r="F76" s="28"/>
      <c r="G76" s="28"/>
      <c r="H76" s="28"/>
      <c r="I76" s="28"/>
      <c r="J76" s="28"/>
      <c r="K76" s="28"/>
    </row>
    <row r="77" spans="1:18" ht="15.75">
      <c r="A77" s="38"/>
      <c r="B77" s="40"/>
      <c r="C77" s="28"/>
      <c r="D77" s="39"/>
      <c r="F77" s="28"/>
      <c r="G77" s="28"/>
      <c r="H77" s="28"/>
      <c r="I77" s="28"/>
      <c r="J77" s="28"/>
      <c r="K77" s="28"/>
      <c r="L77" s="28"/>
    </row>
    <row r="78" spans="1:18" ht="15.75">
      <c r="A78" s="38" t="s">
        <v>23</v>
      </c>
      <c r="B78" s="42" t="s">
        <v>27</v>
      </c>
      <c r="C78" s="43" t="s">
        <v>24</v>
      </c>
      <c r="D78" s="39"/>
      <c r="F78" s="29"/>
      <c r="G78" s="29" t="s">
        <v>16</v>
      </c>
      <c r="H78" s="29"/>
      <c r="I78" s="29" t="s">
        <v>30</v>
      </c>
    </row>
    <row r="79" spans="1:18" ht="15.75">
      <c r="A79" s="38"/>
      <c r="B79" s="44" t="s">
        <v>31</v>
      </c>
      <c r="C79" s="45" t="s">
        <v>20</v>
      </c>
      <c r="D79" s="39"/>
      <c r="F79" s="46"/>
      <c r="G79" s="46" t="s">
        <v>17</v>
      </c>
      <c r="H79" s="46"/>
      <c r="I79" s="46" t="s">
        <v>25</v>
      </c>
    </row>
    <row r="81" spans="1:18" ht="15.7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</row>
    <row r="82" spans="1:18" ht="15.75">
      <c r="A82" s="26" t="s">
        <v>649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</row>
    <row r="83" spans="1:18">
      <c r="A83" s="62"/>
      <c r="B83" s="62" t="s">
        <v>1</v>
      </c>
      <c r="C83" s="93" t="s">
        <v>2</v>
      </c>
      <c r="D83" s="117" t="s">
        <v>34</v>
      </c>
      <c r="E83" s="95" t="s">
        <v>3</v>
      </c>
      <c r="F83" s="93" t="s">
        <v>4</v>
      </c>
      <c r="G83" s="96" t="s">
        <v>18</v>
      </c>
      <c r="H83" s="96" t="s">
        <v>18</v>
      </c>
      <c r="I83" s="97" t="s">
        <v>7</v>
      </c>
      <c r="J83" s="130" t="s">
        <v>6</v>
      </c>
      <c r="K83" s="130" t="s">
        <v>6</v>
      </c>
      <c r="L83" s="96" t="s">
        <v>29</v>
      </c>
      <c r="M83" s="96" t="s">
        <v>21</v>
      </c>
      <c r="N83" s="96" t="s">
        <v>8</v>
      </c>
      <c r="O83" s="96" t="s">
        <v>8</v>
      </c>
      <c r="P83" s="96" t="s">
        <v>9</v>
      </c>
      <c r="Q83" s="62" t="s">
        <v>10</v>
      </c>
      <c r="R83" s="98" t="s">
        <v>33</v>
      </c>
    </row>
    <row r="84" spans="1:18">
      <c r="A84" s="99"/>
      <c r="B84" s="99"/>
      <c r="C84" s="100"/>
      <c r="D84" s="101"/>
      <c r="E84" s="102"/>
      <c r="F84" s="100"/>
      <c r="G84" s="103" t="s">
        <v>12</v>
      </c>
      <c r="H84" s="103" t="s">
        <v>12</v>
      </c>
      <c r="I84" s="119" t="s">
        <v>19</v>
      </c>
      <c r="J84" s="131" t="s">
        <v>35</v>
      </c>
      <c r="K84" s="131" t="s">
        <v>517</v>
      </c>
      <c r="L84" s="103" t="s">
        <v>22</v>
      </c>
      <c r="M84" s="103" t="s">
        <v>15</v>
      </c>
      <c r="N84" s="103" t="s">
        <v>13</v>
      </c>
      <c r="O84" s="103" t="s">
        <v>14</v>
      </c>
      <c r="P84" s="103" t="s">
        <v>12</v>
      </c>
      <c r="Q84" s="99"/>
      <c r="R84" s="104"/>
    </row>
    <row r="85" spans="1:18">
      <c r="A85" s="99"/>
      <c r="B85" s="99"/>
      <c r="C85" s="105"/>
      <c r="D85" s="101"/>
      <c r="E85" s="102"/>
      <c r="F85" s="100"/>
      <c r="G85" s="103" t="s">
        <v>81</v>
      </c>
      <c r="H85" s="103" t="s">
        <v>22</v>
      </c>
      <c r="I85" s="119" t="s">
        <v>5</v>
      </c>
      <c r="J85" s="131"/>
      <c r="K85" s="131"/>
      <c r="L85" s="103"/>
      <c r="M85" s="103"/>
      <c r="N85" s="103"/>
      <c r="O85" s="103"/>
      <c r="P85" s="103"/>
      <c r="Q85" s="99"/>
      <c r="R85" s="104"/>
    </row>
    <row r="86" spans="1:18">
      <c r="A86" s="106"/>
      <c r="B86" s="106"/>
      <c r="C86" s="107"/>
      <c r="D86" s="108"/>
      <c r="E86" s="109"/>
      <c r="F86" s="110"/>
      <c r="G86" s="111"/>
      <c r="H86" s="112"/>
      <c r="I86" s="75"/>
      <c r="J86" s="132"/>
      <c r="K86" s="132"/>
      <c r="L86" s="113"/>
      <c r="M86" s="108"/>
      <c r="N86" s="111"/>
      <c r="O86" s="111"/>
      <c r="P86" s="111"/>
      <c r="Q86" s="106"/>
      <c r="R86" s="114"/>
    </row>
    <row r="87" spans="1:18" ht="15.75">
      <c r="A87" s="52"/>
      <c r="B87" s="47"/>
      <c r="C87" s="48"/>
      <c r="D87" s="73"/>
      <c r="E87" s="17"/>
      <c r="F87" s="48"/>
      <c r="G87" s="36"/>
      <c r="H87" s="36"/>
      <c r="I87" s="125"/>
      <c r="J87" s="36"/>
      <c r="K87" s="36"/>
      <c r="L87" s="8"/>
      <c r="N87" s="8"/>
      <c r="O87" s="8"/>
      <c r="P87" s="8"/>
      <c r="Q87" s="35"/>
      <c r="R87" s="37"/>
    </row>
    <row r="88" spans="1:18" ht="15.75">
      <c r="A88" s="52">
        <v>1</v>
      </c>
      <c r="B88" s="51" t="s">
        <v>656</v>
      </c>
      <c r="C88" s="48" t="s">
        <v>655</v>
      </c>
      <c r="D88" s="67" t="s">
        <v>657</v>
      </c>
      <c r="E88" s="17">
        <v>43257</v>
      </c>
      <c r="F88" s="20" t="s">
        <v>658</v>
      </c>
      <c r="G88" s="36">
        <v>0</v>
      </c>
      <c r="H88" s="8">
        <v>68800000</v>
      </c>
      <c r="I88" s="8">
        <v>1720000</v>
      </c>
      <c r="J88" s="8">
        <v>590968</v>
      </c>
      <c r="K88" s="8">
        <v>0</v>
      </c>
      <c r="L88" s="8">
        <v>312000</v>
      </c>
      <c r="M88" s="8">
        <v>200000</v>
      </c>
      <c r="N88" s="8">
        <f>SUM(G88:M88)</f>
        <v>71622968</v>
      </c>
      <c r="O88" s="8">
        <f>100000000-N88</f>
        <v>28377032</v>
      </c>
      <c r="P88" s="8">
        <f t="shared" ref="P88" si="8">+N88+O88</f>
        <v>100000000</v>
      </c>
      <c r="Q88" s="77" t="s">
        <v>659</v>
      </c>
      <c r="R88" s="66" t="s">
        <v>52</v>
      </c>
    </row>
    <row r="89" spans="1:18" ht="15.75">
      <c r="A89" s="52"/>
      <c r="B89" s="51"/>
      <c r="C89" s="48"/>
      <c r="E89" s="17"/>
      <c r="F89" s="48"/>
      <c r="G89" s="36"/>
      <c r="H89" s="36"/>
      <c r="I89" s="75"/>
      <c r="J89" s="36"/>
      <c r="K89" s="36"/>
      <c r="L89" s="36"/>
      <c r="N89" s="8"/>
      <c r="O89" s="8"/>
      <c r="P89" s="8"/>
      <c r="Q89" s="59"/>
      <c r="R89" s="66"/>
    </row>
    <row r="90" spans="1:18" ht="16.5" thickBot="1">
      <c r="A90" s="18"/>
      <c r="B90" s="55"/>
      <c r="C90" s="56"/>
      <c r="D90" s="74"/>
      <c r="E90" s="56"/>
      <c r="F90" s="57"/>
      <c r="G90" s="19">
        <f t="shared" ref="G90:P90" si="9">SUM(G88:G89)</f>
        <v>0</v>
      </c>
      <c r="H90" s="19">
        <f t="shared" si="9"/>
        <v>68800000</v>
      </c>
      <c r="I90" s="19">
        <f t="shared" si="9"/>
        <v>1720000</v>
      </c>
      <c r="J90" s="19">
        <f t="shared" si="9"/>
        <v>590968</v>
      </c>
      <c r="K90" s="19">
        <f t="shared" si="9"/>
        <v>0</v>
      </c>
      <c r="L90" s="19">
        <f t="shared" si="9"/>
        <v>312000</v>
      </c>
      <c r="M90" s="19">
        <f t="shared" si="9"/>
        <v>200000</v>
      </c>
      <c r="N90" s="19">
        <f t="shared" si="9"/>
        <v>71622968</v>
      </c>
      <c r="O90" s="19">
        <f t="shared" si="9"/>
        <v>28377032</v>
      </c>
      <c r="P90" s="19">
        <f t="shared" si="9"/>
        <v>100000000</v>
      </c>
      <c r="Q90" s="68"/>
      <c r="R90" s="70"/>
    </row>
    <row r="91" spans="1:18" ht="16.5" thickTop="1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8" ht="15.75">
      <c r="A92" s="23"/>
      <c r="B92" s="28" t="s">
        <v>654</v>
      </c>
      <c r="C92" s="22"/>
      <c r="D92" s="39"/>
      <c r="F92" s="27"/>
      <c r="G92" s="28"/>
      <c r="H92" s="28"/>
      <c r="I92" s="28"/>
      <c r="J92" s="28"/>
      <c r="K92" s="28"/>
      <c r="L92" s="28"/>
      <c r="Q92" s="51"/>
    </row>
    <row r="93" spans="1:18" ht="15.75">
      <c r="A93" s="38"/>
      <c r="B93" s="40" t="s">
        <v>32</v>
      </c>
      <c r="C93" s="28" t="s">
        <v>28</v>
      </c>
      <c r="D93" s="39"/>
      <c r="F93" s="41"/>
      <c r="G93" s="143" t="s">
        <v>26</v>
      </c>
      <c r="H93" s="143"/>
      <c r="I93" s="143"/>
      <c r="K93" s="41"/>
    </row>
    <row r="94" spans="1:18" ht="15.75">
      <c r="A94" s="38"/>
      <c r="B94" s="40"/>
      <c r="C94" s="28"/>
      <c r="D94" s="39"/>
      <c r="F94" s="28"/>
      <c r="G94" s="28"/>
      <c r="H94" s="28"/>
      <c r="I94" s="28"/>
      <c r="J94" s="28"/>
      <c r="K94" s="28"/>
      <c r="L94" s="28"/>
    </row>
    <row r="95" spans="1:18" ht="15.75">
      <c r="A95" s="38"/>
      <c r="B95" s="40"/>
      <c r="C95" s="28"/>
      <c r="D95" s="39"/>
      <c r="F95" s="28"/>
      <c r="G95" s="28"/>
      <c r="H95" s="28"/>
      <c r="I95" s="28"/>
      <c r="J95" s="28"/>
      <c r="K95" s="28"/>
      <c r="L95" s="28"/>
    </row>
    <row r="96" spans="1:18" ht="15.75">
      <c r="A96" s="38"/>
      <c r="B96" s="40"/>
      <c r="C96" s="28"/>
      <c r="D96" s="39"/>
      <c r="F96" s="28"/>
      <c r="G96" s="28"/>
      <c r="H96" s="28"/>
      <c r="I96" s="28"/>
      <c r="J96" s="28"/>
      <c r="K96" s="28"/>
    </row>
    <row r="97" spans="1:19" ht="15.75">
      <c r="A97" s="38"/>
      <c r="B97" s="40"/>
      <c r="C97" s="28"/>
      <c r="D97" s="39"/>
      <c r="F97" s="28"/>
      <c r="G97" s="28"/>
      <c r="H97" s="28"/>
      <c r="I97" s="28"/>
      <c r="J97" s="28"/>
      <c r="K97" s="28"/>
      <c r="L97" s="28"/>
    </row>
    <row r="98" spans="1:19" ht="15.75">
      <c r="A98" s="38" t="s">
        <v>23</v>
      </c>
      <c r="B98" s="42" t="s">
        <v>27</v>
      </c>
      <c r="C98" s="43" t="s">
        <v>24</v>
      </c>
      <c r="D98" s="39"/>
      <c r="F98" s="29"/>
      <c r="G98" s="29" t="s">
        <v>16</v>
      </c>
      <c r="H98" s="29"/>
      <c r="I98" s="29" t="s">
        <v>30</v>
      </c>
    </row>
    <row r="99" spans="1:19" ht="15.75">
      <c r="A99" s="38"/>
      <c r="B99" s="44" t="s">
        <v>31</v>
      </c>
      <c r="C99" s="45" t="s">
        <v>20</v>
      </c>
      <c r="D99" s="39"/>
      <c r="F99" s="46"/>
      <c r="G99" s="46" t="s">
        <v>17</v>
      </c>
      <c r="H99" s="46"/>
      <c r="I99" s="46" t="s">
        <v>25</v>
      </c>
    </row>
    <row r="101" spans="1:19" ht="15.7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</row>
    <row r="102" spans="1:19" ht="15.75">
      <c r="A102" s="26" t="s">
        <v>660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</row>
    <row r="103" spans="1:19">
      <c r="A103" s="62"/>
      <c r="B103" s="62" t="s">
        <v>1</v>
      </c>
      <c r="C103" s="93" t="s">
        <v>2</v>
      </c>
      <c r="D103" s="117" t="s">
        <v>34</v>
      </c>
      <c r="E103" s="95" t="s">
        <v>3</v>
      </c>
      <c r="F103" s="93" t="s">
        <v>4</v>
      </c>
      <c r="G103" s="96" t="s">
        <v>18</v>
      </c>
      <c r="H103" s="96" t="s">
        <v>18</v>
      </c>
      <c r="I103" s="96" t="s">
        <v>18</v>
      </c>
      <c r="J103" s="97" t="s">
        <v>7</v>
      </c>
      <c r="K103" s="130" t="s">
        <v>6</v>
      </c>
      <c r="L103" s="130" t="s">
        <v>6</v>
      </c>
      <c r="M103" s="130" t="s">
        <v>458</v>
      </c>
      <c r="N103" s="96" t="s">
        <v>21</v>
      </c>
      <c r="O103" s="96" t="s">
        <v>8</v>
      </c>
      <c r="P103" s="96" t="s">
        <v>8</v>
      </c>
      <c r="Q103" s="96" t="s">
        <v>9</v>
      </c>
      <c r="R103" s="62" t="s">
        <v>10</v>
      </c>
      <c r="S103" s="98" t="s">
        <v>33</v>
      </c>
    </row>
    <row r="104" spans="1:19">
      <c r="A104" s="99"/>
      <c r="B104" s="99"/>
      <c r="C104" s="100"/>
      <c r="D104" s="101"/>
      <c r="E104" s="102"/>
      <c r="F104" s="100"/>
      <c r="G104" s="103" t="s">
        <v>12</v>
      </c>
      <c r="H104" s="103" t="s">
        <v>12</v>
      </c>
      <c r="I104" s="119" t="s">
        <v>517</v>
      </c>
      <c r="J104" s="119" t="s">
        <v>19</v>
      </c>
      <c r="K104" s="131" t="s">
        <v>35</v>
      </c>
      <c r="L104" s="131" t="s">
        <v>517</v>
      </c>
      <c r="M104" s="131" t="s">
        <v>517</v>
      </c>
      <c r="N104" s="103" t="s">
        <v>15</v>
      </c>
      <c r="O104" s="103" t="s">
        <v>13</v>
      </c>
      <c r="P104" s="103" t="s">
        <v>14</v>
      </c>
      <c r="Q104" s="103" t="s">
        <v>12</v>
      </c>
      <c r="R104" s="99"/>
      <c r="S104" s="104"/>
    </row>
    <row r="105" spans="1:19">
      <c r="A105" s="99"/>
      <c r="B105" s="99"/>
      <c r="C105" s="105"/>
      <c r="D105" s="101"/>
      <c r="E105" s="102"/>
      <c r="F105" s="100"/>
      <c r="G105" s="103" t="s">
        <v>22</v>
      </c>
      <c r="H105" s="136" t="s">
        <v>664</v>
      </c>
      <c r="I105" s="119" t="s">
        <v>665</v>
      </c>
      <c r="J105" s="119" t="s">
        <v>5</v>
      </c>
      <c r="K105" s="131"/>
      <c r="L105" s="131"/>
      <c r="M105" s="86"/>
      <c r="N105" s="103"/>
      <c r="O105" s="103"/>
      <c r="P105" s="103"/>
      <c r="Q105" s="103"/>
      <c r="R105" s="99"/>
      <c r="S105" s="104"/>
    </row>
    <row r="106" spans="1:19">
      <c r="A106" s="106"/>
      <c r="B106" s="106"/>
      <c r="C106" s="107"/>
      <c r="D106" s="108"/>
      <c r="E106" s="109"/>
      <c r="F106" s="110"/>
      <c r="G106" s="111"/>
      <c r="H106" s="112" t="s">
        <v>692</v>
      </c>
      <c r="I106" s="75"/>
      <c r="J106" s="132"/>
      <c r="K106" s="132"/>
      <c r="L106" s="113"/>
      <c r="M106" s="75"/>
      <c r="N106" s="108"/>
      <c r="O106" s="111"/>
      <c r="P106" s="111"/>
      <c r="Q106" s="111"/>
      <c r="R106" s="106"/>
      <c r="S106" s="114"/>
    </row>
    <row r="107" spans="1:19" ht="15.75">
      <c r="A107" s="52"/>
      <c r="B107" s="47"/>
      <c r="C107" s="48"/>
      <c r="D107" s="73"/>
      <c r="E107" s="17"/>
      <c r="F107" s="48"/>
      <c r="G107" s="36"/>
      <c r="H107" s="36"/>
      <c r="I107" s="125"/>
      <c r="J107" s="36"/>
      <c r="K107" s="36"/>
      <c r="L107" s="8"/>
      <c r="M107" s="125"/>
      <c r="O107" s="8"/>
      <c r="P107" s="8"/>
      <c r="Q107" s="8"/>
      <c r="R107" s="35"/>
      <c r="S107" s="37"/>
    </row>
    <row r="108" spans="1:19" ht="15.75">
      <c r="A108" s="52">
        <v>1</v>
      </c>
      <c r="B108" s="51" t="s">
        <v>661</v>
      </c>
      <c r="C108" s="48" t="s">
        <v>662</v>
      </c>
      <c r="D108" s="67" t="s">
        <v>663</v>
      </c>
      <c r="E108" s="17">
        <v>43258</v>
      </c>
      <c r="F108" s="20" t="s">
        <v>337</v>
      </c>
      <c r="G108" s="36">
        <v>47246644</v>
      </c>
      <c r="H108" s="8">
        <v>2000000</v>
      </c>
      <c r="I108" s="8">
        <v>100000</v>
      </c>
      <c r="J108" s="8">
        <v>1181166</v>
      </c>
      <c r="K108" s="8">
        <v>334642</v>
      </c>
      <c r="L108" s="8">
        <v>8091295</v>
      </c>
      <c r="M108" s="8">
        <v>1444800</v>
      </c>
      <c r="N108" s="137">
        <v>200000</v>
      </c>
      <c r="O108" s="8">
        <f>SUM(G108:N108)</f>
        <v>60598547</v>
      </c>
      <c r="P108" s="8">
        <f>60598547-O108</f>
        <v>0</v>
      </c>
      <c r="Q108" s="8">
        <f t="shared" ref="Q108" si="10">+O108+P108</f>
        <v>60598547</v>
      </c>
      <c r="R108" s="77" t="s">
        <v>159</v>
      </c>
      <c r="S108" s="66" t="s">
        <v>338</v>
      </c>
    </row>
    <row r="109" spans="1:19" ht="15.75">
      <c r="A109" s="52"/>
      <c r="B109" s="51"/>
      <c r="C109" s="48"/>
      <c r="E109" s="17"/>
      <c r="F109" s="48"/>
      <c r="G109" s="36"/>
      <c r="H109" s="36"/>
      <c r="I109" s="75"/>
      <c r="J109" s="36"/>
      <c r="K109" s="36"/>
      <c r="L109" s="36"/>
      <c r="M109" s="75"/>
      <c r="O109" s="8"/>
      <c r="P109" s="8"/>
      <c r="Q109" s="8"/>
      <c r="R109" s="59"/>
      <c r="S109" s="66"/>
    </row>
    <row r="110" spans="1:19" ht="16.5" thickBot="1">
      <c r="A110" s="18"/>
      <c r="B110" s="55"/>
      <c r="C110" s="56"/>
      <c r="D110" s="74"/>
      <c r="E110" s="56"/>
      <c r="F110" s="57"/>
      <c r="G110" s="19">
        <f>SUM(G108:G109)</f>
        <v>47246644</v>
      </c>
      <c r="H110" s="19">
        <f t="shared" ref="H110:Q110" si="11">SUM(H108:H109)</f>
        <v>2000000</v>
      </c>
      <c r="I110" s="19">
        <f t="shared" si="11"/>
        <v>100000</v>
      </c>
      <c r="J110" s="19">
        <f t="shared" si="11"/>
        <v>1181166</v>
      </c>
      <c r="K110" s="19">
        <f t="shared" si="11"/>
        <v>334642</v>
      </c>
      <c r="L110" s="19">
        <f t="shared" si="11"/>
        <v>8091295</v>
      </c>
      <c r="M110" s="19">
        <f t="shared" si="11"/>
        <v>1444800</v>
      </c>
      <c r="N110" s="19">
        <f t="shared" si="11"/>
        <v>200000</v>
      </c>
      <c r="O110" s="19">
        <f t="shared" si="11"/>
        <v>60598547</v>
      </c>
      <c r="P110" s="19">
        <f t="shared" si="11"/>
        <v>0</v>
      </c>
      <c r="Q110" s="19">
        <f t="shared" si="11"/>
        <v>60598547</v>
      </c>
      <c r="R110" s="68"/>
      <c r="S110" s="70"/>
    </row>
    <row r="111" spans="1:19" ht="16.5" thickTop="1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9" ht="15.75">
      <c r="A112" s="23"/>
      <c r="B112" s="28" t="s">
        <v>666</v>
      </c>
      <c r="C112" s="22"/>
      <c r="D112" s="39"/>
      <c r="F112" s="27"/>
      <c r="G112" s="28"/>
      <c r="H112" s="28"/>
      <c r="I112" s="28"/>
      <c r="J112" s="28"/>
      <c r="K112" s="28"/>
      <c r="L112" s="28"/>
      <c r="Q112" s="51"/>
    </row>
    <row r="113" spans="1:18" ht="15.75">
      <c r="A113" s="38"/>
      <c r="B113" s="40" t="s">
        <v>32</v>
      </c>
      <c r="C113" s="28" t="s">
        <v>28</v>
      </c>
      <c r="D113" s="39"/>
      <c r="F113" s="41"/>
      <c r="G113" s="143" t="s">
        <v>26</v>
      </c>
      <c r="H113" s="143"/>
      <c r="I113" s="143"/>
      <c r="K113" s="41"/>
    </row>
    <row r="114" spans="1:18" ht="15.75">
      <c r="A114" s="38"/>
      <c r="B114" s="40"/>
      <c r="C114" s="28"/>
      <c r="D114" s="39"/>
      <c r="F114" s="28"/>
      <c r="G114" s="28"/>
      <c r="H114" s="28"/>
      <c r="I114" s="28"/>
      <c r="J114" s="28"/>
      <c r="K114" s="28"/>
      <c r="L114" s="28"/>
    </row>
    <row r="115" spans="1:18" ht="15.75">
      <c r="A115" s="38"/>
      <c r="B115" s="40"/>
      <c r="C115" s="28"/>
      <c r="D115" s="39"/>
      <c r="F115" s="28"/>
      <c r="G115" s="28"/>
      <c r="H115" s="28"/>
      <c r="I115" s="28"/>
      <c r="J115" s="28"/>
      <c r="K115" s="28"/>
      <c r="L115" s="28"/>
    </row>
    <row r="116" spans="1:18" ht="15.75">
      <c r="A116" s="38"/>
      <c r="B116" s="40"/>
      <c r="C116" s="28"/>
      <c r="D116" s="39"/>
      <c r="F116" s="28"/>
      <c r="G116" s="28"/>
      <c r="H116" s="28"/>
      <c r="I116" s="28"/>
      <c r="J116" s="28"/>
      <c r="K116" s="28"/>
    </row>
    <row r="117" spans="1:18" ht="15.75">
      <c r="A117" s="38"/>
      <c r="B117" s="40"/>
      <c r="C117" s="28"/>
      <c r="D117" s="39"/>
      <c r="F117" s="28"/>
      <c r="G117" s="28"/>
      <c r="H117" s="28"/>
      <c r="I117" s="28"/>
      <c r="J117" s="28"/>
      <c r="K117" s="28"/>
      <c r="L117" s="28"/>
    </row>
    <row r="118" spans="1:18" ht="15.75">
      <c r="A118" s="38" t="s">
        <v>23</v>
      </c>
      <c r="B118" s="42" t="s">
        <v>27</v>
      </c>
      <c r="C118" s="43" t="s">
        <v>24</v>
      </c>
      <c r="D118" s="39"/>
      <c r="F118" s="29"/>
      <c r="G118" s="29" t="s">
        <v>16</v>
      </c>
      <c r="H118" s="29"/>
      <c r="I118" s="29" t="s">
        <v>30</v>
      </c>
    </row>
    <row r="119" spans="1:18" ht="15.75">
      <c r="A119" s="38"/>
      <c r="B119" s="44" t="s">
        <v>31</v>
      </c>
      <c r="C119" s="45" t="s">
        <v>20</v>
      </c>
      <c r="D119" s="39"/>
      <c r="F119" s="46"/>
      <c r="G119" s="46" t="s">
        <v>17</v>
      </c>
      <c r="H119" s="46"/>
      <c r="I119" s="46" t="s">
        <v>25</v>
      </c>
    </row>
    <row r="121" spans="1:18" ht="15.7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</row>
    <row r="122" spans="1:18" ht="15.75">
      <c r="A122" s="26" t="s">
        <v>660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</row>
    <row r="123" spans="1:18">
      <c r="A123" s="62"/>
      <c r="B123" s="62" t="s">
        <v>1</v>
      </c>
      <c r="C123" s="93" t="s">
        <v>2</v>
      </c>
      <c r="D123" s="117" t="s">
        <v>34</v>
      </c>
      <c r="E123" s="95" t="s">
        <v>3</v>
      </c>
      <c r="F123" s="93" t="s">
        <v>4</v>
      </c>
      <c r="G123" s="96" t="s">
        <v>18</v>
      </c>
      <c r="H123" s="97" t="s">
        <v>7</v>
      </c>
      <c r="I123" s="130" t="s">
        <v>6</v>
      </c>
      <c r="J123" s="130" t="s">
        <v>6</v>
      </c>
      <c r="K123" s="130" t="s">
        <v>458</v>
      </c>
      <c r="L123" s="96" t="s">
        <v>29</v>
      </c>
      <c r="M123" s="96" t="s">
        <v>21</v>
      </c>
      <c r="N123" s="96" t="s">
        <v>8</v>
      </c>
      <c r="O123" s="96" t="s">
        <v>8</v>
      </c>
      <c r="P123" s="96" t="s">
        <v>9</v>
      </c>
      <c r="Q123" s="62" t="s">
        <v>10</v>
      </c>
      <c r="R123" s="98" t="s">
        <v>33</v>
      </c>
    </row>
    <row r="124" spans="1:18">
      <c r="A124" s="99"/>
      <c r="B124" s="99"/>
      <c r="C124" s="100"/>
      <c r="D124" s="101"/>
      <c r="E124" s="102"/>
      <c r="F124" s="100"/>
      <c r="G124" s="103" t="s">
        <v>12</v>
      </c>
      <c r="H124" s="119" t="s">
        <v>19</v>
      </c>
      <c r="I124" s="131" t="s">
        <v>35</v>
      </c>
      <c r="J124" s="131" t="s">
        <v>517</v>
      </c>
      <c r="K124" s="131" t="s">
        <v>517</v>
      </c>
      <c r="L124" s="103" t="s">
        <v>22</v>
      </c>
      <c r="M124" s="103" t="s">
        <v>15</v>
      </c>
      <c r="N124" s="103" t="s">
        <v>13</v>
      </c>
      <c r="O124" s="103" t="s">
        <v>14</v>
      </c>
      <c r="P124" s="103" t="s">
        <v>12</v>
      </c>
      <c r="Q124" s="99"/>
      <c r="R124" s="104"/>
    </row>
    <row r="125" spans="1:18">
      <c r="A125" s="99"/>
      <c r="B125" s="99"/>
      <c r="C125" s="105"/>
      <c r="D125" s="101"/>
      <c r="E125" s="102"/>
      <c r="F125" s="100"/>
      <c r="G125" s="103" t="s">
        <v>22</v>
      </c>
      <c r="H125" s="119" t="s">
        <v>5</v>
      </c>
      <c r="I125" s="131"/>
      <c r="J125" s="131"/>
      <c r="K125" s="131"/>
      <c r="L125" s="103"/>
      <c r="M125" s="103"/>
      <c r="N125" s="103"/>
      <c r="O125" s="103"/>
      <c r="P125" s="103"/>
      <c r="Q125" s="99"/>
      <c r="R125" s="104"/>
    </row>
    <row r="126" spans="1:18">
      <c r="A126" s="106"/>
      <c r="B126" s="106"/>
      <c r="C126" s="107"/>
      <c r="D126" s="108"/>
      <c r="E126" s="109"/>
      <c r="F126" s="110"/>
      <c r="G126" s="111"/>
      <c r="H126" s="112"/>
      <c r="I126" s="75"/>
      <c r="J126" s="132"/>
      <c r="K126" s="132"/>
      <c r="L126" s="113"/>
      <c r="M126" s="108"/>
      <c r="N126" s="111"/>
      <c r="O126" s="111"/>
      <c r="P126" s="111"/>
      <c r="Q126" s="106"/>
      <c r="R126" s="114"/>
    </row>
    <row r="127" spans="1:18" ht="15.75">
      <c r="A127" s="52"/>
      <c r="B127" s="47"/>
      <c r="C127" s="48"/>
      <c r="D127" s="73"/>
      <c r="E127" s="17"/>
      <c r="F127" s="48"/>
      <c r="G127" s="36"/>
      <c r="H127" s="36"/>
      <c r="I127" s="125"/>
      <c r="J127" s="36"/>
      <c r="K127" s="36"/>
      <c r="L127" s="8"/>
      <c r="N127" s="8"/>
      <c r="O127" s="8"/>
      <c r="P127" s="8"/>
      <c r="Q127" s="35"/>
      <c r="R127" s="37"/>
    </row>
    <row r="128" spans="1:18" ht="15.75">
      <c r="A128" s="52">
        <v>1</v>
      </c>
      <c r="B128" s="51" t="s">
        <v>667</v>
      </c>
      <c r="C128" s="48" t="s">
        <v>668</v>
      </c>
      <c r="D128" s="67" t="s">
        <v>669</v>
      </c>
      <c r="E128" s="17">
        <v>43258</v>
      </c>
      <c r="F128" s="20" t="s">
        <v>670</v>
      </c>
      <c r="G128" s="8">
        <v>141822452</v>
      </c>
      <c r="H128" s="8">
        <v>3545561</v>
      </c>
      <c r="I128" s="8">
        <v>1065565</v>
      </c>
      <c r="J128" s="8">
        <v>1081851</v>
      </c>
      <c r="K128" s="8">
        <v>185000</v>
      </c>
      <c r="L128" s="8">
        <v>381775</v>
      </c>
      <c r="M128" s="8">
        <v>200000</v>
      </c>
      <c r="N128" s="8">
        <f>SUM(G128:M128)</f>
        <v>148282204</v>
      </c>
      <c r="O128" s="8">
        <f>180000000-N128</f>
        <v>31717796</v>
      </c>
      <c r="P128" s="8">
        <f t="shared" ref="P128" si="12">+N128+O128</f>
        <v>180000000</v>
      </c>
      <c r="Q128" s="77" t="s">
        <v>96</v>
      </c>
      <c r="R128" s="66" t="s">
        <v>52</v>
      </c>
    </row>
    <row r="129" spans="1:18" ht="15.75">
      <c r="A129" s="52"/>
      <c r="B129" s="51"/>
      <c r="C129" s="48"/>
      <c r="E129" s="17"/>
      <c r="F129" s="48"/>
      <c r="G129" s="36"/>
      <c r="H129" s="36"/>
      <c r="I129" s="75"/>
      <c r="J129" s="36"/>
      <c r="K129" s="36"/>
      <c r="L129" s="36"/>
      <c r="N129" s="8"/>
      <c r="O129" s="8"/>
      <c r="P129" s="8"/>
      <c r="Q129" s="59"/>
      <c r="R129" s="66"/>
    </row>
    <row r="130" spans="1:18" ht="16.5" thickBot="1">
      <c r="A130" s="18"/>
      <c r="B130" s="55"/>
      <c r="C130" s="56"/>
      <c r="D130" s="74"/>
      <c r="E130" s="56"/>
      <c r="F130" s="57"/>
      <c r="G130" s="19">
        <f t="shared" ref="G130:P130" si="13">SUM(G128:G129)</f>
        <v>141822452</v>
      </c>
      <c r="H130" s="19">
        <f t="shared" si="13"/>
        <v>3545561</v>
      </c>
      <c r="I130" s="19">
        <f t="shared" si="13"/>
        <v>1065565</v>
      </c>
      <c r="J130" s="19">
        <f t="shared" si="13"/>
        <v>1081851</v>
      </c>
      <c r="K130" s="19">
        <f t="shared" si="13"/>
        <v>185000</v>
      </c>
      <c r="L130" s="19">
        <f t="shared" si="13"/>
        <v>381775</v>
      </c>
      <c r="M130" s="19">
        <f t="shared" si="13"/>
        <v>200000</v>
      </c>
      <c r="N130" s="19">
        <f t="shared" si="13"/>
        <v>148282204</v>
      </c>
      <c r="O130" s="19">
        <f t="shared" si="13"/>
        <v>31717796</v>
      </c>
      <c r="P130" s="19">
        <f t="shared" si="13"/>
        <v>180000000</v>
      </c>
      <c r="Q130" s="68"/>
      <c r="R130" s="70"/>
    </row>
    <row r="131" spans="1:18" ht="16.5" thickTop="1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8" ht="15.75">
      <c r="A132" s="23"/>
      <c r="B132" s="28" t="s">
        <v>666</v>
      </c>
      <c r="C132" s="22"/>
      <c r="D132" s="39"/>
      <c r="F132" s="27"/>
      <c r="G132" s="28"/>
      <c r="H132" s="28"/>
      <c r="I132" s="28"/>
      <c r="J132" s="28"/>
      <c r="K132" s="28"/>
      <c r="L132" s="28"/>
      <c r="Q132" s="51"/>
    </row>
    <row r="133" spans="1:18" ht="15.75">
      <c r="A133" s="38"/>
      <c r="B133" s="40" t="s">
        <v>32</v>
      </c>
      <c r="C133" s="28" t="s">
        <v>28</v>
      </c>
      <c r="D133" s="39"/>
      <c r="F133" s="41"/>
      <c r="G133" s="143" t="s">
        <v>26</v>
      </c>
      <c r="H133" s="143"/>
      <c r="I133" s="143"/>
      <c r="K133" s="41"/>
    </row>
    <row r="134" spans="1:18" ht="15.75">
      <c r="A134" s="38"/>
      <c r="B134" s="40"/>
      <c r="C134" s="28"/>
      <c r="D134" s="39"/>
      <c r="F134" s="28"/>
      <c r="G134" s="28"/>
      <c r="H134" s="28"/>
      <c r="I134" s="28"/>
      <c r="J134" s="28"/>
      <c r="K134" s="28"/>
      <c r="L134" s="28"/>
    </row>
    <row r="135" spans="1:18" ht="15.75">
      <c r="A135" s="38"/>
      <c r="B135" s="40"/>
      <c r="C135" s="28"/>
      <c r="D135" s="39"/>
      <c r="F135" s="28"/>
      <c r="G135" s="28"/>
      <c r="H135" s="28"/>
      <c r="I135" s="28"/>
      <c r="J135" s="28"/>
      <c r="K135" s="28"/>
      <c r="L135" s="28"/>
    </row>
    <row r="136" spans="1:18" ht="15.75">
      <c r="A136" s="38"/>
      <c r="B136" s="40"/>
      <c r="C136" s="28"/>
      <c r="D136" s="39"/>
      <c r="F136" s="28"/>
      <c r="G136" s="28"/>
      <c r="H136" s="28"/>
      <c r="I136" s="28"/>
      <c r="J136" s="28"/>
      <c r="K136" s="28"/>
    </row>
    <row r="137" spans="1:18" ht="15.75">
      <c r="A137" s="38"/>
      <c r="B137" s="40"/>
      <c r="C137" s="28"/>
      <c r="D137" s="39"/>
      <c r="F137" s="28"/>
      <c r="G137" s="28"/>
      <c r="H137" s="28"/>
      <c r="I137" s="28"/>
      <c r="J137" s="28"/>
      <c r="K137" s="28"/>
      <c r="L137" s="28"/>
    </row>
    <row r="138" spans="1:18" ht="15.75">
      <c r="A138" s="38" t="s">
        <v>23</v>
      </c>
      <c r="B138" s="42" t="s">
        <v>27</v>
      </c>
      <c r="C138" s="43" t="s">
        <v>24</v>
      </c>
      <c r="D138" s="39"/>
      <c r="F138" s="29"/>
      <c r="G138" s="29" t="s">
        <v>16</v>
      </c>
      <c r="H138" s="29"/>
      <c r="I138" s="29" t="s">
        <v>30</v>
      </c>
    </row>
    <row r="139" spans="1:18" ht="15.75">
      <c r="A139" s="38"/>
      <c r="B139" s="44" t="s">
        <v>31</v>
      </c>
      <c r="C139" s="45" t="s">
        <v>20</v>
      </c>
      <c r="D139" s="39"/>
      <c r="F139" s="46"/>
      <c r="G139" s="46" t="s">
        <v>17</v>
      </c>
      <c r="H139" s="46"/>
      <c r="I139" s="46" t="s">
        <v>25</v>
      </c>
    </row>
    <row r="141" spans="1:18" ht="15.7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</row>
    <row r="142" spans="1:18" ht="15.75">
      <c r="A142" s="26" t="s">
        <v>660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</row>
    <row r="143" spans="1:18">
      <c r="A143" s="62"/>
      <c r="B143" s="62" t="s">
        <v>1</v>
      </c>
      <c r="C143" s="93" t="s">
        <v>2</v>
      </c>
      <c r="D143" s="117" t="s">
        <v>34</v>
      </c>
      <c r="E143" s="95" t="s">
        <v>3</v>
      </c>
      <c r="F143" s="93" t="s">
        <v>4</v>
      </c>
      <c r="G143" s="96" t="s">
        <v>18</v>
      </c>
      <c r="H143" s="96" t="s">
        <v>18</v>
      </c>
      <c r="I143" s="97" t="s">
        <v>7</v>
      </c>
      <c r="J143" s="130" t="s">
        <v>6</v>
      </c>
      <c r="K143" s="130" t="s">
        <v>6</v>
      </c>
      <c r="L143" s="96" t="s">
        <v>29</v>
      </c>
      <c r="M143" s="96" t="s">
        <v>21</v>
      </c>
      <c r="N143" s="96" t="s">
        <v>8</v>
      </c>
      <c r="O143" s="96" t="s">
        <v>8</v>
      </c>
      <c r="P143" s="96" t="s">
        <v>9</v>
      </c>
      <c r="Q143" s="62" t="s">
        <v>10</v>
      </c>
      <c r="R143" s="98" t="s">
        <v>33</v>
      </c>
    </row>
    <row r="144" spans="1:18">
      <c r="A144" s="99"/>
      <c r="B144" s="99"/>
      <c r="C144" s="100"/>
      <c r="D144" s="101"/>
      <c r="E144" s="102"/>
      <c r="F144" s="100"/>
      <c r="G144" s="103" t="s">
        <v>12</v>
      </c>
      <c r="H144" s="103" t="s">
        <v>12</v>
      </c>
      <c r="I144" s="119" t="s">
        <v>19</v>
      </c>
      <c r="J144" s="131" t="s">
        <v>35</v>
      </c>
      <c r="K144" s="131" t="s">
        <v>517</v>
      </c>
      <c r="L144" s="103" t="s">
        <v>22</v>
      </c>
      <c r="M144" s="103" t="s">
        <v>15</v>
      </c>
      <c r="N144" s="103" t="s">
        <v>13</v>
      </c>
      <c r="O144" s="103" t="s">
        <v>14</v>
      </c>
      <c r="P144" s="103" t="s">
        <v>12</v>
      </c>
      <c r="Q144" s="99"/>
      <c r="R144" s="104"/>
    </row>
    <row r="145" spans="1:18">
      <c r="A145" s="99"/>
      <c r="B145" s="99"/>
      <c r="C145" s="105"/>
      <c r="D145" s="101"/>
      <c r="E145" s="102"/>
      <c r="F145" s="100"/>
      <c r="G145" s="103" t="s">
        <v>81</v>
      </c>
      <c r="H145" s="103" t="s">
        <v>22</v>
      </c>
      <c r="I145" s="119" t="s">
        <v>5</v>
      </c>
      <c r="J145" s="131"/>
      <c r="K145" s="131"/>
      <c r="L145" s="103"/>
      <c r="M145" s="103"/>
      <c r="N145" s="103"/>
      <c r="O145" s="103"/>
      <c r="P145" s="103"/>
      <c r="Q145" s="99"/>
      <c r="R145" s="104"/>
    </row>
    <row r="146" spans="1:18">
      <c r="A146" s="106"/>
      <c r="B146" s="106"/>
      <c r="C146" s="107"/>
      <c r="D146" s="108"/>
      <c r="E146" s="109"/>
      <c r="F146" s="110"/>
      <c r="G146" s="111"/>
      <c r="H146" s="112"/>
      <c r="I146" s="75"/>
      <c r="J146" s="132"/>
      <c r="K146" s="132"/>
      <c r="L146" s="113"/>
      <c r="M146" s="108"/>
      <c r="N146" s="111"/>
      <c r="O146" s="111"/>
      <c r="P146" s="111"/>
      <c r="Q146" s="106"/>
      <c r="R146" s="114"/>
    </row>
    <row r="147" spans="1:18" ht="15.75">
      <c r="A147" s="52"/>
      <c r="B147" s="47"/>
      <c r="C147" s="48"/>
      <c r="D147" s="73"/>
      <c r="E147" s="17"/>
      <c r="F147" s="48"/>
      <c r="G147" s="36"/>
      <c r="H147" s="36"/>
      <c r="I147" s="125"/>
      <c r="J147" s="36"/>
      <c r="K147" s="36"/>
      <c r="L147" s="8"/>
      <c r="N147" s="8"/>
      <c r="O147" s="8"/>
      <c r="P147" s="8"/>
      <c r="Q147" s="35"/>
      <c r="R147" s="37"/>
    </row>
    <row r="148" spans="1:18" ht="15.75">
      <c r="A148" s="52">
        <v>1</v>
      </c>
      <c r="B148" s="51" t="s">
        <v>299</v>
      </c>
      <c r="C148" s="48" t="s">
        <v>300</v>
      </c>
      <c r="D148" s="67" t="s">
        <v>671</v>
      </c>
      <c r="E148" s="17">
        <v>43258</v>
      </c>
      <c r="F148" s="20" t="s">
        <v>302</v>
      </c>
      <c r="G148" s="36">
        <v>0</v>
      </c>
      <c r="H148" s="8">
        <v>0</v>
      </c>
      <c r="I148" s="8">
        <v>0</v>
      </c>
      <c r="J148" s="8">
        <v>0</v>
      </c>
      <c r="K148" s="8">
        <v>0</v>
      </c>
      <c r="L148" s="8">
        <v>35000</v>
      </c>
      <c r="M148" s="8">
        <v>0</v>
      </c>
      <c r="N148" s="8">
        <f>SUM(G148:M148)</f>
        <v>35000</v>
      </c>
      <c r="O148" s="8">
        <f>3500000-N148</f>
        <v>3465000</v>
      </c>
      <c r="P148" s="8">
        <f t="shared" ref="P148" si="14">+N148+O148</f>
        <v>3500000</v>
      </c>
      <c r="Q148" s="77" t="s">
        <v>287</v>
      </c>
      <c r="R148" s="66" t="s">
        <v>40</v>
      </c>
    </row>
    <row r="149" spans="1:18" ht="15.75">
      <c r="A149" s="52"/>
      <c r="B149" s="138" t="s">
        <v>690</v>
      </c>
      <c r="C149" s="48"/>
      <c r="D149" s="67"/>
      <c r="E149" s="17"/>
      <c r="F149" s="20"/>
      <c r="G149" s="36"/>
      <c r="H149" s="8"/>
      <c r="I149" s="8"/>
      <c r="J149" s="8"/>
      <c r="K149" s="8"/>
      <c r="L149" s="8"/>
      <c r="M149" s="8"/>
      <c r="N149" s="8"/>
      <c r="O149" s="8"/>
      <c r="P149" s="8"/>
      <c r="Q149" s="77"/>
      <c r="R149" s="66"/>
    </row>
    <row r="150" spans="1:18" ht="15.75">
      <c r="A150" s="52">
        <v>2</v>
      </c>
      <c r="B150" s="51" t="s">
        <v>672</v>
      </c>
      <c r="C150" s="48" t="s">
        <v>673</v>
      </c>
      <c r="D150" s="67" t="s">
        <v>674</v>
      </c>
      <c r="E150" s="17">
        <v>43258</v>
      </c>
      <c r="F150" s="20" t="s">
        <v>675</v>
      </c>
      <c r="G150" s="36">
        <v>0</v>
      </c>
      <c r="H150" s="8">
        <v>0</v>
      </c>
      <c r="I150" s="8">
        <v>0</v>
      </c>
      <c r="J150" s="8">
        <v>0</v>
      </c>
      <c r="K150" s="8">
        <v>0</v>
      </c>
      <c r="L150" s="8">
        <v>50000</v>
      </c>
      <c r="M150" s="8">
        <v>0</v>
      </c>
      <c r="N150" s="8">
        <f>SUM(G150:M150)</f>
        <v>50000</v>
      </c>
      <c r="O150" s="8">
        <f>5000000-N150</f>
        <v>4950000</v>
      </c>
      <c r="P150" s="8">
        <f t="shared" ref="P150" si="15">+N150+O150</f>
        <v>5000000</v>
      </c>
      <c r="Q150" s="77" t="s">
        <v>346</v>
      </c>
      <c r="R150" s="66" t="s">
        <v>40</v>
      </c>
    </row>
    <row r="151" spans="1:18" ht="15.75">
      <c r="A151" s="52"/>
      <c r="B151" s="138" t="s">
        <v>690</v>
      </c>
      <c r="C151" s="48"/>
      <c r="D151" s="67"/>
      <c r="E151" s="17"/>
      <c r="F151" s="20"/>
      <c r="G151" s="36"/>
      <c r="H151" s="8"/>
      <c r="I151" s="8"/>
      <c r="J151" s="8"/>
      <c r="K151" s="8"/>
      <c r="L151" s="8"/>
      <c r="M151" s="8"/>
      <c r="N151" s="8"/>
      <c r="O151" s="8"/>
      <c r="P151" s="8"/>
      <c r="Q151" s="77"/>
      <c r="R151" s="66"/>
    </row>
    <row r="152" spans="1:18" ht="15.75">
      <c r="A152" s="52">
        <v>3</v>
      </c>
      <c r="B152" s="51" t="s">
        <v>676</v>
      </c>
      <c r="C152" s="48" t="s">
        <v>677</v>
      </c>
      <c r="D152" s="67" t="s">
        <v>678</v>
      </c>
      <c r="E152" s="17">
        <v>43258</v>
      </c>
      <c r="F152" s="20" t="s">
        <v>679</v>
      </c>
      <c r="G152" s="36">
        <v>0</v>
      </c>
      <c r="H152" s="8">
        <v>0</v>
      </c>
      <c r="I152" s="8">
        <v>0</v>
      </c>
      <c r="J152" s="8">
        <v>0</v>
      </c>
      <c r="K152" s="8">
        <v>0</v>
      </c>
      <c r="L152" s="8">
        <v>265000</v>
      </c>
      <c r="M152" s="8">
        <v>0</v>
      </c>
      <c r="N152" s="8">
        <f>SUM(G152:M152)</f>
        <v>265000</v>
      </c>
      <c r="O152" s="8">
        <f>26500000-N152</f>
        <v>26235000</v>
      </c>
      <c r="P152" s="8">
        <f t="shared" ref="P152" si="16">+N152+O152</f>
        <v>26500000</v>
      </c>
      <c r="Q152" s="77" t="s">
        <v>680</v>
      </c>
      <c r="R152" s="66" t="s">
        <v>40</v>
      </c>
    </row>
    <row r="153" spans="1:18" ht="15.75">
      <c r="A153" s="52"/>
      <c r="B153" s="138" t="s">
        <v>691</v>
      </c>
      <c r="C153" s="48"/>
      <c r="E153" s="17"/>
      <c r="F153" s="48"/>
      <c r="G153" s="36"/>
      <c r="H153" s="36"/>
      <c r="I153" s="75"/>
      <c r="J153" s="36"/>
      <c r="K153" s="36"/>
      <c r="L153" s="36"/>
      <c r="N153" s="8"/>
      <c r="O153" s="8"/>
      <c r="P153" s="8"/>
      <c r="Q153" s="59"/>
      <c r="R153" s="66"/>
    </row>
    <row r="154" spans="1:18" ht="16.5" thickBot="1">
      <c r="A154" s="18"/>
      <c r="B154" s="55"/>
      <c r="C154" s="56"/>
      <c r="D154" s="74"/>
      <c r="E154" s="56"/>
      <c r="F154" s="57"/>
      <c r="G154" s="19">
        <f>SUM(G148:G153)</f>
        <v>0</v>
      </c>
      <c r="H154" s="19">
        <f t="shared" ref="H154:P154" si="17">SUM(H148:H153)</f>
        <v>0</v>
      </c>
      <c r="I154" s="19">
        <f t="shared" si="17"/>
        <v>0</v>
      </c>
      <c r="J154" s="19">
        <f t="shared" si="17"/>
        <v>0</v>
      </c>
      <c r="K154" s="19">
        <f t="shared" si="17"/>
        <v>0</v>
      </c>
      <c r="L154" s="19">
        <f t="shared" si="17"/>
        <v>350000</v>
      </c>
      <c r="M154" s="19">
        <f t="shared" si="17"/>
        <v>0</v>
      </c>
      <c r="N154" s="19">
        <f t="shared" si="17"/>
        <v>350000</v>
      </c>
      <c r="O154" s="19">
        <f t="shared" si="17"/>
        <v>34650000</v>
      </c>
      <c r="P154" s="19">
        <f t="shared" si="17"/>
        <v>35000000</v>
      </c>
      <c r="Q154" s="68"/>
      <c r="R154" s="70"/>
    </row>
    <row r="155" spans="1:18" ht="16.5" thickTop="1">
      <c r="A155" s="23"/>
      <c r="B155" s="22"/>
      <c r="C155" s="22"/>
      <c r="D155" s="23"/>
      <c r="E155" s="22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2"/>
      <c r="Q155" s="69"/>
    </row>
    <row r="156" spans="1:18" ht="15.75">
      <c r="A156" s="23"/>
      <c r="B156" s="28" t="s">
        <v>666</v>
      </c>
      <c r="C156" s="22"/>
      <c r="D156" s="39"/>
      <c r="F156" s="27"/>
      <c r="G156" s="28"/>
      <c r="H156" s="28"/>
      <c r="I156" s="28"/>
      <c r="J156" s="28"/>
      <c r="K156" s="28"/>
      <c r="L156" s="28"/>
      <c r="Q156" s="51"/>
    </row>
    <row r="157" spans="1:18" ht="15.75">
      <c r="A157" s="38"/>
      <c r="B157" s="40" t="s">
        <v>32</v>
      </c>
      <c r="C157" s="28" t="s">
        <v>28</v>
      </c>
      <c r="D157" s="39"/>
      <c r="F157" s="41"/>
      <c r="G157" s="143" t="s">
        <v>26</v>
      </c>
      <c r="H157" s="143"/>
      <c r="I157" s="143"/>
      <c r="K157" s="41"/>
    </row>
    <row r="158" spans="1:18" ht="15.75">
      <c r="A158" s="38"/>
      <c r="B158" s="40"/>
      <c r="C158" s="28"/>
      <c r="D158" s="39"/>
      <c r="F158" s="28"/>
      <c r="G158" s="28"/>
      <c r="H158" s="28"/>
      <c r="I158" s="28"/>
      <c r="J158" s="28"/>
      <c r="K158" s="28"/>
      <c r="L158" s="28"/>
    </row>
    <row r="159" spans="1:18" ht="15.75">
      <c r="A159" s="38"/>
      <c r="B159" s="40"/>
      <c r="C159" s="28"/>
      <c r="D159" s="39"/>
      <c r="F159" s="28"/>
      <c r="G159" s="28"/>
      <c r="H159" s="28"/>
      <c r="I159" s="28"/>
      <c r="J159" s="28"/>
      <c r="K159" s="28"/>
      <c r="L159" s="28"/>
    </row>
    <row r="160" spans="1:18" ht="15.75">
      <c r="A160" s="38"/>
      <c r="B160" s="40"/>
      <c r="C160" s="28"/>
      <c r="D160" s="39"/>
      <c r="F160" s="28"/>
      <c r="G160" s="28"/>
      <c r="H160" s="28"/>
      <c r="I160" s="28"/>
      <c r="J160" s="28"/>
      <c r="K160" s="28"/>
    </row>
    <row r="161" spans="1:18" ht="15.75">
      <c r="A161" s="38"/>
      <c r="B161" s="40"/>
      <c r="C161" s="28"/>
      <c r="D161" s="39"/>
      <c r="F161" s="28"/>
      <c r="G161" s="28"/>
      <c r="H161" s="28"/>
      <c r="I161" s="28"/>
      <c r="J161" s="28"/>
      <c r="K161" s="28"/>
      <c r="L161" s="28"/>
    </row>
    <row r="162" spans="1:18" ht="15.75">
      <c r="A162" s="38" t="s">
        <v>23</v>
      </c>
      <c r="B162" s="42" t="s">
        <v>27</v>
      </c>
      <c r="C162" s="43" t="s">
        <v>24</v>
      </c>
      <c r="D162" s="39"/>
      <c r="F162" s="29"/>
      <c r="G162" s="29" t="s">
        <v>16</v>
      </c>
      <c r="H162" s="29"/>
      <c r="I162" s="29" t="s">
        <v>30</v>
      </c>
    </row>
    <row r="163" spans="1:18" ht="15.75">
      <c r="A163" s="38"/>
      <c r="B163" s="44" t="s">
        <v>31</v>
      </c>
      <c r="C163" s="45" t="s">
        <v>20</v>
      </c>
      <c r="D163" s="39"/>
      <c r="F163" s="46"/>
      <c r="G163" s="46" t="s">
        <v>17</v>
      </c>
      <c r="H163" s="46"/>
      <c r="I163" s="46" t="s">
        <v>25</v>
      </c>
    </row>
    <row r="165" spans="1:18" ht="15.75">
      <c r="A165" s="21" t="s">
        <v>0</v>
      </c>
      <c r="B165" s="22"/>
      <c r="C165" s="23"/>
      <c r="D165" s="23"/>
      <c r="E165" s="23"/>
      <c r="F165" s="24"/>
      <c r="G165" s="24"/>
      <c r="H165" s="24"/>
      <c r="I165" s="24"/>
      <c r="J165" s="24"/>
      <c r="K165" s="24"/>
      <c r="L165" s="25"/>
    </row>
    <row r="166" spans="1:18" ht="15.75">
      <c r="A166" s="26" t="s">
        <v>660</v>
      </c>
      <c r="B166" s="21"/>
      <c r="C166" s="21"/>
      <c r="D166" s="21"/>
      <c r="E166" s="21"/>
      <c r="F166" s="24"/>
      <c r="G166" s="24"/>
      <c r="H166" s="24"/>
      <c r="I166" s="24"/>
      <c r="J166" s="24"/>
      <c r="K166" s="24"/>
      <c r="L166" s="25"/>
    </row>
    <row r="167" spans="1:18">
      <c r="A167" s="62"/>
      <c r="B167" s="62" t="s">
        <v>1</v>
      </c>
      <c r="C167" s="93" t="s">
        <v>2</v>
      </c>
      <c r="D167" s="117" t="s">
        <v>34</v>
      </c>
      <c r="E167" s="95" t="s">
        <v>3</v>
      </c>
      <c r="F167" s="93" t="s">
        <v>4</v>
      </c>
      <c r="G167" s="96" t="s">
        <v>18</v>
      </c>
      <c r="H167" s="96" t="s">
        <v>18</v>
      </c>
      <c r="I167" s="97" t="s">
        <v>7</v>
      </c>
      <c r="J167" s="130" t="s">
        <v>6</v>
      </c>
      <c r="K167" s="130" t="s">
        <v>6</v>
      </c>
      <c r="L167" s="96" t="s">
        <v>29</v>
      </c>
      <c r="M167" s="96" t="s">
        <v>21</v>
      </c>
      <c r="N167" s="96" t="s">
        <v>8</v>
      </c>
      <c r="O167" s="96" t="s">
        <v>8</v>
      </c>
      <c r="P167" s="96" t="s">
        <v>9</v>
      </c>
      <c r="Q167" s="62" t="s">
        <v>10</v>
      </c>
      <c r="R167" s="98" t="s">
        <v>33</v>
      </c>
    </row>
    <row r="168" spans="1:18">
      <c r="A168" s="99"/>
      <c r="B168" s="99"/>
      <c r="C168" s="100"/>
      <c r="D168" s="101"/>
      <c r="E168" s="102"/>
      <c r="F168" s="100"/>
      <c r="G168" s="103" t="s">
        <v>12</v>
      </c>
      <c r="H168" s="103" t="s">
        <v>12</v>
      </c>
      <c r="I168" s="119" t="s">
        <v>19</v>
      </c>
      <c r="J168" s="131" t="s">
        <v>35</v>
      </c>
      <c r="K168" s="131" t="s">
        <v>517</v>
      </c>
      <c r="L168" s="103" t="s">
        <v>22</v>
      </c>
      <c r="M168" s="103" t="s">
        <v>15</v>
      </c>
      <c r="N168" s="103" t="s">
        <v>13</v>
      </c>
      <c r="O168" s="103" t="s">
        <v>14</v>
      </c>
      <c r="P168" s="103" t="s">
        <v>12</v>
      </c>
      <c r="Q168" s="99"/>
      <c r="R168" s="104"/>
    </row>
    <row r="169" spans="1:18">
      <c r="A169" s="99"/>
      <c r="B169" s="99"/>
      <c r="C169" s="105"/>
      <c r="D169" s="101"/>
      <c r="E169" s="102"/>
      <c r="F169" s="100"/>
      <c r="G169" s="103" t="s">
        <v>81</v>
      </c>
      <c r="H169" s="103" t="s">
        <v>22</v>
      </c>
      <c r="I169" s="119" t="s">
        <v>5</v>
      </c>
      <c r="J169" s="131"/>
      <c r="K169" s="131"/>
      <c r="L169" s="103"/>
      <c r="M169" s="103"/>
      <c r="N169" s="103"/>
      <c r="O169" s="103"/>
      <c r="P169" s="103"/>
      <c r="Q169" s="99"/>
      <c r="R169" s="104"/>
    </row>
    <row r="170" spans="1:18">
      <c r="A170" s="106"/>
      <c r="B170" s="106"/>
      <c r="C170" s="107"/>
      <c r="D170" s="108"/>
      <c r="E170" s="109"/>
      <c r="F170" s="110"/>
      <c r="G170" s="111"/>
      <c r="H170" s="112"/>
      <c r="I170" s="75"/>
      <c r="J170" s="132"/>
      <c r="K170" s="132"/>
      <c r="L170" s="113"/>
      <c r="M170" s="108"/>
      <c r="N170" s="111"/>
      <c r="O170" s="111"/>
      <c r="P170" s="111"/>
      <c r="Q170" s="106"/>
      <c r="R170" s="114"/>
    </row>
    <row r="171" spans="1:18" ht="15.75">
      <c r="A171" s="52"/>
      <c r="B171" s="47"/>
      <c r="C171" s="48"/>
      <c r="D171" s="73"/>
      <c r="E171" s="17"/>
      <c r="F171" s="48"/>
      <c r="G171" s="36"/>
      <c r="H171" s="36"/>
      <c r="I171" s="125"/>
      <c r="J171" s="36"/>
      <c r="K171" s="36"/>
      <c r="L171" s="8"/>
      <c r="N171" s="8"/>
      <c r="O171" s="8"/>
      <c r="P171" s="8"/>
      <c r="Q171" s="35"/>
      <c r="R171" s="37"/>
    </row>
    <row r="172" spans="1:18" ht="15.75">
      <c r="A172" s="52">
        <v>1</v>
      </c>
      <c r="B172" s="51" t="s">
        <v>681</v>
      </c>
      <c r="C172" s="48" t="s">
        <v>682</v>
      </c>
      <c r="D172" s="67" t="s">
        <v>683</v>
      </c>
      <c r="E172" s="17">
        <v>43258</v>
      </c>
      <c r="F172" s="20" t="s">
        <v>684</v>
      </c>
      <c r="G172" s="36">
        <v>0</v>
      </c>
      <c r="H172" s="8">
        <v>45550000</v>
      </c>
      <c r="I172" s="8">
        <v>1138750</v>
      </c>
      <c r="J172" s="8">
        <v>460955</v>
      </c>
      <c r="K172" s="8">
        <v>0</v>
      </c>
      <c r="L172" s="8">
        <v>444500</v>
      </c>
      <c r="M172" s="8">
        <v>200000</v>
      </c>
      <c r="N172" s="8">
        <f>SUM(G172:M172)</f>
        <v>47794205</v>
      </c>
      <c r="O172" s="8">
        <f>90000000-N172</f>
        <v>42205795</v>
      </c>
      <c r="P172" s="8">
        <f t="shared" ref="P172" si="18">+N172+O172</f>
        <v>90000000</v>
      </c>
      <c r="Q172" s="77" t="s">
        <v>73</v>
      </c>
      <c r="R172" s="66" t="s">
        <v>52</v>
      </c>
    </row>
    <row r="173" spans="1:18" ht="15.75">
      <c r="A173" s="52"/>
      <c r="B173" s="51"/>
      <c r="C173" s="48"/>
      <c r="E173" s="17"/>
      <c r="F173" s="48"/>
      <c r="G173" s="36"/>
      <c r="H173" s="36"/>
      <c r="I173" s="75"/>
      <c r="J173" s="36"/>
      <c r="K173" s="36"/>
      <c r="L173" s="36"/>
      <c r="N173" s="8"/>
      <c r="O173" s="8"/>
      <c r="P173" s="8"/>
      <c r="Q173" s="59"/>
      <c r="R173" s="66"/>
    </row>
    <row r="174" spans="1:18" ht="16.5" thickBot="1">
      <c r="A174" s="18"/>
      <c r="B174" s="55"/>
      <c r="C174" s="56"/>
      <c r="D174" s="74"/>
      <c r="E174" s="56"/>
      <c r="F174" s="57"/>
      <c r="G174" s="19">
        <f t="shared" ref="G174:P174" si="19">SUM(G172:G173)</f>
        <v>0</v>
      </c>
      <c r="H174" s="19">
        <f t="shared" si="19"/>
        <v>45550000</v>
      </c>
      <c r="I174" s="19">
        <f t="shared" si="19"/>
        <v>1138750</v>
      </c>
      <c r="J174" s="19">
        <f t="shared" si="19"/>
        <v>460955</v>
      </c>
      <c r="K174" s="19">
        <f t="shared" si="19"/>
        <v>0</v>
      </c>
      <c r="L174" s="19">
        <f t="shared" si="19"/>
        <v>444500</v>
      </c>
      <c r="M174" s="19">
        <f t="shared" si="19"/>
        <v>200000</v>
      </c>
      <c r="N174" s="19">
        <f t="shared" si="19"/>
        <v>47794205</v>
      </c>
      <c r="O174" s="19">
        <f t="shared" si="19"/>
        <v>42205795</v>
      </c>
      <c r="P174" s="19">
        <f t="shared" si="19"/>
        <v>90000000</v>
      </c>
      <c r="Q174" s="68"/>
      <c r="R174" s="70"/>
    </row>
    <row r="175" spans="1:18" ht="16.5" thickTop="1">
      <c r="A175" s="23"/>
      <c r="B175" s="22"/>
      <c r="C175" s="22"/>
      <c r="D175" s="23"/>
      <c r="E175" s="22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2"/>
      <c r="Q175" s="69"/>
    </row>
    <row r="176" spans="1:18" ht="15.75">
      <c r="A176" s="23"/>
      <c r="B176" s="28" t="s">
        <v>666</v>
      </c>
      <c r="C176" s="22"/>
      <c r="D176" s="39"/>
      <c r="F176" s="27"/>
      <c r="G176" s="28"/>
      <c r="H176" s="28"/>
      <c r="I176" s="28"/>
      <c r="J176" s="28"/>
      <c r="K176" s="28"/>
      <c r="L176" s="28"/>
      <c r="Q176" s="51"/>
    </row>
    <row r="177" spans="1:18" ht="15.75">
      <c r="A177" s="38"/>
      <c r="B177" s="40" t="s">
        <v>32</v>
      </c>
      <c r="C177" s="28" t="s">
        <v>28</v>
      </c>
      <c r="D177" s="39"/>
      <c r="F177" s="41"/>
      <c r="G177" s="143" t="s">
        <v>26</v>
      </c>
      <c r="H177" s="143"/>
      <c r="I177" s="143"/>
      <c r="K177" s="41"/>
    </row>
    <row r="178" spans="1:18" ht="15.75">
      <c r="A178" s="38"/>
      <c r="B178" s="40"/>
      <c r="C178" s="28"/>
      <c r="D178" s="39"/>
      <c r="F178" s="28"/>
      <c r="G178" s="28"/>
      <c r="H178" s="28"/>
      <c r="I178" s="28"/>
      <c r="J178" s="28"/>
      <c r="K178" s="28"/>
      <c r="L178" s="28"/>
    </row>
    <row r="179" spans="1:18" ht="15.75">
      <c r="A179" s="38"/>
      <c r="B179" s="40"/>
      <c r="C179" s="28"/>
      <c r="D179" s="39"/>
      <c r="F179" s="28"/>
      <c r="G179" s="28"/>
      <c r="H179" s="28"/>
      <c r="I179" s="28"/>
      <c r="J179" s="28"/>
      <c r="K179" s="28"/>
      <c r="L179" s="28"/>
    </row>
    <row r="180" spans="1:18" ht="15.75">
      <c r="A180" s="38"/>
      <c r="B180" s="40"/>
      <c r="C180" s="28"/>
      <c r="D180" s="39"/>
      <c r="F180" s="28"/>
      <c r="G180" s="28"/>
      <c r="H180" s="28"/>
      <c r="I180" s="28"/>
      <c r="J180" s="28"/>
      <c r="K180" s="28"/>
    </row>
    <row r="181" spans="1:18" ht="15.75">
      <c r="A181" s="38"/>
      <c r="B181" s="40"/>
      <c r="C181" s="28"/>
      <c r="D181" s="39"/>
      <c r="F181" s="28"/>
      <c r="G181" s="28"/>
      <c r="H181" s="28"/>
      <c r="I181" s="28"/>
      <c r="J181" s="28"/>
      <c r="K181" s="28"/>
      <c r="L181" s="28"/>
    </row>
    <row r="182" spans="1:18" ht="15.75">
      <c r="A182" s="38" t="s">
        <v>23</v>
      </c>
      <c r="B182" s="42" t="s">
        <v>27</v>
      </c>
      <c r="C182" s="43" t="s">
        <v>24</v>
      </c>
      <c r="D182" s="39"/>
      <c r="F182" s="29"/>
      <c r="G182" s="29" t="s">
        <v>16</v>
      </c>
      <c r="H182" s="29"/>
      <c r="I182" s="29" t="s">
        <v>30</v>
      </c>
    </row>
    <row r="183" spans="1:18" ht="15.75">
      <c r="A183" s="38"/>
      <c r="B183" s="44" t="s">
        <v>31</v>
      </c>
      <c r="C183" s="45" t="s">
        <v>20</v>
      </c>
      <c r="D183" s="39"/>
      <c r="F183" s="46"/>
      <c r="G183" s="46" t="s">
        <v>17</v>
      </c>
      <c r="H183" s="46"/>
      <c r="I183" s="46" t="s">
        <v>25</v>
      </c>
    </row>
    <row r="185" spans="1:18" ht="15.75">
      <c r="A185" s="21" t="s">
        <v>0</v>
      </c>
      <c r="B185" s="22"/>
      <c r="C185" s="23"/>
      <c r="D185" s="23"/>
      <c r="E185" s="23"/>
      <c r="F185" s="24"/>
      <c r="G185" s="24"/>
      <c r="H185" s="24"/>
      <c r="I185" s="24"/>
      <c r="J185" s="24"/>
      <c r="K185" s="24"/>
      <c r="L185" s="25"/>
    </row>
    <row r="186" spans="1:18" ht="15.75">
      <c r="A186" s="26" t="s">
        <v>660</v>
      </c>
      <c r="B186" s="21"/>
      <c r="C186" s="21"/>
      <c r="D186" s="21"/>
      <c r="E186" s="21"/>
      <c r="F186" s="24"/>
      <c r="G186" s="24"/>
      <c r="H186" s="24"/>
      <c r="I186" s="24"/>
      <c r="J186" s="24"/>
      <c r="K186" s="24"/>
      <c r="L186" s="25"/>
    </row>
    <row r="187" spans="1:18">
      <c r="A187" s="62"/>
      <c r="B187" s="62" t="s">
        <v>1</v>
      </c>
      <c r="C187" s="93" t="s">
        <v>2</v>
      </c>
      <c r="D187" s="117" t="s">
        <v>34</v>
      </c>
      <c r="E187" s="95" t="s">
        <v>3</v>
      </c>
      <c r="F187" s="93" t="s">
        <v>4</v>
      </c>
      <c r="G187" s="96" t="s">
        <v>18</v>
      </c>
      <c r="H187" s="96" t="s">
        <v>18</v>
      </c>
      <c r="I187" s="97" t="s">
        <v>7</v>
      </c>
      <c r="J187" s="130" t="s">
        <v>6</v>
      </c>
      <c r="K187" s="130" t="s">
        <v>6</v>
      </c>
      <c r="L187" s="96" t="s">
        <v>29</v>
      </c>
      <c r="M187" s="96" t="s">
        <v>21</v>
      </c>
      <c r="N187" s="96" t="s">
        <v>8</v>
      </c>
      <c r="O187" s="96" t="s">
        <v>8</v>
      </c>
      <c r="P187" s="96" t="s">
        <v>9</v>
      </c>
      <c r="Q187" s="62" t="s">
        <v>10</v>
      </c>
      <c r="R187" s="98" t="s">
        <v>33</v>
      </c>
    </row>
    <row r="188" spans="1:18">
      <c r="A188" s="99"/>
      <c r="B188" s="99"/>
      <c r="C188" s="100"/>
      <c r="D188" s="101"/>
      <c r="E188" s="102"/>
      <c r="F188" s="100"/>
      <c r="G188" s="103" t="s">
        <v>12</v>
      </c>
      <c r="H188" s="103" t="s">
        <v>12</v>
      </c>
      <c r="I188" s="119" t="s">
        <v>19</v>
      </c>
      <c r="J188" s="131" t="s">
        <v>35</v>
      </c>
      <c r="K188" s="131" t="s">
        <v>517</v>
      </c>
      <c r="L188" s="103" t="s">
        <v>22</v>
      </c>
      <c r="M188" s="103" t="s">
        <v>15</v>
      </c>
      <c r="N188" s="103" t="s">
        <v>13</v>
      </c>
      <c r="O188" s="103" t="s">
        <v>14</v>
      </c>
      <c r="P188" s="103" t="s">
        <v>12</v>
      </c>
      <c r="Q188" s="99"/>
      <c r="R188" s="104"/>
    </row>
    <row r="189" spans="1:18">
      <c r="A189" s="99"/>
      <c r="B189" s="99"/>
      <c r="C189" s="105"/>
      <c r="D189" s="101"/>
      <c r="E189" s="102"/>
      <c r="F189" s="100"/>
      <c r="G189" s="103" t="s">
        <v>81</v>
      </c>
      <c r="H189" s="103" t="s">
        <v>22</v>
      </c>
      <c r="I189" s="119" t="s">
        <v>5</v>
      </c>
      <c r="J189" s="131"/>
      <c r="K189" s="131"/>
      <c r="L189" s="103"/>
      <c r="M189" s="103"/>
      <c r="N189" s="103"/>
      <c r="O189" s="103"/>
      <c r="P189" s="103"/>
      <c r="Q189" s="99"/>
      <c r="R189" s="104"/>
    </row>
    <row r="190" spans="1:18">
      <c r="A190" s="106"/>
      <c r="B190" s="106"/>
      <c r="C190" s="107"/>
      <c r="D190" s="108"/>
      <c r="E190" s="109"/>
      <c r="F190" s="110"/>
      <c r="G190" s="111"/>
      <c r="H190" s="112"/>
      <c r="I190" s="75"/>
      <c r="J190" s="132"/>
      <c r="K190" s="132"/>
      <c r="L190" s="113"/>
      <c r="M190" s="108"/>
      <c r="N190" s="111"/>
      <c r="O190" s="111"/>
      <c r="P190" s="111"/>
      <c r="Q190" s="106"/>
      <c r="R190" s="114"/>
    </row>
    <row r="191" spans="1:18" ht="15.75">
      <c r="A191" s="52"/>
      <c r="B191" s="47"/>
      <c r="C191" s="48"/>
      <c r="D191" s="73"/>
      <c r="E191" s="17"/>
      <c r="F191" s="48"/>
      <c r="G191" s="36"/>
      <c r="H191" s="36"/>
      <c r="I191" s="125"/>
      <c r="J191" s="36"/>
      <c r="K191" s="36"/>
      <c r="L191" s="8"/>
      <c r="N191" s="8"/>
      <c r="O191" s="8"/>
      <c r="P191" s="8"/>
      <c r="Q191" s="35"/>
      <c r="R191" s="37"/>
    </row>
    <row r="192" spans="1:18" ht="15.75">
      <c r="A192" s="52">
        <v>1</v>
      </c>
      <c r="B192" s="51" t="s">
        <v>685</v>
      </c>
      <c r="C192" s="48" t="s">
        <v>686</v>
      </c>
      <c r="D192" s="67" t="s">
        <v>687</v>
      </c>
      <c r="E192" s="17">
        <v>43258</v>
      </c>
      <c r="F192" s="20" t="s">
        <v>688</v>
      </c>
      <c r="G192" s="36">
        <v>0</v>
      </c>
      <c r="H192" s="8">
        <v>63326000</v>
      </c>
      <c r="I192" s="8">
        <v>1583150</v>
      </c>
      <c r="J192" s="8">
        <v>550968</v>
      </c>
      <c r="K192" s="8">
        <v>0</v>
      </c>
      <c r="L192" s="8">
        <v>166740</v>
      </c>
      <c r="M192" s="8">
        <v>200000</v>
      </c>
      <c r="N192" s="8">
        <f>SUM(G192:M192)</f>
        <v>65826858</v>
      </c>
      <c r="O192" s="8">
        <f>80000000-N192</f>
        <v>14173142</v>
      </c>
      <c r="P192" s="8">
        <f t="shared" ref="P192" si="20">+N192+O192</f>
        <v>80000000</v>
      </c>
      <c r="Q192" s="77" t="s">
        <v>689</v>
      </c>
      <c r="R192" s="66" t="s">
        <v>52</v>
      </c>
    </row>
    <row r="193" spans="1:18" ht="15.75">
      <c r="A193" s="52"/>
      <c r="B193" s="51"/>
      <c r="C193" s="48"/>
      <c r="E193" s="17"/>
      <c r="F193" s="48"/>
      <c r="G193" s="36"/>
      <c r="H193" s="36"/>
      <c r="I193" s="75"/>
      <c r="J193" s="36"/>
      <c r="K193" s="36"/>
      <c r="L193" s="36"/>
      <c r="N193" s="8"/>
      <c r="O193" s="8"/>
      <c r="P193" s="8"/>
      <c r="Q193" s="59"/>
      <c r="R193" s="66"/>
    </row>
    <row r="194" spans="1:18" ht="16.5" thickBot="1">
      <c r="A194" s="18"/>
      <c r="B194" s="55"/>
      <c r="C194" s="56"/>
      <c r="D194" s="74"/>
      <c r="E194" s="56"/>
      <c r="F194" s="57"/>
      <c r="G194" s="19">
        <f t="shared" ref="G194:P194" si="21">SUM(G192:G193)</f>
        <v>0</v>
      </c>
      <c r="H194" s="19">
        <f t="shared" si="21"/>
        <v>63326000</v>
      </c>
      <c r="I194" s="19">
        <f t="shared" si="21"/>
        <v>1583150</v>
      </c>
      <c r="J194" s="19">
        <f t="shared" si="21"/>
        <v>550968</v>
      </c>
      <c r="K194" s="19">
        <f t="shared" si="21"/>
        <v>0</v>
      </c>
      <c r="L194" s="19">
        <f t="shared" si="21"/>
        <v>166740</v>
      </c>
      <c r="M194" s="19">
        <f t="shared" si="21"/>
        <v>200000</v>
      </c>
      <c r="N194" s="19">
        <f t="shared" si="21"/>
        <v>65826858</v>
      </c>
      <c r="O194" s="19">
        <f t="shared" si="21"/>
        <v>14173142</v>
      </c>
      <c r="P194" s="19">
        <f t="shared" si="21"/>
        <v>80000000</v>
      </c>
      <c r="Q194" s="68"/>
      <c r="R194" s="70"/>
    </row>
    <row r="195" spans="1:18" ht="16.5" thickTop="1">
      <c r="A195" s="23"/>
      <c r="B195" s="22"/>
      <c r="C195" s="22"/>
      <c r="D195" s="23"/>
      <c r="E195" s="22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2"/>
      <c r="Q195" s="69"/>
    </row>
    <row r="196" spans="1:18" ht="15.75">
      <c r="A196" s="23"/>
      <c r="B196" s="28" t="s">
        <v>666</v>
      </c>
      <c r="C196" s="22"/>
      <c r="D196" s="39"/>
      <c r="F196" s="27"/>
      <c r="G196" s="28"/>
      <c r="H196" s="28"/>
      <c r="I196" s="28"/>
      <c r="J196" s="28"/>
      <c r="K196" s="28"/>
      <c r="L196" s="28"/>
      <c r="Q196" s="51"/>
    </row>
    <row r="197" spans="1:18" ht="15.75">
      <c r="A197" s="38"/>
      <c r="B197" s="40" t="s">
        <v>32</v>
      </c>
      <c r="C197" s="28" t="s">
        <v>28</v>
      </c>
      <c r="D197" s="39"/>
      <c r="F197" s="41"/>
      <c r="G197" s="143" t="s">
        <v>26</v>
      </c>
      <c r="H197" s="143"/>
      <c r="I197" s="143"/>
      <c r="K197" s="41"/>
    </row>
    <row r="198" spans="1:18" ht="15.75">
      <c r="A198" s="38"/>
      <c r="B198" s="40"/>
      <c r="C198" s="28"/>
      <c r="D198" s="39"/>
      <c r="F198" s="28"/>
      <c r="G198" s="28"/>
      <c r="H198" s="28"/>
      <c r="I198" s="28"/>
      <c r="J198" s="28"/>
      <c r="K198" s="28"/>
      <c r="L198" s="28"/>
    </row>
    <row r="199" spans="1:18" ht="15.75">
      <c r="A199" s="38"/>
      <c r="B199" s="40"/>
      <c r="C199" s="28"/>
      <c r="D199" s="39"/>
      <c r="F199" s="28"/>
      <c r="G199" s="28"/>
      <c r="H199" s="28"/>
      <c r="I199" s="28"/>
      <c r="J199" s="28"/>
      <c r="K199" s="28"/>
      <c r="L199" s="28"/>
    </row>
    <row r="200" spans="1:18" ht="15.75">
      <c r="A200" s="38"/>
      <c r="B200" s="40"/>
      <c r="C200" s="28"/>
      <c r="D200" s="39"/>
      <c r="F200" s="28"/>
      <c r="G200" s="28"/>
      <c r="H200" s="28"/>
      <c r="I200" s="28"/>
      <c r="J200" s="28"/>
      <c r="K200" s="28"/>
    </row>
    <row r="201" spans="1:18" ht="15.75">
      <c r="A201" s="38"/>
      <c r="B201" s="40"/>
      <c r="C201" s="28"/>
      <c r="D201" s="39"/>
      <c r="F201" s="28"/>
      <c r="G201" s="28"/>
      <c r="H201" s="28"/>
      <c r="I201" s="28"/>
      <c r="J201" s="28"/>
      <c r="K201" s="28"/>
      <c r="L201" s="28"/>
    </row>
    <row r="202" spans="1:18" ht="15.75">
      <c r="A202" s="38" t="s">
        <v>23</v>
      </c>
      <c r="B202" s="42" t="s">
        <v>27</v>
      </c>
      <c r="C202" s="43" t="s">
        <v>24</v>
      </c>
      <c r="D202" s="39"/>
      <c r="F202" s="29"/>
      <c r="G202" s="29" t="s">
        <v>16</v>
      </c>
      <c r="H202" s="29"/>
      <c r="I202" s="29" t="s">
        <v>30</v>
      </c>
    </row>
    <row r="203" spans="1:18" ht="15.75">
      <c r="A203" s="38"/>
      <c r="B203" s="44" t="s">
        <v>31</v>
      </c>
      <c r="C203" s="45" t="s">
        <v>20</v>
      </c>
      <c r="D203" s="39"/>
      <c r="F203" s="46"/>
      <c r="G203" s="46" t="s">
        <v>17</v>
      </c>
      <c r="H203" s="46"/>
      <c r="I203" s="46" t="s">
        <v>25</v>
      </c>
    </row>
    <row r="204" spans="1:18">
      <c r="A204" s="133"/>
    </row>
    <row r="205" spans="1:18" ht="15.75">
      <c r="A205" s="21" t="s">
        <v>0</v>
      </c>
      <c r="B205" s="22"/>
      <c r="C205" s="23"/>
      <c r="D205" s="23"/>
      <c r="E205" s="23"/>
      <c r="F205" s="24"/>
      <c r="G205" s="24"/>
      <c r="H205" s="24"/>
      <c r="I205" s="24"/>
      <c r="J205" s="24"/>
      <c r="K205" s="24"/>
      <c r="L205" s="25"/>
    </row>
    <row r="206" spans="1:18" ht="15.75">
      <c r="A206" s="26" t="s">
        <v>693</v>
      </c>
      <c r="B206" s="21"/>
      <c r="C206" s="21"/>
      <c r="D206" s="21"/>
      <c r="E206" s="21"/>
      <c r="F206" s="24"/>
      <c r="G206" s="24"/>
      <c r="H206" s="24"/>
      <c r="I206" s="24"/>
      <c r="J206" s="24"/>
      <c r="K206" s="24"/>
      <c r="L206" s="25"/>
    </row>
    <row r="207" spans="1:18">
      <c r="A207" s="62"/>
      <c r="B207" s="62" t="s">
        <v>1</v>
      </c>
      <c r="C207" s="93" t="s">
        <v>2</v>
      </c>
      <c r="D207" s="117" t="s">
        <v>34</v>
      </c>
      <c r="E207" s="95" t="s">
        <v>3</v>
      </c>
      <c r="F207" s="93" t="s">
        <v>4</v>
      </c>
      <c r="G207" s="96" t="s">
        <v>18</v>
      </c>
      <c r="H207" s="96" t="s">
        <v>18</v>
      </c>
      <c r="I207" s="97" t="s">
        <v>7</v>
      </c>
      <c r="J207" s="130" t="s">
        <v>6</v>
      </c>
      <c r="K207" s="130" t="s">
        <v>6</v>
      </c>
      <c r="L207" s="96" t="s">
        <v>29</v>
      </c>
      <c r="M207" s="96" t="s">
        <v>21</v>
      </c>
      <c r="N207" s="96" t="s">
        <v>8</v>
      </c>
      <c r="O207" s="96" t="s">
        <v>8</v>
      </c>
      <c r="P207" s="96" t="s">
        <v>9</v>
      </c>
      <c r="Q207" s="62" t="s">
        <v>10</v>
      </c>
      <c r="R207" s="98" t="s">
        <v>33</v>
      </c>
    </row>
    <row r="208" spans="1:18">
      <c r="A208" s="99"/>
      <c r="B208" s="99"/>
      <c r="C208" s="100"/>
      <c r="D208" s="101"/>
      <c r="E208" s="102"/>
      <c r="F208" s="100"/>
      <c r="G208" s="103" t="s">
        <v>12</v>
      </c>
      <c r="H208" s="103" t="s">
        <v>12</v>
      </c>
      <c r="I208" s="119" t="s">
        <v>19</v>
      </c>
      <c r="J208" s="131" t="s">
        <v>35</v>
      </c>
      <c r="K208" s="131" t="s">
        <v>517</v>
      </c>
      <c r="L208" s="103" t="s">
        <v>22</v>
      </c>
      <c r="M208" s="103" t="s">
        <v>15</v>
      </c>
      <c r="N208" s="103" t="s">
        <v>13</v>
      </c>
      <c r="O208" s="103" t="s">
        <v>14</v>
      </c>
      <c r="P208" s="103" t="s">
        <v>12</v>
      </c>
      <c r="Q208" s="99"/>
      <c r="R208" s="104"/>
    </row>
    <row r="209" spans="1:18">
      <c r="A209" s="99"/>
      <c r="B209" s="99"/>
      <c r="C209" s="105"/>
      <c r="D209" s="101"/>
      <c r="E209" s="102"/>
      <c r="F209" s="100"/>
      <c r="G209" s="103" t="s">
        <v>81</v>
      </c>
      <c r="H209" s="103" t="s">
        <v>90</v>
      </c>
      <c r="I209" s="119" t="s">
        <v>5</v>
      </c>
      <c r="J209" s="131"/>
      <c r="K209" s="131"/>
      <c r="L209" s="103"/>
      <c r="M209" s="103"/>
      <c r="N209" s="103"/>
      <c r="O209" s="103"/>
      <c r="P209" s="103"/>
      <c r="Q209" s="99"/>
      <c r="R209" s="104"/>
    </row>
    <row r="210" spans="1:18">
      <c r="A210" s="106"/>
      <c r="B210" s="106"/>
      <c r="C210" s="107"/>
      <c r="D210" s="108"/>
      <c r="E210" s="109"/>
      <c r="F210" s="110"/>
      <c r="G210" s="111"/>
      <c r="H210" s="112"/>
      <c r="I210" s="75"/>
      <c r="J210" s="132"/>
      <c r="K210" s="132"/>
      <c r="L210" s="113"/>
      <c r="M210" s="108"/>
      <c r="N210" s="111"/>
      <c r="O210" s="111"/>
      <c r="P210" s="111"/>
      <c r="Q210" s="106"/>
      <c r="R210" s="114"/>
    </row>
    <row r="211" spans="1:18" ht="15.75">
      <c r="A211" s="52"/>
      <c r="B211" s="47"/>
      <c r="C211" s="48"/>
      <c r="D211" s="73"/>
      <c r="E211" s="17"/>
      <c r="F211" s="48"/>
      <c r="G211" s="36"/>
      <c r="H211" s="36"/>
      <c r="I211" s="125"/>
      <c r="J211" s="36"/>
      <c r="K211" s="36"/>
      <c r="L211" s="8"/>
      <c r="N211" s="8"/>
      <c r="O211" s="8"/>
      <c r="P211" s="8"/>
      <c r="Q211" s="35"/>
      <c r="R211" s="37"/>
    </row>
    <row r="212" spans="1:18" ht="15.75">
      <c r="A212" s="52">
        <v>1</v>
      </c>
      <c r="B212" s="51" t="s">
        <v>694</v>
      </c>
      <c r="C212" s="48" t="s">
        <v>695</v>
      </c>
      <c r="D212" s="67" t="s">
        <v>696</v>
      </c>
      <c r="E212" s="17">
        <v>43259</v>
      </c>
      <c r="F212" s="20" t="s">
        <v>697</v>
      </c>
      <c r="G212" s="36"/>
      <c r="H212" s="8">
        <v>24162000</v>
      </c>
      <c r="I212" s="8">
        <v>604050</v>
      </c>
      <c r="J212" s="8">
        <v>177290</v>
      </c>
      <c r="K212" s="8">
        <v>0</v>
      </c>
      <c r="L212" s="8">
        <v>400000</v>
      </c>
      <c r="M212" s="8">
        <v>200000</v>
      </c>
      <c r="N212" s="8">
        <f>SUM(G212:M212)</f>
        <v>25543340</v>
      </c>
      <c r="O212" s="8">
        <f>70000000-N212</f>
        <v>44456660</v>
      </c>
      <c r="P212" s="8">
        <f t="shared" ref="P212" si="22">+N212+O212</f>
        <v>70000000</v>
      </c>
      <c r="Q212" s="77" t="s">
        <v>698</v>
      </c>
      <c r="R212" s="66" t="s">
        <v>52</v>
      </c>
    </row>
    <row r="213" spans="1:18" ht="15.75">
      <c r="A213" s="52"/>
      <c r="B213" s="51"/>
      <c r="C213" s="48"/>
      <c r="E213" s="17"/>
      <c r="F213" s="48">
        <v>3301000063</v>
      </c>
      <c r="G213" s="36"/>
      <c r="H213" s="36"/>
      <c r="I213" s="75"/>
      <c r="J213" s="36"/>
      <c r="K213" s="36"/>
      <c r="L213" s="36"/>
      <c r="N213" s="8"/>
      <c r="O213" s="8"/>
      <c r="P213" s="8"/>
      <c r="Q213" s="59"/>
      <c r="R213" s="66"/>
    </row>
    <row r="214" spans="1:18" ht="16.5" thickBot="1">
      <c r="A214" s="18"/>
      <c r="B214" s="55"/>
      <c r="C214" s="56"/>
      <c r="D214" s="74"/>
      <c r="E214" s="56"/>
      <c r="F214" s="57"/>
      <c r="G214" s="19">
        <f t="shared" ref="G214" si="23">SUM(G212:G213)</f>
        <v>0</v>
      </c>
      <c r="H214" s="19">
        <f t="shared" ref="H214" si="24">SUM(H212:H213)</f>
        <v>24162000</v>
      </c>
      <c r="I214" s="19">
        <f t="shared" ref="I214" si="25">SUM(I212:I213)</f>
        <v>604050</v>
      </c>
      <c r="J214" s="19">
        <f t="shared" ref="J214" si="26">SUM(J212:J213)</f>
        <v>177290</v>
      </c>
      <c r="K214" s="19">
        <f t="shared" ref="K214" si="27">SUM(K212:K213)</f>
        <v>0</v>
      </c>
      <c r="L214" s="19">
        <f t="shared" ref="L214" si="28">SUM(L212:L213)</f>
        <v>400000</v>
      </c>
      <c r="M214" s="19">
        <f t="shared" ref="M214" si="29">SUM(M212:M213)</f>
        <v>200000</v>
      </c>
      <c r="N214" s="19">
        <f t="shared" ref="N214" si="30">SUM(N212:N213)</f>
        <v>25543340</v>
      </c>
      <c r="O214" s="19">
        <f t="shared" ref="O214" si="31">SUM(O212:O213)</f>
        <v>44456660</v>
      </c>
      <c r="P214" s="19">
        <f t="shared" ref="P214" si="32">SUM(P212:P213)</f>
        <v>70000000</v>
      </c>
      <c r="Q214" s="68"/>
      <c r="R214" s="70"/>
    </row>
    <row r="215" spans="1:18" ht="16.5" thickTop="1">
      <c r="A215" s="23"/>
      <c r="B215" s="22"/>
      <c r="C215" s="22"/>
      <c r="D215" s="23"/>
      <c r="E215" s="22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2"/>
      <c r="Q215" s="69"/>
    </row>
    <row r="216" spans="1:18" ht="15.75">
      <c r="A216" s="23"/>
      <c r="B216" s="28" t="s">
        <v>699</v>
      </c>
      <c r="C216" s="22"/>
      <c r="D216" s="39"/>
      <c r="F216" s="27"/>
      <c r="G216" s="28"/>
      <c r="H216" s="28"/>
      <c r="I216" s="28"/>
      <c r="J216" s="28"/>
      <c r="K216" s="28"/>
      <c r="L216" s="28"/>
      <c r="Q216" s="51"/>
    </row>
    <row r="217" spans="1:18" ht="15.75">
      <c r="A217" s="38"/>
      <c r="B217" s="40" t="s">
        <v>32</v>
      </c>
      <c r="C217" s="28" t="s">
        <v>28</v>
      </c>
      <c r="D217" s="39"/>
      <c r="F217" s="41"/>
      <c r="G217" s="143" t="s">
        <v>26</v>
      </c>
      <c r="H217" s="143"/>
      <c r="I217" s="143"/>
      <c r="K217" s="41"/>
    </row>
    <row r="218" spans="1:18" ht="15.75">
      <c r="A218" s="38"/>
      <c r="B218" s="40"/>
      <c r="C218" s="28"/>
      <c r="D218" s="39"/>
      <c r="F218" s="28"/>
      <c r="G218" s="28"/>
      <c r="H218" s="28"/>
      <c r="I218" s="28"/>
      <c r="J218" s="28"/>
      <c r="K218" s="28"/>
      <c r="L218" s="28"/>
    </row>
    <row r="219" spans="1:18" ht="15.75">
      <c r="A219" s="38"/>
      <c r="B219" s="40"/>
      <c r="C219" s="28"/>
      <c r="D219" s="39"/>
      <c r="F219" s="28"/>
      <c r="G219" s="28"/>
      <c r="H219" s="28"/>
      <c r="I219" s="28"/>
      <c r="J219" s="28"/>
      <c r="K219" s="28"/>
      <c r="L219" s="28"/>
    </row>
    <row r="220" spans="1:18" ht="15.75">
      <c r="A220" s="38"/>
      <c r="B220" s="40"/>
      <c r="C220" s="28"/>
      <c r="D220" s="39"/>
      <c r="F220" s="28"/>
      <c r="G220" s="28"/>
      <c r="H220" s="28"/>
      <c r="I220" s="28"/>
      <c r="J220" s="28"/>
      <c r="K220" s="28"/>
    </row>
    <row r="221" spans="1:18" ht="15.75">
      <c r="A221" s="38"/>
      <c r="B221" s="40"/>
      <c r="C221" s="28"/>
      <c r="D221" s="39"/>
      <c r="F221" s="28"/>
      <c r="G221" s="28"/>
      <c r="H221" s="28"/>
      <c r="I221" s="28"/>
      <c r="J221" s="28"/>
      <c r="K221" s="28"/>
      <c r="L221" s="28"/>
    </row>
    <row r="222" spans="1:18" ht="15.75">
      <c r="A222" s="38" t="s">
        <v>23</v>
      </c>
      <c r="B222" s="42" t="s">
        <v>27</v>
      </c>
      <c r="C222" s="43" t="s">
        <v>24</v>
      </c>
      <c r="D222" s="39"/>
      <c r="F222" s="29"/>
      <c r="G222" s="29" t="s">
        <v>16</v>
      </c>
      <c r="H222" s="29"/>
      <c r="I222" s="29" t="s">
        <v>30</v>
      </c>
    </row>
    <row r="223" spans="1:18" ht="15.75">
      <c r="A223" s="38"/>
      <c r="B223" s="44" t="s">
        <v>31</v>
      </c>
      <c r="C223" s="45" t="s">
        <v>20</v>
      </c>
      <c r="D223" s="39"/>
      <c r="F223" s="46"/>
      <c r="G223" s="46" t="s">
        <v>17</v>
      </c>
      <c r="H223" s="46"/>
      <c r="I223" s="46" t="s">
        <v>25</v>
      </c>
    </row>
    <row r="225" spans="1:18" ht="15.75">
      <c r="A225" s="21" t="s">
        <v>0</v>
      </c>
      <c r="B225" s="22"/>
      <c r="C225" s="23"/>
      <c r="D225" s="23"/>
      <c r="E225" s="23"/>
      <c r="F225" s="24"/>
      <c r="G225" s="24"/>
      <c r="H225" s="24"/>
      <c r="I225" s="24"/>
      <c r="J225" s="24"/>
      <c r="K225" s="24"/>
      <c r="L225" s="25"/>
    </row>
    <row r="226" spans="1:18" ht="15.75">
      <c r="A226" s="26" t="s">
        <v>693</v>
      </c>
      <c r="B226" s="21"/>
      <c r="C226" s="21"/>
      <c r="D226" s="21"/>
      <c r="E226" s="21"/>
      <c r="F226" s="24"/>
      <c r="G226" s="24"/>
      <c r="H226" s="24"/>
      <c r="I226" s="24"/>
      <c r="J226" s="24"/>
      <c r="K226" s="24"/>
      <c r="L226" s="25"/>
    </row>
    <row r="227" spans="1:18">
      <c r="A227" s="62"/>
      <c r="B227" s="62" t="s">
        <v>1</v>
      </c>
      <c r="C227" s="93" t="s">
        <v>2</v>
      </c>
      <c r="D227" s="117" t="s">
        <v>34</v>
      </c>
      <c r="E227" s="95" t="s">
        <v>3</v>
      </c>
      <c r="F227" s="93" t="s">
        <v>4</v>
      </c>
      <c r="G227" s="96" t="s">
        <v>18</v>
      </c>
      <c r="H227" s="96" t="s">
        <v>18</v>
      </c>
      <c r="I227" s="97" t="s">
        <v>7</v>
      </c>
      <c r="J227" s="130" t="s">
        <v>6</v>
      </c>
      <c r="K227" s="130" t="s">
        <v>6</v>
      </c>
      <c r="L227" s="96" t="s">
        <v>29</v>
      </c>
      <c r="M227" s="96" t="s">
        <v>21</v>
      </c>
      <c r="N227" s="96" t="s">
        <v>8</v>
      </c>
      <c r="O227" s="96" t="s">
        <v>8</v>
      </c>
      <c r="P227" s="96" t="s">
        <v>9</v>
      </c>
      <c r="Q227" s="62" t="s">
        <v>10</v>
      </c>
      <c r="R227" s="98" t="s">
        <v>33</v>
      </c>
    </row>
    <row r="228" spans="1:18">
      <c r="A228" s="99"/>
      <c r="B228" s="99"/>
      <c r="C228" s="100"/>
      <c r="D228" s="101"/>
      <c r="E228" s="102"/>
      <c r="F228" s="100"/>
      <c r="G228" s="103" t="s">
        <v>12</v>
      </c>
      <c r="H228" s="103" t="s">
        <v>12</v>
      </c>
      <c r="I228" s="119" t="s">
        <v>19</v>
      </c>
      <c r="J228" s="131" t="s">
        <v>35</v>
      </c>
      <c r="K228" s="131" t="s">
        <v>517</v>
      </c>
      <c r="L228" s="103" t="s">
        <v>22</v>
      </c>
      <c r="M228" s="103" t="s">
        <v>15</v>
      </c>
      <c r="N228" s="103" t="s">
        <v>13</v>
      </c>
      <c r="O228" s="103" t="s">
        <v>14</v>
      </c>
      <c r="P228" s="103" t="s">
        <v>12</v>
      </c>
      <c r="Q228" s="99"/>
      <c r="R228" s="104"/>
    </row>
    <row r="229" spans="1:18">
      <c r="A229" s="99"/>
      <c r="B229" s="99"/>
      <c r="C229" s="105"/>
      <c r="D229" s="101"/>
      <c r="E229" s="102"/>
      <c r="F229" s="100"/>
      <c r="G229" s="103" t="s">
        <v>81</v>
      </c>
      <c r="H229" s="103" t="s">
        <v>22</v>
      </c>
      <c r="I229" s="119" t="s">
        <v>5</v>
      </c>
      <c r="J229" s="131"/>
      <c r="K229" s="131"/>
      <c r="L229" s="103"/>
      <c r="M229" s="103"/>
      <c r="N229" s="103"/>
      <c r="O229" s="103"/>
      <c r="P229" s="103"/>
      <c r="Q229" s="99"/>
      <c r="R229" s="104"/>
    </row>
    <row r="230" spans="1:18">
      <c r="A230" s="106"/>
      <c r="B230" s="106"/>
      <c r="C230" s="107"/>
      <c r="D230" s="108"/>
      <c r="E230" s="109"/>
      <c r="F230" s="110"/>
      <c r="G230" s="111"/>
      <c r="H230" s="112"/>
      <c r="I230" s="75"/>
      <c r="J230" s="132"/>
      <c r="K230" s="132"/>
      <c r="L230" s="113"/>
      <c r="M230" s="108"/>
      <c r="N230" s="111"/>
      <c r="O230" s="111"/>
      <c r="P230" s="111"/>
      <c r="Q230" s="106"/>
      <c r="R230" s="114"/>
    </row>
    <row r="231" spans="1:18" ht="15.75">
      <c r="A231" s="52"/>
      <c r="B231" s="47"/>
      <c r="C231" s="48"/>
      <c r="D231" s="73"/>
      <c r="E231" s="17"/>
      <c r="F231" s="48"/>
      <c r="G231" s="36"/>
      <c r="H231" s="36"/>
      <c r="I231" s="125"/>
      <c r="J231" s="36"/>
      <c r="K231" s="36"/>
      <c r="L231" s="8"/>
      <c r="N231" s="8"/>
      <c r="O231" s="8"/>
      <c r="P231" s="8"/>
      <c r="Q231" s="35"/>
      <c r="R231" s="37"/>
    </row>
    <row r="232" spans="1:18" ht="15.75">
      <c r="A232" s="52">
        <v>1</v>
      </c>
      <c r="B232" s="51" t="s">
        <v>700</v>
      </c>
      <c r="C232" s="48" t="s">
        <v>701</v>
      </c>
      <c r="D232" s="67" t="s">
        <v>702</v>
      </c>
      <c r="E232" s="17">
        <v>43259</v>
      </c>
      <c r="F232" s="20" t="s">
        <v>703</v>
      </c>
      <c r="G232" s="8">
        <v>0</v>
      </c>
      <c r="H232" s="8">
        <v>147089480</v>
      </c>
      <c r="I232" s="8">
        <v>3677237</v>
      </c>
      <c r="J232" s="8">
        <v>1135420</v>
      </c>
      <c r="K232" s="8">
        <v>0</v>
      </c>
      <c r="L232" s="8">
        <v>449105</v>
      </c>
      <c r="M232" s="8">
        <v>200000</v>
      </c>
      <c r="N232" s="8">
        <f>SUM(G232:M232)</f>
        <v>152551242</v>
      </c>
      <c r="O232" s="8">
        <f>192000000-N232</f>
        <v>39448758</v>
      </c>
      <c r="P232" s="8">
        <f t="shared" ref="P232" si="33">+N232+O232</f>
        <v>192000000</v>
      </c>
      <c r="Q232" s="77" t="s">
        <v>159</v>
      </c>
      <c r="R232" s="66" t="s">
        <v>52</v>
      </c>
    </row>
    <row r="233" spans="1:18" ht="15.75">
      <c r="A233" s="52"/>
      <c r="B233" s="51"/>
      <c r="C233" s="48"/>
      <c r="E233" s="17"/>
      <c r="F233" s="48"/>
      <c r="G233" s="36"/>
      <c r="H233" s="36"/>
      <c r="I233" s="75"/>
      <c r="J233" s="36"/>
      <c r="K233" s="36"/>
      <c r="L233" s="36"/>
      <c r="N233" s="8"/>
      <c r="O233" s="8"/>
      <c r="P233" s="8"/>
      <c r="Q233" s="59"/>
      <c r="R233" s="66"/>
    </row>
    <row r="234" spans="1:18" ht="16.5" thickBot="1">
      <c r="A234" s="18"/>
      <c r="B234" s="55"/>
      <c r="C234" s="56"/>
      <c r="D234" s="74"/>
      <c r="E234" s="56"/>
      <c r="F234" s="57"/>
      <c r="G234" s="19">
        <f t="shared" ref="G234" si="34">SUM(G232:G233)</f>
        <v>0</v>
      </c>
      <c r="H234" s="19">
        <f t="shared" ref="H234" si="35">SUM(H232:H233)</f>
        <v>147089480</v>
      </c>
      <c r="I234" s="19">
        <f t="shared" ref="I234" si="36">SUM(I232:I233)</f>
        <v>3677237</v>
      </c>
      <c r="J234" s="19">
        <f t="shared" ref="J234" si="37">SUM(J232:J233)</f>
        <v>1135420</v>
      </c>
      <c r="K234" s="19">
        <f t="shared" ref="K234" si="38">SUM(K232:K233)</f>
        <v>0</v>
      </c>
      <c r="L234" s="19">
        <f t="shared" ref="L234" si="39">SUM(L232:L233)</f>
        <v>449105</v>
      </c>
      <c r="M234" s="19">
        <f t="shared" ref="M234" si="40">SUM(M232:M233)</f>
        <v>200000</v>
      </c>
      <c r="N234" s="19">
        <f t="shared" ref="N234" si="41">SUM(N232:N233)</f>
        <v>152551242</v>
      </c>
      <c r="O234" s="19">
        <f t="shared" ref="O234" si="42">SUM(O232:O233)</f>
        <v>39448758</v>
      </c>
      <c r="P234" s="19">
        <f t="shared" ref="P234" si="43">SUM(P232:P233)</f>
        <v>192000000</v>
      </c>
      <c r="Q234" s="68"/>
      <c r="R234" s="70"/>
    </row>
    <row r="235" spans="1:18" ht="16.5" thickTop="1">
      <c r="A235" s="23"/>
      <c r="B235" s="22"/>
      <c r="C235" s="22"/>
      <c r="D235" s="23"/>
      <c r="E235" s="22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2"/>
      <c r="Q235" s="69"/>
    </row>
    <row r="236" spans="1:18" ht="15.75">
      <c r="A236" s="23"/>
      <c r="B236" s="28" t="s">
        <v>699</v>
      </c>
      <c r="C236" s="22"/>
      <c r="D236" s="39"/>
      <c r="F236" s="27"/>
      <c r="G236" s="28"/>
      <c r="H236" s="28"/>
      <c r="I236" s="28"/>
      <c r="J236" s="28"/>
      <c r="K236" s="28"/>
      <c r="L236" s="28"/>
      <c r="Q236" s="51"/>
    </row>
    <row r="237" spans="1:18" ht="15.75">
      <c r="A237" s="38"/>
      <c r="B237" s="40" t="s">
        <v>32</v>
      </c>
      <c r="C237" s="28" t="s">
        <v>28</v>
      </c>
      <c r="D237" s="39"/>
      <c r="F237" s="41"/>
      <c r="G237" s="143" t="s">
        <v>26</v>
      </c>
      <c r="H237" s="143"/>
      <c r="I237" s="143"/>
      <c r="K237" s="41"/>
    </row>
    <row r="238" spans="1:18" ht="15.75">
      <c r="A238" s="38"/>
      <c r="B238" s="40"/>
      <c r="C238" s="28"/>
      <c r="D238" s="39"/>
      <c r="F238" s="28"/>
      <c r="G238" s="28"/>
      <c r="H238" s="28"/>
      <c r="I238" s="28"/>
      <c r="J238" s="28"/>
      <c r="K238" s="28"/>
      <c r="L238" s="28"/>
    </row>
    <row r="239" spans="1:18" ht="15.75">
      <c r="A239" s="38"/>
      <c r="B239" s="40"/>
      <c r="C239" s="28"/>
      <c r="D239" s="39"/>
      <c r="F239" s="28"/>
      <c r="G239" s="28"/>
      <c r="H239" s="28"/>
      <c r="I239" s="28"/>
      <c r="J239" s="28"/>
      <c r="K239" s="28"/>
      <c r="L239" s="28"/>
    </row>
    <row r="240" spans="1:18" ht="15.75">
      <c r="A240" s="38"/>
      <c r="B240" s="40"/>
      <c r="C240" s="28"/>
      <c r="D240" s="39"/>
      <c r="F240" s="28"/>
      <c r="G240" s="28"/>
      <c r="H240" s="28"/>
      <c r="I240" s="28"/>
      <c r="J240" s="28"/>
      <c r="K240" s="28"/>
    </row>
    <row r="241" spans="1:18" ht="15.75">
      <c r="A241" s="38"/>
      <c r="B241" s="40"/>
      <c r="C241" s="28"/>
      <c r="D241" s="39"/>
      <c r="F241" s="28"/>
      <c r="G241" s="28"/>
      <c r="H241" s="28"/>
      <c r="I241" s="28"/>
      <c r="J241" s="28"/>
      <c r="K241" s="28"/>
      <c r="L241" s="28"/>
    </row>
    <row r="242" spans="1:18" ht="15.75">
      <c r="A242" s="38" t="s">
        <v>23</v>
      </c>
      <c r="B242" s="42" t="s">
        <v>27</v>
      </c>
      <c r="C242" s="43" t="s">
        <v>24</v>
      </c>
      <c r="D242" s="39"/>
      <c r="F242" s="29"/>
      <c r="G242" s="29" t="s">
        <v>16</v>
      </c>
      <c r="H242" s="29"/>
      <c r="I242" s="29" t="s">
        <v>30</v>
      </c>
    </row>
    <row r="243" spans="1:18" ht="15.75">
      <c r="A243" s="38"/>
      <c r="B243" s="44" t="s">
        <v>31</v>
      </c>
      <c r="C243" s="45" t="s">
        <v>20</v>
      </c>
      <c r="D243" s="39"/>
      <c r="F243" s="46"/>
      <c r="G243" s="46" t="s">
        <v>17</v>
      </c>
      <c r="H243" s="46"/>
      <c r="I243" s="46" t="s">
        <v>25</v>
      </c>
    </row>
    <row r="244" spans="1:18" ht="15.75">
      <c r="A244" s="38"/>
      <c r="B244" s="44"/>
      <c r="C244" s="45"/>
      <c r="D244" s="39"/>
      <c r="F244" s="46"/>
      <c r="G244" s="46"/>
      <c r="H244" s="46"/>
      <c r="I244" s="46"/>
    </row>
    <row r="245" spans="1:18" ht="15.75">
      <c r="A245" s="21" t="s">
        <v>0</v>
      </c>
      <c r="B245" s="22"/>
      <c r="C245" s="23"/>
      <c r="D245" s="23"/>
      <c r="E245" s="23"/>
      <c r="F245" s="24"/>
      <c r="G245" s="24"/>
      <c r="H245" s="24"/>
      <c r="I245" s="24"/>
      <c r="J245" s="24"/>
      <c r="K245" s="24"/>
      <c r="L245" s="25"/>
    </row>
    <row r="246" spans="1:18" ht="15.75">
      <c r="A246" s="26" t="s">
        <v>693</v>
      </c>
      <c r="B246" s="21"/>
      <c r="C246" s="21"/>
      <c r="D246" s="21"/>
      <c r="E246" s="21"/>
      <c r="F246" s="24"/>
      <c r="G246" s="24"/>
      <c r="H246" s="24"/>
      <c r="I246" s="24"/>
      <c r="J246" s="24"/>
      <c r="K246" s="24"/>
      <c r="L246" s="25"/>
    </row>
    <row r="247" spans="1:18">
      <c r="A247" s="62"/>
      <c r="B247" s="62" t="s">
        <v>1</v>
      </c>
      <c r="C247" s="93" t="s">
        <v>2</v>
      </c>
      <c r="D247" s="117" t="s">
        <v>34</v>
      </c>
      <c r="E247" s="95" t="s">
        <v>3</v>
      </c>
      <c r="F247" s="93" t="s">
        <v>4</v>
      </c>
      <c r="G247" s="96" t="s">
        <v>18</v>
      </c>
      <c r="H247" s="96" t="s">
        <v>18</v>
      </c>
      <c r="I247" s="97" t="s">
        <v>7</v>
      </c>
      <c r="J247" s="130" t="s">
        <v>6</v>
      </c>
      <c r="K247" s="130" t="s">
        <v>6</v>
      </c>
      <c r="L247" s="96" t="s">
        <v>29</v>
      </c>
      <c r="M247" s="96" t="s">
        <v>21</v>
      </c>
      <c r="N247" s="96" t="s">
        <v>8</v>
      </c>
      <c r="O247" s="96" t="s">
        <v>8</v>
      </c>
      <c r="P247" s="96" t="s">
        <v>9</v>
      </c>
      <c r="Q247" s="62" t="s">
        <v>10</v>
      </c>
      <c r="R247" s="98" t="s">
        <v>33</v>
      </c>
    </row>
    <row r="248" spans="1:18">
      <c r="A248" s="99"/>
      <c r="B248" s="99"/>
      <c r="C248" s="100"/>
      <c r="D248" s="101"/>
      <c r="E248" s="102"/>
      <c r="F248" s="100"/>
      <c r="G248" s="103" t="s">
        <v>12</v>
      </c>
      <c r="H248" s="103" t="s">
        <v>12</v>
      </c>
      <c r="I248" s="119" t="s">
        <v>19</v>
      </c>
      <c r="J248" s="131" t="s">
        <v>35</v>
      </c>
      <c r="K248" s="131" t="s">
        <v>517</v>
      </c>
      <c r="L248" s="103" t="s">
        <v>22</v>
      </c>
      <c r="M248" s="103" t="s">
        <v>15</v>
      </c>
      <c r="N248" s="103" t="s">
        <v>13</v>
      </c>
      <c r="O248" s="103" t="s">
        <v>14</v>
      </c>
      <c r="P248" s="103" t="s">
        <v>12</v>
      </c>
      <c r="Q248" s="99"/>
      <c r="R248" s="104"/>
    </row>
    <row r="249" spans="1:18">
      <c r="A249" s="99"/>
      <c r="B249" s="99"/>
      <c r="C249" s="105"/>
      <c r="D249" s="101"/>
      <c r="E249" s="102"/>
      <c r="F249" s="100"/>
      <c r="G249" s="103" t="s">
        <v>42</v>
      </c>
      <c r="H249" s="103" t="s">
        <v>22</v>
      </c>
      <c r="I249" s="119" t="s">
        <v>5</v>
      </c>
      <c r="J249" s="131"/>
      <c r="K249" s="131"/>
      <c r="L249" s="103"/>
      <c r="M249" s="103"/>
      <c r="N249" s="103"/>
      <c r="O249" s="103"/>
      <c r="P249" s="103"/>
      <c r="Q249" s="99"/>
      <c r="R249" s="104"/>
    </row>
    <row r="250" spans="1:18">
      <c r="A250" s="106"/>
      <c r="B250" s="106"/>
      <c r="C250" s="107"/>
      <c r="D250" s="108"/>
      <c r="E250" s="109"/>
      <c r="F250" s="110"/>
      <c r="G250" s="111"/>
      <c r="H250" s="112"/>
      <c r="I250" s="75"/>
      <c r="J250" s="132"/>
      <c r="K250" s="132"/>
      <c r="L250" s="113"/>
      <c r="M250" s="108"/>
      <c r="N250" s="111"/>
      <c r="O250" s="111"/>
      <c r="P250" s="111"/>
      <c r="Q250" s="106"/>
      <c r="R250" s="114"/>
    </row>
    <row r="251" spans="1:18" ht="15.75">
      <c r="A251" s="52"/>
      <c r="B251" s="47"/>
      <c r="C251" s="48"/>
      <c r="D251" s="73"/>
      <c r="E251" s="17"/>
      <c r="F251" s="48"/>
      <c r="G251" s="36"/>
      <c r="H251" s="36"/>
      <c r="I251" s="125"/>
      <c r="J251" s="36"/>
      <c r="K251" s="36"/>
      <c r="L251" s="8"/>
      <c r="N251" s="8"/>
      <c r="O251" s="8"/>
      <c r="P251" s="8"/>
      <c r="Q251" s="35"/>
      <c r="R251" s="37"/>
    </row>
    <row r="252" spans="1:18" ht="15.75">
      <c r="A252" s="52">
        <v>1</v>
      </c>
      <c r="B252" s="51" t="s">
        <v>802</v>
      </c>
      <c r="C252" s="48" t="s">
        <v>803</v>
      </c>
      <c r="D252" s="67"/>
      <c r="E252" s="17">
        <v>43259</v>
      </c>
      <c r="F252" s="20"/>
      <c r="G252" s="8">
        <v>25000000</v>
      </c>
      <c r="H252" s="8">
        <v>0</v>
      </c>
      <c r="I252" s="8">
        <v>625000</v>
      </c>
      <c r="J252" s="8">
        <v>177290</v>
      </c>
      <c r="K252" s="8">
        <v>0</v>
      </c>
      <c r="L252" s="8">
        <v>450000</v>
      </c>
      <c r="M252" s="8">
        <v>200000</v>
      </c>
      <c r="N252" s="8">
        <f>SUM(G252:M252)</f>
        <v>26452290</v>
      </c>
      <c r="O252" s="8">
        <f>101452290-N252</f>
        <v>75000000</v>
      </c>
      <c r="P252" s="8">
        <f t="shared" ref="P252" si="44">+N252+O252</f>
        <v>101452290</v>
      </c>
      <c r="Q252" s="77" t="s">
        <v>804</v>
      </c>
      <c r="R252" s="66" t="s">
        <v>52</v>
      </c>
    </row>
    <row r="253" spans="1:18" ht="15.75">
      <c r="A253" s="52"/>
      <c r="B253" s="51"/>
      <c r="C253" s="48"/>
      <c r="E253" s="17"/>
      <c r="F253" s="48"/>
      <c r="G253" s="36"/>
      <c r="H253" s="36"/>
      <c r="I253" s="75"/>
      <c r="J253" s="36"/>
      <c r="K253" s="36"/>
      <c r="L253" s="36"/>
      <c r="N253" s="8"/>
      <c r="O253" s="8"/>
      <c r="P253" s="8"/>
      <c r="Q253" s="59"/>
      <c r="R253" s="66"/>
    </row>
    <row r="254" spans="1:18" ht="16.5" thickBot="1">
      <c r="A254" s="18"/>
      <c r="B254" s="55"/>
      <c r="C254" s="56"/>
      <c r="D254" s="74"/>
      <c r="E254" s="56"/>
      <c r="F254" s="57"/>
      <c r="G254" s="19">
        <f t="shared" ref="G254" si="45">SUM(G252:G253)</f>
        <v>25000000</v>
      </c>
      <c r="H254" s="19">
        <f t="shared" ref="H254:P254" si="46">SUM(H252:H253)</f>
        <v>0</v>
      </c>
      <c r="I254" s="19">
        <f t="shared" si="46"/>
        <v>625000</v>
      </c>
      <c r="J254" s="19">
        <f t="shared" si="46"/>
        <v>177290</v>
      </c>
      <c r="K254" s="19">
        <f t="shared" si="46"/>
        <v>0</v>
      </c>
      <c r="L254" s="19">
        <f t="shared" si="46"/>
        <v>450000</v>
      </c>
      <c r="M254" s="19">
        <f t="shared" si="46"/>
        <v>200000</v>
      </c>
      <c r="N254" s="19">
        <f t="shared" si="46"/>
        <v>26452290</v>
      </c>
      <c r="O254" s="19">
        <f t="shared" si="46"/>
        <v>75000000</v>
      </c>
      <c r="P254" s="19">
        <f t="shared" si="46"/>
        <v>101452290</v>
      </c>
      <c r="Q254" s="68"/>
      <c r="R254" s="70"/>
    </row>
    <row r="255" spans="1:18" ht="16.5" thickTop="1">
      <c r="A255" s="23"/>
      <c r="B255" s="22"/>
      <c r="C255" s="22"/>
      <c r="D255" s="23"/>
      <c r="E255" s="22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2"/>
      <c r="Q255" s="69"/>
    </row>
    <row r="256" spans="1:18" ht="15.75">
      <c r="A256" s="23"/>
      <c r="B256" s="28" t="s">
        <v>699</v>
      </c>
      <c r="C256" s="22"/>
      <c r="D256" s="39"/>
      <c r="F256" s="27"/>
      <c r="G256" s="28"/>
      <c r="H256" s="28"/>
      <c r="I256" s="28"/>
      <c r="J256" s="28"/>
      <c r="K256" s="28"/>
      <c r="L256" s="28"/>
      <c r="Q256" s="51"/>
    </row>
    <row r="257" spans="1:18" ht="15.75">
      <c r="A257" s="38"/>
      <c r="B257" s="40" t="s">
        <v>32</v>
      </c>
      <c r="C257" s="28" t="s">
        <v>28</v>
      </c>
      <c r="D257" s="39"/>
      <c r="F257" s="41"/>
      <c r="G257" s="143" t="s">
        <v>26</v>
      </c>
      <c r="H257" s="143"/>
      <c r="I257" s="143"/>
      <c r="K257" s="41"/>
    </row>
    <row r="258" spans="1:18" ht="15.75">
      <c r="A258" s="38"/>
      <c r="B258" s="40"/>
      <c r="C258" s="28"/>
      <c r="D258" s="39"/>
      <c r="F258" s="28"/>
      <c r="G258" s="28"/>
      <c r="H258" s="28"/>
      <c r="I258" s="28"/>
      <c r="J258" s="28"/>
      <c r="K258" s="28"/>
      <c r="L258" s="28"/>
    </row>
    <row r="259" spans="1:18" ht="15.75">
      <c r="A259" s="38"/>
      <c r="B259" s="40"/>
      <c r="C259" s="28"/>
      <c r="D259" s="39"/>
      <c r="F259" s="28"/>
      <c r="G259" s="28"/>
      <c r="H259" s="28"/>
      <c r="I259" s="28"/>
      <c r="J259" s="28"/>
      <c r="K259" s="28"/>
      <c r="L259" s="28"/>
    </row>
    <row r="260" spans="1:18" ht="15.75">
      <c r="A260" s="38"/>
      <c r="B260" s="40"/>
      <c r="C260" s="28"/>
      <c r="D260" s="39"/>
      <c r="F260" s="28"/>
      <c r="G260" s="28"/>
      <c r="H260" s="28"/>
      <c r="I260" s="28"/>
      <c r="J260" s="28"/>
      <c r="K260" s="28"/>
    </row>
    <row r="261" spans="1:18" ht="15.75">
      <c r="A261" s="38"/>
      <c r="B261" s="40"/>
      <c r="C261" s="28"/>
      <c r="D261" s="39"/>
      <c r="F261" s="28"/>
      <c r="G261" s="28"/>
      <c r="H261" s="28"/>
      <c r="I261" s="28"/>
      <c r="J261" s="28"/>
      <c r="K261" s="28"/>
      <c r="L261" s="28"/>
    </row>
    <row r="262" spans="1:18" ht="15.75">
      <c r="A262" s="38" t="s">
        <v>23</v>
      </c>
      <c r="B262" s="42" t="s">
        <v>27</v>
      </c>
      <c r="C262" s="43" t="s">
        <v>24</v>
      </c>
      <c r="D262" s="39"/>
      <c r="F262" s="29"/>
      <c r="G262" s="29" t="s">
        <v>16</v>
      </c>
      <c r="H262" s="29"/>
      <c r="I262" s="29" t="s">
        <v>30</v>
      </c>
    </row>
    <row r="263" spans="1:18" ht="15.75">
      <c r="A263" s="38"/>
      <c r="B263" s="44" t="s">
        <v>31</v>
      </c>
      <c r="C263" s="45" t="s">
        <v>20</v>
      </c>
      <c r="D263" s="39"/>
      <c r="F263" s="46"/>
      <c r="G263" s="46" t="s">
        <v>17</v>
      </c>
      <c r="H263" s="46"/>
      <c r="I263" s="46" t="s">
        <v>25</v>
      </c>
    </row>
    <row r="264" spans="1:18" ht="15.75">
      <c r="A264" s="38"/>
      <c r="B264" s="44"/>
      <c r="C264" s="45"/>
      <c r="D264" s="39"/>
      <c r="F264" s="46"/>
      <c r="G264" s="46"/>
      <c r="H264" s="46"/>
      <c r="I264" s="46"/>
    </row>
    <row r="265" spans="1:18" ht="15.75">
      <c r="A265" s="21" t="s">
        <v>0</v>
      </c>
      <c r="B265" s="22"/>
      <c r="C265" s="23"/>
      <c r="D265" s="23"/>
      <c r="E265" s="23"/>
      <c r="F265" s="24"/>
      <c r="G265" s="24"/>
      <c r="H265" s="24"/>
      <c r="I265" s="24"/>
      <c r="J265" s="24"/>
      <c r="K265" s="24"/>
      <c r="L265" s="25"/>
    </row>
    <row r="266" spans="1:18" ht="15.75">
      <c r="A266" s="26" t="s">
        <v>705</v>
      </c>
      <c r="B266" s="21"/>
      <c r="C266" s="21"/>
      <c r="D266" s="21"/>
      <c r="E266" s="21"/>
      <c r="F266" s="24"/>
      <c r="G266" s="24"/>
      <c r="H266" s="24"/>
      <c r="I266" s="24"/>
      <c r="J266" s="24"/>
      <c r="K266" s="24"/>
      <c r="L266" s="25"/>
    </row>
    <row r="267" spans="1:18">
      <c r="A267" s="62"/>
      <c r="B267" s="62" t="s">
        <v>1</v>
      </c>
      <c r="C267" s="93" t="s">
        <v>2</v>
      </c>
      <c r="D267" s="117" t="s">
        <v>34</v>
      </c>
      <c r="E267" s="95" t="s">
        <v>3</v>
      </c>
      <c r="F267" s="93" t="s">
        <v>4</v>
      </c>
      <c r="G267" s="96" t="s">
        <v>18</v>
      </c>
      <c r="H267" s="96" t="s">
        <v>18</v>
      </c>
      <c r="I267" s="97" t="s">
        <v>7</v>
      </c>
      <c r="J267" s="130" t="s">
        <v>6</v>
      </c>
      <c r="K267" s="130" t="s">
        <v>6</v>
      </c>
      <c r="L267" s="96" t="s">
        <v>29</v>
      </c>
      <c r="M267" s="96" t="s">
        <v>21</v>
      </c>
      <c r="N267" s="96" t="s">
        <v>8</v>
      </c>
      <c r="O267" s="96" t="s">
        <v>8</v>
      </c>
      <c r="P267" s="96" t="s">
        <v>9</v>
      </c>
      <c r="Q267" s="62" t="s">
        <v>10</v>
      </c>
      <c r="R267" s="98" t="s">
        <v>33</v>
      </c>
    </row>
    <row r="268" spans="1:18">
      <c r="A268" s="99"/>
      <c r="B268" s="99"/>
      <c r="C268" s="100"/>
      <c r="D268" s="101"/>
      <c r="E268" s="102"/>
      <c r="F268" s="100"/>
      <c r="G268" s="103" t="s">
        <v>12</v>
      </c>
      <c r="H268" s="103" t="s">
        <v>12</v>
      </c>
      <c r="I268" s="119" t="s">
        <v>19</v>
      </c>
      <c r="J268" s="131" t="s">
        <v>35</v>
      </c>
      <c r="K268" s="131" t="s">
        <v>517</v>
      </c>
      <c r="L268" s="103" t="s">
        <v>22</v>
      </c>
      <c r="M268" s="103" t="s">
        <v>15</v>
      </c>
      <c r="N268" s="103" t="s">
        <v>13</v>
      </c>
      <c r="O268" s="103" t="s">
        <v>14</v>
      </c>
      <c r="P268" s="103" t="s">
        <v>12</v>
      </c>
      <c r="Q268" s="99"/>
      <c r="R268" s="104"/>
    </row>
    <row r="269" spans="1:18">
      <c r="A269" s="99"/>
      <c r="B269" s="99"/>
      <c r="C269" s="105"/>
      <c r="D269" s="101"/>
      <c r="E269" s="102"/>
      <c r="F269" s="100"/>
      <c r="G269" s="103" t="s">
        <v>81</v>
      </c>
      <c r="H269" s="103" t="s">
        <v>22</v>
      </c>
      <c r="I269" s="119" t="s">
        <v>5</v>
      </c>
      <c r="J269" s="131"/>
      <c r="K269" s="131"/>
      <c r="L269" s="103"/>
      <c r="M269" s="103"/>
      <c r="N269" s="103"/>
      <c r="O269" s="103"/>
      <c r="P269" s="103"/>
      <c r="Q269" s="99"/>
      <c r="R269" s="104"/>
    </row>
    <row r="270" spans="1:18">
      <c r="A270" s="106"/>
      <c r="B270" s="106"/>
      <c r="C270" s="107"/>
      <c r="D270" s="108"/>
      <c r="E270" s="109"/>
      <c r="F270" s="110"/>
      <c r="G270" s="111"/>
      <c r="H270" s="112"/>
      <c r="I270" s="75"/>
      <c r="J270" s="132"/>
      <c r="K270" s="132"/>
      <c r="L270" s="113"/>
      <c r="M270" s="108"/>
      <c r="N270" s="111"/>
      <c r="O270" s="111"/>
      <c r="P270" s="111"/>
      <c r="Q270" s="106"/>
      <c r="R270" s="114"/>
    </row>
    <row r="271" spans="1:18" ht="15.75">
      <c r="A271" s="52"/>
      <c r="B271" s="47"/>
      <c r="C271" s="48"/>
      <c r="D271" s="73"/>
      <c r="E271" s="17"/>
      <c r="F271" s="48"/>
      <c r="G271" s="36"/>
      <c r="H271" s="36"/>
      <c r="I271" s="125"/>
      <c r="J271" s="36"/>
      <c r="K271" s="36"/>
      <c r="L271" s="8"/>
      <c r="N271" s="8"/>
      <c r="O271" s="8"/>
      <c r="P271" s="8"/>
      <c r="Q271" s="35"/>
      <c r="R271" s="37"/>
    </row>
    <row r="272" spans="1:18" ht="15.75">
      <c r="A272" s="52">
        <v>1</v>
      </c>
      <c r="B272" s="51" t="s">
        <v>155</v>
      </c>
      <c r="C272" s="48" t="s">
        <v>156</v>
      </c>
      <c r="D272" s="67" t="s">
        <v>704</v>
      </c>
      <c r="E272" s="17">
        <v>43277</v>
      </c>
      <c r="F272" s="20" t="s">
        <v>158</v>
      </c>
      <c r="G272" s="36">
        <v>0</v>
      </c>
      <c r="H272" s="8">
        <v>58760372</v>
      </c>
      <c r="I272" s="8">
        <v>1469009</v>
      </c>
      <c r="J272" s="8">
        <v>0</v>
      </c>
      <c r="K272" s="8">
        <v>0</v>
      </c>
      <c r="L272" s="8">
        <v>350000</v>
      </c>
      <c r="M272" s="8">
        <v>200000</v>
      </c>
      <c r="N272" s="8">
        <f>SUM(G272:M272)</f>
        <v>60779381</v>
      </c>
      <c r="O272" s="8">
        <f>95779381-N272</f>
        <v>35000000</v>
      </c>
      <c r="P272" s="8">
        <f t="shared" ref="P272" si="47">+N272+O272</f>
        <v>95779381</v>
      </c>
      <c r="Q272" s="77" t="s">
        <v>159</v>
      </c>
      <c r="R272" s="66" t="s">
        <v>52</v>
      </c>
    </row>
    <row r="273" spans="1:18" ht="15.75">
      <c r="A273" s="52">
        <v>2</v>
      </c>
      <c r="B273" s="51" t="s">
        <v>711</v>
      </c>
      <c r="C273" s="48" t="s">
        <v>712</v>
      </c>
      <c r="D273" s="67" t="s">
        <v>713</v>
      </c>
      <c r="E273" s="17">
        <v>43277</v>
      </c>
      <c r="F273" s="20" t="s">
        <v>714</v>
      </c>
      <c r="G273" s="36">
        <v>0</v>
      </c>
      <c r="H273" s="8">
        <v>16100000</v>
      </c>
      <c r="I273" s="8">
        <v>402500</v>
      </c>
      <c r="J273" s="8">
        <v>0</v>
      </c>
      <c r="K273" s="8">
        <v>0</v>
      </c>
      <c r="L273" s="8">
        <v>1361000</v>
      </c>
      <c r="M273" s="8">
        <v>200000</v>
      </c>
      <c r="N273" s="8">
        <f>SUM(G273:M273)</f>
        <v>18063500</v>
      </c>
      <c r="O273" s="8">
        <f>168063500-N273</f>
        <v>150000000</v>
      </c>
      <c r="P273" s="8">
        <f t="shared" ref="P273" si="48">+N273+O273</f>
        <v>168063500</v>
      </c>
      <c r="Q273" s="77" t="s">
        <v>292</v>
      </c>
      <c r="R273" s="66" t="s">
        <v>52</v>
      </c>
    </row>
    <row r="274" spans="1:18" ht="15.75">
      <c r="A274" s="52"/>
      <c r="B274" s="51"/>
      <c r="C274" s="48"/>
      <c r="E274" s="17"/>
      <c r="F274" s="48"/>
      <c r="G274" s="36"/>
      <c r="H274" s="36"/>
      <c r="I274" s="75"/>
      <c r="J274" s="36"/>
      <c r="K274" s="36"/>
      <c r="L274" s="36"/>
      <c r="N274" s="8"/>
      <c r="O274" s="8"/>
      <c r="P274" s="8"/>
      <c r="Q274" s="59"/>
      <c r="R274" s="66"/>
    </row>
    <row r="275" spans="1:18" ht="16.5" thickBot="1">
      <c r="A275" s="18"/>
      <c r="B275" s="55"/>
      <c r="C275" s="56"/>
      <c r="D275" s="74"/>
      <c r="E275" s="56"/>
      <c r="F275" s="57"/>
      <c r="G275" s="19">
        <f>SUM(G272:G274)</f>
        <v>0</v>
      </c>
      <c r="H275" s="19">
        <f t="shared" ref="H275:P275" si="49">SUM(H272:H274)</f>
        <v>74860372</v>
      </c>
      <c r="I275" s="19">
        <f t="shared" si="49"/>
        <v>1871509</v>
      </c>
      <c r="J275" s="19">
        <f t="shared" si="49"/>
        <v>0</v>
      </c>
      <c r="K275" s="19">
        <f t="shared" si="49"/>
        <v>0</v>
      </c>
      <c r="L275" s="19">
        <f t="shared" si="49"/>
        <v>1711000</v>
      </c>
      <c r="M275" s="19">
        <f t="shared" si="49"/>
        <v>400000</v>
      </c>
      <c r="N275" s="19">
        <f t="shared" si="49"/>
        <v>78842881</v>
      </c>
      <c r="O275" s="19">
        <f t="shared" si="49"/>
        <v>185000000</v>
      </c>
      <c r="P275" s="19">
        <f t="shared" si="49"/>
        <v>263842881</v>
      </c>
      <c r="Q275" s="68"/>
      <c r="R275" s="70"/>
    </row>
    <row r="276" spans="1:18" ht="16.5" thickTop="1">
      <c r="A276" s="23"/>
      <c r="B276" s="22"/>
      <c r="C276" s="22"/>
      <c r="D276" s="23"/>
      <c r="E276" s="22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2"/>
      <c r="Q276" s="69"/>
    </row>
    <row r="277" spans="1:18" ht="15.75">
      <c r="A277" s="23"/>
      <c r="B277" s="28" t="s">
        <v>706</v>
      </c>
      <c r="C277" s="22"/>
      <c r="D277" s="39"/>
      <c r="F277" s="27"/>
      <c r="G277" s="28"/>
      <c r="H277" s="28"/>
      <c r="I277" s="28"/>
      <c r="J277" s="28"/>
      <c r="K277" s="28"/>
      <c r="L277" s="28"/>
      <c r="Q277" s="51"/>
    </row>
    <row r="278" spans="1:18" ht="15.75">
      <c r="A278" s="38"/>
      <c r="B278" s="40" t="s">
        <v>32</v>
      </c>
      <c r="C278" s="28" t="s">
        <v>28</v>
      </c>
      <c r="D278" s="39"/>
      <c r="F278" s="41"/>
      <c r="G278" s="143" t="s">
        <v>26</v>
      </c>
      <c r="H278" s="143"/>
      <c r="I278" s="143"/>
      <c r="K278" s="41"/>
    </row>
    <row r="279" spans="1:18" ht="15.75">
      <c r="A279" s="38"/>
      <c r="B279" s="40"/>
      <c r="C279" s="28"/>
      <c r="D279" s="39"/>
      <c r="F279" s="28"/>
      <c r="G279" s="28"/>
      <c r="H279" s="28"/>
      <c r="I279" s="28"/>
      <c r="J279" s="28"/>
      <c r="K279" s="28"/>
      <c r="L279" s="28"/>
    </row>
    <row r="280" spans="1:18" ht="15.75">
      <c r="A280" s="38"/>
      <c r="B280" s="40"/>
      <c r="C280" s="28"/>
      <c r="D280" s="39"/>
      <c r="F280" s="28"/>
      <c r="G280" s="28"/>
      <c r="H280" s="28"/>
      <c r="I280" s="28"/>
      <c r="J280" s="28"/>
      <c r="K280" s="28"/>
      <c r="L280" s="28"/>
    </row>
    <row r="281" spans="1:18" ht="15.75">
      <c r="A281" s="38"/>
      <c r="B281" s="40"/>
      <c r="C281" s="28"/>
      <c r="D281" s="39"/>
      <c r="F281" s="28"/>
      <c r="G281" s="28"/>
      <c r="H281" s="28"/>
      <c r="I281" s="28"/>
      <c r="J281" s="28"/>
      <c r="K281" s="28"/>
    </row>
    <row r="282" spans="1:18" ht="15.75">
      <c r="A282" s="38"/>
      <c r="B282" s="40"/>
      <c r="C282" s="28"/>
      <c r="D282" s="39"/>
      <c r="F282" s="28"/>
      <c r="G282" s="28"/>
      <c r="H282" s="28"/>
      <c r="I282" s="28"/>
      <c r="J282" s="28"/>
      <c r="K282" s="28"/>
      <c r="L282" s="28"/>
    </row>
    <row r="283" spans="1:18" ht="15.75">
      <c r="A283" s="38" t="s">
        <v>23</v>
      </c>
      <c r="B283" s="42" t="s">
        <v>27</v>
      </c>
      <c r="C283" s="43" t="s">
        <v>24</v>
      </c>
      <c r="D283" s="39"/>
      <c r="F283" s="29"/>
      <c r="G283" s="29" t="s">
        <v>16</v>
      </c>
      <c r="H283" s="29"/>
      <c r="I283" s="29" t="s">
        <v>30</v>
      </c>
    </row>
    <row r="284" spans="1:18" ht="15.75">
      <c r="A284" s="38"/>
      <c r="B284" s="44" t="s">
        <v>31</v>
      </c>
      <c r="C284" s="45" t="s">
        <v>20</v>
      </c>
      <c r="D284" s="39"/>
      <c r="F284" s="46"/>
      <c r="G284" s="46" t="s">
        <v>17</v>
      </c>
      <c r="H284" s="46"/>
      <c r="I284" s="46" t="s">
        <v>25</v>
      </c>
    </row>
    <row r="286" spans="1:18" ht="15.75">
      <c r="A286" s="21" t="s">
        <v>0</v>
      </c>
      <c r="B286" s="22"/>
      <c r="C286" s="23"/>
      <c r="D286" s="23"/>
      <c r="E286" s="23"/>
      <c r="F286" s="24"/>
      <c r="G286" s="24"/>
      <c r="H286" s="24"/>
      <c r="I286" s="24"/>
      <c r="J286" s="24"/>
      <c r="K286" s="24"/>
      <c r="L286" s="25"/>
    </row>
    <row r="287" spans="1:18" ht="15.75">
      <c r="A287" s="26" t="s">
        <v>705</v>
      </c>
      <c r="B287" s="21"/>
      <c r="C287" s="21"/>
      <c r="D287" s="21"/>
      <c r="E287" s="21"/>
      <c r="F287" s="24"/>
      <c r="G287" s="24"/>
      <c r="H287" s="24"/>
      <c r="I287" s="24"/>
      <c r="J287" s="24"/>
      <c r="K287" s="24"/>
      <c r="L287" s="25"/>
    </row>
    <row r="288" spans="1:18">
      <c r="A288" s="62"/>
      <c r="B288" s="62" t="s">
        <v>1</v>
      </c>
      <c r="C288" s="93" t="s">
        <v>2</v>
      </c>
      <c r="D288" s="117" t="s">
        <v>34</v>
      </c>
      <c r="E288" s="95" t="s">
        <v>3</v>
      </c>
      <c r="F288" s="93" t="s">
        <v>4</v>
      </c>
      <c r="G288" s="96" t="s">
        <v>18</v>
      </c>
      <c r="H288" s="96" t="s">
        <v>18</v>
      </c>
      <c r="I288" s="97" t="s">
        <v>7</v>
      </c>
      <c r="J288" s="130" t="s">
        <v>6</v>
      </c>
      <c r="K288" s="130" t="s">
        <v>6</v>
      </c>
      <c r="L288" s="96" t="s">
        <v>29</v>
      </c>
      <c r="M288" s="96" t="s">
        <v>21</v>
      </c>
      <c r="N288" s="96" t="s">
        <v>8</v>
      </c>
      <c r="O288" s="96" t="s">
        <v>8</v>
      </c>
      <c r="P288" s="96" t="s">
        <v>9</v>
      </c>
      <c r="Q288" s="62" t="s">
        <v>10</v>
      </c>
      <c r="R288" s="98" t="s">
        <v>33</v>
      </c>
    </row>
    <row r="289" spans="1:18">
      <c r="A289" s="99"/>
      <c r="B289" s="99"/>
      <c r="C289" s="100"/>
      <c r="D289" s="101"/>
      <c r="E289" s="102"/>
      <c r="F289" s="100"/>
      <c r="G289" s="103" t="s">
        <v>12</v>
      </c>
      <c r="H289" s="103" t="s">
        <v>12</v>
      </c>
      <c r="I289" s="119" t="s">
        <v>19</v>
      </c>
      <c r="J289" s="131" t="s">
        <v>35</v>
      </c>
      <c r="K289" s="131" t="s">
        <v>517</v>
      </c>
      <c r="L289" s="103" t="s">
        <v>22</v>
      </c>
      <c r="M289" s="103" t="s">
        <v>15</v>
      </c>
      <c r="N289" s="103" t="s">
        <v>13</v>
      </c>
      <c r="O289" s="103" t="s">
        <v>14</v>
      </c>
      <c r="P289" s="103" t="s">
        <v>12</v>
      </c>
      <c r="Q289" s="99"/>
      <c r="R289" s="104"/>
    </row>
    <row r="290" spans="1:18">
      <c r="A290" s="99"/>
      <c r="B290" s="99"/>
      <c r="C290" s="105"/>
      <c r="D290" s="101"/>
      <c r="E290" s="102"/>
      <c r="F290" s="100"/>
      <c r="G290" s="103" t="s">
        <v>81</v>
      </c>
      <c r="H290" s="103" t="s">
        <v>22</v>
      </c>
      <c r="I290" s="119" t="s">
        <v>5</v>
      </c>
      <c r="J290" s="131"/>
      <c r="K290" s="131"/>
      <c r="L290" s="103"/>
      <c r="M290" s="103"/>
      <c r="N290" s="103"/>
      <c r="O290" s="103"/>
      <c r="P290" s="103"/>
      <c r="Q290" s="99"/>
      <c r="R290" s="104"/>
    </row>
    <row r="291" spans="1:18">
      <c r="A291" s="106"/>
      <c r="B291" s="106"/>
      <c r="C291" s="107"/>
      <c r="D291" s="108"/>
      <c r="E291" s="109"/>
      <c r="F291" s="110"/>
      <c r="G291" s="111"/>
      <c r="H291" s="112"/>
      <c r="I291" s="75"/>
      <c r="J291" s="132"/>
      <c r="K291" s="132"/>
      <c r="L291" s="113"/>
      <c r="M291" s="108"/>
      <c r="N291" s="111"/>
      <c r="O291" s="111"/>
      <c r="P291" s="111"/>
      <c r="Q291" s="106"/>
      <c r="R291" s="114"/>
    </row>
    <row r="292" spans="1:18" ht="15.75">
      <c r="A292" s="52"/>
      <c r="B292" s="47"/>
      <c r="C292" s="48"/>
      <c r="D292" s="73"/>
      <c r="E292" s="17"/>
      <c r="F292" s="48"/>
      <c r="G292" s="36"/>
      <c r="H292" s="36"/>
      <c r="I292" s="125"/>
      <c r="J292" s="36"/>
      <c r="K292" s="36"/>
      <c r="L292" s="8"/>
      <c r="N292" s="8"/>
      <c r="O292" s="8"/>
      <c r="P292" s="8"/>
      <c r="Q292" s="35"/>
      <c r="R292" s="37"/>
    </row>
    <row r="293" spans="1:18" ht="15.75">
      <c r="A293" s="52">
        <v>1</v>
      </c>
      <c r="B293" s="51" t="s">
        <v>707</v>
      </c>
      <c r="C293" s="48" t="s">
        <v>708</v>
      </c>
      <c r="D293" s="67" t="s">
        <v>709</v>
      </c>
      <c r="E293" s="17">
        <v>43277</v>
      </c>
      <c r="F293" s="20" t="s">
        <v>710</v>
      </c>
      <c r="G293" s="36">
        <v>0</v>
      </c>
      <c r="H293" s="8">
        <v>0</v>
      </c>
      <c r="I293" s="8">
        <v>0</v>
      </c>
      <c r="J293" s="8">
        <v>0</v>
      </c>
      <c r="K293" s="8">
        <v>0</v>
      </c>
      <c r="L293" s="8">
        <v>1200000</v>
      </c>
      <c r="M293" s="8">
        <v>200000</v>
      </c>
      <c r="N293" s="8">
        <f>SUM(G293:M293)</f>
        <v>1400000</v>
      </c>
      <c r="O293" s="8">
        <f>150000000-N293</f>
        <v>148600000</v>
      </c>
      <c r="P293" s="8">
        <f t="shared" ref="P293" si="50">+N293+O293</f>
        <v>150000000</v>
      </c>
      <c r="Q293" s="77" t="s">
        <v>400</v>
      </c>
      <c r="R293" s="66" t="s">
        <v>40</v>
      </c>
    </row>
    <row r="294" spans="1:18" ht="15.75">
      <c r="A294" s="52"/>
      <c r="B294" s="51"/>
      <c r="C294" s="48"/>
      <c r="E294" s="17"/>
      <c r="F294" s="48"/>
      <c r="G294" s="36"/>
      <c r="H294" s="36"/>
      <c r="I294" s="75"/>
      <c r="J294" s="36"/>
      <c r="K294" s="36"/>
      <c r="L294" s="36"/>
      <c r="N294" s="8"/>
      <c r="O294" s="8"/>
      <c r="P294" s="8"/>
      <c r="Q294" s="59"/>
      <c r="R294" s="66"/>
    </row>
    <row r="295" spans="1:18" ht="16.5" thickBot="1">
      <c r="A295" s="18"/>
      <c r="B295" s="55"/>
      <c r="C295" s="56"/>
      <c r="D295" s="74"/>
      <c r="E295" s="56"/>
      <c r="F295" s="57"/>
      <c r="G295" s="19">
        <f t="shared" ref="G295:P295" si="51">SUM(G293:G294)</f>
        <v>0</v>
      </c>
      <c r="H295" s="19">
        <f t="shared" si="51"/>
        <v>0</v>
      </c>
      <c r="I295" s="19">
        <f t="shared" si="51"/>
        <v>0</v>
      </c>
      <c r="J295" s="19">
        <f t="shared" si="51"/>
        <v>0</v>
      </c>
      <c r="K295" s="19">
        <f t="shared" si="51"/>
        <v>0</v>
      </c>
      <c r="L295" s="19">
        <f t="shared" si="51"/>
        <v>1200000</v>
      </c>
      <c r="M295" s="19">
        <f t="shared" si="51"/>
        <v>200000</v>
      </c>
      <c r="N295" s="19">
        <f t="shared" si="51"/>
        <v>1400000</v>
      </c>
      <c r="O295" s="19">
        <f t="shared" si="51"/>
        <v>148600000</v>
      </c>
      <c r="P295" s="19">
        <f t="shared" si="51"/>
        <v>150000000</v>
      </c>
      <c r="Q295" s="68"/>
      <c r="R295" s="70"/>
    </row>
    <row r="296" spans="1:18" ht="16.5" thickTop="1">
      <c r="A296" s="23"/>
      <c r="B296" s="22"/>
      <c r="C296" s="22"/>
      <c r="D296" s="23"/>
      <c r="E296" s="22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2"/>
      <c r="Q296" s="69"/>
    </row>
    <row r="297" spans="1:18" ht="15.75">
      <c r="A297" s="23"/>
      <c r="B297" s="28" t="s">
        <v>706</v>
      </c>
      <c r="C297" s="22"/>
      <c r="D297" s="39"/>
      <c r="F297" s="27"/>
      <c r="G297" s="28"/>
      <c r="H297" s="28"/>
      <c r="I297" s="28"/>
      <c r="J297" s="28"/>
      <c r="K297" s="28"/>
      <c r="L297" s="28"/>
      <c r="Q297" s="51"/>
    </row>
    <row r="298" spans="1:18" ht="15.75">
      <c r="A298" s="38"/>
      <c r="B298" s="40" t="s">
        <v>32</v>
      </c>
      <c r="C298" s="28" t="s">
        <v>28</v>
      </c>
      <c r="D298" s="39"/>
      <c r="F298" s="41"/>
      <c r="G298" s="143" t="s">
        <v>26</v>
      </c>
      <c r="H298" s="143"/>
      <c r="I298" s="143"/>
      <c r="K298" s="41"/>
    </row>
    <row r="299" spans="1:18" ht="15.75">
      <c r="A299" s="38"/>
      <c r="B299" s="40"/>
      <c r="C299" s="28"/>
      <c r="D299" s="39"/>
      <c r="F299" s="28"/>
      <c r="G299" s="28"/>
      <c r="H299" s="28"/>
      <c r="I299" s="28"/>
      <c r="J299" s="28"/>
      <c r="K299" s="28"/>
      <c r="L299" s="28"/>
    </row>
    <row r="300" spans="1:18" ht="15.75">
      <c r="A300" s="38"/>
      <c r="B300" s="40"/>
      <c r="C300" s="28"/>
      <c r="D300" s="39"/>
      <c r="F300" s="28"/>
      <c r="G300" s="28"/>
      <c r="H300" s="28"/>
      <c r="I300" s="28"/>
      <c r="J300" s="28"/>
      <c r="K300" s="28"/>
      <c r="L300" s="28"/>
    </row>
    <row r="301" spans="1:18" ht="15.75">
      <c r="A301" s="38"/>
      <c r="B301" s="40"/>
      <c r="C301" s="28"/>
      <c r="D301" s="39"/>
      <c r="F301" s="28"/>
      <c r="G301" s="28"/>
      <c r="H301" s="28"/>
      <c r="I301" s="28"/>
      <c r="J301" s="28"/>
      <c r="K301" s="28"/>
    </row>
    <row r="302" spans="1:18" ht="15.75">
      <c r="A302" s="38"/>
      <c r="B302" s="40"/>
      <c r="C302" s="28"/>
      <c r="D302" s="39"/>
      <c r="F302" s="28"/>
      <c r="G302" s="28"/>
      <c r="H302" s="28"/>
      <c r="I302" s="28"/>
      <c r="J302" s="28"/>
      <c r="K302" s="28"/>
      <c r="L302" s="28"/>
    </row>
    <row r="303" spans="1:18" ht="15.75">
      <c r="A303" s="38" t="s">
        <v>23</v>
      </c>
      <c r="B303" s="42" t="s">
        <v>27</v>
      </c>
      <c r="C303" s="43" t="s">
        <v>24</v>
      </c>
      <c r="D303" s="39"/>
      <c r="F303" s="29"/>
      <c r="G303" s="29" t="s">
        <v>16</v>
      </c>
      <c r="H303" s="29"/>
      <c r="I303" s="29" t="s">
        <v>30</v>
      </c>
    </row>
    <row r="304" spans="1:18" ht="15.75">
      <c r="A304" s="38"/>
      <c r="B304" s="44" t="s">
        <v>31</v>
      </c>
      <c r="C304" s="45" t="s">
        <v>20</v>
      </c>
      <c r="D304" s="39"/>
      <c r="F304" s="46"/>
      <c r="G304" s="46" t="s">
        <v>17</v>
      </c>
      <c r="H304" s="46"/>
      <c r="I304" s="46" t="s">
        <v>25</v>
      </c>
    </row>
    <row r="306" spans="1:18" ht="15.75">
      <c r="A306" s="21" t="s">
        <v>0</v>
      </c>
      <c r="B306" s="22"/>
      <c r="C306" s="23"/>
      <c r="D306" s="23"/>
      <c r="E306" s="23"/>
      <c r="F306" s="24"/>
      <c r="G306" s="24"/>
      <c r="H306" s="24"/>
      <c r="I306" s="24"/>
      <c r="J306" s="24"/>
      <c r="K306" s="24"/>
      <c r="L306" s="25"/>
    </row>
    <row r="307" spans="1:18" ht="15.75">
      <c r="A307" s="26" t="s">
        <v>705</v>
      </c>
      <c r="B307" s="21"/>
      <c r="C307" s="21"/>
      <c r="D307" s="21"/>
      <c r="E307" s="21"/>
      <c r="F307" s="24"/>
      <c r="G307" s="24"/>
      <c r="H307" s="24"/>
      <c r="I307" s="24"/>
      <c r="J307" s="24"/>
      <c r="K307" s="24"/>
      <c r="L307" s="25"/>
    </row>
    <row r="308" spans="1:18">
      <c r="A308" s="62"/>
      <c r="B308" s="62" t="s">
        <v>1</v>
      </c>
      <c r="C308" s="93" t="s">
        <v>2</v>
      </c>
      <c r="D308" s="117" t="s">
        <v>34</v>
      </c>
      <c r="E308" s="95" t="s">
        <v>3</v>
      </c>
      <c r="F308" s="93" t="s">
        <v>4</v>
      </c>
      <c r="G308" s="96" t="s">
        <v>18</v>
      </c>
      <c r="H308" s="96" t="s">
        <v>18</v>
      </c>
      <c r="I308" s="97" t="s">
        <v>7</v>
      </c>
      <c r="J308" s="130" t="s">
        <v>6</v>
      </c>
      <c r="K308" s="130" t="s">
        <v>6</v>
      </c>
      <c r="L308" s="96" t="s">
        <v>29</v>
      </c>
      <c r="M308" s="96" t="s">
        <v>21</v>
      </c>
      <c r="N308" s="96" t="s">
        <v>8</v>
      </c>
      <c r="O308" s="96" t="s">
        <v>8</v>
      </c>
      <c r="P308" s="96" t="s">
        <v>9</v>
      </c>
      <c r="Q308" s="62" t="s">
        <v>10</v>
      </c>
      <c r="R308" s="98" t="s">
        <v>33</v>
      </c>
    </row>
    <row r="309" spans="1:18">
      <c r="A309" s="99"/>
      <c r="B309" s="99"/>
      <c r="C309" s="100"/>
      <c r="D309" s="101"/>
      <c r="E309" s="102"/>
      <c r="F309" s="100"/>
      <c r="G309" s="103" t="s">
        <v>12</v>
      </c>
      <c r="H309" s="103" t="s">
        <v>12</v>
      </c>
      <c r="I309" s="119" t="s">
        <v>19</v>
      </c>
      <c r="J309" s="131" t="s">
        <v>35</v>
      </c>
      <c r="K309" s="131" t="s">
        <v>517</v>
      </c>
      <c r="L309" s="103" t="s">
        <v>22</v>
      </c>
      <c r="M309" s="103" t="s">
        <v>15</v>
      </c>
      <c r="N309" s="103" t="s">
        <v>13</v>
      </c>
      <c r="O309" s="103" t="s">
        <v>14</v>
      </c>
      <c r="P309" s="103" t="s">
        <v>12</v>
      </c>
      <c r="Q309" s="99"/>
      <c r="R309" s="104"/>
    </row>
    <row r="310" spans="1:18">
      <c r="A310" s="99"/>
      <c r="B310" s="99"/>
      <c r="C310" s="105"/>
      <c r="D310" s="101"/>
      <c r="E310" s="102"/>
      <c r="F310" s="100"/>
      <c r="G310" s="103" t="s">
        <v>42</v>
      </c>
      <c r="H310" s="103" t="s">
        <v>22</v>
      </c>
      <c r="I310" s="119" t="s">
        <v>5</v>
      </c>
      <c r="J310" s="131"/>
      <c r="K310" s="131"/>
      <c r="L310" s="103"/>
      <c r="M310" s="103"/>
      <c r="N310" s="103"/>
      <c r="O310" s="103"/>
      <c r="P310" s="103"/>
      <c r="Q310" s="99"/>
      <c r="R310" s="104"/>
    </row>
    <row r="311" spans="1:18">
      <c r="A311" s="106"/>
      <c r="B311" s="106"/>
      <c r="C311" s="107"/>
      <c r="D311" s="108"/>
      <c r="E311" s="109"/>
      <c r="F311" s="110"/>
      <c r="G311" s="111"/>
      <c r="H311" s="112"/>
      <c r="I311" s="75"/>
      <c r="J311" s="132"/>
      <c r="K311" s="132"/>
      <c r="L311" s="113"/>
      <c r="M311" s="108"/>
      <c r="N311" s="111"/>
      <c r="O311" s="111"/>
      <c r="P311" s="111"/>
      <c r="Q311" s="106"/>
      <c r="R311" s="114"/>
    </row>
    <row r="312" spans="1:18" ht="15.75">
      <c r="A312" s="52"/>
      <c r="B312" s="47"/>
      <c r="C312" s="48"/>
      <c r="D312" s="73"/>
      <c r="E312" s="17"/>
      <c r="F312" s="48"/>
      <c r="G312" s="36"/>
      <c r="H312" s="36"/>
      <c r="I312" s="125"/>
      <c r="J312" s="36"/>
      <c r="K312" s="36"/>
      <c r="L312" s="8"/>
      <c r="N312" s="8"/>
      <c r="O312" s="8"/>
      <c r="P312" s="8"/>
      <c r="Q312" s="35"/>
      <c r="R312" s="37"/>
    </row>
    <row r="313" spans="1:18" ht="15.75">
      <c r="A313" s="52">
        <v>1</v>
      </c>
      <c r="B313" s="51" t="s">
        <v>719</v>
      </c>
      <c r="C313" s="48" t="s">
        <v>720</v>
      </c>
      <c r="D313" s="67" t="s">
        <v>721</v>
      </c>
      <c r="E313" s="17">
        <v>43277</v>
      </c>
      <c r="F313" s="20" t="s">
        <v>722</v>
      </c>
      <c r="G313" s="36">
        <v>0</v>
      </c>
      <c r="H313" s="8">
        <v>22208000</v>
      </c>
      <c r="I313" s="8">
        <v>555200</v>
      </c>
      <c r="J313" s="8">
        <v>0</v>
      </c>
      <c r="K313" s="8">
        <v>0</v>
      </c>
      <c r="L313" s="8">
        <v>700000</v>
      </c>
      <c r="M313" s="8">
        <v>200000</v>
      </c>
      <c r="N313" s="8">
        <f>SUM(G313:M313)</f>
        <v>23663200</v>
      </c>
      <c r="O313" s="8">
        <f>100000000-N313</f>
        <v>76336800</v>
      </c>
      <c r="P313" s="8">
        <f t="shared" ref="P313" si="52">+N313+O313</f>
        <v>100000000</v>
      </c>
      <c r="Q313" s="77" t="s">
        <v>292</v>
      </c>
      <c r="R313" s="66" t="s">
        <v>52</v>
      </c>
    </row>
    <row r="314" spans="1:18" ht="15.75">
      <c r="A314" s="52">
        <v>2</v>
      </c>
      <c r="B314" s="51" t="s">
        <v>723</v>
      </c>
      <c r="C314" s="48" t="s">
        <v>724</v>
      </c>
      <c r="D314" s="67" t="s">
        <v>725</v>
      </c>
      <c r="E314" s="17">
        <v>43277</v>
      </c>
      <c r="F314" s="20" t="s">
        <v>726</v>
      </c>
      <c r="G314" s="36">
        <v>19151500</v>
      </c>
      <c r="H314" s="8">
        <v>0</v>
      </c>
      <c r="I314" s="8">
        <v>478788</v>
      </c>
      <c r="J314" s="8">
        <v>0</v>
      </c>
      <c r="K314" s="8">
        <v>0</v>
      </c>
      <c r="L314" s="8">
        <v>1200000</v>
      </c>
      <c r="M314" s="8">
        <v>200000</v>
      </c>
      <c r="N314" s="8">
        <f t="shared" ref="N314:N315" si="53">SUM(G314:M314)</f>
        <v>21030288</v>
      </c>
      <c r="O314" s="8">
        <f>150000000-N314</f>
        <v>128969712</v>
      </c>
      <c r="P314" s="8">
        <f t="shared" ref="P314" si="54">+N314+O314</f>
        <v>150000000</v>
      </c>
      <c r="Q314" s="77" t="s">
        <v>400</v>
      </c>
      <c r="R314" s="66" t="s">
        <v>52</v>
      </c>
    </row>
    <row r="315" spans="1:18" ht="15.75">
      <c r="A315" s="52">
        <v>3</v>
      </c>
      <c r="B315" s="51" t="s">
        <v>727</v>
      </c>
      <c r="C315" s="48" t="s">
        <v>728</v>
      </c>
      <c r="D315" s="67" t="s">
        <v>729</v>
      </c>
      <c r="E315" s="17">
        <v>43277</v>
      </c>
      <c r="F315" s="20" t="s">
        <v>730</v>
      </c>
      <c r="G315" s="36">
        <v>0</v>
      </c>
      <c r="H315" s="8">
        <v>90831000</v>
      </c>
      <c r="I315" s="8">
        <v>2270775</v>
      </c>
      <c r="J315" s="8">
        <v>0</v>
      </c>
      <c r="K315" s="8">
        <v>0</v>
      </c>
      <c r="L315" s="8">
        <v>1091690</v>
      </c>
      <c r="M315" s="8">
        <v>200000</v>
      </c>
      <c r="N315" s="8">
        <f t="shared" si="53"/>
        <v>94393465</v>
      </c>
      <c r="O315" s="8">
        <f>200000000-N315</f>
        <v>105606535</v>
      </c>
      <c r="P315" s="8">
        <f t="shared" ref="P315" si="55">+N315+O315</f>
        <v>200000000</v>
      </c>
      <c r="Q315" s="77" t="s">
        <v>731</v>
      </c>
      <c r="R315" s="66" t="s">
        <v>52</v>
      </c>
    </row>
    <row r="316" spans="1:18" ht="15.75">
      <c r="A316" s="52"/>
      <c r="B316" s="51"/>
      <c r="C316" s="48"/>
      <c r="E316" s="17"/>
      <c r="F316" s="48"/>
      <c r="G316" s="36"/>
      <c r="H316" s="36"/>
      <c r="I316" s="75"/>
      <c r="J316" s="36"/>
      <c r="K316" s="36"/>
      <c r="L316" s="36"/>
      <c r="N316" s="8"/>
      <c r="O316" s="8"/>
      <c r="P316" s="8"/>
      <c r="Q316" s="59"/>
      <c r="R316" s="66"/>
    </row>
    <row r="317" spans="1:18" ht="16.5" thickBot="1">
      <c r="A317" s="18"/>
      <c r="B317" s="55"/>
      <c r="C317" s="56"/>
      <c r="D317" s="74"/>
      <c r="E317" s="56"/>
      <c r="F317" s="57"/>
      <c r="G317" s="19">
        <f>SUM(G313:G316)</f>
        <v>19151500</v>
      </c>
      <c r="H317" s="19">
        <f t="shared" ref="H317:P317" si="56">SUM(H313:H316)</f>
        <v>113039000</v>
      </c>
      <c r="I317" s="19">
        <f t="shared" si="56"/>
        <v>3304763</v>
      </c>
      <c r="J317" s="19">
        <f t="shared" si="56"/>
        <v>0</v>
      </c>
      <c r="K317" s="19">
        <f t="shared" si="56"/>
        <v>0</v>
      </c>
      <c r="L317" s="19">
        <f t="shared" si="56"/>
        <v>2991690</v>
      </c>
      <c r="M317" s="19">
        <f t="shared" si="56"/>
        <v>600000</v>
      </c>
      <c r="N317" s="19">
        <f t="shared" si="56"/>
        <v>139086953</v>
      </c>
      <c r="O317" s="19">
        <f t="shared" si="56"/>
        <v>310913047</v>
      </c>
      <c r="P317" s="19">
        <f t="shared" si="56"/>
        <v>450000000</v>
      </c>
      <c r="Q317" s="68"/>
      <c r="R317" s="70"/>
    </row>
    <row r="318" spans="1:18" ht="16.5" thickTop="1">
      <c r="A318" s="23"/>
      <c r="B318" s="22"/>
      <c r="C318" s="22"/>
      <c r="D318" s="23"/>
      <c r="E318" s="22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2"/>
      <c r="Q318" s="69"/>
    </row>
    <row r="319" spans="1:18" ht="15.75">
      <c r="A319" s="23"/>
      <c r="B319" s="28" t="s">
        <v>706</v>
      </c>
      <c r="C319" s="22"/>
      <c r="D319" s="39"/>
      <c r="F319" s="27"/>
      <c r="G319" s="28"/>
      <c r="H319" s="28"/>
      <c r="I319" s="28"/>
      <c r="J319" s="28"/>
      <c r="K319" s="28"/>
      <c r="L319" s="28"/>
      <c r="Q319" s="51"/>
    </row>
    <row r="320" spans="1:18" ht="15.75">
      <c r="A320" s="38"/>
      <c r="B320" s="40" t="s">
        <v>32</v>
      </c>
      <c r="C320" s="28" t="s">
        <v>28</v>
      </c>
      <c r="D320" s="39"/>
      <c r="F320" s="41"/>
      <c r="G320" s="143" t="s">
        <v>26</v>
      </c>
      <c r="H320" s="143"/>
      <c r="I320" s="143"/>
      <c r="K320" s="41"/>
    </row>
    <row r="321" spans="1:18" ht="15.75">
      <c r="A321" s="38"/>
      <c r="B321" s="40"/>
      <c r="C321" s="28"/>
      <c r="D321" s="39"/>
      <c r="F321" s="28"/>
      <c r="G321" s="28"/>
      <c r="H321" s="28"/>
      <c r="I321" s="28"/>
      <c r="J321" s="28"/>
      <c r="K321" s="28"/>
      <c r="L321" s="28"/>
    </row>
    <row r="322" spans="1:18" ht="15.75">
      <c r="A322" s="38"/>
      <c r="B322" s="40"/>
      <c r="C322" s="28"/>
      <c r="D322" s="39"/>
      <c r="F322" s="28"/>
      <c r="G322" s="28"/>
      <c r="H322" s="28"/>
      <c r="I322" s="28"/>
      <c r="J322" s="28"/>
      <c r="K322" s="28"/>
      <c r="L322" s="28"/>
    </row>
    <row r="323" spans="1:18" ht="15.75">
      <c r="A323" s="38"/>
      <c r="B323" s="40"/>
      <c r="C323" s="28"/>
      <c r="D323" s="39"/>
      <c r="F323" s="28"/>
      <c r="G323" s="28"/>
      <c r="H323" s="28"/>
      <c r="I323" s="28"/>
      <c r="J323" s="28"/>
      <c r="K323" s="28"/>
    </row>
    <row r="324" spans="1:18" ht="15.75">
      <c r="A324" s="38"/>
      <c r="B324" s="40"/>
      <c r="C324" s="28"/>
      <c r="D324" s="39"/>
      <c r="F324" s="28"/>
      <c r="G324" s="28"/>
      <c r="H324" s="28"/>
      <c r="I324" s="28"/>
      <c r="J324" s="28"/>
      <c r="K324" s="28"/>
      <c r="L324" s="28"/>
    </row>
    <row r="325" spans="1:18" ht="15.75">
      <c r="A325" s="38" t="s">
        <v>23</v>
      </c>
      <c r="B325" s="42" t="s">
        <v>27</v>
      </c>
      <c r="C325" s="43" t="s">
        <v>24</v>
      </c>
      <c r="D325" s="39"/>
      <c r="F325" s="29"/>
      <c r="G325" s="29" t="s">
        <v>16</v>
      </c>
      <c r="H325" s="29"/>
      <c r="I325" s="29" t="s">
        <v>30</v>
      </c>
    </row>
    <row r="326" spans="1:18" ht="15.75">
      <c r="A326" s="38"/>
      <c r="B326" s="44" t="s">
        <v>31</v>
      </c>
      <c r="C326" s="45" t="s">
        <v>20</v>
      </c>
      <c r="D326" s="39"/>
      <c r="F326" s="46"/>
      <c r="G326" s="46" t="s">
        <v>17</v>
      </c>
      <c r="H326" s="46"/>
      <c r="I326" s="46" t="s">
        <v>25</v>
      </c>
    </row>
    <row r="328" spans="1:18" ht="15.75">
      <c r="A328" s="21" t="s">
        <v>0</v>
      </c>
      <c r="B328" s="22"/>
      <c r="C328" s="23"/>
      <c r="D328" s="23"/>
      <c r="E328" s="23"/>
      <c r="F328" s="24"/>
      <c r="G328" s="24"/>
      <c r="H328" s="24"/>
      <c r="I328" s="24"/>
      <c r="J328" s="24"/>
      <c r="K328" s="24"/>
      <c r="L328" s="25"/>
    </row>
    <row r="329" spans="1:18" ht="15.75">
      <c r="A329" s="26" t="s">
        <v>705</v>
      </c>
      <c r="B329" s="21"/>
      <c r="C329" s="21"/>
      <c r="D329" s="21"/>
      <c r="E329" s="21"/>
      <c r="F329" s="24"/>
      <c r="G329" s="24"/>
      <c r="H329" s="24"/>
      <c r="I329" s="24"/>
      <c r="J329" s="24"/>
      <c r="K329" s="24"/>
      <c r="L329" s="25"/>
    </row>
    <row r="330" spans="1:18">
      <c r="A330" s="62"/>
      <c r="B330" s="62" t="s">
        <v>1</v>
      </c>
      <c r="C330" s="93" t="s">
        <v>2</v>
      </c>
      <c r="D330" s="117" t="s">
        <v>34</v>
      </c>
      <c r="E330" s="95" t="s">
        <v>3</v>
      </c>
      <c r="F330" s="93" t="s">
        <v>4</v>
      </c>
      <c r="G330" s="96" t="s">
        <v>18</v>
      </c>
      <c r="H330" s="96" t="s">
        <v>18</v>
      </c>
      <c r="I330" s="97" t="s">
        <v>7</v>
      </c>
      <c r="J330" s="130" t="s">
        <v>6</v>
      </c>
      <c r="K330" s="130" t="s">
        <v>6</v>
      </c>
      <c r="L330" s="96" t="s">
        <v>29</v>
      </c>
      <c r="M330" s="96" t="s">
        <v>21</v>
      </c>
      <c r="N330" s="96" t="s">
        <v>8</v>
      </c>
      <c r="O330" s="96" t="s">
        <v>8</v>
      </c>
      <c r="P330" s="96" t="s">
        <v>9</v>
      </c>
      <c r="Q330" s="62" t="s">
        <v>10</v>
      </c>
      <c r="R330" s="98" t="s">
        <v>33</v>
      </c>
    </row>
    <row r="331" spans="1:18">
      <c r="A331" s="99"/>
      <c r="B331" s="99"/>
      <c r="C331" s="100"/>
      <c r="D331" s="101"/>
      <c r="E331" s="102"/>
      <c r="F331" s="100"/>
      <c r="G331" s="103" t="s">
        <v>12</v>
      </c>
      <c r="H331" s="103" t="s">
        <v>12</v>
      </c>
      <c r="I331" s="119" t="s">
        <v>19</v>
      </c>
      <c r="J331" s="131" t="s">
        <v>35</v>
      </c>
      <c r="K331" s="131" t="s">
        <v>517</v>
      </c>
      <c r="L331" s="103" t="s">
        <v>22</v>
      </c>
      <c r="M331" s="103" t="s">
        <v>15</v>
      </c>
      <c r="N331" s="103" t="s">
        <v>13</v>
      </c>
      <c r="O331" s="103" t="s">
        <v>14</v>
      </c>
      <c r="P331" s="103" t="s">
        <v>12</v>
      </c>
      <c r="Q331" s="99"/>
      <c r="R331" s="104"/>
    </row>
    <row r="332" spans="1:18">
      <c r="A332" s="99"/>
      <c r="B332" s="99"/>
      <c r="C332" s="105"/>
      <c r="D332" s="101"/>
      <c r="E332" s="102"/>
      <c r="F332" s="100"/>
      <c r="G332" s="103" t="s">
        <v>42</v>
      </c>
      <c r="H332" s="103" t="s">
        <v>22</v>
      </c>
      <c r="I332" s="119" t="s">
        <v>5</v>
      </c>
      <c r="J332" s="131"/>
      <c r="K332" s="131"/>
      <c r="L332" s="103"/>
      <c r="M332" s="103"/>
      <c r="N332" s="103"/>
      <c r="O332" s="103"/>
      <c r="P332" s="103"/>
      <c r="Q332" s="99"/>
      <c r="R332" s="104"/>
    </row>
    <row r="333" spans="1:18">
      <c r="A333" s="106"/>
      <c r="B333" s="106"/>
      <c r="C333" s="107"/>
      <c r="D333" s="108"/>
      <c r="E333" s="109"/>
      <c r="F333" s="110"/>
      <c r="G333" s="111"/>
      <c r="H333" s="112"/>
      <c r="I333" s="75"/>
      <c r="J333" s="132"/>
      <c r="K333" s="132"/>
      <c r="L333" s="113"/>
      <c r="M333" s="108"/>
      <c r="N333" s="111"/>
      <c r="O333" s="111"/>
      <c r="P333" s="111"/>
      <c r="Q333" s="106"/>
      <c r="R333" s="114"/>
    </row>
    <row r="334" spans="1:18" ht="15.75">
      <c r="A334" s="52"/>
      <c r="B334" s="47"/>
      <c r="C334" s="48"/>
      <c r="D334" s="73"/>
      <c r="E334" s="17"/>
      <c r="F334" s="48"/>
      <c r="G334" s="36"/>
      <c r="H334" s="36"/>
      <c r="I334" s="125"/>
      <c r="J334" s="36"/>
      <c r="K334" s="36"/>
      <c r="L334" s="8"/>
      <c r="N334" s="8"/>
      <c r="O334" s="8"/>
      <c r="P334" s="8"/>
      <c r="Q334" s="35"/>
      <c r="R334" s="37"/>
    </row>
    <row r="335" spans="1:18" ht="15.75">
      <c r="A335" s="52">
        <v>1</v>
      </c>
      <c r="B335" s="51" t="s">
        <v>715</v>
      </c>
      <c r="C335" s="48" t="s">
        <v>716</v>
      </c>
      <c r="D335" s="67" t="s">
        <v>717</v>
      </c>
      <c r="E335" s="17">
        <v>43277</v>
      </c>
      <c r="F335" s="20" t="s">
        <v>718</v>
      </c>
      <c r="G335" s="36">
        <v>0</v>
      </c>
      <c r="H335" s="8">
        <v>35135000</v>
      </c>
      <c r="I335" s="8">
        <v>878375</v>
      </c>
      <c r="J335" s="8">
        <v>0</v>
      </c>
      <c r="K335" s="8">
        <v>0</v>
      </c>
      <c r="L335" s="8">
        <v>148650</v>
      </c>
      <c r="M335" s="8">
        <v>200000</v>
      </c>
      <c r="N335" s="8">
        <f>SUM(G335:M335)</f>
        <v>36362025</v>
      </c>
      <c r="O335" s="8">
        <f>50000000-N335</f>
        <v>13637975</v>
      </c>
      <c r="P335" s="8">
        <f t="shared" ref="P335" si="57">+N335+O335</f>
        <v>50000000</v>
      </c>
      <c r="Q335" s="77" t="s">
        <v>235</v>
      </c>
      <c r="R335" s="66" t="s">
        <v>52</v>
      </c>
    </row>
    <row r="336" spans="1:18" ht="15.75">
      <c r="A336" s="52"/>
      <c r="B336" s="51"/>
      <c r="C336" s="48"/>
      <c r="E336" s="17"/>
      <c r="F336" s="48"/>
      <c r="G336" s="36"/>
      <c r="H336" s="36"/>
      <c r="I336" s="75"/>
      <c r="J336" s="36"/>
      <c r="K336" s="36"/>
      <c r="L336" s="36"/>
      <c r="N336" s="8"/>
      <c r="O336" s="8"/>
      <c r="P336" s="8"/>
      <c r="Q336" s="59"/>
      <c r="R336" s="66"/>
    </row>
    <row r="337" spans="1:18" ht="16.5" thickBot="1">
      <c r="A337" s="18"/>
      <c r="B337" s="55"/>
      <c r="C337" s="56"/>
      <c r="D337" s="74"/>
      <c r="E337" s="56"/>
      <c r="F337" s="57"/>
      <c r="G337" s="19">
        <f t="shared" ref="G337:P337" si="58">SUM(G335:G336)</f>
        <v>0</v>
      </c>
      <c r="H337" s="19">
        <f t="shared" si="58"/>
        <v>35135000</v>
      </c>
      <c r="I337" s="19">
        <f t="shared" si="58"/>
        <v>878375</v>
      </c>
      <c r="J337" s="19">
        <f t="shared" si="58"/>
        <v>0</v>
      </c>
      <c r="K337" s="19">
        <f t="shared" si="58"/>
        <v>0</v>
      </c>
      <c r="L337" s="19">
        <f t="shared" si="58"/>
        <v>148650</v>
      </c>
      <c r="M337" s="19">
        <f t="shared" si="58"/>
        <v>200000</v>
      </c>
      <c r="N337" s="19">
        <f t="shared" si="58"/>
        <v>36362025</v>
      </c>
      <c r="O337" s="19">
        <f t="shared" si="58"/>
        <v>13637975</v>
      </c>
      <c r="P337" s="19">
        <f t="shared" si="58"/>
        <v>50000000</v>
      </c>
      <c r="Q337" s="68"/>
      <c r="R337" s="70"/>
    </row>
    <row r="338" spans="1:18" ht="16.5" thickTop="1">
      <c r="A338" s="23"/>
      <c r="B338" s="22"/>
      <c r="C338" s="22"/>
      <c r="D338" s="23"/>
      <c r="E338" s="22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2"/>
      <c r="Q338" s="69"/>
    </row>
    <row r="339" spans="1:18" ht="15.75">
      <c r="A339" s="23"/>
      <c r="B339" s="28" t="s">
        <v>706</v>
      </c>
      <c r="C339" s="22"/>
      <c r="D339" s="39"/>
      <c r="F339" s="27"/>
      <c r="G339" s="28"/>
      <c r="H339" s="28"/>
      <c r="I339" s="28"/>
      <c r="J339" s="28"/>
      <c r="K339" s="28"/>
      <c r="L339" s="28"/>
      <c r="Q339" s="51"/>
    </row>
    <row r="340" spans="1:18" ht="15.75">
      <c r="A340" s="38"/>
      <c r="B340" s="40" t="s">
        <v>32</v>
      </c>
      <c r="C340" s="28" t="s">
        <v>28</v>
      </c>
      <c r="D340" s="39"/>
      <c r="F340" s="41"/>
      <c r="G340" s="143" t="s">
        <v>26</v>
      </c>
      <c r="H340" s="143"/>
      <c r="I340" s="143"/>
      <c r="K340" s="41"/>
    </row>
    <row r="341" spans="1:18" ht="15.75">
      <c r="A341" s="38"/>
      <c r="B341" s="40"/>
      <c r="C341" s="28"/>
      <c r="D341" s="39"/>
      <c r="F341" s="28"/>
      <c r="G341" s="28"/>
      <c r="H341" s="28"/>
      <c r="I341" s="28"/>
      <c r="J341" s="28"/>
      <c r="K341" s="28"/>
      <c r="L341" s="28"/>
    </row>
    <row r="342" spans="1:18" ht="15.75">
      <c r="A342" s="38"/>
      <c r="B342" s="40"/>
      <c r="C342" s="28"/>
      <c r="D342" s="39"/>
      <c r="F342" s="28"/>
      <c r="G342" s="28"/>
      <c r="H342" s="28"/>
      <c r="I342" s="28"/>
      <c r="J342" s="28"/>
      <c r="K342" s="28"/>
      <c r="L342" s="28"/>
    </row>
    <row r="343" spans="1:18" ht="15.75">
      <c r="A343" s="38"/>
      <c r="B343" s="40"/>
      <c r="C343" s="28"/>
      <c r="D343" s="39"/>
      <c r="F343" s="28"/>
      <c r="G343" s="28"/>
      <c r="H343" s="28"/>
      <c r="I343" s="28"/>
      <c r="J343" s="28"/>
      <c r="K343" s="28"/>
    </row>
    <row r="344" spans="1:18" ht="15.75">
      <c r="A344" s="38"/>
      <c r="B344" s="40"/>
      <c r="C344" s="28"/>
      <c r="D344" s="39"/>
      <c r="F344" s="28"/>
      <c r="G344" s="28"/>
      <c r="H344" s="28"/>
      <c r="I344" s="28"/>
      <c r="J344" s="28"/>
      <c r="K344" s="28"/>
      <c r="L344" s="28"/>
    </row>
    <row r="345" spans="1:18" ht="15.75">
      <c r="A345" s="38" t="s">
        <v>23</v>
      </c>
      <c r="B345" s="42" t="s">
        <v>27</v>
      </c>
      <c r="C345" s="43" t="s">
        <v>24</v>
      </c>
      <c r="D345" s="39"/>
      <c r="F345" s="29"/>
      <c r="G345" s="29" t="s">
        <v>16</v>
      </c>
      <c r="H345" s="29"/>
      <c r="I345" s="29" t="s">
        <v>30</v>
      </c>
    </row>
    <row r="346" spans="1:18" ht="15.75">
      <c r="A346" s="38"/>
      <c r="B346" s="44" t="s">
        <v>31</v>
      </c>
      <c r="C346" s="45" t="s">
        <v>20</v>
      </c>
      <c r="D346" s="39"/>
      <c r="F346" s="46"/>
      <c r="G346" s="46" t="s">
        <v>17</v>
      </c>
      <c r="H346" s="46"/>
      <c r="I346" s="46" t="s">
        <v>25</v>
      </c>
    </row>
    <row r="348" spans="1:18" ht="15.75">
      <c r="A348" s="21" t="s">
        <v>0</v>
      </c>
      <c r="B348" s="22"/>
      <c r="C348" s="23"/>
      <c r="D348" s="23"/>
      <c r="E348" s="23"/>
      <c r="F348" s="24"/>
      <c r="G348" s="24"/>
      <c r="H348" s="24"/>
      <c r="I348" s="24"/>
      <c r="J348" s="24"/>
      <c r="K348" s="24"/>
      <c r="L348" s="25"/>
    </row>
    <row r="349" spans="1:18" ht="15.75">
      <c r="A349" s="26" t="s">
        <v>732</v>
      </c>
      <c r="B349" s="21"/>
      <c r="C349" s="21"/>
      <c r="D349" s="21"/>
      <c r="E349" s="21"/>
      <c r="F349" s="24"/>
      <c r="G349" s="24"/>
      <c r="H349" s="24"/>
      <c r="I349" s="24"/>
      <c r="J349" s="24"/>
      <c r="K349" s="24"/>
      <c r="L349" s="25"/>
    </row>
    <row r="350" spans="1:18">
      <c r="A350" s="62"/>
      <c r="B350" s="62" t="s">
        <v>1</v>
      </c>
      <c r="C350" s="93" t="s">
        <v>2</v>
      </c>
      <c r="D350" s="117" t="s">
        <v>34</v>
      </c>
      <c r="E350" s="95" t="s">
        <v>3</v>
      </c>
      <c r="F350" s="93" t="s">
        <v>4</v>
      </c>
      <c r="G350" s="96" t="s">
        <v>18</v>
      </c>
      <c r="H350" s="96" t="s">
        <v>18</v>
      </c>
      <c r="I350" s="97" t="s">
        <v>7</v>
      </c>
      <c r="J350" s="130" t="s">
        <v>6</v>
      </c>
      <c r="K350" s="130" t="s">
        <v>6</v>
      </c>
      <c r="L350" s="96" t="s">
        <v>29</v>
      </c>
      <c r="M350" s="96" t="s">
        <v>21</v>
      </c>
      <c r="N350" s="96" t="s">
        <v>8</v>
      </c>
      <c r="O350" s="96" t="s">
        <v>8</v>
      </c>
      <c r="P350" s="96" t="s">
        <v>9</v>
      </c>
      <c r="Q350" s="62" t="s">
        <v>10</v>
      </c>
      <c r="R350" s="98" t="s">
        <v>33</v>
      </c>
    </row>
    <row r="351" spans="1:18">
      <c r="A351" s="99"/>
      <c r="B351" s="99"/>
      <c r="C351" s="100"/>
      <c r="D351" s="101"/>
      <c r="E351" s="102"/>
      <c r="F351" s="100"/>
      <c r="G351" s="103" t="s">
        <v>12</v>
      </c>
      <c r="H351" s="103" t="s">
        <v>12</v>
      </c>
      <c r="I351" s="119" t="s">
        <v>19</v>
      </c>
      <c r="J351" s="131" t="s">
        <v>35</v>
      </c>
      <c r="K351" s="131" t="s">
        <v>517</v>
      </c>
      <c r="L351" s="103" t="s">
        <v>22</v>
      </c>
      <c r="M351" s="103" t="s">
        <v>15</v>
      </c>
      <c r="N351" s="103" t="s">
        <v>13</v>
      </c>
      <c r="O351" s="103" t="s">
        <v>14</v>
      </c>
      <c r="P351" s="103" t="s">
        <v>12</v>
      </c>
      <c r="Q351" s="99"/>
      <c r="R351" s="104"/>
    </row>
    <row r="352" spans="1:18">
      <c r="A352" s="99"/>
      <c r="B352" s="99"/>
      <c r="C352" s="105"/>
      <c r="D352" s="101"/>
      <c r="E352" s="102"/>
      <c r="F352" s="100"/>
      <c r="G352" s="103" t="s">
        <v>42</v>
      </c>
      <c r="H352" s="103" t="s">
        <v>22</v>
      </c>
      <c r="I352" s="119" t="s">
        <v>5</v>
      </c>
      <c r="J352" s="131"/>
      <c r="K352" s="131"/>
      <c r="L352" s="103"/>
      <c r="M352" s="103"/>
      <c r="N352" s="103"/>
      <c r="O352" s="103"/>
      <c r="P352" s="103"/>
      <c r="Q352" s="99"/>
      <c r="R352" s="104"/>
    </row>
    <row r="353" spans="1:18">
      <c r="A353" s="106"/>
      <c r="B353" s="106"/>
      <c r="C353" s="107"/>
      <c r="D353" s="108"/>
      <c r="E353" s="109"/>
      <c r="F353" s="110"/>
      <c r="G353" s="111"/>
      <c r="H353" s="112"/>
      <c r="I353" s="75"/>
      <c r="J353" s="132"/>
      <c r="K353" s="132"/>
      <c r="L353" s="113"/>
      <c r="M353" s="108"/>
      <c r="N353" s="111"/>
      <c r="O353" s="111"/>
      <c r="P353" s="111"/>
      <c r="Q353" s="106"/>
      <c r="R353" s="114"/>
    </row>
    <row r="354" spans="1:18" ht="15.75">
      <c r="A354" s="52"/>
      <c r="B354" s="47"/>
      <c r="C354" s="48"/>
      <c r="D354" s="73"/>
      <c r="E354" s="17"/>
      <c r="F354" s="48"/>
      <c r="G354" s="36"/>
      <c r="H354" s="36"/>
      <c r="I354" s="125"/>
      <c r="J354" s="36"/>
      <c r="K354" s="36"/>
      <c r="L354" s="8"/>
      <c r="N354" s="8"/>
      <c r="O354" s="8"/>
      <c r="P354" s="8"/>
      <c r="Q354" s="35"/>
      <c r="R354" s="37"/>
    </row>
    <row r="355" spans="1:18" ht="15.75">
      <c r="A355" s="52">
        <v>1</v>
      </c>
      <c r="B355" s="51" t="s">
        <v>733</v>
      </c>
      <c r="C355" s="48" t="s">
        <v>734</v>
      </c>
      <c r="D355" s="67" t="s">
        <v>735</v>
      </c>
      <c r="E355" s="17">
        <v>43279</v>
      </c>
      <c r="F355" s="20" t="s">
        <v>736</v>
      </c>
      <c r="G355" s="36">
        <v>0</v>
      </c>
      <c r="H355" s="8">
        <v>277996991</v>
      </c>
      <c r="I355" s="8">
        <v>6949925</v>
      </c>
      <c r="J355" s="8">
        <v>0</v>
      </c>
      <c r="K355" s="8">
        <v>0</v>
      </c>
      <c r="L355" s="8">
        <v>2000000</v>
      </c>
      <c r="M355" s="8">
        <v>200000</v>
      </c>
      <c r="N355" s="8">
        <f>SUM(G355:M355)</f>
        <v>287146916</v>
      </c>
      <c r="O355" s="8">
        <f>487146916-N355</f>
        <v>200000000</v>
      </c>
      <c r="P355" s="8">
        <f t="shared" ref="P355" si="59">+N355+O355</f>
        <v>487146916</v>
      </c>
      <c r="Q355" s="77" t="s">
        <v>385</v>
      </c>
      <c r="R355" s="66" t="s">
        <v>52</v>
      </c>
    </row>
    <row r="356" spans="1:18" ht="15.75">
      <c r="A356" s="52"/>
      <c r="B356" s="51"/>
      <c r="C356" s="48"/>
      <c r="E356" s="17"/>
      <c r="F356" s="48"/>
      <c r="G356" s="36"/>
      <c r="H356" s="36"/>
      <c r="I356" s="75"/>
      <c r="J356" s="36"/>
      <c r="K356" s="36"/>
      <c r="L356" s="36"/>
      <c r="N356" s="8"/>
      <c r="O356" s="8"/>
      <c r="P356" s="8"/>
      <c r="Q356" s="59"/>
      <c r="R356" s="66"/>
    </row>
    <row r="357" spans="1:18" ht="16.5" thickBot="1">
      <c r="A357" s="18"/>
      <c r="B357" s="55"/>
      <c r="C357" s="56"/>
      <c r="D357" s="74"/>
      <c r="E357" s="56"/>
      <c r="F357" s="57"/>
      <c r="G357" s="19">
        <f t="shared" ref="G357" si="60">SUM(G355:G356)</f>
        <v>0</v>
      </c>
      <c r="H357" s="19">
        <f t="shared" ref="H357" si="61">SUM(H355:H356)</f>
        <v>277996991</v>
      </c>
      <c r="I357" s="19">
        <f t="shared" ref="I357" si="62">SUM(I355:I356)</f>
        <v>6949925</v>
      </c>
      <c r="J357" s="19">
        <f t="shared" ref="J357" si="63">SUM(J355:J356)</f>
        <v>0</v>
      </c>
      <c r="K357" s="19">
        <f t="shared" ref="K357" si="64">SUM(K355:K356)</f>
        <v>0</v>
      </c>
      <c r="L357" s="19">
        <f t="shared" ref="L357" si="65">SUM(L355:L356)</f>
        <v>2000000</v>
      </c>
      <c r="M357" s="19">
        <f t="shared" ref="M357" si="66">SUM(M355:M356)</f>
        <v>200000</v>
      </c>
      <c r="N357" s="19">
        <f t="shared" ref="N357" si="67">SUM(N355:N356)</f>
        <v>287146916</v>
      </c>
      <c r="O357" s="19">
        <f t="shared" ref="O357" si="68">SUM(O355:O356)</f>
        <v>200000000</v>
      </c>
      <c r="P357" s="19">
        <f t="shared" ref="P357" si="69">SUM(P355:P356)</f>
        <v>487146916</v>
      </c>
      <c r="Q357" s="68"/>
      <c r="R357" s="70"/>
    </row>
    <row r="358" spans="1:18" ht="16.5" thickTop="1">
      <c r="A358" s="23"/>
      <c r="B358" s="22"/>
      <c r="C358" s="22"/>
      <c r="D358" s="23"/>
      <c r="E358" s="22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2"/>
      <c r="Q358" s="69"/>
    </row>
    <row r="359" spans="1:18" ht="15.75">
      <c r="A359" s="23"/>
      <c r="B359" s="28" t="s">
        <v>737</v>
      </c>
      <c r="C359" s="22"/>
      <c r="D359" s="39"/>
      <c r="F359" s="27"/>
      <c r="G359" s="28"/>
      <c r="H359" s="28"/>
      <c r="I359" s="28"/>
      <c r="J359" s="28"/>
      <c r="K359" s="28"/>
      <c r="L359" s="28"/>
      <c r="Q359" s="51"/>
    </row>
    <row r="360" spans="1:18" ht="15.75">
      <c r="A360" s="38"/>
      <c r="B360" s="40" t="s">
        <v>32</v>
      </c>
      <c r="C360" s="28" t="s">
        <v>28</v>
      </c>
      <c r="D360" s="39"/>
      <c r="F360" s="41"/>
      <c r="G360" s="143" t="s">
        <v>26</v>
      </c>
      <c r="H360" s="143"/>
      <c r="I360" s="143"/>
      <c r="K360" s="41"/>
    </row>
    <row r="361" spans="1:18" ht="15.75">
      <c r="A361" s="38"/>
      <c r="B361" s="40"/>
      <c r="C361" s="28"/>
      <c r="D361" s="39"/>
      <c r="F361" s="28"/>
      <c r="G361" s="28"/>
      <c r="H361" s="28"/>
      <c r="I361" s="28"/>
      <c r="J361" s="28"/>
      <c r="K361" s="28"/>
      <c r="L361" s="28"/>
    </row>
    <row r="362" spans="1:18" ht="15.75">
      <c r="A362" s="38"/>
      <c r="B362" s="40"/>
      <c r="C362" s="28"/>
      <c r="D362" s="39"/>
      <c r="F362" s="28"/>
      <c r="G362" s="28"/>
      <c r="H362" s="28"/>
      <c r="I362" s="28"/>
      <c r="J362" s="28"/>
      <c r="K362" s="28"/>
      <c r="L362" s="28"/>
    </row>
    <row r="363" spans="1:18" ht="15.75">
      <c r="A363" s="38"/>
      <c r="B363" s="40"/>
      <c r="C363" s="28"/>
      <c r="D363" s="39"/>
      <c r="F363" s="28"/>
      <c r="G363" s="28"/>
      <c r="H363" s="28"/>
      <c r="I363" s="28"/>
      <c r="J363" s="28"/>
      <c r="K363" s="28"/>
    </row>
    <row r="364" spans="1:18" ht="15.75">
      <c r="A364" s="38"/>
      <c r="B364" s="40"/>
      <c r="C364" s="28"/>
      <c r="D364" s="39"/>
      <c r="F364" s="28"/>
      <c r="G364" s="28"/>
      <c r="H364" s="28"/>
      <c r="I364" s="28"/>
      <c r="J364" s="28"/>
      <c r="K364" s="28"/>
      <c r="L364" s="28"/>
    </row>
    <row r="365" spans="1:18" ht="15.75">
      <c r="A365" s="38" t="s">
        <v>23</v>
      </c>
      <c r="B365" s="42" t="s">
        <v>27</v>
      </c>
      <c r="C365" s="43" t="s">
        <v>24</v>
      </c>
      <c r="D365" s="39"/>
      <c r="F365" s="29"/>
      <c r="G365" s="29" t="s">
        <v>16</v>
      </c>
      <c r="H365" s="29"/>
      <c r="I365" s="29" t="s">
        <v>30</v>
      </c>
    </row>
    <row r="366" spans="1:18" ht="15.75">
      <c r="A366" s="38"/>
      <c r="B366" s="44" t="s">
        <v>31</v>
      </c>
      <c r="C366" s="45" t="s">
        <v>20</v>
      </c>
      <c r="D366" s="39"/>
      <c r="F366" s="46"/>
      <c r="G366" s="46" t="s">
        <v>17</v>
      </c>
      <c r="H366" s="46"/>
      <c r="I366" s="46" t="s">
        <v>25</v>
      </c>
    </row>
    <row r="368" spans="1:18" ht="15.75">
      <c r="A368" s="21" t="s">
        <v>0</v>
      </c>
      <c r="B368" s="22"/>
      <c r="C368" s="23"/>
      <c r="D368" s="23"/>
      <c r="E368" s="23"/>
      <c r="F368" s="24"/>
      <c r="G368" s="24"/>
      <c r="H368" s="24"/>
      <c r="I368" s="24"/>
      <c r="J368" s="24"/>
      <c r="K368" s="24"/>
      <c r="L368" s="25"/>
    </row>
    <row r="369" spans="1:18" ht="15.75">
      <c r="A369" s="26" t="s">
        <v>732</v>
      </c>
      <c r="B369" s="21"/>
      <c r="C369" s="21"/>
      <c r="D369" s="21"/>
      <c r="E369" s="21"/>
      <c r="F369" s="24"/>
      <c r="G369" s="24"/>
      <c r="H369" s="24"/>
      <c r="I369" s="24"/>
      <c r="J369" s="24"/>
      <c r="K369" s="24"/>
      <c r="L369" s="25"/>
    </row>
    <row r="370" spans="1:18">
      <c r="A370" s="62"/>
      <c r="B370" s="62" t="s">
        <v>1</v>
      </c>
      <c r="C370" s="93" t="s">
        <v>2</v>
      </c>
      <c r="D370" s="117" t="s">
        <v>34</v>
      </c>
      <c r="E370" s="95" t="s">
        <v>3</v>
      </c>
      <c r="F370" s="93" t="s">
        <v>4</v>
      </c>
      <c r="G370" s="96" t="s">
        <v>18</v>
      </c>
      <c r="H370" s="96" t="s">
        <v>18</v>
      </c>
      <c r="I370" s="97" t="s">
        <v>7</v>
      </c>
      <c r="J370" s="130" t="s">
        <v>6</v>
      </c>
      <c r="K370" s="130" t="s">
        <v>6</v>
      </c>
      <c r="L370" s="96" t="s">
        <v>29</v>
      </c>
      <c r="M370" s="96" t="s">
        <v>21</v>
      </c>
      <c r="N370" s="96" t="s">
        <v>8</v>
      </c>
      <c r="O370" s="96" t="s">
        <v>8</v>
      </c>
      <c r="P370" s="96" t="s">
        <v>9</v>
      </c>
      <c r="Q370" s="62" t="s">
        <v>10</v>
      </c>
      <c r="R370" s="98" t="s">
        <v>33</v>
      </c>
    </row>
    <row r="371" spans="1:18">
      <c r="A371" s="99"/>
      <c r="B371" s="99"/>
      <c r="C371" s="100"/>
      <c r="D371" s="101"/>
      <c r="E371" s="102"/>
      <c r="F371" s="100"/>
      <c r="G371" s="103" t="s">
        <v>12</v>
      </c>
      <c r="H371" s="103" t="s">
        <v>12</v>
      </c>
      <c r="I371" s="119" t="s">
        <v>19</v>
      </c>
      <c r="J371" s="131" t="s">
        <v>35</v>
      </c>
      <c r="K371" s="131" t="s">
        <v>517</v>
      </c>
      <c r="L371" s="103" t="s">
        <v>22</v>
      </c>
      <c r="M371" s="103" t="s">
        <v>15</v>
      </c>
      <c r="N371" s="103" t="s">
        <v>13</v>
      </c>
      <c r="O371" s="103" t="s">
        <v>14</v>
      </c>
      <c r="P371" s="103" t="s">
        <v>12</v>
      </c>
      <c r="Q371" s="99"/>
      <c r="R371" s="104"/>
    </row>
    <row r="372" spans="1:18">
      <c r="A372" s="99"/>
      <c r="B372" s="99"/>
      <c r="C372" s="105"/>
      <c r="D372" s="101"/>
      <c r="E372" s="102"/>
      <c r="F372" s="100"/>
      <c r="G372" s="103" t="s">
        <v>42</v>
      </c>
      <c r="H372" s="103" t="s">
        <v>22</v>
      </c>
      <c r="I372" s="119" t="s">
        <v>5</v>
      </c>
      <c r="J372" s="131"/>
      <c r="K372" s="131"/>
      <c r="L372" s="103"/>
      <c r="M372" s="103"/>
      <c r="N372" s="103"/>
      <c r="O372" s="103"/>
      <c r="P372" s="103"/>
      <c r="Q372" s="99"/>
      <c r="R372" s="104"/>
    </row>
    <row r="373" spans="1:18">
      <c r="A373" s="106"/>
      <c r="B373" s="106"/>
      <c r="C373" s="107"/>
      <c r="D373" s="108"/>
      <c r="E373" s="109"/>
      <c r="F373" s="110"/>
      <c r="G373" s="111"/>
      <c r="H373" s="112"/>
      <c r="I373" s="75"/>
      <c r="J373" s="132"/>
      <c r="K373" s="132"/>
      <c r="L373" s="113"/>
      <c r="M373" s="108"/>
      <c r="N373" s="111"/>
      <c r="O373" s="111"/>
      <c r="P373" s="111"/>
      <c r="Q373" s="106"/>
      <c r="R373" s="114"/>
    </row>
    <row r="374" spans="1:18" ht="15.75">
      <c r="A374" s="52"/>
      <c r="B374" s="47"/>
      <c r="C374" s="48"/>
      <c r="D374" s="73"/>
      <c r="E374" s="17"/>
      <c r="F374" s="48"/>
      <c r="G374" s="36"/>
      <c r="H374" s="36"/>
      <c r="I374" s="125"/>
      <c r="J374" s="36"/>
      <c r="K374" s="36"/>
      <c r="L374" s="8"/>
      <c r="N374" s="8"/>
      <c r="O374" s="8"/>
      <c r="P374" s="8"/>
      <c r="Q374" s="35"/>
      <c r="R374" s="37"/>
    </row>
    <row r="375" spans="1:18" ht="15.75">
      <c r="A375" s="52">
        <v>1</v>
      </c>
      <c r="B375" s="51" t="s">
        <v>738</v>
      </c>
      <c r="C375" s="48" t="s">
        <v>739</v>
      </c>
      <c r="D375" s="67" t="s">
        <v>740</v>
      </c>
      <c r="E375" s="17">
        <v>43279</v>
      </c>
      <c r="F375" s="20" t="s">
        <v>741</v>
      </c>
      <c r="G375" s="36">
        <v>0</v>
      </c>
      <c r="H375" s="8">
        <v>0</v>
      </c>
      <c r="I375" s="8">
        <v>0</v>
      </c>
      <c r="J375" s="8">
        <v>0</v>
      </c>
      <c r="K375" s="8">
        <v>0</v>
      </c>
      <c r="L375" s="8">
        <v>100000</v>
      </c>
      <c r="M375" s="8">
        <v>200000</v>
      </c>
      <c r="N375" s="8">
        <f>SUM(G375:M375)</f>
        <v>300000</v>
      </c>
      <c r="O375" s="8">
        <f>40000000-N375</f>
        <v>39700000</v>
      </c>
      <c r="P375" s="8">
        <f t="shared" ref="P375" si="70">+N375+O375</f>
        <v>40000000</v>
      </c>
      <c r="Q375" s="77" t="s">
        <v>181</v>
      </c>
      <c r="R375" s="66" t="s">
        <v>58</v>
      </c>
    </row>
    <row r="376" spans="1:18" ht="15.75">
      <c r="A376" s="52"/>
      <c r="B376" s="138" t="s">
        <v>742</v>
      </c>
      <c r="C376" s="48"/>
      <c r="E376" s="17"/>
      <c r="F376" s="48"/>
      <c r="G376" s="36"/>
      <c r="H376" s="36"/>
      <c r="I376" s="75"/>
      <c r="J376" s="36"/>
      <c r="K376" s="36"/>
      <c r="L376" s="36"/>
      <c r="N376" s="8"/>
      <c r="O376" s="8"/>
      <c r="P376" s="8"/>
      <c r="Q376" s="59"/>
      <c r="R376" s="66"/>
    </row>
    <row r="377" spans="1:18" ht="16.5" thickBot="1">
      <c r="A377" s="18"/>
      <c r="B377" s="55"/>
      <c r="C377" s="56"/>
      <c r="D377" s="74"/>
      <c r="E377" s="56"/>
      <c r="F377" s="57"/>
      <c r="G377" s="19">
        <f t="shared" ref="G377" si="71">SUM(G375:G376)</f>
        <v>0</v>
      </c>
      <c r="H377" s="19">
        <f t="shared" ref="H377" si="72">SUM(H375:H376)</f>
        <v>0</v>
      </c>
      <c r="I377" s="19">
        <f t="shared" ref="I377" si="73">SUM(I375:I376)</f>
        <v>0</v>
      </c>
      <c r="J377" s="19">
        <f t="shared" ref="J377" si="74">SUM(J375:J376)</f>
        <v>0</v>
      </c>
      <c r="K377" s="19">
        <f t="shared" ref="K377" si="75">SUM(K375:K376)</f>
        <v>0</v>
      </c>
      <c r="L377" s="19">
        <f t="shared" ref="L377" si="76">SUM(L375:L376)</f>
        <v>100000</v>
      </c>
      <c r="M377" s="19">
        <f t="shared" ref="M377" si="77">SUM(M375:M376)</f>
        <v>200000</v>
      </c>
      <c r="N377" s="19">
        <f t="shared" ref="N377" si="78">SUM(N375:N376)</f>
        <v>300000</v>
      </c>
      <c r="O377" s="19">
        <f t="shared" ref="O377" si="79">SUM(O375:O376)</f>
        <v>39700000</v>
      </c>
      <c r="P377" s="19">
        <f t="shared" ref="P377" si="80">SUM(P375:P376)</f>
        <v>40000000</v>
      </c>
      <c r="Q377" s="68"/>
      <c r="R377" s="70"/>
    </row>
    <row r="378" spans="1:18" ht="16.5" thickTop="1">
      <c r="A378" s="23"/>
      <c r="B378" s="22"/>
      <c r="C378" s="22"/>
      <c r="D378" s="23"/>
      <c r="E378" s="22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2"/>
      <c r="Q378" s="69"/>
    </row>
    <row r="379" spans="1:18" ht="15.75">
      <c r="A379" s="23"/>
      <c r="B379" s="28" t="s">
        <v>737</v>
      </c>
      <c r="C379" s="22"/>
      <c r="D379" s="39"/>
      <c r="F379" s="27"/>
      <c r="G379" s="28"/>
      <c r="H379" s="28"/>
      <c r="I379" s="28"/>
      <c r="J379" s="28"/>
      <c r="K379" s="28"/>
      <c r="L379" s="28"/>
      <c r="Q379" s="51"/>
    </row>
    <row r="380" spans="1:18" ht="15.75">
      <c r="A380" s="38"/>
      <c r="B380" s="40" t="s">
        <v>32</v>
      </c>
      <c r="C380" s="28" t="s">
        <v>28</v>
      </c>
      <c r="D380" s="39"/>
      <c r="F380" s="41"/>
      <c r="G380" s="143" t="s">
        <v>26</v>
      </c>
      <c r="H380" s="143"/>
      <c r="I380" s="143"/>
      <c r="K380" s="41"/>
    </row>
    <row r="381" spans="1:18" ht="15.75">
      <c r="A381" s="38"/>
      <c r="B381" s="40"/>
      <c r="C381" s="28"/>
      <c r="D381" s="39"/>
      <c r="F381" s="28"/>
      <c r="G381" s="28"/>
      <c r="H381" s="28"/>
      <c r="I381" s="28"/>
      <c r="J381" s="28"/>
      <c r="K381" s="28"/>
      <c r="L381" s="28"/>
    </row>
    <row r="382" spans="1:18" ht="15.75">
      <c r="A382" s="38"/>
      <c r="B382" s="40"/>
      <c r="C382" s="28"/>
      <c r="D382" s="39"/>
      <c r="F382" s="28"/>
      <c r="G382" s="28"/>
      <c r="H382" s="28"/>
      <c r="I382" s="28"/>
      <c r="J382" s="28"/>
      <c r="K382" s="28"/>
      <c r="L382" s="28"/>
    </row>
    <row r="383" spans="1:18" ht="15.75">
      <c r="A383" s="38"/>
      <c r="B383" s="40"/>
      <c r="C383" s="28"/>
      <c r="D383" s="39"/>
      <c r="F383" s="28"/>
      <c r="G383" s="28"/>
      <c r="H383" s="28"/>
      <c r="I383" s="28"/>
      <c r="J383" s="28"/>
      <c r="K383" s="28"/>
    </row>
    <row r="384" spans="1:18" ht="15.75">
      <c r="A384" s="38"/>
      <c r="B384" s="40"/>
      <c r="C384" s="28"/>
      <c r="D384" s="39"/>
      <c r="F384" s="28"/>
      <c r="G384" s="28"/>
      <c r="H384" s="28"/>
      <c r="I384" s="28"/>
      <c r="J384" s="28"/>
      <c r="K384" s="28"/>
      <c r="L384" s="28"/>
    </row>
    <row r="385" spans="1:18" ht="15.75">
      <c r="A385" s="38" t="s">
        <v>23</v>
      </c>
      <c r="B385" s="42" t="s">
        <v>27</v>
      </c>
      <c r="C385" s="43" t="s">
        <v>24</v>
      </c>
      <c r="D385" s="39"/>
      <c r="F385" s="29"/>
      <c r="G385" s="29" t="s">
        <v>16</v>
      </c>
      <c r="H385" s="29"/>
      <c r="I385" s="29" t="s">
        <v>30</v>
      </c>
    </row>
    <row r="386" spans="1:18" ht="15.75">
      <c r="A386" s="38"/>
      <c r="B386" s="44" t="s">
        <v>31</v>
      </c>
      <c r="C386" s="45" t="s">
        <v>20</v>
      </c>
      <c r="D386" s="39"/>
      <c r="F386" s="46"/>
      <c r="G386" s="46" t="s">
        <v>17</v>
      </c>
      <c r="H386" s="46"/>
      <c r="I386" s="46" t="s">
        <v>25</v>
      </c>
    </row>
    <row r="388" spans="1:18" ht="15.75">
      <c r="A388" s="21" t="s">
        <v>0</v>
      </c>
      <c r="B388" s="22"/>
      <c r="C388" s="23"/>
      <c r="D388" s="23"/>
      <c r="E388" s="23"/>
      <c r="F388" s="24"/>
      <c r="G388" s="24"/>
      <c r="H388" s="24"/>
      <c r="I388" s="24"/>
      <c r="J388" s="24"/>
      <c r="K388" s="24"/>
      <c r="L388" s="25"/>
    </row>
    <row r="389" spans="1:18" ht="15.75">
      <c r="A389" s="26" t="s">
        <v>732</v>
      </c>
      <c r="B389" s="21"/>
      <c r="C389" s="21"/>
      <c r="D389" s="21"/>
      <c r="E389" s="21"/>
      <c r="F389" s="24"/>
      <c r="G389" s="24"/>
      <c r="H389" s="24"/>
      <c r="I389" s="24"/>
      <c r="J389" s="24"/>
      <c r="K389" s="24"/>
      <c r="L389" s="25"/>
    </row>
    <row r="390" spans="1:18">
      <c r="A390" s="62"/>
      <c r="B390" s="62" t="s">
        <v>1</v>
      </c>
      <c r="C390" s="93" t="s">
        <v>2</v>
      </c>
      <c r="D390" s="117" t="s">
        <v>34</v>
      </c>
      <c r="E390" s="95" t="s">
        <v>3</v>
      </c>
      <c r="F390" s="93" t="s">
        <v>4</v>
      </c>
      <c r="G390" s="96" t="s">
        <v>18</v>
      </c>
      <c r="H390" s="96" t="s">
        <v>18</v>
      </c>
      <c r="I390" s="97" t="s">
        <v>7</v>
      </c>
      <c r="J390" s="130" t="s">
        <v>6</v>
      </c>
      <c r="K390" s="130" t="s">
        <v>6</v>
      </c>
      <c r="L390" s="96" t="s">
        <v>29</v>
      </c>
      <c r="M390" s="96" t="s">
        <v>21</v>
      </c>
      <c r="N390" s="96" t="s">
        <v>8</v>
      </c>
      <c r="O390" s="96" t="s">
        <v>8</v>
      </c>
      <c r="P390" s="96" t="s">
        <v>9</v>
      </c>
      <c r="Q390" s="62" t="s">
        <v>10</v>
      </c>
      <c r="R390" s="98" t="s">
        <v>33</v>
      </c>
    </row>
    <row r="391" spans="1:18">
      <c r="A391" s="99"/>
      <c r="B391" s="99"/>
      <c r="C391" s="100"/>
      <c r="D391" s="101"/>
      <c r="E391" s="102"/>
      <c r="F391" s="100"/>
      <c r="G391" s="103" t="s">
        <v>12</v>
      </c>
      <c r="H391" s="103" t="s">
        <v>12</v>
      </c>
      <c r="I391" s="119" t="s">
        <v>19</v>
      </c>
      <c r="J391" s="131" t="s">
        <v>35</v>
      </c>
      <c r="K391" s="131" t="s">
        <v>517</v>
      </c>
      <c r="L391" s="103" t="s">
        <v>22</v>
      </c>
      <c r="M391" s="103" t="s">
        <v>15</v>
      </c>
      <c r="N391" s="103" t="s">
        <v>13</v>
      </c>
      <c r="O391" s="103" t="s">
        <v>14</v>
      </c>
      <c r="P391" s="103" t="s">
        <v>12</v>
      </c>
      <c r="Q391" s="99"/>
      <c r="R391" s="104"/>
    </row>
    <row r="392" spans="1:18">
      <c r="A392" s="99"/>
      <c r="B392" s="99"/>
      <c r="C392" s="105"/>
      <c r="D392" s="101"/>
      <c r="E392" s="102"/>
      <c r="F392" s="100"/>
      <c r="G392" s="103" t="s">
        <v>42</v>
      </c>
      <c r="H392" s="103" t="s">
        <v>22</v>
      </c>
      <c r="I392" s="119" t="s">
        <v>5</v>
      </c>
      <c r="J392" s="131"/>
      <c r="K392" s="131"/>
      <c r="L392" s="103"/>
      <c r="M392" s="103"/>
      <c r="N392" s="103"/>
      <c r="O392" s="103"/>
      <c r="P392" s="103"/>
      <c r="Q392" s="99"/>
      <c r="R392" s="104"/>
    </row>
    <row r="393" spans="1:18">
      <c r="A393" s="106"/>
      <c r="B393" s="106"/>
      <c r="C393" s="107"/>
      <c r="D393" s="108"/>
      <c r="E393" s="109"/>
      <c r="F393" s="110"/>
      <c r="G393" s="111"/>
      <c r="H393" s="112"/>
      <c r="I393" s="75"/>
      <c r="J393" s="132"/>
      <c r="K393" s="132"/>
      <c r="L393" s="113"/>
      <c r="M393" s="108"/>
      <c r="N393" s="111"/>
      <c r="O393" s="111"/>
      <c r="P393" s="111"/>
      <c r="Q393" s="106"/>
      <c r="R393" s="114"/>
    </row>
    <row r="394" spans="1:18" ht="15.75">
      <c r="A394" s="52"/>
      <c r="B394" s="47"/>
      <c r="C394" s="48"/>
      <c r="D394" s="73"/>
      <c r="E394" s="17"/>
      <c r="F394" s="48"/>
      <c r="G394" s="36"/>
      <c r="H394" s="36"/>
      <c r="I394" s="125"/>
      <c r="J394" s="36"/>
      <c r="K394" s="36"/>
      <c r="L394" s="8"/>
      <c r="N394" s="8"/>
      <c r="O394" s="8"/>
      <c r="P394" s="8"/>
      <c r="Q394" s="35"/>
      <c r="R394" s="37"/>
    </row>
    <row r="395" spans="1:18" ht="15.75">
      <c r="A395" s="52">
        <v>1</v>
      </c>
      <c r="B395" s="51" t="s">
        <v>743</v>
      </c>
      <c r="C395" s="48" t="s">
        <v>744</v>
      </c>
      <c r="D395" s="67" t="s">
        <v>745</v>
      </c>
      <c r="E395" s="17">
        <v>43279</v>
      </c>
      <c r="F395" s="20" t="s">
        <v>746</v>
      </c>
      <c r="G395" s="36">
        <v>0</v>
      </c>
      <c r="H395" s="8">
        <v>30958500</v>
      </c>
      <c r="I395" s="8">
        <v>773963</v>
      </c>
      <c r="J395" s="8">
        <v>0</v>
      </c>
      <c r="K395" s="8">
        <v>0</v>
      </c>
      <c r="L395" s="8">
        <v>190415</v>
      </c>
      <c r="M395" s="8">
        <v>200000</v>
      </c>
      <c r="N395" s="8">
        <f>SUM(G395:M395)</f>
        <v>32122878</v>
      </c>
      <c r="O395" s="8">
        <f>50000000-N395</f>
        <v>17877122</v>
      </c>
      <c r="P395" s="8">
        <f t="shared" ref="P395" si="81">+N395+O395</f>
        <v>50000000</v>
      </c>
      <c r="Q395" s="77" t="s">
        <v>246</v>
      </c>
      <c r="R395" s="66" t="s">
        <v>52</v>
      </c>
    </row>
    <row r="396" spans="1:18" ht="15.75">
      <c r="A396" s="52"/>
      <c r="B396" s="138"/>
      <c r="C396" s="48"/>
      <c r="E396" s="17"/>
      <c r="F396" s="48"/>
      <c r="G396" s="36"/>
      <c r="H396" s="36"/>
      <c r="I396" s="75"/>
      <c r="J396" s="36"/>
      <c r="K396" s="36"/>
      <c r="L396" s="36"/>
      <c r="N396" s="8"/>
      <c r="O396" s="8"/>
      <c r="P396" s="8"/>
      <c r="Q396" s="59"/>
      <c r="R396" s="66"/>
    </row>
    <row r="397" spans="1:18" ht="16.5" thickBot="1">
      <c r="A397" s="18"/>
      <c r="B397" s="55"/>
      <c r="C397" s="56"/>
      <c r="D397" s="74"/>
      <c r="E397" s="56"/>
      <c r="F397" s="57"/>
      <c r="G397" s="19">
        <f t="shared" ref="G397" si="82">SUM(G395:G396)</f>
        <v>0</v>
      </c>
      <c r="H397" s="19">
        <f t="shared" ref="H397" si="83">SUM(H395:H396)</f>
        <v>30958500</v>
      </c>
      <c r="I397" s="19">
        <f t="shared" ref="I397" si="84">SUM(I395:I396)</f>
        <v>773963</v>
      </c>
      <c r="J397" s="19">
        <f t="shared" ref="J397" si="85">SUM(J395:J396)</f>
        <v>0</v>
      </c>
      <c r="K397" s="19">
        <f t="shared" ref="K397" si="86">SUM(K395:K396)</f>
        <v>0</v>
      </c>
      <c r="L397" s="19">
        <f t="shared" ref="L397" si="87">SUM(L395:L396)</f>
        <v>190415</v>
      </c>
      <c r="M397" s="19">
        <f t="shared" ref="M397" si="88">SUM(M395:M396)</f>
        <v>200000</v>
      </c>
      <c r="N397" s="19">
        <f t="shared" ref="N397" si="89">SUM(N395:N396)</f>
        <v>32122878</v>
      </c>
      <c r="O397" s="19">
        <f t="shared" ref="O397" si="90">SUM(O395:O396)</f>
        <v>17877122</v>
      </c>
      <c r="P397" s="19">
        <f t="shared" ref="P397" si="91">SUM(P395:P396)</f>
        <v>50000000</v>
      </c>
      <c r="Q397" s="68"/>
      <c r="R397" s="70"/>
    </row>
    <row r="398" spans="1:18" ht="16.5" thickTop="1">
      <c r="A398" s="23"/>
      <c r="B398" s="22"/>
      <c r="C398" s="22"/>
      <c r="D398" s="23"/>
      <c r="E398" s="22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2"/>
      <c r="Q398" s="69"/>
    </row>
    <row r="399" spans="1:18" ht="15.75">
      <c r="A399" s="23"/>
      <c r="B399" s="28" t="s">
        <v>737</v>
      </c>
      <c r="C399" s="22"/>
      <c r="D399" s="39"/>
      <c r="F399" s="27"/>
      <c r="G399" s="28"/>
      <c r="H399" s="28"/>
      <c r="I399" s="28"/>
      <c r="J399" s="28"/>
      <c r="K399" s="28"/>
      <c r="L399" s="28"/>
      <c r="Q399" s="51"/>
    </row>
    <row r="400" spans="1:18" ht="15.75">
      <c r="A400" s="38"/>
      <c r="B400" s="40" t="s">
        <v>32</v>
      </c>
      <c r="C400" s="28" t="s">
        <v>28</v>
      </c>
      <c r="D400" s="39"/>
      <c r="F400" s="41"/>
      <c r="G400" s="143" t="s">
        <v>26</v>
      </c>
      <c r="H400" s="143"/>
      <c r="I400" s="143"/>
      <c r="K400" s="41"/>
    </row>
    <row r="401" spans="1:18" ht="15.75">
      <c r="A401" s="38"/>
      <c r="B401" s="40"/>
      <c r="C401" s="28"/>
      <c r="D401" s="39"/>
      <c r="F401" s="28"/>
      <c r="G401" s="28"/>
      <c r="H401" s="28"/>
      <c r="I401" s="28"/>
      <c r="J401" s="28"/>
      <c r="K401" s="28"/>
      <c r="L401" s="28"/>
    </row>
    <row r="402" spans="1:18" ht="15.75">
      <c r="A402" s="38"/>
      <c r="B402" s="40"/>
      <c r="C402" s="28"/>
      <c r="D402" s="39"/>
      <c r="F402" s="28"/>
      <c r="G402" s="28"/>
      <c r="H402" s="28"/>
      <c r="I402" s="28"/>
      <c r="J402" s="28"/>
      <c r="K402" s="28"/>
      <c r="L402" s="28"/>
    </row>
    <row r="403" spans="1:18" ht="15.75">
      <c r="A403" s="38"/>
      <c r="B403" s="40"/>
      <c r="C403" s="28"/>
      <c r="D403" s="39"/>
      <c r="F403" s="28"/>
      <c r="G403" s="28"/>
      <c r="H403" s="28"/>
      <c r="I403" s="28"/>
      <c r="J403" s="28"/>
      <c r="K403" s="28"/>
    </row>
    <row r="404" spans="1:18" ht="15.75">
      <c r="A404" s="38"/>
      <c r="B404" s="40"/>
      <c r="C404" s="28"/>
      <c r="D404" s="39"/>
      <c r="F404" s="28"/>
      <c r="G404" s="28"/>
      <c r="H404" s="28"/>
      <c r="I404" s="28"/>
      <c r="J404" s="28"/>
      <c r="K404" s="28"/>
      <c r="L404" s="28"/>
    </row>
    <row r="405" spans="1:18" ht="15.75">
      <c r="A405" s="38" t="s">
        <v>23</v>
      </c>
      <c r="B405" s="42" t="s">
        <v>27</v>
      </c>
      <c r="C405" s="43" t="s">
        <v>24</v>
      </c>
      <c r="D405" s="39"/>
      <c r="F405" s="29"/>
      <c r="G405" s="29" t="s">
        <v>16</v>
      </c>
      <c r="H405" s="29"/>
      <c r="I405" s="29" t="s">
        <v>30</v>
      </c>
    </row>
    <row r="406" spans="1:18" ht="15.75">
      <c r="A406" s="38"/>
      <c r="B406" s="44" t="s">
        <v>31</v>
      </c>
      <c r="C406" s="45" t="s">
        <v>20</v>
      </c>
      <c r="D406" s="39"/>
      <c r="F406" s="46"/>
      <c r="G406" s="46" t="s">
        <v>17</v>
      </c>
      <c r="H406" s="46"/>
      <c r="I406" s="46" t="s">
        <v>25</v>
      </c>
    </row>
    <row r="408" spans="1:18" ht="15.75">
      <c r="A408" s="21" t="s">
        <v>0</v>
      </c>
      <c r="B408" s="22"/>
      <c r="C408" s="23"/>
      <c r="D408" s="23"/>
      <c r="E408" s="23"/>
      <c r="F408" s="24"/>
      <c r="G408" s="24"/>
      <c r="H408" s="24"/>
      <c r="I408" s="24"/>
      <c r="J408" s="24"/>
      <c r="K408" s="24"/>
      <c r="L408" s="25"/>
    </row>
    <row r="409" spans="1:18" ht="15.75">
      <c r="A409" s="26" t="s">
        <v>747</v>
      </c>
      <c r="B409" s="21"/>
      <c r="C409" s="21"/>
      <c r="D409" s="21"/>
      <c r="E409" s="21"/>
      <c r="F409" s="24"/>
      <c r="G409" s="24"/>
      <c r="H409" s="24"/>
      <c r="I409" s="24"/>
      <c r="J409" s="24"/>
      <c r="K409" s="24"/>
      <c r="L409" s="25"/>
    </row>
    <row r="410" spans="1:18">
      <c r="A410" s="62"/>
      <c r="B410" s="62" t="s">
        <v>1</v>
      </c>
      <c r="C410" s="93" t="s">
        <v>2</v>
      </c>
      <c r="D410" s="117" t="s">
        <v>34</v>
      </c>
      <c r="E410" s="95" t="s">
        <v>3</v>
      </c>
      <c r="F410" s="93" t="s">
        <v>4</v>
      </c>
      <c r="G410" s="96" t="s">
        <v>18</v>
      </c>
      <c r="H410" s="96" t="s">
        <v>18</v>
      </c>
      <c r="I410" s="97" t="s">
        <v>7</v>
      </c>
      <c r="J410" s="130" t="s">
        <v>6</v>
      </c>
      <c r="K410" s="130" t="s">
        <v>6</v>
      </c>
      <c r="L410" s="96" t="s">
        <v>29</v>
      </c>
      <c r="M410" s="96" t="s">
        <v>21</v>
      </c>
      <c r="N410" s="96" t="s">
        <v>8</v>
      </c>
      <c r="O410" s="96" t="s">
        <v>8</v>
      </c>
      <c r="P410" s="96" t="s">
        <v>9</v>
      </c>
      <c r="Q410" s="62" t="s">
        <v>10</v>
      </c>
      <c r="R410" s="98" t="s">
        <v>33</v>
      </c>
    </row>
    <row r="411" spans="1:18">
      <c r="A411" s="99"/>
      <c r="B411" s="99"/>
      <c r="C411" s="100"/>
      <c r="D411" s="101"/>
      <c r="E411" s="102"/>
      <c r="F411" s="100"/>
      <c r="G411" s="103" t="s">
        <v>12</v>
      </c>
      <c r="H411" s="103" t="s">
        <v>12</v>
      </c>
      <c r="I411" s="119" t="s">
        <v>19</v>
      </c>
      <c r="J411" s="131" t="s">
        <v>35</v>
      </c>
      <c r="K411" s="131" t="s">
        <v>517</v>
      </c>
      <c r="L411" s="103" t="s">
        <v>22</v>
      </c>
      <c r="M411" s="103" t="s">
        <v>15</v>
      </c>
      <c r="N411" s="103" t="s">
        <v>13</v>
      </c>
      <c r="O411" s="103" t="s">
        <v>14</v>
      </c>
      <c r="P411" s="103" t="s">
        <v>12</v>
      </c>
      <c r="Q411" s="99"/>
      <c r="R411" s="104"/>
    </row>
    <row r="412" spans="1:18">
      <c r="A412" s="99"/>
      <c r="B412" s="99"/>
      <c r="C412" s="105"/>
      <c r="D412" s="101"/>
      <c r="E412" s="102"/>
      <c r="F412" s="100"/>
      <c r="G412" s="103" t="s">
        <v>42</v>
      </c>
      <c r="H412" s="103" t="s">
        <v>22</v>
      </c>
      <c r="I412" s="119" t="s">
        <v>5</v>
      </c>
      <c r="J412" s="131"/>
      <c r="K412" s="131"/>
      <c r="L412" s="103"/>
      <c r="M412" s="103"/>
      <c r="N412" s="103"/>
      <c r="O412" s="103"/>
      <c r="P412" s="103"/>
      <c r="Q412" s="99"/>
      <c r="R412" s="104"/>
    </row>
    <row r="413" spans="1:18">
      <c r="A413" s="106"/>
      <c r="B413" s="106"/>
      <c r="C413" s="107"/>
      <c r="D413" s="108"/>
      <c r="E413" s="109"/>
      <c r="F413" s="110"/>
      <c r="G413" s="111"/>
      <c r="H413" s="112"/>
      <c r="I413" s="75"/>
      <c r="J413" s="132"/>
      <c r="K413" s="132"/>
      <c r="L413" s="113"/>
      <c r="M413" s="108"/>
      <c r="N413" s="111"/>
      <c r="O413" s="111"/>
      <c r="P413" s="111"/>
      <c r="Q413" s="106"/>
      <c r="R413" s="114"/>
    </row>
    <row r="414" spans="1:18" ht="15.75">
      <c r="A414" s="52"/>
      <c r="B414" s="47"/>
      <c r="C414" s="48"/>
      <c r="D414" s="73"/>
      <c r="E414" s="17"/>
      <c r="F414" s="48"/>
      <c r="G414" s="36"/>
      <c r="H414" s="36"/>
      <c r="I414" s="125"/>
      <c r="J414" s="36"/>
      <c r="K414" s="36"/>
      <c r="L414" s="8"/>
      <c r="N414" s="8"/>
      <c r="O414" s="8"/>
      <c r="P414" s="8"/>
      <c r="Q414" s="35"/>
      <c r="R414" s="37"/>
    </row>
    <row r="415" spans="1:18" ht="15.75">
      <c r="A415" s="52">
        <v>1</v>
      </c>
      <c r="B415" s="51" t="s">
        <v>748</v>
      </c>
      <c r="C415" s="48" t="s">
        <v>749</v>
      </c>
      <c r="D415" s="67" t="s">
        <v>750</v>
      </c>
      <c r="E415" s="17">
        <v>43280</v>
      </c>
      <c r="F415" s="20" t="s">
        <v>751</v>
      </c>
      <c r="G415" s="36">
        <v>0</v>
      </c>
      <c r="H415" s="8">
        <v>78400000</v>
      </c>
      <c r="I415" s="8">
        <v>1960000</v>
      </c>
      <c r="J415" s="8">
        <v>0</v>
      </c>
      <c r="K415" s="8">
        <v>0</v>
      </c>
      <c r="L415" s="8">
        <v>716000</v>
      </c>
      <c r="M415" s="8">
        <v>200000</v>
      </c>
      <c r="N415" s="8">
        <f>SUM(G415:M415)</f>
        <v>81276000</v>
      </c>
      <c r="O415" s="8">
        <f>150000000-N415</f>
        <v>68724000</v>
      </c>
      <c r="P415" s="8">
        <f t="shared" ref="P415" si="92">+N415+O415</f>
        <v>150000000</v>
      </c>
      <c r="Q415" s="59" t="s">
        <v>393</v>
      </c>
      <c r="R415" s="66" t="s">
        <v>52</v>
      </c>
    </row>
    <row r="416" spans="1:18" ht="15.75">
      <c r="A416" s="52"/>
      <c r="B416" s="138"/>
      <c r="C416" s="48"/>
      <c r="E416" s="17"/>
      <c r="F416" s="48"/>
      <c r="G416" s="36"/>
      <c r="H416" s="36"/>
      <c r="I416" s="75"/>
      <c r="J416" s="36"/>
      <c r="K416" s="36"/>
      <c r="L416" s="36"/>
      <c r="N416" s="8"/>
      <c r="O416" s="8"/>
      <c r="P416" s="8"/>
      <c r="Q416" s="59"/>
      <c r="R416" s="66"/>
    </row>
    <row r="417" spans="1:18" ht="16.5" thickBot="1">
      <c r="A417" s="18"/>
      <c r="B417" s="55"/>
      <c r="C417" s="56"/>
      <c r="D417" s="74"/>
      <c r="E417" s="56"/>
      <c r="F417" s="57"/>
      <c r="G417" s="19">
        <f t="shared" ref="G417" si="93">SUM(G415:G416)</f>
        <v>0</v>
      </c>
      <c r="H417" s="19">
        <f t="shared" ref="H417:P417" si="94">SUM(H415:H416)</f>
        <v>78400000</v>
      </c>
      <c r="I417" s="19">
        <f t="shared" si="94"/>
        <v>1960000</v>
      </c>
      <c r="J417" s="19">
        <f t="shared" si="94"/>
        <v>0</v>
      </c>
      <c r="K417" s="19">
        <f t="shared" si="94"/>
        <v>0</v>
      </c>
      <c r="L417" s="19">
        <f t="shared" si="94"/>
        <v>716000</v>
      </c>
      <c r="M417" s="19">
        <f t="shared" si="94"/>
        <v>200000</v>
      </c>
      <c r="N417" s="19">
        <f t="shared" si="94"/>
        <v>81276000</v>
      </c>
      <c r="O417" s="19">
        <f t="shared" si="94"/>
        <v>68724000</v>
      </c>
      <c r="P417" s="19">
        <f t="shared" si="94"/>
        <v>150000000</v>
      </c>
      <c r="Q417" s="68"/>
      <c r="R417" s="70"/>
    </row>
    <row r="418" spans="1:18" ht="16.5" thickTop="1">
      <c r="A418" s="23"/>
      <c r="B418" s="22"/>
      <c r="C418" s="22"/>
      <c r="D418" s="23"/>
      <c r="E418" s="22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2"/>
      <c r="Q418" s="69"/>
    </row>
    <row r="419" spans="1:18" ht="15.75">
      <c r="A419" s="23"/>
      <c r="B419" s="28" t="s">
        <v>752</v>
      </c>
      <c r="C419" s="22"/>
      <c r="D419" s="39"/>
      <c r="F419" s="27"/>
      <c r="G419" s="28"/>
      <c r="H419" s="28"/>
      <c r="I419" s="28"/>
      <c r="J419" s="28"/>
      <c r="K419" s="28"/>
      <c r="L419" s="28"/>
      <c r="Q419" s="51"/>
    </row>
    <row r="420" spans="1:18" ht="15.75">
      <c r="A420" s="38"/>
      <c r="B420" s="40" t="s">
        <v>32</v>
      </c>
      <c r="C420" s="28" t="s">
        <v>28</v>
      </c>
      <c r="D420" s="39"/>
      <c r="F420" s="41"/>
      <c r="G420" s="143" t="s">
        <v>26</v>
      </c>
      <c r="H420" s="143"/>
      <c r="I420" s="143"/>
      <c r="K420" s="41"/>
    </row>
    <row r="421" spans="1:18" ht="15.75">
      <c r="A421" s="38"/>
      <c r="B421" s="40"/>
      <c r="C421" s="28"/>
      <c r="D421" s="39"/>
      <c r="F421" s="28"/>
      <c r="G421" s="28"/>
      <c r="H421" s="28"/>
      <c r="I421" s="28"/>
      <c r="J421" s="28"/>
      <c r="K421" s="28"/>
      <c r="L421" s="28"/>
    </row>
    <row r="422" spans="1:18" ht="15.75">
      <c r="A422" s="38"/>
      <c r="B422" s="40"/>
      <c r="C422" s="28"/>
      <c r="D422" s="39"/>
      <c r="F422" s="28"/>
      <c r="G422" s="28"/>
      <c r="H422" s="28"/>
      <c r="I422" s="28"/>
      <c r="J422" s="28"/>
      <c r="K422" s="28"/>
      <c r="L422" s="28"/>
    </row>
    <row r="423" spans="1:18" ht="15.75">
      <c r="A423" s="38"/>
      <c r="B423" s="40"/>
      <c r="C423" s="28"/>
      <c r="D423" s="39"/>
      <c r="F423" s="28"/>
      <c r="G423" s="28"/>
      <c r="H423" s="28"/>
      <c r="I423" s="28"/>
      <c r="J423" s="28"/>
      <c r="K423" s="28"/>
    </row>
    <row r="424" spans="1:18" ht="15.75">
      <c r="A424" s="38"/>
      <c r="B424" s="40"/>
      <c r="C424" s="28"/>
      <c r="D424" s="39"/>
      <c r="F424" s="28"/>
      <c r="G424" s="28"/>
      <c r="H424" s="28"/>
      <c r="I424" s="28"/>
      <c r="J424" s="28"/>
      <c r="K424" s="28"/>
      <c r="L424" s="28"/>
    </row>
    <row r="425" spans="1:18" ht="15.75">
      <c r="A425" s="38" t="s">
        <v>23</v>
      </c>
      <c r="B425" s="42" t="s">
        <v>27</v>
      </c>
      <c r="C425" s="43" t="s">
        <v>24</v>
      </c>
      <c r="D425" s="39"/>
      <c r="F425" s="29"/>
      <c r="G425" s="29" t="s">
        <v>16</v>
      </c>
      <c r="H425" s="29"/>
      <c r="I425" s="29" t="s">
        <v>30</v>
      </c>
    </row>
    <row r="426" spans="1:18" ht="15.75">
      <c r="A426" s="38"/>
      <c r="B426" s="44" t="s">
        <v>31</v>
      </c>
      <c r="C426" s="45" t="s">
        <v>20</v>
      </c>
      <c r="D426" s="39"/>
      <c r="F426" s="46"/>
      <c r="G426" s="46" t="s">
        <v>17</v>
      </c>
      <c r="H426" s="46"/>
      <c r="I426" s="46" t="s">
        <v>25</v>
      </c>
    </row>
  </sheetData>
  <mergeCells count="21">
    <mergeCell ref="G13:I13"/>
    <mergeCell ref="G33:I33"/>
    <mergeCell ref="G53:I53"/>
    <mergeCell ref="G73:I73"/>
    <mergeCell ref="G93:I93"/>
    <mergeCell ref="G420:I420"/>
    <mergeCell ref="G360:I360"/>
    <mergeCell ref="G380:I380"/>
    <mergeCell ref="G400:I400"/>
    <mergeCell ref="G113:I113"/>
    <mergeCell ref="G133:I133"/>
    <mergeCell ref="G157:I157"/>
    <mergeCell ref="G177:I177"/>
    <mergeCell ref="G197:I197"/>
    <mergeCell ref="G320:I320"/>
    <mergeCell ref="G340:I340"/>
    <mergeCell ref="G278:I278"/>
    <mergeCell ref="G298:I298"/>
    <mergeCell ref="G217:I217"/>
    <mergeCell ref="G237:I237"/>
    <mergeCell ref="G257:I257"/>
  </mergeCells>
  <pageMargins left="0.11811023622047245" right="0.70866141732283472" top="0.74803149606299213" bottom="0.98425196850393704" header="0.31496062992125984" footer="0.31496062992125984"/>
  <pageSetup paperSize="5" scale="75" orientation="landscape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56"/>
  <sheetViews>
    <sheetView topLeftCell="A290" workbookViewId="0">
      <selection activeCell="B377" sqref="B377"/>
    </sheetView>
  </sheetViews>
  <sheetFormatPr defaultRowHeight="15"/>
  <cols>
    <col min="1" max="1" width="2.28515625" style="34" customWidth="1"/>
    <col min="2" max="2" width="20.42578125" style="34" customWidth="1"/>
    <col min="3" max="3" width="9.28515625" style="34" customWidth="1"/>
    <col min="4" max="4" width="8.140625" style="34" customWidth="1"/>
    <col min="5" max="5" width="11.140625" style="34" customWidth="1"/>
    <col min="6" max="6" width="15.5703125" style="34" customWidth="1"/>
    <col min="7" max="7" width="16.5703125" style="34" customWidth="1"/>
    <col min="8" max="8" width="16.5703125" style="34" bestFit="1" customWidth="1"/>
    <col min="9" max="9" width="15.42578125" style="34" customWidth="1"/>
    <col min="10" max="10" width="14.28515625" style="34" bestFit="1" customWidth="1"/>
    <col min="11" max="11" width="6.140625" style="34" customWidth="1"/>
    <col min="12" max="12" width="15.140625" style="34" customWidth="1"/>
    <col min="13" max="13" width="14.28515625" style="34" customWidth="1"/>
    <col min="14" max="14" width="16.5703125" style="34" bestFit="1" customWidth="1"/>
    <col min="15" max="15" width="17.42578125" style="34" customWidth="1"/>
    <col min="16" max="16" width="16.28515625" style="34" customWidth="1"/>
    <col min="17" max="17" width="8" style="34" customWidth="1"/>
    <col min="18" max="18" width="4.7109375" style="34" customWidth="1"/>
    <col min="19" max="19" width="5.7109375" style="34" customWidth="1"/>
    <col min="20" max="16384" width="9.140625" style="34"/>
  </cols>
  <sheetData>
    <row r="1" spans="1:18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8" ht="15.75">
      <c r="A2" s="26" t="s">
        <v>753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8">
      <c r="A3" s="62"/>
      <c r="B3" s="62" t="s">
        <v>1</v>
      </c>
      <c r="C3" s="93" t="s">
        <v>2</v>
      </c>
      <c r="D3" s="117" t="s">
        <v>34</v>
      </c>
      <c r="E3" s="95" t="s">
        <v>3</v>
      </c>
      <c r="F3" s="93" t="s">
        <v>4</v>
      </c>
      <c r="G3" s="96" t="s">
        <v>18</v>
      </c>
      <c r="H3" s="96" t="s">
        <v>18</v>
      </c>
      <c r="I3" s="97" t="s">
        <v>7</v>
      </c>
      <c r="J3" s="130" t="s">
        <v>6</v>
      </c>
      <c r="K3" s="130" t="s">
        <v>6</v>
      </c>
      <c r="L3" s="96" t="s">
        <v>29</v>
      </c>
      <c r="M3" s="96" t="s">
        <v>21</v>
      </c>
      <c r="N3" s="96" t="s">
        <v>8</v>
      </c>
      <c r="O3" s="96" t="s">
        <v>8</v>
      </c>
      <c r="P3" s="96" t="s">
        <v>9</v>
      </c>
      <c r="Q3" s="62" t="s">
        <v>10</v>
      </c>
      <c r="R3" s="98" t="s">
        <v>33</v>
      </c>
    </row>
    <row r="4" spans="1:18">
      <c r="A4" s="99"/>
      <c r="B4" s="99"/>
      <c r="C4" s="100"/>
      <c r="D4" s="101"/>
      <c r="E4" s="102"/>
      <c r="F4" s="100"/>
      <c r="G4" s="103" t="s">
        <v>12</v>
      </c>
      <c r="H4" s="103" t="s">
        <v>12</v>
      </c>
      <c r="I4" s="119" t="s">
        <v>19</v>
      </c>
      <c r="J4" s="131" t="s">
        <v>35</v>
      </c>
      <c r="K4" s="131" t="s">
        <v>517</v>
      </c>
      <c r="L4" s="103" t="s">
        <v>22</v>
      </c>
      <c r="M4" s="103" t="s">
        <v>15</v>
      </c>
      <c r="N4" s="103" t="s">
        <v>13</v>
      </c>
      <c r="O4" s="103" t="s">
        <v>14</v>
      </c>
      <c r="P4" s="103" t="s">
        <v>12</v>
      </c>
      <c r="Q4" s="99"/>
      <c r="R4" s="104"/>
    </row>
    <row r="5" spans="1:18">
      <c r="A5" s="99"/>
      <c r="B5" s="99"/>
      <c r="C5" s="105"/>
      <c r="D5" s="101"/>
      <c r="E5" s="102"/>
      <c r="F5" s="100"/>
      <c r="G5" s="103" t="s">
        <v>42</v>
      </c>
      <c r="H5" s="103" t="s">
        <v>22</v>
      </c>
      <c r="I5" s="119" t="s">
        <v>5</v>
      </c>
      <c r="J5" s="131"/>
      <c r="K5" s="131"/>
      <c r="L5" s="103"/>
      <c r="M5" s="103"/>
      <c r="N5" s="103"/>
      <c r="O5" s="103"/>
      <c r="P5" s="103"/>
      <c r="Q5" s="99"/>
      <c r="R5" s="104"/>
    </row>
    <row r="6" spans="1:18">
      <c r="A6" s="106"/>
      <c r="B6" s="106"/>
      <c r="C6" s="107"/>
      <c r="D6" s="108"/>
      <c r="E6" s="109"/>
      <c r="F6" s="110"/>
      <c r="G6" s="111"/>
      <c r="H6" s="112"/>
      <c r="I6" s="75"/>
      <c r="J6" s="132"/>
      <c r="K6" s="132"/>
      <c r="L6" s="113"/>
      <c r="M6" s="108"/>
      <c r="N6" s="111"/>
      <c r="O6" s="111"/>
      <c r="P6" s="111"/>
      <c r="Q6" s="106"/>
      <c r="R6" s="114"/>
    </row>
    <row r="7" spans="1:18" ht="15.75">
      <c r="A7" s="52"/>
      <c r="B7" s="47"/>
      <c r="C7" s="48"/>
      <c r="D7" s="73"/>
      <c r="E7" s="17"/>
      <c r="F7" s="48"/>
      <c r="G7" s="36"/>
      <c r="H7" s="36"/>
      <c r="I7" s="125"/>
      <c r="J7" s="36"/>
      <c r="K7" s="36"/>
      <c r="L7" s="8"/>
      <c r="N7" s="8"/>
      <c r="O7" s="8"/>
      <c r="P7" s="8"/>
      <c r="Q7" s="35"/>
      <c r="R7" s="37"/>
    </row>
    <row r="8" spans="1:18" ht="15.75">
      <c r="A8" s="52">
        <v>1</v>
      </c>
      <c r="B8" s="51" t="s">
        <v>754</v>
      </c>
      <c r="C8" s="48" t="s">
        <v>755</v>
      </c>
      <c r="D8" s="67" t="s">
        <v>756</v>
      </c>
      <c r="E8" s="17">
        <v>43283</v>
      </c>
      <c r="F8" s="20" t="s">
        <v>757</v>
      </c>
      <c r="G8" s="36">
        <v>0</v>
      </c>
      <c r="H8" s="8">
        <v>50825000</v>
      </c>
      <c r="I8" s="8">
        <v>1270625</v>
      </c>
      <c r="J8" s="8">
        <v>297097</v>
      </c>
      <c r="K8" s="8">
        <v>0</v>
      </c>
      <c r="L8" s="8">
        <v>341750</v>
      </c>
      <c r="M8" s="8">
        <v>200000</v>
      </c>
      <c r="N8" s="8">
        <f>SUM(G8:M8)</f>
        <v>52934472</v>
      </c>
      <c r="O8" s="8">
        <f>85000000-N8</f>
        <v>32065528</v>
      </c>
      <c r="P8" s="8">
        <f t="shared" ref="P8" si="0">+N8+O8</f>
        <v>85000000</v>
      </c>
      <c r="Q8" s="77" t="s">
        <v>758</v>
      </c>
      <c r="R8" s="66" t="s">
        <v>52</v>
      </c>
    </row>
    <row r="9" spans="1:18" ht="15.75">
      <c r="A9" s="52"/>
      <c r="B9" s="138"/>
      <c r="C9" s="48"/>
      <c r="E9" s="17"/>
      <c r="F9" s="48"/>
      <c r="G9" s="36"/>
      <c r="H9" s="36"/>
      <c r="I9" s="75"/>
      <c r="J9" s="36"/>
      <c r="K9" s="36"/>
      <c r="L9" s="36"/>
      <c r="N9" s="8"/>
      <c r="O9" s="8"/>
      <c r="P9" s="8"/>
      <c r="Q9" s="59"/>
      <c r="R9" s="66"/>
    </row>
    <row r="10" spans="1:18" ht="16.5" thickBot="1">
      <c r="A10" s="18"/>
      <c r="B10" s="55"/>
      <c r="C10" s="56"/>
      <c r="D10" s="74"/>
      <c r="E10" s="56"/>
      <c r="F10" s="57"/>
      <c r="G10" s="19">
        <f t="shared" ref="G10" si="1">SUM(G8:G9)</f>
        <v>0</v>
      </c>
      <c r="H10" s="19">
        <f t="shared" ref="H10:P10" si="2">SUM(H8:H9)</f>
        <v>50825000</v>
      </c>
      <c r="I10" s="19">
        <f t="shared" si="2"/>
        <v>1270625</v>
      </c>
      <c r="J10" s="19">
        <f t="shared" si="2"/>
        <v>297097</v>
      </c>
      <c r="K10" s="19">
        <f t="shared" si="2"/>
        <v>0</v>
      </c>
      <c r="L10" s="19">
        <f t="shared" si="2"/>
        <v>341750</v>
      </c>
      <c r="M10" s="19">
        <f t="shared" si="2"/>
        <v>200000</v>
      </c>
      <c r="N10" s="19">
        <f t="shared" si="2"/>
        <v>52934472</v>
      </c>
      <c r="O10" s="19">
        <f t="shared" si="2"/>
        <v>32065528</v>
      </c>
      <c r="P10" s="19">
        <f t="shared" si="2"/>
        <v>85000000</v>
      </c>
      <c r="Q10" s="68"/>
      <c r="R10" s="70"/>
    </row>
    <row r="11" spans="1:18" ht="16.5" hidden="1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8" ht="15.75" hidden="1">
      <c r="A12" s="23"/>
      <c r="B12" s="28" t="s">
        <v>759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8" ht="15.75" hidden="1">
      <c r="A13" s="38"/>
      <c r="B13" s="40" t="s">
        <v>32</v>
      </c>
      <c r="C13" s="28" t="s">
        <v>28</v>
      </c>
      <c r="D13" s="39"/>
      <c r="F13" s="41"/>
      <c r="G13" s="143" t="s">
        <v>26</v>
      </c>
      <c r="H13" s="143"/>
      <c r="I13" s="143"/>
      <c r="K13" s="41"/>
    </row>
    <row r="14" spans="1:18" ht="15.75" hidden="1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8" ht="15.75" hidden="1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8" ht="15.75" hidden="1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8" ht="15.75" hidden="1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8" ht="15.75" hidden="1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8" ht="15.75" hidden="1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0" spans="1:18" hidden="1"/>
    <row r="21" spans="1:18" ht="16.5" thickTop="1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8" ht="15.75">
      <c r="A22" s="26" t="s">
        <v>753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</row>
    <row r="23" spans="1:18">
      <c r="A23" s="62"/>
      <c r="B23" s="62" t="s">
        <v>1</v>
      </c>
      <c r="C23" s="93" t="s">
        <v>2</v>
      </c>
      <c r="D23" s="117" t="s">
        <v>34</v>
      </c>
      <c r="E23" s="95" t="s">
        <v>3</v>
      </c>
      <c r="F23" s="93" t="s">
        <v>4</v>
      </c>
      <c r="G23" s="96" t="s">
        <v>18</v>
      </c>
      <c r="H23" s="96" t="s">
        <v>18</v>
      </c>
      <c r="I23" s="97" t="s">
        <v>7</v>
      </c>
      <c r="J23" s="130" t="s">
        <v>6</v>
      </c>
      <c r="K23" s="130" t="s">
        <v>6</v>
      </c>
      <c r="L23" s="96" t="s">
        <v>29</v>
      </c>
      <c r="M23" s="96" t="s">
        <v>21</v>
      </c>
      <c r="N23" s="96" t="s">
        <v>8</v>
      </c>
      <c r="O23" s="96" t="s">
        <v>8</v>
      </c>
      <c r="P23" s="96" t="s">
        <v>9</v>
      </c>
      <c r="Q23" s="62" t="s">
        <v>10</v>
      </c>
      <c r="R23" s="98" t="s">
        <v>33</v>
      </c>
    </row>
    <row r="24" spans="1:18">
      <c r="A24" s="99"/>
      <c r="B24" s="99"/>
      <c r="C24" s="100"/>
      <c r="D24" s="101"/>
      <c r="E24" s="102"/>
      <c r="F24" s="100"/>
      <c r="G24" s="103" t="s">
        <v>12</v>
      </c>
      <c r="H24" s="103" t="s">
        <v>12</v>
      </c>
      <c r="I24" s="119" t="s">
        <v>19</v>
      </c>
      <c r="J24" s="131" t="s">
        <v>35</v>
      </c>
      <c r="K24" s="131" t="s">
        <v>517</v>
      </c>
      <c r="L24" s="103" t="s">
        <v>22</v>
      </c>
      <c r="M24" s="103" t="s">
        <v>15</v>
      </c>
      <c r="N24" s="103" t="s">
        <v>13</v>
      </c>
      <c r="O24" s="103" t="s">
        <v>14</v>
      </c>
      <c r="P24" s="103" t="s">
        <v>12</v>
      </c>
      <c r="Q24" s="99"/>
      <c r="R24" s="104"/>
    </row>
    <row r="25" spans="1:18">
      <c r="A25" s="99"/>
      <c r="B25" s="99"/>
      <c r="C25" s="105"/>
      <c r="D25" s="101"/>
      <c r="E25" s="102"/>
      <c r="F25" s="100"/>
      <c r="G25" s="103" t="s">
        <v>42</v>
      </c>
      <c r="H25" s="103" t="s">
        <v>22</v>
      </c>
      <c r="I25" s="119" t="s">
        <v>5</v>
      </c>
      <c r="J25" s="131"/>
      <c r="K25" s="131"/>
      <c r="L25" s="103"/>
      <c r="M25" s="103"/>
      <c r="N25" s="103"/>
      <c r="O25" s="103"/>
      <c r="P25" s="103"/>
      <c r="Q25" s="99"/>
      <c r="R25" s="104"/>
    </row>
    <row r="26" spans="1:18">
      <c r="A26" s="106"/>
      <c r="B26" s="106"/>
      <c r="C26" s="107"/>
      <c r="D26" s="108"/>
      <c r="E26" s="109"/>
      <c r="F26" s="110"/>
      <c r="G26" s="111"/>
      <c r="H26" s="112"/>
      <c r="I26" s="75"/>
      <c r="J26" s="132"/>
      <c r="K26" s="132"/>
      <c r="L26" s="113"/>
      <c r="M26" s="108"/>
      <c r="N26" s="111"/>
      <c r="O26" s="111"/>
      <c r="P26" s="111"/>
      <c r="Q26" s="106"/>
      <c r="R26" s="114"/>
    </row>
    <row r="27" spans="1:18" ht="15.75">
      <c r="A27" s="52"/>
      <c r="B27" s="47"/>
      <c r="C27" s="48"/>
      <c r="D27" s="73"/>
      <c r="E27" s="17"/>
      <c r="F27" s="48"/>
      <c r="G27" s="36"/>
      <c r="H27" s="36"/>
      <c r="I27" s="125"/>
      <c r="J27" s="36"/>
      <c r="K27" s="36"/>
      <c r="L27" s="8"/>
      <c r="N27" s="8"/>
      <c r="O27" s="8"/>
      <c r="P27" s="8"/>
      <c r="Q27" s="35"/>
      <c r="R27" s="37"/>
    </row>
    <row r="28" spans="1:18" ht="15.75">
      <c r="A28" s="52">
        <v>1</v>
      </c>
      <c r="B28" s="116" t="s">
        <v>760</v>
      </c>
      <c r="C28" s="48" t="s">
        <v>761</v>
      </c>
      <c r="D28" s="67" t="s">
        <v>762</v>
      </c>
      <c r="E28" s="17">
        <v>43283</v>
      </c>
      <c r="F28" s="20" t="s">
        <v>763</v>
      </c>
      <c r="G28" s="36">
        <v>0</v>
      </c>
      <c r="H28" s="8">
        <v>151744100</v>
      </c>
      <c r="I28" s="8">
        <v>0</v>
      </c>
      <c r="J28" s="8">
        <v>0</v>
      </c>
      <c r="K28" s="8">
        <v>0</v>
      </c>
      <c r="L28" s="8">
        <v>400000</v>
      </c>
      <c r="M28" s="8">
        <v>200000</v>
      </c>
      <c r="N28" s="8">
        <f>SUM(G28:M28)</f>
        <v>152344100</v>
      </c>
      <c r="O28" s="8">
        <f>192344100-N28</f>
        <v>40000000</v>
      </c>
      <c r="P28" s="8">
        <f t="shared" ref="P28" si="3">+N28+O28</f>
        <v>192344100</v>
      </c>
      <c r="Q28" s="77" t="s">
        <v>764</v>
      </c>
      <c r="R28" s="66" t="s">
        <v>52</v>
      </c>
    </row>
    <row r="29" spans="1:18" ht="15.75">
      <c r="A29" s="52"/>
      <c r="B29" s="138"/>
      <c r="C29" s="48"/>
      <c r="E29" s="17"/>
      <c r="F29" s="48"/>
      <c r="G29" s="36"/>
      <c r="H29" s="36"/>
      <c r="I29" s="75"/>
      <c r="J29" s="36"/>
      <c r="K29" s="36"/>
      <c r="L29" s="36"/>
      <c r="N29" s="8"/>
      <c r="O29" s="8"/>
      <c r="P29" s="8"/>
      <c r="Q29" s="59"/>
      <c r="R29" s="66"/>
    </row>
    <row r="30" spans="1:18" ht="16.5" thickBot="1">
      <c r="A30" s="18"/>
      <c r="B30" s="55"/>
      <c r="C30" s="56"/>
      <c r="D30" s="74"/>
      <c r="E30" s="56"/>
      <c r="F30" s="57"/>
      <c r="G30" s="19">
        <f t="shared" ref="G30" si="4">SUM(G28:G29)</f>
        <v>0</v>
      </c>
      <c r="H30" s="19">
        <f t="shared" ref="H30:P30" si="5">SUM(H28:H29)</f>
        <v>151744100</v>
      </c>
      <c r="I30" s="19">
        <f t="shared" si="5"/>
        <v>0</v>
      </c>
      <c r="J30" s="19">
        <f t="shared" si="5"/>
        <v>0</v>
      </c>
      <c r="K30" s="19">
        <f t="shared" si="5"/>
        <v>0</v>
      </c>
      <c r="L30" s="19">
        <f t="shared" si="5"/>
        <v>400000</v>
      </c>
      <c r="M30" s="19">
        <f t="shared" si="5"/>
        <v>200000</v>
      </c>
      <c r="N30" s="19">
        <f t="shared" si="5"/>
        <v>152344100</v>
      </c>
      <c r="O30" s="19">
        <f t="shared" si="5"/>
        <v>40000000</v>
      </c>
      <c r="P30" s="19">
        <f t="shared" si="5"/>
        <v>192344100</v>
      </c>
      <c r="Q30" s="68"/>
      <c r="R30" s="70"/>
    </row>
    <row r="31" spans="1:18" ht="16.5" hidden="1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8" ht="15.75" hidden="1">
      <c r="A32" s="23"/>
      <c r="B32" s="28" t="s">
        <v>759</v>
      </c>
      <c r="C32" s="22"/>
      <c r="D32" s="39"/>
      <c r="F32" s="27"/>
      <c r="G32" s="28"/>
      <c r="H32" s="28"/>
      <c r="I32" s="28"/>
      <c r="J32" s="28"/>
      <c r="K32" s="28"/>
      <c r="L32" s="28"/>
      <c r="Q32" s="51"/>
    </row>
    <row r="33" spans="1:18" ht="15.75" hidden="1">
      <c r="A33" s="38"/>
      <c r="B33" s="40" t="s">
        <v>32</v>
      </c>
      <c r="C33" s="28" t="s">
        <v>28</v>
      </c>
      <c r="D33" s="39"/>
      <c r="F33" s="41"/>
      <c r="G33" s="143" t="s">
        <v>26</v>
      </c>
      <c r="H33" s="143"/>
      <c r="I33" s="143"/>
      <c r="K33" s="41"/>
    </row>
    <row r="34" spans="1:18" ht="15.75" hidden="1">
      <c r="A34" s="38"/>
      <c r="B34" s="40"/>
      <c r="C34" s="28"/>
      <c r="D34" s="39"/>
      <c r="F34" s="28"/>
      <c r="G34" s="28"/>
      <c r="H34" s="28"/>
      <c r="I34" s="28"/>
      <c r="J34" s="28"/>
      <c r="K34" s="28"/>
      <c r="L34" s="28"/>
    </row>
    <row r="35" spans="1:18" ht="15.75" hidden="1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8" ht="15.75" hidden="1">
      <c r="A36" s="38"/>
      <c r="B36" s="40"/>
      <c r="C36" s="28"/>
      <c r="D36" s="39"/>
      <c r="F36" s="28"/>
      <c r="G36" s="28"/>
      <c r="H36" s="28"/>
      <c r="I36" s="28"/>
      <c r="J36" s="28"/>
      <c r="K36" s="28"/>
    </row>
    <row r="37" spans="1:18" ht="15.75" hidden="1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8" ht="15.75" hidden="1">
      <c r="A38" s="38" t="s">
        <v>23</v>
      </c>
      <c r="B38" s="42" t="s">
        <v>27</v>
      </c>
      <c r="C38" s="43" t="s">
        <v>24</v>
      </c>
      <c r="D38" s="39"/>
      <c r="F38" s="29"/>
      <c r="G38" s="29" t="s">
        <v>16</v>
      </c>
      <c r="H38" s="29"/>
      <c r="I38" s="29" t="s">
        <v>30</v>
      </c>
    </row>
    <row r="39" spans="1:18" ht="15.75" hidden="1">
      <c r="A39" s="38"/>
      <c r="B39" s="44" t="s">
        <v>31</v>
      </c>
      <c r="C39" s="45" t="s">
        <v>20</v>
      </c>
      <c r="D39" s="39"/>
      <c r="F39" s="46"/>
      <c r="G39" s="46" t="s">
        <v>17</v>
      </c>
      <c r="H39" s="46"/>
      <c r="I39" s="46" t="s">
        <v>25</v>
      </c>
    </row>
    <row r="40" spans="1:18" hidden="1"/>
    <row r="41" spans="1:18" ht="16.5" thickTop="1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</row>
    <row r="42" spans="1:18" ht="15.75">
      <c r="A42" s="26" t="s">
        <v>753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</row>
    <row r="43" spans="1:18">
      <c r="A43" s="62"/>
      <c r="B43" s="62" t="s">
        <v>1</v>
      </c>
      <c r="C43" s="93" t="s">
        <v>2</v>
      </c>
      <c r="D43" s="117" t="s">
        <v>34</v>
      </c>
      <c r="E43" s="95" t="s">
        <v>3</v>
      </c>
      <c r="F43" s="93" t="s">
        <v>4</v>
      </c>
      <c r="G43" s="96" t="s">
        <v>18</v>
      </c>
      <c r="H43" s="96" t="s">
        <v>18</v>
      </c>
      <c r="I43" s="97" t="s">
        <v>7</v>
      </c>
      <c r="J43" s="130" t="s">
        <v>6</v>
      </c>
      <c r="K43" s="130" t="s">
        <v>6</v>
      </c>
      <c r="L43" s="96" t="s">
        <v>29</v>
      </c>
      <c r="M43" s="96" t="s">
        <v>21</v>
      </c>
      <c r="N43" s="96" t="s">
        <v>8</v>
      </c>
      <c r="O43" s="96" t="s">
        <v>8</v>
      </c>
      <c r="P43" s="96" t="s">
        <v>9</v>
      </c>
      <c r="Q43" s="62" t="s">
        <v>10</v>
      </c>
      <c r="R43" s="98" t="s">
        <v>33</v>
      </c>
    </row>
    <row r="44" spans="1:18">
      <c r="A44" s="99"/>
      <c r="B44" s="99"/>
      <c r="C44" s="100"/>
      <c r="D44" s="101"/>
      <c r="E44" s="102"/>
      <c r="F44" s="100"/>
      <c r="G44" s="103" t="s">
        <v>12</v>
      </c>
      <c r="H44" s="103" t="s">
        <v>12</v>
      </c>
      <c r="I44" s="119" t="s">
        <v>19</v>
      </c>
      <c r="J44" s="131" t="s">
        <v>35</v>
      </c>
      <c r="K44" s="131" t="s">
        <v>517</v>
      </c>
      <c r="L44" s="103" t="s">
        <v>22</v>
      </c>
      <c r="M44" s="103" t="s">
        <v>15</v>
      </c>
      <c r="N44" s="103" t="s">
        <v>13</v>
      </c>
      <c r="O44" s="103" t="s">
        <v>14</v>
      </c>
      <c r="P44" s="103" t="s">
        <v>12</v>
      </c>
      <c r="Q44" s="99"/>
      <c r="R44" s="104"/>
    </row>
    <row r="45" spans="1:18">
      <c r="A45" s="99"/>
      <c r="B45" s="99"/>
      <c r="C45" s="105"/>
      <c r="D45" s="101"/>
      <c r="E45" s="102"/>
      <c r="F45" s="100"/>
      <c r="G45" s="103" t="s">
        <v>42</v>
      </c>
      <c r="H45" s="103" t="s">
        <v>22</v>
      </c>
      <c r="I45" s="119" t="s">
        <v>5</v>
      </c>
      <c r="J45" s="131"/>
      <c r="K45" s="131"/>
      <c r="L45" s="103"/>
      <c r="M45" s="103"/>
      <c r="N45" s="103"/>
      <c r="O45" s="103"/>
      <c r="P45" s="103"/>
      <c r="Q45" s="99"/>
      <c r="R45" s="104"/>
    </row>
    <row r="46" spans="1:18">
      <c r="A46" s="106"/>
      <c r="B46" s="106"/>
      <c r="C46" s="107"/>
      <c r="D46" s="108"/>
      <c r="E46" s="109"/>
      <c r="F46" s="110"/>
      <c r="G46" s="111"/>
      <c r="H46" s="112"/>
      <c r="I46" s="75"/>
      <c r="J46" s="132"/>
      <c r="K46" s="132"/>
      <c r="L46" s="113"/>
      <c r="M46" s="108"/>
      <c r="N46" s="111"/>
      <c r="O46" s="111"/>
      <c r="P46" s="111"/>
      <c r="Q46" s="106"/>
      <c r="R46" s="114"/>
    </row>
    <row r="47" spans="1:18" ht="15.75">
      <c r="A47" s="52"/>
      <c r="B47" s="47"/>
      <c r="C47" s="48"/>
      <c r="D47" s="73"/>
      <c r="E47" s="17"/>
      <c r="F47" s="48"/>
      <c r="G47" s="36"/>
      <c r="H47" s="36"/>
      <c r="I47" s="125"/>
      <c r="J47" s="36"/>
      <c r="K47" s="36"/>
      <c r="L47" s="8"/>
      <c r="N47" s="8"/>
      <c r="O47" s="8"/>
      <c r="P47" s="8"/>
      <c r="Q47" s="35"/>
      <c r="R47" s="37"/>
    </row>
    <row r="48" spans="1:18" ht="15.75">
      <c r="A48" s="52">
        <v>1</v>
      </c>
      <c r="B48" s="116" t="s">
        <v>765</v>
      </c>
      <c r="C48" s="48" t="s">
        <v>766</v>
      </c>
      <c r="D48" s="67" t="s">
        <v>767</v>
      </c>
      <c r="E48" s="17">
        <v>43283</v>
      </c>
      <c r="F48" s="20" t="s">
        <v>768</v>
      </c>
      <c r="G48" s="36">
        <v>0</v>
      </c>
      <c r="H48" s="8">
        <v>917500</v>
      </c>
      <c r="I48" s="8">
        <v>22938</v>
      </c>
      <c r="J48" s="8">
        <v>10871</v>
      </c>
      <c r="K48" s="8">
        <v>0</v>
      </c>
      <c r="L48" s="8">
        <v>500000</v>
      </c>
      <c r="M48" s="8">
        <v>200000</v>
      </c>
      <c r="N48" s="8">
        <f>SUM(G48:M48)</f>
        <v>1651309</v>
      </c>
      <c r="O48" s="8">
        <f>50000000-N48</f>
        <v>48348691</v>
      </c>
      <c r="P48" s="8">
        <f t="shared" ref="P48" si="6">+N48+O48</f>
        <v>50000000</v>
      </c>
      <c r="Q48" s="77" t="s">
        <v>769</v>
      </c>
      <c r="R48" s="66" t="s">
        <v>52</v>
      </c>
    </row>
    <row r="49" spans="1:18" ht="15.75">
      <c r="A49" s="52"/>
      <c r="B49" s="138"/>
      <c r="C49" s="48"/>
      <c r="E49" s="17"/>
      <c r="F49" s="48"/>
      <c r="G49" s="36"/>
      <c r="H49" s="36"/>
      <c r="I49" s="75"/>
      <c r="J49" s="36"/>
      <c r="K49" s="36"/>
      <c r="L49" s="36"/>
      <c r="N49" s="8"/>
      <c r="O49" s="8"/>
      <c r="P49" s="8"/>
      <c r="Q49" s="59"/>
      <c r="R49" s="66"/>
    </row>
    <row r="50" spans="1:18" ht="16.5" thickBot="1">
      <c r="A50" s="18"/>
      <c r="B50" s="55"/>
      <c r="C50" s="56"/>
      <c r="D50" s="74"/>
      <c r="E50" s="56"/>
      <c r="F50" s="57"/>
      <c r="G50" s="19">
        <f t="shared" ref="G50" si="7">SUM(G48:G49)</f>
        <v>0</v>
      </c>
      <c r="H50" s="19">
        <f t="shared" ref="H50:P50" si="8">SUM(H48:H49)</f>
        <v>917500</v>
      </c>
      <c r="I50" s="19">
        <f t="shared" si="8"/>
        <v>22938</v>
      </c>
      <c r="J50" s="19">
        <f t="shared" si="8"/>
        <v>10871</v>
      </c>
      <c r="K50" s="19">
        <f t="shared" si="8"/>
        <v>0</v>
      </c>
      <c r="L50" s="19">
        <f t="shared" si="8"/>
        <v>500000</v>
      </c>
      <c r="M50" s="19">
        <f t="shared" si="8"/>
        <v>200000</v>
      </c>
      <c r="N50" s="19">
        <f t="shared" si="8"/>
        <v>1651309</v>
      </c>
      <c r="O50" s="19">
        <f t="shared" si="8"/>
        <v>48348691</v>
      </c>
      <c r="P50" s="19">
        <f t="shared" si="8"/>
        <v>50000000</v>
      </c>
      <c r="Q50" s="68"/>
      <c r="R50" s="70"/>
    </row>
    <row r="51" spans="1:18" ht="16.5" hidden="1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8" ht="15.75" hidden="1">
      <c r="A52" s="23"/>
      <c r="B52" s="28" t="s">
        <v>759</v>
      </c>
      <c r="C52" s="22"/>
      <c r="D52" s="39"/>
      <c r="F52" s="27"/>
      <c r="G52" s="28"/>
      <c r="H52" s="28"/>
      <c r="I52" s="28"/>
      <c r="J52" s="28"/>
      <c r="K52" s="28"/>
      <c r="L52" s="28"/>
      <c r="Q52" s="51"/>
    </row>
    <row r="53" spans="1:18" ht="15.75" hidden="1">
      <c r="A53" s="38"/>
      <c r="B53" s="40" t="s">
        <v>32</v>
      </c>
      <c r="C53" s="28" t="s">
        <v>28</v>
      </c>
      <c r="D53" s="39"/>
      <c r="F53" s="41"/>
      <c r="G53" s="143" t="s">
        <v>26</v>
      </c>
      <c r="H53" s="143"/>
      <c r="I53" s="143"/>
      <c r="K53" s="41"/>
    </row>
    <row r="54" spans="1:18" ht="15.75" hidden="1">
      <c r="A54" s="38"/>
      <c r="B54" s="40"/>
      <c r="C54" s="28"/>
      <c r="D54" s="39"/>
      <c r="F54" s="28"/>
      <c r="G54" s="28"/>
      <c r="H54" s="28"/>
      <c r="I54" s="28"/>
      <c r="J54" s="28"/>
      <c r="K54" s="28"/>
      <c r="L54" s="28"/>
    </row>
    <row r="55" spans="1:18" ht="15.75" hidden="1">
      <c r="A55" s="38"/>
      <c r="B55" s="40"/>
      <c r="C55" s="28"/>
      <c r="D55" s="39"/>
      <c r="F55" s="28"/>
      <c r="G55" s="28"/>
      <c r="H55" s="28"/>
      <c r="I55" s="28"/>
      <c r="J55" s="28"/>
      <c r="K55" s="28"/>
      <c r="L55" s="28"/>
    </row>
    <row r="56" spans="1:18" ht="15.75" hidden="1">
      <c r="A56" s="38"/>
      <c r="B56" s="40"/>
      <c r="C56" s="28"/>
      <c r="D56" s="39"/>
      <c r="F56" s="28"/>
      <c r="G56" s="28"/>
      <c r="H56" s="28"/>
      <c r="I56" s="28"/>
      <c r="J56" s="28"/>
      <c r="K56" s="28"/>
    </row>
    <row r="57" spans="1:18" ht="15.75" hidden="1">
      <c r="A57" s="38"/>
      <c r="B57" s="40"/>
      <c r="C57" s="28"/>
      <c r="D57" s="39"/>
      <c r="F57" s="28"/>
      <c r="G57" s="28"/>
      <c r="H57" s="28"/>
      <c r="I57" s="28"/>
      <c r="J57" s="28"/>
      <c r="K57" s="28"/>
      <c r="L57" s="28"/>
    </row>
    <row r="58" spans="1:18" ht="15.75" hidden="1">
      <c r="A58" s="38" t="s">
        <v>23</v>
      </c>
      <c r="B58" s="42" t="s">
        <v>27</v>
      </c>
      <c r="C58" s="43" t="s">
        <v>24</v>
      </c>
      <c r="D58" s="39"/>
      <c r="F58" s="29"/>
      <c r="G58" s="29" t="s">
        <v>16</v>
      </c>
      <c r="H58" s="29"/>
      <c r="I58" s="29" t="s">
        <v>30</v>
      </c>
    </row>
    <row r="59" spans="1:18" ht="15.75" hidden="1">
      <c r="A59" s="38"/>
      <c r="B59" s="44" t="s">
        <v>31</v>
      </c>
      <c r="C59" s="45" t="s">
        <v>20</v>
      </c>
      <c r="D59" s="39"/>
      <c r="F59" s="46"/>
      <c r="G59" s="46" t="s">
        <v>17</v>
      </c>
      <c r="H59" s="46"/>
      <c r="I59" s="46" t="s">
        <v>25</v>
      </c>
    </row>
    <row r="60" spans="1:18" hidden="1"/>
    <row r="61" spans="1:18" ht="16.5" thickTop="1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</row>
    <row r="62" spans="1:18" ht="15.75">
      <c r="A62" s="26" t="s">
        <v>770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</row>
    <row r="63" spans="1:18">
      <c r="A63" s="62"/>
      <c r="B63" s="62" t="s">
        <v>1</v>
      </c>
      <c r="C63" s="93" t="s">
        <v>2</v>
      </c>
      <c r="D63" s="117" t="s">
        <v>34</v>
      </c>
      <c r="E63" s="95" t="s">
        <v>3</v>
      </c>
      <c r="F63" s="93" t="s">
        <v>4</v>
      </c>
      <c r="G63" s="96" t="s">
        <v>18</v>
      </c>
      <c r="H63" s="96" t="s">
        <v>18</v>
      </c>
      <c r="I63" s="97" t="s">
        <v>7</v>
      </c>
      <c r="J63" s="130" t="s">
        <v>6</v>
      </c>
      <c r="K63" s="130" t="s">
        <v>6</v>
      </c>
      <c r="L63" s="96" t="s">
        <v>29</v>
      </c>
      <c r="M63" s="96" t="s">
        <v>21</v>
      </c>
      <c r="N63" s="96" t="s">
        <v>8</v>
      </c>
      <c r="O63" s="96" t="s">
        <v>8</v>
      </c>
      <c r="P63" s="96" t="s">
        <v>9</v>
      </c>
      <c r="Q63" s="62" t="s">
        <v>10</v>
      </c>
      <c r="R63" s="98" t="s">
        <v>33</v>
      </c>
    </row>
    <row r="64" spans="1:18">
      <c r="A64" s="99"/>
      <c r="B64" s="99"/>
      <c r="C64" s="100"/>
      <c r="D64" s="101"/>
      <c r="E64" s="102"/>
      <c r="F64" s="100"/>
      <c r="G64" s="103" t="s">
        <v>12</v>
      </c>
      <c r="H64" s="103" t="s">
        <v>12</v>
      </c>
      <c r="I64" s="119" t="s">
        <v>19</v>
      </c>
      <c r="J64" s="131" t="s">
        <v>35</v>
      </c>
      <c r="K64" s="131" t="s">
        <v>517</v>
      </c>
      <c r="L64" s="103" t="s">
        <v>22</v>
      </c>
      <c r="M64" s="103" t="s">
        <v>15</v>
      </c>
      <c r="N64" s="103" t="s">
        <v>13</v>
      </c>
      <c r="O64" s="103" t="s">
        <v>14</v>
      </c>
      <c r="P64" s="103" t="s">
        <v>12</v>
      </c>
      <c r="Q64" s="99"/>
      <c r="R64" s="104"/>
    </row>
    <row r="65" spans="1:18">
      <c r="A65" s="99"/>
      <c r="B65" s="99"/>
      <c r="C65" s="105"/>
      <c r="D65" s="101"/>
      <c r="E65" s="102"/>
      <c r="F65" s="100"/>
      <c r="G65" s="103" t="s">
        <v>42</v>
      </c>
      <c r="H65" s="103" t="s">
        <v>22</v>
      </c>
      <c r="I65" s="119" t="s">
        <v>5</v>
      </c>
      <c r="J65" s="131"/>
      <c r="K65" s="131"/>
      <c r="L65" s="103"/>
      <c r="M65" s="103"/>
      <c r="N65" s="103"/>
      <c r="O65" s="103"/>
      <c r="P65" s="103"/>
      <c r="Q65" s="99"/>
      <c r="R65" s="104"/>
    </row>
    <row r="66" spans="1:18">
      <c r="A66" s="106"/>
      <c r="B66" s="106"/>
      <c r="C66" s="107"/>
      <c r="D66" s="108"/>
      <c r="E66" s="109"/>
      <c r="F66" s="110"/>
      <c r="G66" s="111"/>
      <c r="H66" s="112"/>
      <c r="I66" s="75"/>
      <c r="J66" s="132"/>
      <c r="K66" s="132"/>
      <c r="L66" s="113"/>
      <c r="M66" s="108"/>
      <c r="N66" s="111"/>
      <c r="O66" s="111"/>
      <c r="P66" s="111"/>
      <c r="Q66" s="106"/>
      <c r="R66" s="114"/>
    </row>
    <row r="67" spans="1:18" ht="15.75">
      <c r="A67" s="52"/>
      <c r="B67" s="47"/>
      <c r="C67" s="48"/>
      <c r="D67" s="73"/>
      <c r="E67" s="17"/>
      <c r="F67" s="48"/>
      <c r="G67" s="36"/>
      <c r="H67" s="36"/>
      <c r="I67" s="125"/>
      <c r="J67" s="36"/>
      <c r="K67" s="36"/>
      <c r="L67" s="8"/>
      <c r="N67" s="8"/>
      <c r="O67" s="8"/>
      <c r="P67" s="8"/>
      <c r="Q67" s="35"/>
      <c r="R67" s="37"/>
    </row>
    <row r="68" spans="1:18" ht="15.75">
      <c r="A68" s="52">
        <v>1</v>
      </c>
      <c r="B68" s="116" t="s">
        <v>771</v>
      </c>
      <c r="C68" s="48" t="s">
        <v>772</v>
      </c>
      <c r="D68" s="67" t="s">
        <v>773</v>
      </c>
      <c r="E68" s="17">
        <v>43284</v>
      </c>
      <c r="F68" s="20" t="s">
        <v>774</v>
      </c>
      <c r="G68" s="36">
        <v>0</v>
      </c>
      <c r="H68" s="8">
        <v>28275000</v>
      </c>
      <c r="I68" s="8">
        <v>706875</v>
      </c>
      <c r="J68" s="8">
        <v>356129</v>
      </c>
      <c r="K68" s="8">
        <v>0</v>
      </c>
      <c r="L68" s="8">
        <v>50000</v>
      </c>
      <c r="M68" s="8">
        <v>200000</v>
      </c>
      <c r="N68" s="8">
        <f>SUM(G68:M68)</f>
        <v>29588004</v>
      </c>
      <c r="O68" s="8">
        <f>35000000-N68</f>
        <v>5411996</v>
      </c>
      <c r="P68" s="8">
        <f t="shared" ref="P68" si="9">+N68+O68</f>
        <v>35000000</v>
      </c>
      <c r="Q68" s="77" t="s">
        <v>215</v>
      </c>
      <c r="R68" s="66" t="s">
        <v>52</v>
      </c>
    </row>
    <row r="69" spans="1:18" ht="15.75">
      <c r="A69" s="52"/>
      <c r="B69" s="138"/>
      <c r="C69" s="48"/>
      <c r="E69" s="17"/>
      <c r="F69" s="48"/>
      <c r="G69" s="36"/>
      <c r="H69" s="36"/>
      <c r="I69" s="75"/>
      <c r="J69" s="36"/>
      <c r="K69" s="36"/>
      <c r="L69" s="36"/>
      <c r="N69" s="8"/>
      <c r="O69" s="8"/>
      <c r="P69" s="8"/>
      <c r="Q69" s="59"/>
      <c r="R69" s="66"/>
    </row>
    <row r="70" spans="1:18" ht="16.5" thickBot="1">
      <c r="A70" s="18"/>
      <c r="B70" s="55"/>
      <c r="C70" s="56"/>
      <c r="D70" s="74"/>
      <c r="E70" s="56"/>
      <c r="F70" s="57"/>
      <c r="G70" s="19">
        <f t="shared" ref="G70" si="10">SUM(G68:G69)</f>
        <v>0</v>
      </c>
      <c r="H70" s="19">
        <f t="shared" ref="H70:P70" si="11">SUM(H68:H69)</f>
        <v>28275000</v>
      </c>
      <c r="I70" s="19">
        <f t="shared" si="11"/>
        <v>706875</v>
      </c>
      <c r="J70" s="19">
        <f t="shared" si="11"/>
        <v>356129</v>
      </c>
      <c r="K70" s="19">
        <f t="shared" si="11"/>
        <v>0</v>
      </c>
      <c r="L70" s="19">
        <f t="shared" si="11"/>
        <v>50000</v>
      </c>
      <c r="M70" s="19">
        <f t="shared" si="11"/>
        <v>200000</v>
      </c>
      <c r="N70" s="19">
        <f t="shared" si="11"/>
        <v>29588004</v>
      </c>
      <c r="O70" s="19">
        <f t="shared" si="11"/>
        <v>5411996</v>
      </c>
      <c r="P70" s="19">
        <f t="shared" si="11"/>
        <v>35000000</v>
      </c>
      <c r="Q70" s="68"/>
      <c r="R70" s="70"/>
    </row>
    <row r="71" spans="1:18" ht="16.5" hidden="1" thickTop="1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8" ht="15.75" hidden="1">
      <c r="A72" s="23"/>
      <c r="B72" s="28" t="s">
        <v>775</v>
      </c>
      <c r="C72" s="22"/>
      <c r="D72" s="39"/>
      <c r="F72" s="27"/>
      <c r="G72" s="28"/>
      <c r="H72" s="28"/>
      <c r="I72" s="28"/>
      <c r="J72" s="28"/>
      <c r="K72" s="28"/>
      <c r="L72" s="28"/>
      <c r="Q72" s="51"/>
    </row>
    <row r="73" spans="1:18" ht="15.75" hidden="1">
      <c r="A73" s="38"/>
      <c r="B73" s="40" t="s">
        <v>32</v>
      </c>
      <c r="C73" s="28" t="s">
        <v>28</v>
      </c>
      <c r="D73" s="39"/>
      <c r="F73" s="41"/>
      <c r="G73" s="143" t="s">
        <v>26</v>
      </c>
      <c r="H73" s="143"/>
      <c r="I73" s="143"/>
      <c r="K73" s="41"/>
    </row>
    <row r="74" spans="1:18" ht="15.75" hidden="1">
      <c r="A74" s="38"/>
      <c r="B74" s="40"/>
      <c r="C74" s="28"/>
      <c r="D74" s="39"/>
      <c r="F74" s="28"/>
      <c r="G74" s="28"/>
      <c r="H74" s="28"/>
      <c r="I74" s="28"/>
      <c r="J74" s="28"/>
      <c r="K74" s="28"/>
      <c r="L74" s="28"/>
    </row>
    <row r="75" spans="1:18" ht="15.75" hidden="1">
      <c r="A75" s="38"/>
      <c r="B75" s="40"/>
      <c r="C75" s="28"/>
      <c r="D75" s="39"/>
      <c r="F75" s="28"/>
      <c r="G75" s="28"/>
      <c r="H75" s="28"/>
      <c r="I75" s="28"/>
      <c r="J75" s="28"/>
      <c r="K75" s="28"/>
      <c r="L75" s="28"/>
    </row>
    <row r="76" spans="1:18" ht="15.75" hidden="1">
      <c r="A76" s="38"/>
      <c r="B76" s="40"/>
      <c r="C76" s="28"/>
      <c r="D76" s="39"/>
      <c r="F76" s="28"/>
      <c r="G76" s="28"/>
      <c r="H76" s="28"/>
      <c r="I76" s="28"/>
      <c r="J76" s="28"/>
      <c r="K76" s="28"/>
    </row>
    <row r="77" spans="1:18" ht="15.75" hidden="1">
      <c r="A77" s="38"/>
      <c r="B77" s="40"/>
      <c r="C77" s="28"/>
      <c r="D77" s="39"/>
      <c r="F77" s="28"/>
      <c r="G77" s="28"/>
      <c r="H77" s="28"/>
      <c r="I77" s="28"/>
      <c r="J77" s="28"/>
      <c r="K77" s="28"/>
      <c r="L77" s="28"/>
    </row>
    <row r="78" spans="1:18" ht="15.75" hidden="1">
      <c r="A78" s="38" t="s">
        <v>23</v>
      </c>
      <c r="B78" s="42" t="s">
        <v>27</v>
      </c>
      <c r="C78" s="43" t="s">
        <v>24</v>
      </c>
      <c r="D78" s="39"/>
      <c r="F78" s="29"/>
      <c r="G78" s="29" t="s">
        <v>16</v>
      </c>
      <c r="H78" s="29"/>
      <c r="I78" s="29" t="s">
        <v>30</v>
      </c>
    </row>
    <row r="79" spans="1:18" ht="15.75" hidden="1">
      <c r="A79" s="38"/>
      <c r="B79" s="44" t="s">
        <v>31</v>
      </c>
      <c r="C79" s="45" t="s">
        <v>20</v>
      </c>
      <c r="D79" s="39"/>
      <c r="F79" s="46"/>
      <c r="G79" s="46" t="s">
        <v>17</v>
      </c>
      <c r="H79" s="46"/>
      <c r="I79" s="46" t="s">
        <v>25</v>
      </c>
    </row>
    <row r="80" spans="1:18" hidden="1"/>
    <row r="81" spans="1:18" ht="16.5" thickTop="1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</row>
    <row r="82" spans="1:18" ht="15.75">
      <c r="A82" s="26" t="s">
        <v>776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</row>
    <row r="83" spans="1:18">
      <c r="A83" s="62"/>
      <c r="B83" s="62" t="s">
        <v>1</v>
      </c>
      <c r="C83" s="93" t="s">
        <v>2</v>
      </c>
      <c r="D83" s="117" t="s">
        <v>34</v>
      </c>
      <c r="E83" s="95" t="s">
        <v>3</v>
      </c>
      <c r="F83" s="93" t="s">
        <v>4</v>
      </c>
      <c r="G83" s="96" t="s">
        <v>18</v>
      </c>
      <c r="H83" s="96" t="s">
        <v>18</v>
      </c>
      <c r="I83" s="97" t="s">
        <v>7</v>
      </c>
      <c r="J83" s="130" t="s">
        <v>6</v>
      </c>
      <c r="K83" s="130" t="s">
        <v>6</v>
      </c>
      <c r="L83" s="96" t="s">
        <v>29</v>
      </c>
      <c r="M83" s="96" t="s">
        <v>21</v>
      </c>
      <c r="N83" s="96" t="s">
        <v>8</v>
      </c>
      <c r="O83" s="96" t="s">
        <v>8</v>
      </c>
      <c r="P83" s="96" t="s">
        <v>9</v>
      </c>
      <c r="Q83" s="62" t="s">
        <v>10</v>
      </c>
      <c r="R83" s="98" t="s">
        <v>33</v>
      </c>
    </row>
    <row r="84" spans="1:18">
      <c r="A84" s="99"/>
      <c r="B84" s="99"/>
      <c r="C84" s="100"/>
      <c r="D84" s="101"/>
      <c r="E84" s="102"/>
      <c r="F84" s="100"/>
      <c r="G84" s="103" t="s">
        <v>12</v>
      </c>
      <c r="H84" s="103" t="s">
        <v>12</v>
      </c>
      <c r="I84" s="119" t="s">
        <v>19</v>
      </c>
      <c r="J84" s="131" t="s">
        <v>35</v>
      </c>
      <c r="K84" s="131" t="s">
        <v>517</v>
      </c>
      <c r="L84" s="103" t="s">
        <v>22</v>
      </c>
      <c r="M84" s="103" t="s">
        <v>15</v>
      </c>
      <c r="N84" s="103" t="s">
        <v>13</v>
      </c>
      <c r="O84" s="103" t="s">
        <v>14</v>
      </c>
      <c r="P84" s="103" t="s">
        <v>12</v>
      </c>
      <c r="Q84" s="99"/>
      <c r="R84" s="104"/>
    </row>
    <row r="85" spans="1:18">
      <c r="A85" s="99"/>
      <c r="B85" s="99"/>
      <c r="C85" s="105"/>
      <c r="D85" s="101"/>
      <c r="E85" s="102"/>
      <c r="F85" s="100"/>
      <c r="G85" s="103" t="s">
        <v>42</v>
      </c>
      <c r="H85" s="103" t="s">
        <v>22</v>
      </c>
      <c r="I85" s="119" t="s">
        <v>5</v>
      </c>
      <c r="J85" s="131"/>
      <c r="K85" s="131"/>
      <c r="L85" s="103"/>
      <c r="M85" s="103"/>
      <c r="N85" s="103"/>
      <c r="O85" s="103"/>
      <c r="P85" s="103"/>
      <c r="Q85" s="99"/>
      <c r="R85" s="104"/>
    </row>
    <row r="86" spans="1:18">
      <c r="A86" s="106"/>
      <c r="B86" s="106"/>
      <c r="C86" s="107"/>
      <c r="D86" s="108"/>
      <c r="E86" s="109"/>
      <c r="F86" s="110"/>
      <c r="G86" s="111"/>
      <c r="H86" s="112"/>
      <c r="I86" s="75"/>
      <c r="J86" s="132"/>
      <c r="K86" s="132"/>
      <c r="L86" s="113"/>
      <c r="M86" s="108"/>
      <c r="N86" s="111"/>
      <c r="O86" s="111"/>
      <c r="P86" s="111"/>
      <c r="Q86" s="106"/>
      <c r="R86" s="114"/>
    </row>
    <row r="87" spans="1:18" ht="15.75">
      <c r="A87" s="52"/>
      <c r="B87" s="47"/>
      <c r="C87" s="48"/>
      <c r="D87" s="73"/>
      <c r="E87" s="17"/>
      <c r="F87" s="48"/>
      <c r="G87" s="36"/>
      <c r="H87" s="36"/>
      <c r="I87" s="125"/>
      <c r="J87" s="36"/>
      <c r="K87" s="36"/>
      <c r="L87" s="8"/>
      <c r="N87" s="8"/>
      <c r="O87" s="8"/>
      <c r="P87" s="8"/>
      <c r="Q87" s="35"/>
      <c r="R87" s="37"/>
    </row>
    <row r="88" spans="1:18" ht="15.75">
      <c r="A88" s="52">
        <v>1</v>
      </c>
      <c r="B88" s="116" t="s">
        <v>777</v>
      </c>
      <c r="C88" s="48" t="s">
        <v>778</v>
      </c>
      <c r="D88" s="67" t="s">
        <v>779</v>
      </c>
      <c r="E88" s="17">
        <v>43285</v>
      </c>
      <c r="F88" s="20" t="s">
        <v>780</v>
      </c>
      <c r="G88" s="36">
        <v>0</v>
      </c>
      <c r="H88" s="8">
        <v>0</v>
      </c>
      <c r="I88" s="8">
        <v>0</v>
      </c>
      <c r="J88" s="8">
        <v>0</v>
      </c>
      <c r="K88" s="8">
        <v>0</v>
      </c>
      <c r="L88" s="8">
        <v>60000</v>
      </c>
      <c r="M88" s="8">
        <v>0</v>
      </c>
      <c r="N88" s="8">
        <f>SUM(G88:M88)</f>
        <v>60000</v>
      </c>
      <c r="O88" s="8">
        <f>6000000-N88</f>
        <v>5940000</v>
      </c>
      <c r="P88" s="8">
        <f t="shared" ref="P88" si="12">+N88+O88</f>
        <v>6000000</v>
      </c>
      <c r="Q88" s="77" t="s">
        <v>146</v>
      </c>
      <c r="R88" s="66" t="s">
        <v>40</v>
      </c>
    </row>
    <row r="89" spans="1:18" ht="15.75">
      <c r="A89" s="52"/>
      <c r="B89" s="138" t="s">
        <v>781</v>
      </c>
      <c r="C89" s="48"/>
      <c r="E89" s="17"/>
      <c r="F89" s="48"/>
      <c r="G89" s="36"/>
      <c r="H89" s="36"/>
      <c r="I89" s="75"/>
      <c r="J89" s="36"/>
      <c r="K89" s="36"/>
      <c r="L89" s="36"/>
      <c r="N89" s="8"/>
      <c r="O89" s="8"/>
      <c r="P89" s="8"/>
      <c r="Q89" s="59"/>
      <c r="R89" s="66"/>
    </row>
    <row r="90" spans="1:18" ht="16.5" thickBot="1">
      <c r="A90" s="18"/>
      <c r="B90" s="55"/>
      <c r="C90" s="56"/>
      <c r="D90" s="74"/>
      <c r="E90" s="56"/>
      <c r="F90" s="57"/>
      <c r="G90" s="19">
        <f t="shared" ref="G90" si="13">SUM(G88:G89)</f>
        <v>0</v>
      </c>
      <c r="H90" s="19">
        <f t="shared" ref="H90:P90" si="14">SUM(H88:H89)</f>
        <v>0</v>
      </c>
      <c r="I90" s="19">
        <f t="shared" si="14"/>
        <v>0</v>
      </c>
      <c r="J90" s="19">
        <f t="shared" si="14"/>
        <v>0</v>
      </c>
      <c r="K90" s="19">
        <f t="shared" si="14"/>
        <v>0</v>
      </c>
      <c r="L90" s="19">
        <f t="shared" si="14"/>
        <v>60000</v>
      </c>
      <c r="M90" s="19">
        <f t="shared" si="14"/>
        <v>0</v>
      </c>
      <c r="N90" s="19">
        <f t="shared" si="14"/>
        <v>60000</v>
      </c>
      <c r="O90" s="19">
        <f t="shared" si="14"/>
        <v>5940000</v>
      </c>
      <c r="P90" s="19">
        <f t="shared" si="14"/>
        <v>6000000</v>
      </c>
      <c r="Q90" s="68"/>
      <c r="R90" s="70"/>
    </row>
    <row r="91" spans="1:18" ht="16.5" hidden="1" thickTop="1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8" ht="15.75" hidden="1">
      <c r="A92" s="23"/>
      <c r="B92" s="28" t="s">
        <v>782</v>
      </c>
      <c r="C92" s="22"/>
      <c r="D92" s="39"/>
      <c r="F92" s="27"/>
      <c r="G92" s="28"/>
      <c r="H92" s="28"/>
      <c r="I92" s="28"/>
      <c r="J92" s="28"/>
      <c r="K92" s="28"/>
      <c r="L92" s="28"/>
      <c r="Q92" s="51"/>
    </row>
    <row r="93" spans="1:18" ht="15.75" hidden="1">
      <c r="A93" s="38"/>
      <c r="B93" s="40" t="s">
        <v>32</v>
      </c>
      <c r="C93" s="28" t="s">
        <v>28</v>
      </c>
      <c r="D93" s="39"/>
      <c r="F93" s="41"/>
      <c r="G93" s="143" t="s">
        <v>26</v>
      </c>
      <c r="H93" s="143"/>
      <c r="I93" s="143"/>
      <c r="K93" s="41"/>
    </row>
    <row r="94" spans="1:18" ht="15.75" hidden="1">
      <c r="A94" s="38"/>
      <c r="B94" s="40"/>
      <c r="C94" s="28"/>
      <c r="D94" s="39"/>
      <c r="F94" s="28"/>
      <c r="G94" s="28"/>
      <c r="H94" s="28"/>
      <c r="I94" s="28"/>
      <c r="J94" s="28"/>
      <c r="K94" s="28"/>
      <c r="L94" s="28"/>
    </row>
    <row r="95" spans="1:18" ht="15.75" hidden="1">
      <c r="A95" s="38"/>
      <c r="B95" s="40"/>
      <c r="C95" s="28"/>
      <c r="D95" s="39"/>
      <c r="F95" s="28"/>
      <c r="G95" s="28"/>
      <c r="H95" s="28"/>
      <c r="I95" s="28"/>
      <c r="J95" s="28"/>
      <c r="K95" s="28"/>
      <c r="L95" s="28"/>
    </row>
    <row r="96" spans="1:18" ht="15.75" hidden="1">
      <c r="A96" s="38"/>
      <c r="B96" s="40"/>
      <c r="C96" s="28"/>
      <c r="D96" s="39"/>
      <c r="F96" s="28"/>
      <c r="G96" s="28"/>
      <c r="H96" s="28"/>
      <c r="I96" s="28"/>
      <c r="J96" s="28"/>
      <c r="K96" s="28"/>
    </row>
    <row r="97" spans="1:18" ht="15.75" hidden="1">
      <c r="A97" s="38"/>
      <c r="B97" s="40"/>
      <c r="C97" s="28"/>
      <c r="D97" s="39"/>
      <c r="F97" s="28"/>
      <c r="G97" s="28"/>
      <c r="H97" s="28"/>
      <c r="I97" s="28"/>
      <c r="J97" s="28"/>
      <c r="K97" s="28"/>
      <c r="L97" s="28"/>
    </row>
    <row r="98" spans="1:18" ht="15.75" hidden="1">
      <c r="A98" s="38" t="s">
        <v>23</v>
      </c>
      <c r="B98" s="42" t="s">
        <v>27</v>
      </c>
      <c r="C98" s="43" t="s">
        <v>24</v>
      </c>
      <c r="D98" s="39"/>
      <c r="F98" s="29"/>
      <c r="G98" s="29" t="s">
        <v>16</v>
      </c>
      <c r="H98" s="29"/>
      <c r="I98" s="29" t="s">
        <v>30</v>
      </c>
    </row>
    <row r="99" spans="1:18" ht="15.75" hidden="1">
      <c r="A99" s="38"/>
      <c r="B99" s="44" t="s">
        <v>31</v>
      </c>
      <c r="C99" s="45" t="s">
        <v>20</v>
      </c>
      <c r="D99" s="39"/>
      <c r="F99" s="46"/>
      <c r="G99" s="46" t="s">
        <v>17</v>
      </c>
      <c r="H99" s="46"/>
      <c r="I99" s="46" t="s">
        <v>25</v>
      </c>
    </row>
    <row r="100" spans="1:18" hidden="1"/>
    <row r="101" spans="1:18" ht="16.5" thickTop="1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</row>
    <row r="102" spans="1:18" ht="15.75">
      <c r="A102" s="26" t="s">
        <v>776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</row>
    <row r="103" spans="1:18">
      <c r="A103" s="62"/>
      <c r="B103" s="62" t="s">
        <v>1</v>
      </c>
      <c r="C103" s="93" t="s">
        <v>2</v>
      </c>
      <c r="D103" s="117" t="s">
        <v>34</v>
      </c>
      <c r="E103" s="95" t="s">
        <v>3</v>
      </c>
      <c r="F103" s="93" t="s">
        <v>4</v>
      </c>
      <c r="G103" s="96" t="s">
        <v>18</v>
      </c>
      <c r="H103" s="96" t="s">
        <v>18</v>
      </c>
      <c r="I103" s="97" t="s">
        <v>7</v>
      </c>
      <c r="J103" s="130" t="s">
        <v>6</v>
      </c>
      <c r="K103" s="130" t="s">
        <v>6</v>
      </c>
      <c r="L103" s="96" t="s">
        <v>29</v>
      </c>
      <c r="M103" s="96" t="s">
        <v>21</v>
      </c>
      <c r="N103" s="96" t="s">
        <v>8</v>
      </c>
      <c r="O103" s="96" t="s">
        <v>8</v>
      </c>
      <c r="P103" s="96" t="s">
        <v>9</v>
      </c>
      <c r="Q103" s="62" t="s">
        <v>10</v>
      </c>
      <c r="R103" s="98" t="s">
        <v>33</v>
      </c>
    </row>
    <row r="104" spans="1:18">
      <c r="A104" s="99"/>
      <c r="B104" s="99"/>
      <c r="C104" s="100"/>
      <c r="D104" s="101"/>
      <c r="E104" s="102"/>
      <c r="F104" s="100"/>
      <c r="G104" s="103" t="s">
        <v>12</v>
      </c>
      <c r="H104" s="103" t="s">
        <v>12</v>
      </c>
      <c r="I104" s="119" t="s">
        <v>19</v>
      </c>
      <c r="J104" s="131" t="s">
        <v>35</v>
      </c>
      <c r="K104" s="131" t="s">
        <v>517</v>
      </c>
      <c r="L104" s="103" t="s">
        <v>22</v>
      </c>
      <c r="M104" s="103" t="s">
        <v>15</v>
      </c>
      <c r="N104" s="103" t="s">
        <v>13</v>
      </c>
      <c r="O104" s="103" t="s">
        <v>14</v>
      </c>
      <c r="P104" s="103" t="s">
        <v>12</v>
      </c>
      <c r="Q104" s="99"/>
      <c r="R104" s="104"/>
    </row>
    <row r="105" spans="1:18">
      <c r="A105" s="99"/>
      <c r="B105" s="99"/>
      <c r="C105" s="105"/>
      <c r="D105" s="101"/>
      <c r="E105" s="102"/>
      <c r="F105" s="100"/>
      <c r="G105" s="103" t="s">
        <v>58</v>
      </c>
      <c r="H105" s="103" t="s">
        <v>22</v>
      </c>
      <c r="I105" s="119" t="s">
        <v>5</v>
      </c>
      <c r="J105" s="131"/>
      <c r="K105" s="131"/>
      <c r="L105" s="103"/>
      <c r="M105" s="103"/>
      <c r="N105" s="103"/>
      <c r="O105" s="103"/>
      <c r="P105" s="103"/>
      <c r="Q105" s="99"/>
      <c r="R105" s="104"/>
    </row>
    <row r="106" spans="1:18">
      <c r="A106" s="106"/>
      <c r="B106" s="106"/>
      <c r="C106" s="107"/>
      <c r="D106" s="108"/>
      <c r="E106" s="109"/>
      <c r="F106" s="110"/>
      <c r="G106" s="111"/>
      <c r="H106" s="112"/>
      <c r="I106" s="75"/>
      <c r="J106" s="132"/>
      <c r="K106" s="132"/>
      <c r="L106" s="113"/>
      <c r="M106" s="108"/>
      <c r="N106" s="111"/>
      <c r="O106" s="111"/>
      <c r="P106" s="111"/>
      <c r="Q106" s="106"/>
      <c r="R106" s="114"/>
    </row>
    <row r="107" spans="1:18" ht="15.75">
      <c r="A107" s="52"/>
      <c r="B107" s="47"/>
      <c r="C107" s="48"/>
      <c r="D107" s="73"/>
      <c r="E107" s="17"/>
      <c r="F107" s="48"/>
      <c r="G107" s="36"/>
      <c r="H107" s="36"/>
      <c r="I107" s="125"/>
      <c r="J107" s="36"/>
      <c r="K107" s="36"/>
      <c r="L107" s="8"/>
      <c r="N107" s="8"/>
      <c r="O107" s="8"/>
      <c r="P107" s="8"/>
      <c r="Q107" s="35"/>
      <c r="R107" s="37"/>
    </row>
    <row r="108" spans="1:18" ht="15.75">
      <c r="A108" s="52">
        <v>1</v>
      </c>
      <c r="B108" s="51" t="s">
        <v>783</v>
      </c>
      <c r="C108" s="48" t="s">
        <v>784</v>
      </c>
      <c r="D108" s="67" t="s">
        <v>785</v>
      </c>
      <c r="E108" s="17">
        <v>43285</v>
      </c>
      <c r="F108" s="20" t="s">
        <v>786</v>
      </c>
      <c r="G108" s="36">
        <v>67277000</v>
      </c>
      <c r="H108" s="8">
        <v>0</v>
      </c>
      <c r="I108" s="8">
        <v>0</v>
      </c>
      <c r="J108" s="8">
        <v>0</v>
      </c>
      <c r="K108" s="8">
        <v>0</v>
      </c>
      <c r="L108" s="8">
        <v>227230</v>
      </c>
      <c r="M108" s="8">
        <v>200000</v>
      </c>
      <c r="N108" s="8">
        <f>SUM(G108:M108)</f>
        <v>67704230</v>
      </c>
      <c r="O108" s="8">
        <f>90000000-N108</f>
        <v>22295770</v>
      </c>
      <c r="P108" s="8">
        <f t="shared" ref="P108" si="15">+N108+O108</f>
        <v>90000000</v>
      </c>
      <c r="Q108" s="77" t="s">
        <v>205</v>
      </c>
      <c r="R108" s="66" t="s">
        <v>52</v>
      </c>
    </row>
    <row r="109" spans="1:18" ht="15.75">
      <c r="A109" s="52"/>
      <c r="B109" s="138"/>
      <c r="C109" s="48"/>
      <c r="E109" s="17"/>
      <c r="F109" s="48"/>
      <c r="G109" s="36"/>
      <c r="H109" s="36"/>
      <c r="I109" s="75"/>
      <c r="J109" s="36"/>
      <c r="K109" s="36"/>
      <c r="L109" s="36"/>
      <c r="N109" s="8"/>
      <c r="O109" s="8"/>
      <c r="P109" s="8"/>
      <c r="Q109" s="59"/>
      <c r="R109" s="66"/>
    </row>
    <row r="110" spans="1:18" ht="16.5" thickBot="1">
      <c r="A110" s="18"/>
      <c r="B110" s="55"/>
      <c r="C110" s="56"/>
      <c r="D110" s="74"/>
      <c r="E110" s="56"/>
      <c r="F110" s="57"/>
      <c r="G110" s="19">
        <f t="shared" ref="G110" si="16">SUM(G108:G109)</f>
        <v>67277000</v>
      </c>
      <c r="H110" s="19">
        <f t="shared" ref="H110:P110" si="17">SUM(H108:H109)</f>
        <v>0</v>
      </c>
      <c r="I110" s="19">
        <f t="shared" si="17"/>
        <v>0</v>
      </c>
      <c r="J110" s="19">
        <f t="shared" si="17"/>
        <v>0</v>
      </c>
      <c r="K110" s="19">
        <f t="shared" si="17"/>
        <v>0</v>
      </c>
      <c r="L110" s="19">
        <f t="shared" si="17"/>
        <v>227230</v>
      </c>
      <c r="M110" s="19">
        <f t="shared" si="17"/>
        <v>200000</v>
      </c>
      <c r="N110" s="19">
        <f t="shared" si="17"/>
        <v>67704230</v>
      </c>
      <c r="O110" s="19">
        <f t="shared" si="17"/>
        <v>22295770</v>
      </c>
      <c r="P110" s="19">
        <f t="shared" si="17"/>
        <v>90000000</v>
      </c>
      <c r="Q110" s="68"/>
      <c r="R110" s="70"/>
    </row>
    <row r="111" spans="1:18" ht="16.5" hidden="1" thickTop="1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8" ht="15.75" hidden="1">
      <c r="A112" s="23"/>
      <c r="B112" s="28" t="s">
        <v>782</v>
      </c>
      <c r="C112" s="22"/>
      <c r="D112" s="39"/>
      <c r="F112" s="27"/>
      <c r="G112" s="28"/>
      <c r="H112" s="28"/>
      <c r="I112" s="28"/>
      <c r="J112" s="28"/>
      <c r="K112" s="28"/>
      <c r="L112" s="28"/>
      <c r="Q112" s="51"/>
    </row>
    <row r="113" spans="1:18" ht="15.75" hidden="1">
      <c r="A113" s="38"/>
      <c r="B113" s="40" t="s">
        <v>32</v>
      </c>
      <c r="C113" s="28" t="s">
        <v>28</v>
      </c>
      <c r="D113" s="39"/>
      <c r="F113" s="41"/>
      <c r="G113" s="143" t="s">
        <v>26</v>
      </c>
      <c r="H113" s="143"/>
      <c r="I113" s="143"/>
      <c r="K113" s="41"/>
    </row>
    <row r="114" spans="1:18" ht="15.75" hidden="1">
      <c r="A114" s="38"/>
      <c r="B114" s="40"/>
      <c r="C114" s="28"/>
      <c r="D114" s="39"/>
      <c r="F114" s="28"/>
      <c r="G114" s="28"/>
      <c r="H114" s="28"/>
      <c r="I114" s="28"/>
      <c r="J114" s="28"/>
      <c r="K114" s="28"/>
      <c r="L114" s="28"/>
    </row>
    <row r="115" spans="1:18" ht="15.75" hidden="1">
      <c r="A115" s="38"/>
      <c r="B115" s="40"/>
      <c r="C115" s="28"/>
      <c r="D115" s="39"/>
      <c r="F115" s="28"/>
      <c r="G115" s="28"/>
      <c r="H115" s="28"/>
      <c r="I115" s="28"/>
      <c r="J115" s="28"/>
      <c r="K115" s="28"/>
      <c r="L115" s="28"/>
    </row>
    <row r="116" spans="1:18" ht="15.75" hidden="1">
      <c r="A116" s="38"/>
      <c r="B116" s="40"/>
      <c r="C116" s="28"/>
      <c r="D116" s="39"/>
      <c r="F116" s="28"/>
      <c r="G116" s="28"/>
      <c r="H116" s="28"/>
      <c r="I116" s="28"/>
      <c r="J116" s="28"/>
      <c r="K116" s="28"/>
    </row>
    <row r="117" spans="1:18" ht="15.75" hidden="1">
      <c r="A117" s="38"/>
      <c r="B117" s="40"/>
      <c r="C117" s="28"/>
      <c r="D117" s="39"/>
      <c r="F117" s="28"/>
      <c r="G117" s="28"/>
      <c r="H117" s="28"/>
      <c r="I117" s="28"/>
      <c r="J117" s="28"/>
      <c r="K117" s="28"/>
      <c r="L117" s="28"/>
    </row>
    <row r="118" spans="1:18" ht="15.75" hidden="1">
      <c r="A118" s="38" t="s">
        <v>23</v>
      </c>
      <c r="B118" s="42" t="s">
        <v>27</v>
      </c>
      <c r="C118" s="43" t="s">
        <v>24</v>
      </c>
      <c r="D118" s="39"/>
      <c r="F118" s="29"/>
      <c r="G118" s="29" t="s">
        <v>16</v>
      </c>
      <c r="H118" s="29"/>
      <c r="I118" s="29" t="s">
        <v>30</v>
      </c>
    </row>
    <row r="119" spans="1:18" ht="15.75" hidden="1">
      <c r="A119" s="38"/>
      <c r="B119" s="44" t="s">
        <v>31</v>
      </c>
      <c r="C119" s="45" t="s">
        <v>20</v>
      </c>
      <c r="D119" s="39"/>
      <c r="F119" s="46"/>
      <c r="G119" s="46" t="s">
        <v>17</v>
      </c>
      <c r="H119" s="46"/>
      <c r="I119" s="46" t="s">
        <v>25</v>
      </c>
    </row>
    <row r="120" spans="1:18" hidden="1"/>
    <row r="121" spans="1:18" ht="16.5" thickTop="1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</row>
    <row r="122" spans="1:18" ht="15.75">
      <c r="A122" s="26" t="s">
        <v>776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</row>
    <row r="123" spans="1:18">
      <c r="A123" s="62"/>
      <c r="B123" s="62" t="s">
        <v>1</v>
      </c>
      <c r="C123" s="93" t="s">
        <v>2</v>
      </c>
      <c r="D123" s="117" t="s">
        <v>34</v>
      </c>
      <c r="E123" s="95" t="s">
        <v>3</v>
      </c>
      <c r="F123" s="93" t="s">
        <v>4</v>
      </c>
      <c r="G123" s="96" t="s">
        <v>18</v>
      </c>
      <c r="H123" s="96" t="s">
        <v>18</v>
      </c>
      <c r="I123" s="97" t="s">
        <v>7</v>
      </c>
      <c r="J123" s="130" t="s">
        <v>6</v>
      </c>
      <c r="K123" s="130" t="s">
        <v>6</v>
      </c>
      <c r="L123" s="96" t="s">
        <v>29</v>
      </c>
      <c r="M123" s="96" t="s">
        <v>21</v>
      </c>
      <c r="N123" s="96" t="s">
        <v>8</v>
      </c>
      <c r="O123" s="96" t="s">
        <v>8</v>
      </c>
      <c r="P123" s="96" t="s">
        <v>9</v>
      </c>
      <c r="Q123" s="62" t="s">
        <v>10</v>
      </c>
      <c r="R123" s="98" t="s">
        <v>33</v>
      </c>
    </row>
    <row r="124" spans="1:18">
      <c r="A124" s="99"/>
      <c r="B124" s="99"/>
      <c r="C124" s="100"/>
      <c r="D124" s="101"/>
      <c r="E124" s="102"/>
      <c r="F124" s="100"/>
      <c r="G124" s="103" t="s">
        <v>12</v>
      </c>
      <c r="H124" s="103" t="s">
        <v>12</v>
      </c>
      <c r="I124" s="119" t="s">
        <v>19</v>
      </c>
      <c r="J124" s="131" t="s">
        <v>35</v>
      </c>
      <c r="K124" s="131" t="s">
        <v>517</v>
      </c>
      <c r="L124" s="103" t="s">
        <v>22</v>
      </c>
      <c r="M124" s="103" t="s">
        <v>15</v>
      </c>
      <c r="N124" s="103" t="s">
        <v>13</v>
      </c>
      <c r="O124" s="103" t="s">
        <v>14</v>
      </c>
      <c r="P124" s="103" t="s">
        <v>12</v>
      </c>
      <c r="Q124" s="99"/>
      <c r="R124" s="104"/>
    </row>
    <row r="125" spans="1:18">
      <c r="A125" s="99"/>
      <c r="B125" s="99"/>
      <c r="C125" s="105"/>
      <c r="D125" s="101"/>
      <c r="E125" s="102"/>
      <c r="F125" s="100"/>
      <c r="G125" s="103" t="s">
        <v>58</v>
      </c>
      <c r="H125" s="103" t="s">
        <v>22</v>
      </c>
      <c r="I125" s="119" t="s">
        <v>5</v>
      </c>
      <c r="J125" s="131"/>
      <c r="K125" s="131"/>
      <c r="L125" s="103"/>
      <c r="M125" s="103"/>
      <c r="N125" s="103"/>
      <c r="O125" s="103"/>
      <c r="P125" s="103"/>
      <c r="Q125" s="99"/>
      <c r="R125" s="104"/>
    </row>
    <row r="126" spans="1:18">
      <c r="A126" s="106"/>
      <c r="B126" s="106"/>
      <c r="C126" s="107"/>
      <c r="D126" s="108"/>
      <c r="E126" s="109"/>
      <c r="F126" s="110"/>
      <c r="G126" s="111"/>
      <c r="H126" s="112"/>
      <c r="I126" s="75"/>
      <c r="J126" s="132"/>
      <c r="K126" s="132"/>
      <c r="L126" s="113"/>
      <c r="M126" s="108"/>
      <c r="N126" s="111"/>
      <c r="O126" s="111"/>
      <c r="P126" s="111"/>
      <c r="Q126" s="106"/>
      <c r="R126" s="114"/>
    </row>
    <row r="127" spans="1:18" ht="15.75">
      <c r="A127" s="52"/>
      <c r="B127" s="47"/>
      <c r="C127" s="48"/>
      <c r="D127" s="73"/>
      <c r="E127" s="17"/>
      <c r="F127" s="48"/>
      <c r="G127" s="36"/>
      <c r="H127" s="36"/>
      <c r="I127" s="125"/>
      <c r="J127" s="36"/>
      <c r="K127" s="36"/>
      <c r="L127" s="8"/>
      <c r="N127" s="8"/>
      <c r="O127" s="8"/>
      <c r="P127" s="8"/>
      <c r="Q127" s="35"/>
      <c r="R127" s="37"/>
    </row>
    <row r="128" spans="1:18" ht="15.75">
      <c r="A128" s="52">
        <v>1</v>
      </c>
      <c r="B128" s="51" t="s">
        <v>787</v>
      </c>
      <c r="C128" s="48" t="s">
        <v>788</v>
      </c>
      <c r="D128" s="67" t="s">
        <v>789</v>
      </c>
      <c r="E128" s="17">
        <v>43285</v>
      </c>
      <c r="F128" s="20" t="s">
        <v>790</v>
      </c>
      <c r="G128" s="36">
        <v>0</v>
      </c>
      <c r="H128" s="8">
        <v>0</v>
      </c>
      <c r="I128" s="8">
        <v>0</v>
      </c>
      <c r="J128" s="8">
        <v>0</v>
      </c>
      <c r="K128" s="8">
        <v>0</v>
      </c>
      <c r="L128" s="8">
        <v>200000</v>
      </c>
      <c r="M128" s="8">
        <v>200000</v>
      </c>
      <c r="N128" s="8">
        <f>SUM(G128:M128)</f>
        <v>400000</v>
      </c>
      <c r="O128" s="8">
        <f>50000000-N128</f>
        <v>49600000</v>
      </c>
      <c r="P128" s="8">
        <f t="shared" ref="P128" si="18">+N128+O128</f>
        <v>50000000</v>
      </c>
      <c r="Q128" s="77" t="s">
        <v>758</v>
      </c>
      <c r="R128" s="66" t="s">
        <v>58</v>
      </c>
    </row>
    <row r="129" spans="1:18" ht="15.75">
      <c r="A129" s="52"/>
      <c r="B129" s="138"/>
      <c r="C129" s="48"/>
      <c r="E129" s="17"/>
      <c r="F129" s="48"/>
      <c r="G129" s="36"/>
      <c r="H129" s="36"/>
      <c r="I129" s="75"/>
      <c r="J129" s="36"/>
      <c r="K129" s="36"/>
      <c r="L129" s="36"/>
      <c r="N129" s="8"/>
      <c r="O129" s="8"/>
      <c r="P129" s="8"/>
      <c r="Q129" s="59"/>
      <c r="R129" s="66"/>
    </row>
    <row r="130" spans="1:18" ht="16.5" thickBot="1">
      <c r="A130" s="18"/>
      <c r="B130" s="55"/>
      <c r="C130" s="56"/>
      <c r="D130" s="74"/>
      <c r="E130" s="56"/>
      <c r="F130" s="57"/>
      <c r="G130" s="19">
        <f t="shared" ref="G130" si="19">SUM(G128:G129)</f>
        <v>0</v>
      </c>
      <c r="H130" s="19">
        <f t="shared" ref="H130:P130" si="20">SUM(H128:H129)</f>
        <v>0</v>
      </c>
      <c r="I130" s="19">
        <f t="shared" si="20"/>
        <v>0</v>
      </c>
      <c r="J130" s="19">
        <f t="shared" si="20"/>
        <v>0</v>
      </c>
      <c r="K130" s="19">
        <f t="shared" si="20"/>
        <v>0</v>
      </c>
      <c r="L130" s="19">
        <f t="shared" si="20"/>
        <v>200000</v>
      </c>
      <c r="M130" s="19">
        <f t="shared" si="20"/>
        <v>200000</v>
      </c>
      <c r="N130" s="19">
        <f t="shared" si="20"/>
        <v>400000</v>
      </c>
      <c r="O130" s="19">
        <f t="shared" si="20"/>
        <v>49600000</v>
      </c>
      <c r="P130" s="19">
        <f t="shared" si="20"/>
        <v>50000000</v>
      </c>
      <c r="Q130" s="68"/>
      <c r="R130" s="70"/>
    </row>
    <row r="131" spans="1:18" ht="16.5" hidden="1" thickTop="1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8" ht="15.75" hidden="1">
      <c r="A132" s="23"/>
      <c r="B132" s="28" t="s">
        <v>782</v>
      </c>
      <c r="C132" s="22"/>
      <c r="D132" s="39"/>
      <c r="F132" s="27"/>
      <c r="G132" s="28"/>
      <c r="H132" s="28"/>
      <c r="I132" s="28"/>
      <c r="J132" s="28"/>
      <c r="K132" s="28"/>
      <c r="L132" s="28"/>
      <c r="Q132" s="51"/>
    </row>
    <row r="133" spans="1:18" ht="15.75" hidden="1">
      <c r="A133" s="38"/>
      <c r="B133" s="40" t="s">
        <v>32</v>
      </c>
      <c r="C133" s="28" t="s">
        <v>28</v>
      </c>
      <c r="D133" s="39"/>
      <c r="F133" s="41"/>
      <c r="G133" s="143" t="s">
        <v>26</v>
      </c>
      <c r="H133" s="143"/>
      <c r="I133" s="143"/>
      <c r="K133" s="41"/>
    </row>
    <row r="134" spans="1:18" ht="15.75" hidden="1">
      <c r="A134" s="38"/>
      <c r="B134" s="40"/>
      <c r="C134" s="28"/>
      <c r="D134" s="39"/>
      <c r="F134" s="28"/>
      <c r="G134" s="28"/>
      <c r="H134" s="28"/>
      <c r="I134" s="28"/>
      <c r="J134" s="28"/>
      <c r="K134" s="28"/>
      <c r="L134" s="28"/>
    </row>
    <row r="135" spans="1:18" ht="15.75" hidden="1">
      <c r="A135" s="38"/>
      <c r="B135" s="40"/>
      <c r="C135" s="28"/>
      <c r="D135" s="39"/>
      <c r="F135" s="28"/>
      <c r="G135" s="28"/>
      <c r="H135" s="28"/>
      <c r="I135" s="28"/>
      <c r="J135" s="28"/>
      <c r="K135" s="28"/>
      <c r="L135" s="28"/>
    </row>
    <row r="136" spans="1:18" ht="15.75" hidden="1">
      <c r="A136" s="38"/>
      <c r="B136" s="40"/>
      <c r="C136" s="28"/>
      <c r="D136" s="39"/>
      <c r="F136" s="28"/>
      <c r="G136" s="28"/>
      <c r="H136" s="28"/>
      <c r="I136" s="28"/>
      <c r="J136" s="28"/>
      <c r="K136" s="28"/>
    </row>
    <row r="137" spans="1:18" ht="15.75" hidden="1">
      <c r="A137" s="38"/>
      <c r="B137" s="40"/>
      <c r="C137" s="28"/>
      <c r="D137" s="39"/>
      <c r="F137" s="28"/>
      <c r="G137" s="28"/>
      <c r="H137" s="28"/>
      <c r="I137" s="28"/>
      <c r="J137" s="28"/>
      <c r="K137" s="28"/>
      <c r="L137" s="28"/>
    </row>
    <row r="138" spans="1:18" ht="15.75" hidden="1">
      <c r="A138" s="38" t="s">
        <v>23</v>
      </c>
      <c r="B138" s="42" t="s">
        <v>27</v>
      </c>
      <c r="C138" s="43" t="s">
        <v>24</v>
      </c>
      <c r="D138" s="39"/>
      <c r="F138" s="29"/>
      <c r="G138" s="29" t="s">
        <v>16</v>
      </c>
      <c r="H138" s="29"/>
      <c r="I138" s="29" t="s">
        <v>30</v>
      </c>
    </row>
    <row r="139" spans="1:18" ht="15.75" hidden="1">
      <c r="A139" s="38"/>
      <c r="B139" s="44" t="s">
        <v>31</v>
      </c>
      <c r="C139" s="45" t="s">
        <v>20</v>
      </c>
      <c r="D139" s="39"/>
      <c r="F139" s="46"/>
      <c r="G139" s="46" t="s">
        <v>17</v>
      </c>
      <c r="H139" s="46"/>
      <c r="I139" s="46" t="s">
        <v>25</v>
      </c>
    </row>
    <row r="140" spans="1:18" hidden="1"/>
    <row r="141" spans="1:18" ht="16.5" thickTop="1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</row>
    <row r="142" spans="1:18" ht="15.75">
      <c r="A142" s="26" t="s">
        <v>776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</row>
    <row r="143" spans="1:18">
      <c r="A143" s="62"/>
      <c r="B143" s="62" t="s">
        <v>1</v>
      </c>
      <c r="C143" s="93" t="s">
        <v>2</v>
      </c>
      <c r="D143" s="117" t="s">
        <v>34</v>
      </c>
      <c r="E143" s="95" t="s">
        <v>3</v>
      </c>
      <c r="F143" s="93" t="s">
        <v>4</v>
      </c>
      <c r="G143" s="96" t="s">
        <v>18</v>
      </c>
      <c r="H143" s="96" t="s">
        <v>18</v>
      </c>
      <c r="I143" s="97" t="s">
        <v>7</v>
      </c>
      <c r="J143" s="130" t="s">
        <v>6</v>
      </c>
      <c r="K143" s="130" t="s">
        <v>6</v>
      </c>
      <c r="L143" s="96" t="s">
        <v>29</v>
      </c>
      <c r="M143" s="96" t="s">
        <v>21</v>
      </c>
      <c r="N143" s="96" t="s">
        <v>8</v>
      </c>
      <c r="O143" s="96" t="s">
        <v>8</v>
      </c>
      <c r="P143" s="96" t="s">
        <v>9</v>
      </c>
      <c r="Q143" s="62" t="s">
        <v>10</v>
      </c>
      <c r="R143" s="98" t="s">
        <v>33</v>
      </c>
    </row>
    <row r="144" spans="1:18">
      <c r="A144" s="99"/>
      <c r="B144" s="99"/>
      <c r="C144" s="100"/>
      <c r="D144" s="101"/>
      <c r="E144" s="102"/>
      <c r="F144" s="100"/>
      <c r="G144" s="103" t="s">
        <v>12</v>
      </c>
      <c r="H144" s="103" t="s">
        <v>12</v>
      </c>
      <c r="I144" s="119" t="s">
        <v>19</v>
      </c>
      <c r="J144" s="131" t="s">
        <v>35</v>
      </c>
      <c r="K144" s="131" t="s">
        <v>517</v>
      </c>
      <c r="L144" s="103" t="s">
        <v>22</v>
      </c>
      <c r="M144" s="103" t="s">
        <v>15</v>
      </c>
      <c r="N144" s="103" t="s">
        <v>13</v>
      </c>
      <c r="O144" s="103" t="s">
        <v>14</v>
      </c>
      <c r="P144" s="103" t="s">
        <v>12</v>
      </c>
      <c r="Q144" s="99"/>
      <c r="R144" s="104"/>
    </row>
    <row r="145" spans="1:18">
      <c r="A145" s="99"/>
      <c r="B145" s="99"/>
      <c r="C145" s="105"/>
      <c r="D145" s="101"/>
      <c r="E145" s="102"/>
      <c r="F145" s="100"/>
      <c r="G145" s="103" t="s">
        <v>58</v>
      </c>
      <c r="H145" s="103" t="s">
        <v>22</v>
      </c>
      <c r="I145" s="119" t="s">
        <v>5</v>
      </c>
      <c r="J145" s="131"/>
      <c r="K145" s="131"/>
      <c r="L145" s="103"/>
      <c r="M145" s="103"/>
      <c r="N145" s="103"/>
      <c r="O145" s="103"/>
      <c r="P145" s="103"/>
      <c r="Q145" s="99"/>
      <c r="R145" s="104"/>
    </row>
    <row r="146" spans="1:18">
      <c r="A146" s="106"/>
      <c r="B146" s="106"/>
      <c r="C146" s="107"/>
      <c r="D146" s="108"/>
      <c r="E146" s="109"/>
      <c r="F146" s="110"/>
      <c r="G146" s="111"/>
      <c r="H146" s="112"/>
      <c r="I146" s="75"/>
      <c r="J146" s="132"/>
      <c r="K146" s="132"/>
      <c r="L146" s="113"/>
      <c r="M146" s="108"/>
      <c r="N146" s="111"/>
      <c r="O146" s="111"/>
      <c r="P146" s="111"/>
      <c r="Q146" s="106"/>
      <c r="R146" s="114"/>
    </row>
    <row r="147" spans="1:18" ht="15.75">
      <c r="A147" s="52"/>
      <c r="B147" s="47"/>
      <c r="C147" s="48"/>
      <c r="D147" s="73"/>
      <c r="E147" s="17"/>
      <c r="F147" s="48"/>
      <c r="G147" s="36"/>
      <c r="H147" s="36"/>
      <c r="I147" s="125"/>
      <c r="J147" s="36"/>
      <c r="K147" s="36"/>
      <c r="L147" s="8"/>
      <c r="N147" s="8"/>
      <c r="O147" s="8"/>
      <c r="P147" s="8"/>
      <c r="Q147" s="35"/>
      <c r="R147" s="37"/>
    </row>
    <row r="148" spans="1:18" ht="15.75">
      <c r="A148" s="52">
        <v>1</v>
      </c>
      <c r="B148" s="51" t="s">
        <v>791</v>
      </c>
      <c r="C148" s="48" t="s">
        <v>792</v>
      </c>
      <c r="D148" s="67" t="s">
        <v>793</v>
      </c>
      <c r="E148" s="17">
        <v>43285</v>
      </c>
      <c r="F148" s="20" t="s">
        <v>794</v>
      </c>
      <c r="G148" s="36">
        <v>0</v>
      </c>
      <c r="H148" s="8">
        <v>0</v>
      </c>
      <c r="I148" s="8">
        <v>0</v>
      </c>
      <c r="J148" s="8">
        <v>0</v>
      </c>
      <c r="K148" s="8">
        <v>0</v>
      </c>
      <c r="L148" s="8">
        <v>700000</v>
      </c>
      <c r="M148" s="8">
        <v>200000</v>
      </c>
      <c r="N148" s="8">
        <f>SUM(G148:M148)</f>
        <v>900000</v>
      </c>
      <c r="O148" s="8">
        <f>100000000-N148</f>
        <v>99100000</v>
      </c>
      <c r="P148" s="8">
        <f t="shared" ref="P148" si="21">+N148+O148</f>
        <v>100000000</v>
      </c>
      <c r="Q148" s="77" t="s">
        <v>246</v>
      </c>
      <c r="R148" s="66" t="s">
        <v>40</v>
      </c>
    </row>
    <row r="149" spans="1:18" ht="15.75">
      <c r="A149" s="52"/>
      <c r="B149" s="138"/>
      <c r="C149" s="48"/>
      <c r="E149" s="17"/>
      <c r="F149" s="48"/>
      <c r="G149" s="36"/>
      <c r="H149" s="36"/>
      <c r="I149" s="75"/>
      <c r="J149" s="36"/>
      <c r="K149" s="36"/>
      <c r="L149" s="36"/>
      <c r="N149" s="8"/>
      <c r="O149" s="8"/>
      <c r="P149" s="8"/>
      <c r="Q149" s="59"/>
      <c r="R149" s="66"/>
    </row>
    <row r="150" spans="1:18" ht="16.5" thickBot="1">
      <c r="A150" s="18"/>
      <c r="B150" s="55"/>
      <c r="C150" s="56"/>
      <c r="D150" s="74"/>
      <c r="E150" s="56"/>
      <c r="F150" s="57"/>
      <c r="G150" s="19">
        <f t="shared" ref="G150" si="22">SUM(G148:G149)</f>
        <v>0</v>
      </c>
      <c r="H150" s="19">
        <f t="shared" ref="H150:P150" si="23">SUM(H148:H149)</f>
        <v>0</v>
      </c>
      <c r="I150" s="19">
        <f t="shared" si="23"/>
        <v>0</v>
      </c>
      <c r="J150" s="19">
        <f t="shared" si="23"/>
        <v>0</v>
      </c>
      <c r="K150" s="19">
        <f t="shared" si="23"/>
        <v>0</v>
      </c>
      <c r="L150" s="19">
        <f t="shared" si="23"/>
        <v>700000</v>
      </c>
      <c r="M150" s="19">
        <f t="shared" si="23"/>
        <v>200000</v>
      </c>
      <c r="N150" s="19">
        <f t="shared" si="23"/>
        <v>900000</v>
      </c>
      <c r="O150" s="19">
        <f t="shared" si="23"/>
        <v>99100000</v>
      </c>
      <c r="P150" s="19">
        <f t="shared" si="23"/>
        <v>100000000</v>
      </c>
      <c r="Q150" s="68"/>
      <c r="R150" s="70"/>
    </row>
    <row r="151" spans="1:18" ht="16.5" hidden="1" thickTop="1">
      <c r="A151" s="23"/>
      <c r="B151" s="22"/>
      <c r="C151" s="22"/>
      <c r="D151" s="23"/>
      <c r="E151" s="22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2"/>
      <c r="Q151" s="69"/>
    </row>
    <row r="152" spans="1:18" ht="15.75" hidden="1">
      <c r="A152" s="23"/>
      <c r="B152" s="28" t="s">
        <v>782</v>
      </c>
      <c r="C152" s="22"/>
      <c r="D152" s="39"/>
      <c r="F152" s="27"/>
      <c r="G152" s="28"/>
      <c r="H152" s="28"/>
      <c r="I152" s="28"/>
      <c r="J152" s="28"/>
      <c r="K152" s="28"/>
      <c r="L152" s="28"/>
      <c r="Q152" s="51"/>
    </row>
    <row r="153" spans="1:18" ht="15.75" hidden="1">
      <c r="A153" s="38"/>
      <c r="B153" s="40" t="s">
        <v>32</v>
      </c>
      <c r="C153" s="28" t="s">
        <v>28</v>
      </c>
      <c r="D153" s="39"/>
      <c r="F153" s="41"/>
      <c r="G153" s="143" t="s">
        <v>26</v>
      </c>
      <c r="H153" s="143"/>
      <c r="I153" s="143"/>
      <c r="K153" s="41"/>
    </row>
    <row r="154" spans="1:18" ht="15.75" hidden="1">
      <c r="A154" s="38"/>
      <c r="B154" s="40"/>
      <c r="C154" s="28"/>
      <c r="D154" s="39"/>
      <c r="F154" s="28"/>
      <c r="G154" s="28"/>
      <c r="H154" s="28"/>
      <c r="I154" s="28"/>
      <c r="J154" s="28"/>
      <c r="K154" s="28"/>
      <c r="L154" s="28"/>
    </row>
    <row r="155" spans="1:18" ht="15.75" hidden="1">
      <c r="A155" s="38"/>
      <c r="B155" s="40"/>
      <c r="C155" s="28"/>
      <c r="D155" s="39"/>
      <c r="F155" s="28"/>
      <c r="G155" s="28"/>
      <c r="H155" s="28"/>
      <c r="I155" s="28"/>
      <c r="J155" s="28"/>
      <c r="K155" s="28"/>
      <c r="L155" s="28"/>
    </row>
    <row r="156" spans="1:18" ht="15.75" hidden="1">
      <c r="A156" s="38"/>
      <c r="B156" s="40"/>
      <c r="C156" s="28"/>
      <c r="D156" s="39"/>
      <c r="F156" s="28"/>
      <c r="G156" s="28"/>
      <c r="H156" s="28"/>
      <c r="I156" s="28"/>
      <c r="J156" s="28"/>
      <c r="K156" s="28"/>
    </row>
    <row r="157" spans="1:18" ht="15.75" hidden="1">
      <c r="A157" s="38"/>
      <c r="B157" s="40"/>
      <c r="C157" s="28"/>
      <c r="D157" s="39"/>
      <c r="F157" s="28"/>
      <c r="G157" s="28"/>
      <c r="H157" s="28"/>
      <c r="I157" s="28"/>
      <c r="J157" s="28"/>
      <c r="K157" s="28"/>
      <c r="L157" s="28"/>
    </row>
    <row r="158" spans="1:18" ht="15.75" hidden="1">
      <c r="A158" s="38" t="s">
        <v>23</v>
      </c>
      <c r="B158" s="42" t="s">
        <v>27</v>
      </c>
      <c r="C158" s="43" t="s">
        <v>24</v>
      </c>
      <c r="D158" s="39"/>
      <c r="F158" s="29"/>
      <c r="G158" s="29" t="s">
        <v>16</v>
      </c>
      <c r="H158" s="29"/>
      <c r="I158" s="29" t="s">
        <v>30</v>
      </c>
    </row>
    <row r="159" spans="1:18" ht="15.75" hidden="1">
      <c r="A159" s="38"/>
      <c r="B159" s="44" t="s">
        <v>31</v>
      </c>
      <c r="C159" s="45" t="s">
        <v>20</v>
      </c>
      <c r="D159" s="39"/>
      <c r="F159" s="46"/>
      <c r="G159" s="46" t="s">
        <v>17</v>
      </c>
      <c r="H159" s="46"/>
      <c r="I159" s="46" t="s">
        <v>25</v>
      </c>
    </row>
    <row r="160" spans="1:18" hidden="1"/>
    <row r="161" spans="1:18" ht="16.5" thickTop="1">
      <c r="A161" s="21" t="s">
        <v>0</v>
      </c>
      <c r="B161" s="22"/>
      <c r="C161" s="23"/>
      <c r="D161" s="23"/>
      <c r="E161" s="23"/>
      <c r="F161" s="24"/>
      <c r="G161" s="24"/>
      <c r="H161" s="24"/>
      <c r="I161" s="24"/>
      <c r="J161" s="24"/>
      <c r="K161" s="24"/>
      <c r="L161" s="25"/>
    </row>
    <row r="162" spans="1:18" ht="15.75">
      <c r="A162" s="26" t="s">
        <v>795</v>
      </c>
      <c r="B162" s="21"/>
      <c r="C162" s="21"/>
      <c r="D162" s="21"/>
      <c r="E162" s="21"/>
      <c r="F162" s="24"/>
      <c r="G162" s="24"/>
      <c r="H162" s="24"/>
      <c r="I162" s="24"/>
      <c r="J162" s="24"/>
      <c r="K162" s="24"/>
      <c r="L162" s="25"/>
    </row>
    <row r="163" spans="1:18">
      <c r="A163" s="62"/>
      <c r="B163" s="62" t="s">
        <v>1</v>
      </c>
      <c r="C163" s="93" t="s">
        <v>2</v>
      </c>
      <c r="D163" s="117" t="s">
        <v>34</v>
      </c>
      <c r="E163" s="95" t="s">
        <v>3</v>
      </c>
      <c r="F163" s="93" t="s">
        <v>4</v>
      </c>
      <c r="G163" s="96" t="s">
        <v>18</v>
      </c>
      <c r="H163" s="96" t="s">
        <v>18</v>
      </c>
      <c r="I163" s="97" t="s">
        <v>7</v>
      </c>
      <c r="J163" s="130" t="s">
        <v>6</v>
      </c>
      <c r="K163" s="130" t="s">
        <v>6</v>
      </c>
      <c r="L163" s="96" t="s">
        <v>29</v>
      </c>
      <c r="M163" s="96" t="s">
        <v>21</v>
      </c>
      <c r="N163" s="96" t="s">
        <v>8</v>
      </c>
      <c r="O163" s="96" t="s">
        <v>8</v>
      </c>
      <c r="P163" s="96" t="s">
        <v>9</v>
      </c>
      <c r="Q163" s="62" t="s">
        <v>10</v>
      </c>
      <c r="R163" s="98" t="s">
        <v>33</v>
      </c>
    </row>
    <row r="164" spans="1:18">
      <c r="A164" s="99"/>
      <c r="B164" s="99"/>
      <c r="C164" s="100"/>
      <c r="D164" s="101"/>
      <c r="E164" s="102"/>
      <c r="F164" s="100"/>
      <c r="G164" s="103" t="s">
        <v>12</v>
      </c>
      <c r="H164" s="103" t="s">
        <v>12</v>
      </c>
      <c r="I164" s="119" t="s">
        <v>19</v>
      </c>
      <c r="J164" s="131" t="s">
        <v>35</v>
      </c>
      <c r="K164" s="131" t="s">
        <v>517</v>
      </c>
      <c r="L164" s="103" t="s">
        <v>22</v>
      </c>
      <c r="M164" s="103" t="s">
        <v>15</v>
      </c>
      <c r="N164" s="103" t="s">
        <v>13</v>
      </c>
      <c r="O164" s="103" t="s">
        <v>14</v>
      </c>
      <c r="P164" s="103" t="s">
        <v>12</v>
      </c>
      <c r="Q164" s="99"/>
      <c r="R164" s="104"/>
    </row>
    <row r="165" spans="1:18">
      <c r="A165" s="99"/>
      <c r="B165" s="99"/>
      <c r="C165" s="105"/>
      <c r="D165" s="101"/>
      <c r="E165" s="102"/>
      <c r="F165" s="100"/>
      <c r="G165" s="103" t="s">
        <v>90</v>
      </c>
      <c r="H165" s="103" t="s">
        <v>22</v>
      </c>
      <c r="I165" s="119" t="s">
        <v>5</v>
      </c>
      <c r="J165" s="131"/>
      <c r="K165" s="131"/>
      <c r="L165" s="103"/>
      <c r="M165" s="103"/>
      <c r="N165" s="103"/>
      <c r="O165" s="103"/>
      <c r="P165" s="103"/>
      <c r="Q165" s="99"/>
      <c r="R165" s="104"/>
    </row>
    <row r="166" spans="1:18">
      <c r="A166" s="106"/>
      <c r="B166" s="106"/>
      <c r="C166" s="107"/>
      <c r="D166" s="108"/>
      <c r="E166" s="109"/>
      <c r="F166" s="110"/>
      <c r="G166" s="111"/>
      <c r="H166" s="112"/>
      <c r="I166" s="75"/>
      <c r="J166" s="132"/>
      <c r="K166" s="132"/>
      <c r="L166" s="113"/>
      <c r="M166" s="108"/>
      <c r="N166" s="111"/>
      <c r="O166" s="111"/>
      <c r="P166" s="111"/>
      <c r="Q166" s="106"/>
      <c r="R166" s="114"/>
    </row>
    <row r="167" spans="1:18" ht="15.75">
      <c r="A167" s="52"/>
      <c r="B167" s="47"/>
      <c r="C167" s="48"/>
      <c r="D167" s="73"/>
      <c r="E167" s="17"/>
      <c r="F167" s="48"/>
      <c r="G167" s="36"/>
      <c r="H167" s="36"/>
      <c r="I167" s="125"/>
      <c r="J167" s="36"/>
      <c r="K167" s="36"/>
      <c r="L167" s="8"/>
      <c r="N167" s="8"/>
      <c r="O167" s="8"/>
      <c r="P167" s="8"/>
      <c r="Q167" s="35"/>
      <c r="R167" s="37"/>
    </row>
    <row r="168" spans="1:18" ht="15.75">
      <c r="A168" s="52">
        <v>1</v>
      </c>
      <c r="B168" s="51" t="s">
        <v>796</v>
      </c>
      <c r="C168" s="48" t="s">
        <v>797</v>
      </c>
      <c r="D168" s="67" t="s">
        <v>798</v>
      </c>
      <c r="E168" s="17">
        <v>43287</v>
      </c>
      <c r="F168" s="20" t="s">
        <v>799</v>
      </c>
      <c r="G168" s="36">
        <v>22494000</v>
      </c>
      <c r="H168" s="8">
        <v>0</v>
      </c>
      <c r="I168" s="8">
        <v>562350</v>
      </c>
      <c r="J168" s="8">
        <v>176516</v>
      </c>
      <c r="K168" s="8">
        <v>0</v>
      </c>
      <c r="L168" s="8">
        <v>100000</v>
      </c>
      <c r="M168" s="8">
        <v>200000</v>
      </c>
      <c r="N168" s="8">
        <f>SUM(G168:M168)</f>
        <v>23532866</v>
      </c>
      <c r="O168" s="8">
        <f>40000000-N168</f>
        <v>16467134</v>
      </c>
      <c r="P168" s="8">
        <f t="shared" ref="P168" si="24">+N168+O168</f>
        <v>40000000</v>
      </c>
      <c r="Q168" s="77" t="s">
        <v>800</v>
      </c>
      <c r="R168" s="66" t="s">
        <v>52</v>
      </c>
    </row>
    <row r="169" spans="1:18" ht="15.75">
      <c r="A169" s="52"/>
      <c r="B169" s="138"/>
      <c r="C169" s="48"/>
      <c r="E169" s="17"/>
      <c r="F169" s="48"/>
      <c r="G169" s="36"/>
      <c r="H169" s="36"/>
      <c r="I169" s="75"/>
      <c r="J169" s="36"/>
      <c r="K169" s="36"/>
      <c r="L169" s="36"/>
      <c r="N169" s="8"/>
      <c r="O169" s="8"/>
      <c r="P169" s="8"/>
      <c r="Q169" s="59"/>
      <c r="R169" s="66"/>
    </row>
    <row r="170" spans="1:18" ht="16.5" thickBot="1">
      <c r="A170" s="18"/>
      <c r="B170" s="55"/>
      <c r="C170" s="56"/>
      <c r="D170" s="74"/>
      <c r="E170" s="56"/>
      <c r="F170" s="57"/>
      <c r="G170" s="19">
        <f t="shared" ref="G170" si="25">SUM(G168:G169)</f>
        <v>22494000</v>
      </c>
      <c r="H170" s="19">
        <f t="shared" ref="H170:P170" si="26">SUM(H168:H169)</f>
        <v>0</v>
      </c>
      <c r="I170" s="19">
        <f t="shared" si="26"/>
        <v>562350</v>
      </c>
      <c r="J170" s="19">
        <f t="shared" si="26"/>
        <v>176516</v>
      </c>
      <c r="K170" s="19">
        <f t="shared" si="26"/>
        <v>0</v>
      </c>
      <c r="L170" s="19">
        <f t="shared" si="26"/>
        <v>100000</v>
      </c>
      <c r="M170" s="19">
        <f t="shared" si="26"/>
        <v>200000</v>
      </c>
      <c r="N170" s="19">
        <f t="shared" si="26"/>
        <v>23532866</v>
      </c>
      <c r="O170" s="19">
        <f t="shared" si="26"/>
        <v>16467134</v>
      </c>
      <c r="P170" s="19">
        <f t="shared" si="26"/>
        <v>40000000</v>
      </c>
      <c r="Q170" s="68"/>
      <c r="R170" s="70"/>
    </row>
    <row r="171" spans="1:18" ht="16.5" hidden="1" thickTop="1">
      <c r="A171" s="23"/>
      <c r="B171" s="22"/>
      <c r="C171" s="22"/>
      <c r="D171" s="23"/>
      <c r="E171" s="22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2"/>
      <c r="Q171" s="69"/>
    </row>
    <row r="172" spans="1:18" ht="15.75" hidden="1">
      <c r="A172" s="23"/>
      <c r="B172" s="28" t="s">
        <v>801</v>
      </c>
      <c r="C172" s="22"/>
      <c r="D172" s="39"/>
      <c r="F172" s="27"/>
      <c r="G172" s="28"/>
      <c r="H172" s="28"/>
      <c r="I172" s="28"/>
      <c r="J172" s="28"/>
      <c r="K172" s="28"/>
      <c r="L172" s="28"/>
      <c r="Q172" s="51"/>
    </row>
    <row r="173" spans="1:18" ht="15.75" hidden="1">
      <c r="A173" s="38"/>
      <c r="B173" s="40" t="s">
        <v>32</v>
      </c>
      <c r="C173" s="28" t="s">
        <v>28</v>
      </c>
      <c r="D173" s="39"/>
      <c r="F173" s="41"/>
      <c r="G173" s="143" t="s">
        <v>26</v>
      </c>
      <c r="H173" s="143"/>
      <c r="I173" s="143"/>
      <c r="K173" s="41"/>
    </row>
    <row r="174" spans="1:18" ht="15.75" hidden="1">
      <c r="A174" s="38"/>
      <c r="B174" s="40"/>
      <c r="C174" s="28"/>
      <c r="D174" s="39"/>
      <c r="F174" s="28"/>
      <c r="G174" s="28"/>
      <c r="H174" s="28"/>
      <c r="I174" s="28"/>
      <c r="J174" s="28"/>
      <c r="K174" s="28"/>
      <c r="L174" s="28"/>
    </row>
    <row r="175" spans="1:18" ht="15.75" hidden="1">
      <c r="A175" s="38"/>
      <c r="B175" s="40"/>
      <c r="C175" s="28"/>
      <c r="D175" s="39"/>
      <c r="F175" s="28"/>
      <c r="G175" s="28"/>
      <c r="H175" s="28"/>
      <c r="I175" s="28"/>
      <c r="J175" s="28"/>
      <c r="K175" s="28"/>
      <c r="L175" s="28"/>
    </row>
    <row r="176" spans="1:18" ht="15.75" hidden="1">
      <c r="A176" s="38"/>
      <c r="B176" s="40"/>
      <c r="C176" s="28"/>
      <c r="D176" s="39"/>
      <c r="F176" s="28"/>
      <c r="G176" s="28"/>
      <c r="H176" s="28"/>
      <c r="I176" s="28"/>
      <c r="J176" s="28"/>
      <c r="K176" s="28"/>
    </row>
    <row r="177" spans="1:18" ht="15.75" hidden="1">
      <c r="A177" s="38"/>
      <c r="B177" s="40"/>
      <c r="C177" s="28"/>
      <c r="D177" s="39"/>
      <c r="F177" s="28"/>
      <c r="G177" s="28"/>
      <c r="H177" s="28"/>
      <c r="I177" s="28"/>
      <c r="J177" s="28"/>
      <c r="K177" s="28"/>
      <c r="L177" s="28"/>
    </row>
    <row r="178" spans="1:18" ht="15.75" hidden="1">
      <c r="A178" s="38" t="s">
        <v>23</v>
      </c>
      <c r="B178" s="42" t="s">
        <v>27</v>
      </c>
      <c r="C178" s="43" t="s">
        <v>24</v>
      </c>
      <c r="D178" s="39"/>
      <c r="F178" s="29"/>
      <c r="G178" s="29" t="s">
        <v>16</v>
      </c>
      <c r="H178" s="29"/>
      <c r="I178" s="29" t="s">
        <v>30</v>
      </c>
    </row>
    <row r="179" spans="1:18" ht="15.75" hidden="1">
      <c r="A179" s="38"/>
      <c r="B179" s="44" t="s">
        <v>31</v>
      </c>
      <c r="C179" s="45" t="s">
        <v>20</v>
      </c>
      <c r="D179" s="39"/>
      <c r="F179" s="46"/>
      <c r="G179" s="46" t="s">
        <v>17</v>
      </c>
      <c r="H179" s="46"/>
      <c r="I179" s="46" t="s">
        <v>25</v>
      </c>
    </row>
    <row r="180" spans="1:18" hidden="1"/>
    <row r="181" spans="1:18" ht="16.5" thickTop="1">
      <c r="A181" s="21" t="s">
        <v>0</v>
      </c>
      <c r="B181" s="22"/>
      <c r="C181" s="23"/>
      <c r="D181" s="23"/>
      <c r="E181" s="23"/>
      <c r="F181" s="24"/>
      <c r="G181" s="24"/>
      <c r="H181" s="24"/>
      <c r="I181" s="24"/>
      <c r="J181" s="24"/>
      <c r="K181" s="24"/>
      <c r="L181" s="25"/>
    </row>
    <row r="182" spans="1:18" ht="15.75">
      <c r="A182" s="26" t="s">
        <v>805</v>
      </c>
      <c r="B182" s="21"/>
      <c r="C182" s="21"/>
      <c r="D182" s="21"/>
      <c r="E182" s="21"/>
      <c r="F182" s="24"/>
      <c r="G182" s="24"/>
      <c r="H182" s="24"/>
      <c r="I182" s="24"/>
      <c r="J182" s="24"/>
      <c r="K182" s="24"/>
      <c r="L182" s="25"/>
    </row>
    <row r="183" spans="1:18">
      <c r="A183" s="62"/>
      <c r="B183" s="62" t="s">
        <v>1</v>
      </c>
      <c r="C183" s="93" t="s">
        <v>2</v>
      </c>
      <c r="D183" s="117" t="s">
        <v>34</v>
      </c>
      <c r="E183" s="95" t="s">
        <v>3</v>
      </c>
      <c r="F183" s="93" t="s">
        <v>4</v>
      </c>
      <c r="G183" s="96" t="s">
        <v>18</v>
      </c>
      <c r="H183" s="96" t="s">
        <v>18</v>
      </c>
      <c r="I183" s="97" t="s">
        <v>7</v>
      </c>
      <c r="J183" s="130" t="s">
        <v>6</v>
      </c>
      <c r="K183" s="130" t="s">
        <v>6</v>
      </c>
      <c r="L183" s="96" t="s">
        <v>29</v>
      </c>
      <c r="M183" s="96" t="s">
        <v>21</v>
      </c>
      <c r="N183" s="96" t="s">
        <v>8</v>
      </c>
      <c r="O183" s="96" t="s">
        <v>8</v>
      </c>
      <c r="P183" s="96" t="s">
        <v>9</v>
      </c>
      <c r="Q183" s="62" t="s">
        <v>10</v>
      </c>
      <c r="R183" s="98" t="s">
        <v>33</v>
      </c>
    </row>
    <row r="184" spans="1:18">
      <c r="A184" s="99"/>
      <c r="B184" s="99"/>
      <c r="C184" s="100"/>
      <c r="D184" s="101"/>
      <c r="E184" s="102"/>
      <c r="F184" s="100"/>
      <c r="G184" s="103" t="s">
        <v>12</v>
      </c>
      <c r="H184" s="103" t="s">
        <v>12</v>
      </c>
      <c r="I184" s="119" t="s">
        <v>19</v>
      </c>
      <c r="J184" s="131" t="s">
        <v>35</v>
      </c>
      <c r="K184" s="131" t="s">
        <v>517</v>
      </c>
      <c r="L184" s="103" t="s">
        <v>22</v>
      </c>
      <c r="M184" s="103" t="s">
        <v>15</v>
      </c>
      <c r="N184" s="103" t="s">
        <v>13</v>
      </c>
      <c r="O184" s="103" t="s">
        <v>14</v>
      </c>
      <c r="P184" s="103" t="s">
        <v>12</v>
      </c>
      <c r="Q184" s="99"/>
      <c r="R184" s="104"/>
    </row>
    <row r="185" spans="1:18">
      <c r="A185" s="99"/>
      <c r="B185" s="99"/>
      <c r="C185" s="105"/>
      <c r="D185" s="101"/>
      <c r="E185" s="102"/>
      <c r="F185" s="100"/>
      <c r="G185" s="103" t="s">
        <v>22</v>
      </c>
      <c r="H185" s="103" t="s">
        <v>22</v>
      </c>
      <c r="I185" s="119" t="s">
        <v>5</v>
      </c>
      <c r="J185" s="131"/>
      <c r="K185" s="131"/>
      <c r="L185" s="103"/>
      <c r="M185" s="103"/>
      <c r="N185" s="103"/>
      <c r="O185" s="103"/>
      <c r="P185" s="103"/>
      <c r="Q185" s="99"/>
      <c r="R185" s="104"/>
    </row>
    <row r="186" spans="1:18">
      <c r="A186" s="106"/>
      <c r="B186" s="106"/>
      <c r="C186" s="107"/>
      <c r="D186" s="108"/>
      <c r="E186" s="109"/>
      <c r="F186" s="110"/>
      <c r="G186" s="111"/>
      <c r="H186" s="112"/>
      <c r="I186" s="75"/>
      <c r="J186" s="132"/>
      <c r="K186" s="132"/>
      <c r="L186" s="113"/>
      <c r="M186" s="108"/>
      <c r="N186" s="111"/>
      <c r="O186" s="111"/>
      <c r="P186" s="111"/>
      <c r="Q186" s="106"/>
      <c r="R186" s="114"/>
    </row>
    <row r="187" spans="1:18" ht="15.75">
      <c r="A187" s="52"/>
      <c r="B187" s="47"/>
      <c r="C187" s="48"/>
      <c r="D187" s="73"/>
      <c r="E187" s="17"/>
      <c r="F187" s="48"/>
      <c r="G187" s="36"/>
      <c r="H187" s="36"/>
      <c r="I187" s="125"/>
      <c r="J187" s="36"/>
      <c r="K187" s="36"/>
      <c r="L187" s="8"/>
      <c r="N187" s="8"/>
      <c r="O187" s="8"/>
      <c r="P187" s="8"/>
      <c r="Q187" s="35"/>
      <c r="R187" s="37"/>
    </row>
    <row r="188" spans="1:18" ht="15.75">
      <c r="A188" s="52">
        <v>1</v>
      </c>
      <c r="B188" s="51" t="s">
        <v>806</v>
      </c>
      <c r="C188" s="48" t="s">
        <v>807</v>
      </c>
      <c r="D188" s="67" t="s">
        <v>808</v>
      </c>
      <c r="E188" s="17">
        <v>43290</v>
      </c>
      <c r="F188" s="20" t="s">
        <v>337</v>
      </c>
      <c r="G188" s="36">
        <v>65600000</v>
      </c>
      <c r="H188" s="8">
        <v>0</v>
      </c>
      <c r="I188" s="8">
        <v>1640000</v>
      </c>
      <c r="J188" s="8">
        <v>998710</v>
      </c>
      <c r="K188" s="8">
        <v>0</v>
      </c>
      <c r="L188" s="8">
        <v>0</v>
      </c>
      <c r="M188" s="8">
        <v>200000</v>
      </c>
      <c r="N188" s="8">
        <f>SUM(G188:M188)</f>
        <v>68438710</v>
      </c>
      <c r="O188" s="8">
        <f>68438710-N188</f>
        <v>0</v>
      </c>
      <c r="P188" s="8">
        <f t="shared" ref="P188" si="27">+N188+O188</f>
        <v>68438710</v>
      </c>
      <c r="Q188" s="77" t="s">
        <v>292</v>
      </c>
      <c r="R188" s="66" t="s">
        <v>519</v>
      </c>
    </row>
    <row r="189" spans="1:18" ht="15.75">
      <c r="A189" s="52"/>
      <c r="B189" s="138"/>
      <c r="C189" s="48"/>
      <c r="E189" s="17"/>
      <c r="F189" s="48"/>
      <c r="G189" s="36"/>
      <c r="H189" s="36"/>
      <c r="I189" s="75"/>
      <c r="J189" s="36"/>
      <c r="K189" s="36"/>
      <c r="L189" s="36"/>
      <c r="N189" s="8"/>
      <c r="O189" s="8"/>
      <c r="P189" s="8"/>
      <c r="Q189" s="59"/>
      <c r="R189" s="66" t="s">
        <v>520</v>
      </c>
    </row>
    <row r="190" spans="1:18" ht="16.5" thickBot="1">
      <c r="A190" s="18"/>
      <c r="B190" s="55"/>
      <c r="C190" s="56"/>
      <c r="D190" s="74"/>
      <c r="E190" s="56"/>
      <c r="F190" s="57"/>
      <c r="G190" s="19">
        <f t="shared" ref="G190" si="28">SUM(G188:G189)</f>
        <v>65600000</v>
      </c>
      <c r="H190" s="19">
        <f t="shared" ref="H190:P190" si="29">SUM(H188:H189)</f>
        <v>0</v>
      </c>
      <c r="I190" s="19">
        <f t="shared" si="29"/>
        <v>1640000</v>
      </c>
      <c r="J190" s="19">
        <f t="shared" si="29"/>
        <v>998710</v>
      </c>
      <c r="K190" s="19">
        <f t="shared" si="29"/>
        <v>0</v>
      </c>
      <c r="L190" s="19">
        <f t="shared" si="29"/>
        <v>0</v>
      </c>
      <c r="M190" s="19">
        <f t="shared" si="29"/>
        <v>200000</v>
      </c>
      <c r="N190" s="19">
        <f t="shared" si="29"/>
        <v>68438710</v>
      </c>
      <c r="O190" s="19">
        <f t="shared" si="29"/>
        <v>0</v>
      </c>
      <c r="P190" s="19">
        <f t="shared" si="29"/>
        <v>68438710</v>
      </c>
      <c r="Q190" s="68"/>
      <c r="R190" s="70"/>
    </row>
    <row r="191" spans="1:18" ht="16.5" hidden="1" thickTop="1">
      <c r="A191" s="23"/>
      <c r="B191" s="22"/>
      <c r="C191" s="22"/>
      <c r="D191" s="23"/>
      <c r="E191" s="22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2"/>
      <c r="Q191" s="69"/>
    </row>
    <row r="192" spans="1:18" ht="15.75" hidden="1">
      <c r="A192" s="23"/>
      <c r="B192" s="28" t="s">
        <v>809</v>
      </c>
      <c r="C192" s="22"/>
      <c r="D192" s="39"/>
      <c r="F192" s="27"/>
      <c r="G192" s="28"/>
      <c r="H192" s="28"/>
      <c r="I192" s="28"/>
      <c r="J192" s="28"/>
      <c r="K192" s="28"/>
      <c r="L192" s="28"/>
      <c r="Q192" s="51"/>
    </row>
    <row r="193" spans="1:18" ht="15.75" hidden="1">
      <c r="A193" s="38"/>
      <c r="B193" s="40" t="s">
        <v>32</v>
      </c>
      <c r="C193" s="28" t="s">
        <v>28</v>
      </c>
      <c r="D193" s="39"/>
      <c r="F193" s="41"/>
      <c r="G193" s="143" t="s">
        <v>26</v>
      </c>
      <c r="H193" s="143"/>
      <c r="I193" s="143"/>
      <c r="K193" s="41"/>
    </row>
    <row r="194" spans="1:18" ht="15.75" hidden="1">
      <c r="A194" s="38"/>
      <c r="B194" s="40"/>
      <c r="C194" s="28"/>
      <c r="D194" s="39"/>
      <c r="F194" s="28"/>
      <c r="G194" s="28"/>
      <c r="H194" s="28"/>
      <c r="I194" s="28"/>
      <c r="J194" s="28"/>
      <c r="K194" s="28"/>
      <c r="L194" s="28"/>
    </row>
    <row r="195" spans="1:18" ht="15.75" hidden="1">
      <c r="A195" s="38"/>
      <c r="B195" s="40"/>
      <c r="C195" s="28"/>
      <c r="D195" s="39"/>
      <c r="F195" s="28"/>
      <c r="G195" s="28"/>
      <c r="H195" s="28"/>
      <c r="I195" s="28"/>
      <c r="J195" s="28"/>
      <c r="K195" s="28"/>
      <c r="L195" s="28"/>
    </row>
    <row r="196" spans="1:18" ht="15.75" hidden="1">
      <c r="A196" s="38"/>
      <c r="B196" s="40"/>
      <c r="C196" s="28"/>
      <c r="D196" s="39"/>
      <c r="F196" s="28"/>
      <c r="G196" s="28"/>
      <c r="H196" s="28"/>
      <c r="I196" s="28"/>
      <c r="J196" s="28"/>
      <c r="K196" s="28"/>
    </row>
    <row r="197" spans="1:18" ht="15.75" hidden="1">
      <c r="A197" s="38"/>
      <c r="B197" s="40"/>
      <c r="C197" s="28"/>
      <c r="D197" s="39"/>
      <c r="F197" s="28"/>
      <c r="G197" s="28"/>
      <c r="H197" s="28"/>
      <c r="I197" s="28"/>
      <c r="J197" s="28"/>
      <c r="K197" s="28"/>
      <c r="L197" s="28"/>
    </row>
    <row r="198" spans="1:18" ht="15.75" hidden="1">
      <c r="A198" s="38" t="s">
        <v>23</v>
      </c>
      <c r="B198" s="42" t="s">
        <v>27</v>
      </c>
      <c r="C198" s="43" t="s">
        <v>24</v>
      </c>
      <c r="D198" s="39"/>
      <c r="F198" s="29"/>
      <c r="G198" s="29" t="s">
        <v>16</v>
      </c>
      <c r="H198" s="29"/>
      <c r="I198" s="29" t="s">
        <v>30</v>
      </c>
    </row>
    <row r="199" spans="1:18" ht="15.75" hidden="1">
      <c r="A199" s="38"/>
      <c r="B199" s="44" t="s">
        <v>31</v>
      </c>
      <c r="C199" s="45" t="s">
        <v>20</v>
      </c>
      <c r="D199" s="39"/>
      <c r="F199" s="46"/>
      <c r="G199" s="46" t="s">
        <v>17</v>
      </c>
      <c r="H199" s="46"/>
      <c r="I199" s="46" t="s">
        <v>25</v>
      </c>
    </row>
    <row r="200" spans="1:18" hidden="1"/>
    <row r="201" spans="1:18" ht="16.5" thickTop="1">
      <c r="A201" s="21" t="s">
        <v>0</v>
      </c>
      <c r="B201" s="22"/>
      <c r="C201" s="23"/>
      <c r="D201" s="23"/>
      <c r="E201" s="23"/>
      <c r="F201" s="24"/>
      <c r="G201" s="24"/>
      <c r="H201" s="24"/>
      <c r="I201" s="24"/>
      <c r="J201" s="24"/>
      <c r="K201" s="24"/>
      <c r="L201" s="25"/>
    </row>
    <row r="202" spans="1:18" ht="15.75">
      <c r="A202" s="26" t="s">
        <v>810</v>
      </c>
      <c r="B202" s="21"/>
      <c r="C202" s="21"/>
      <c r="D202" s="21"/>
      <c r="E202" s="21"/>
      <c r="F202" s="24"/>
      <c r="G202" s="24"/>
      <c r="H202" s="24"/>
      <c r="I202" s="24"/>
      <c r="J202" s="24"/>
      <c r="K202" s="24"/>
      <c r="L202" s="25"/>
    </row>
    <row r="203" spans="1:18">
      <c r="A203" s="62"/>
      <c r="B203" s="62" t="s">
        <v>1</v>
      </c>
      <c r="C203" s="93" t="s">
        <v>2</v>
      </c>
      <c r="D203" s="117" t="s">
        <v>34</v>
      </c>
      <c r="E203" s="95" t="s">
        <v>3</v>
      </c>
      <c r="F203" s="93" t="s">
        <v>4</v>
      </c>
      <c r="G203" s="96" t="s">
        <v>18</v>
      </c>
      <c r="H203" s="96" t="s">
        <v>18</v>
      </c>
      <c r="I203" s="97" t="s">
        <v>7</v>
      </c>
      <c r="J203" s="130" t="s">
        <v>6</v>
      </c>
      <c r="K203" s="130" t="s">
        <v>6</v>
      </c>
      <c r="L203" s="96" t="s">
        <v>29</v>
      </c>
      <c r="M203" s="96" t="s">
        <v>21</v>
      </c>
      <c r="N203" s="96" t="s">
        <v>8</v>
      </c>
      <c r="O203" s="96" t="s">
        <v>8</v>
      </c>
      <c r="P203" s="96" t="s">
        <v>9</v>
      </c>
      <c r="Q203" s="62" t="s">
        <v>10</v>
      </c>
      <c r="R203" s="98" t="s">
        <v>33</v>
      </c>
    </row>
    <row r="204" spans="1:18">
      <c r="A204" s="99"/>
      <c r="B204" s="99"/>
      <c r="C204" s="100"/>
      <c r="D204" s="101"/>
      <c r="E204" s="102"/>
      <c r="F204" s="100"/>
      <c r="G204" s="103" t="s">
        <v>12</v>
      </c>
      <c r="H204" s="103" t="s">
        <v>12</v>
      </c>
      <c r="I204" s="119" t="s">
        <v>19</v>
      </c>
      <c r="J204" s="131" t="s">
        <v>35</v>
      </c>
      <c r="K204" s="131" t="s">
        <v>517</v>
      </c>
      <c r="L204" s="103" t="s">
        <v>22</v>
      </c>
      <c r="M204" s="103" t="s">
        <v>15</v>
      </c>
      <c r="N204" s="103" t="s">
        <v>13</v>
      </c>
      <c r="O204" s="103" t="s">
        <v>14</v>
      </c>
      <c r="P204" s="103" t="s">
        <v>12</v>
      </c>
      <c r="Q204" s="99"/>
      <c r="R204" s="104"/>
    </row>
    <row r="205" spans="1:18">
      <c r="A205" s="99"/>
      <c r="B205" s="99"/>
      <c r="C205" s="105"/>
      <c r="D205" s="101"/>
      <c r="E205" s="102"/>
      <c r="F205" s="100"/>
      <c r="G205" s="103" t="s">
        <v>22</v>
      </c>
      <c r="H205" s="103" t="s">
        <v>22</v>
      </c>
      <c r="I205" s="119" t="s">
        <v>5</v>
      </c>
      <c r="J205" s="131"/>
      <c r="K205" s="131"/>
      <c r="L205" s="103"/>
      <c r="M205" s="103"/>
      <c r="N205" s="103"/>
      <c r="O205" s="103"/>
      <c r="P205" s="103"/>
      <c r="Q205" s="99"/>
      <c r="R205" s="104"/>
    </row>
    <row r="206" spans="1:18">
      <c r="A206" s="106"/>
      <c r="B206" s="106"/>
      <c r="C206" s="107"/>
      <c r="D206" s="108"/>
      <c r="E206" s="109"/>
      <c r="F206" s="110"/>
      <c r="G206" s="111"/>
      <c r="H206" s="112"/>
      <c r="I206" s="75"/>
      <c r="J206" s="132"/>
      <c r="K206" s="132"/>
      <c r="L206" s="113"/>
      <c r="M206" s="108"/>
      <c r="N206" s="111"/>
      <c r="O206" s="111"/>
      <c r="P206" s="111"/>
      <c r="Q206" s="106"/>
      <c r="R206" s="114"/>
    </row>
    <row r="207" spans="1:18" ht="15.75">
      <c r="A207" s="52"/>
      <c r="B207" s="47"/>
      <c r="C207" s="48"/>
      <c r="D207" s="73"/>
      <c r="E207" s="17"/>
      <c r="F207" s="48"/>
      <c r="G207" s="36"/>
      <c r="H207" s="36"/>
      <c r="I207" s="125"/>
      <c r="J207" s="36"/>
      <c r="K207" s="36"/>
      <c r="L207" s="8"/>
      <c r="N207" s="8"/>
      <c r="O207" s="8"/>
      <c r="P207" s="8"/>
      <c r="Q207" s="35"/>
      <c r="R207" s="37"/>
    </row>
    <row r="208" spans="1:18" ht="15.75">
      <c r="A208" s="52">
        <v>1</v>
      </c>
      <c r="B208" s="51" t="s">
        <v>811</v>
      </c>
      <c r="C208" s="48" t="s">
        <v>812</v>
      </c>
      <c r="D208" s="67" t="s">
        <v>813</v>
      </c>
      <c r="E208" s="17">
        <v>43291</v>
      </c>
      <c r="F208" s="20" t="s">
        <v>814</v>
      </c>
      <c r="G208" s="36">
        <v>20451072</v>
      </c>
      <c r="H208" s="8">
        <v>0</v>
      </c>
      <c r="I208" s="8">
        <v>511277</v>
      </c>
      <c r="J208" s="8">
        <v>249668</v>
      </c>
      <c r="K208" s="8">
        <v>0</v>
      </c>
      <c r="L208" s="8">
        <v>14511</v>
      </c>
      <c r="M208" s="8">
        <v>200000</v>
      </c>
      <c r="N208" s="8">
        <f>SUM(G208:M208)</f>
        <v>21426528</v>
      </c>
      <c r="O208" s="8">
        <f>32426528-N208</f>
        <v>11000000</v>
      </c>
      <c r="P208" s="8">
        <f t="shared" ref="P208" si="30">+N208+O208</f>
        <v>32426528</v>
      </c>
      <c r="Q208" s="77" t="s">
        <v>73</v>
      </c>
      <c r="R208" s="66" t="s">
        <v>52</v>
      </c>
    </row>
    <row r="209" spans="1:18" ht="15.75">
      <c r="A209" s="52"/>
      <c r="B209" s="138"/>
      <c r="C209" s="48"/>
      <c r="E209" s="17"/>
      <c r="F209" s="48"/>
      <c r="G209" s="36"/>
      <c r="H209" s="36"/>
      <c r="I209" s="75"/>
      <c r="J209" s="36"/>
      <c r="K209" s="36"/>
      <c r="L209" s="36"/>
      <c r="N209" s="8"/>
      <c r="O209" s="8"/>
      <c r="P209" s="8"/>
      <c r="Q209" s="59"/>
      <c r="R209" s="66"/>
    </row>
    <row r="210" spans="1:18" ht="16.5" thickBot="1">
      <c r="A210" s="18"/>
      <c r="B210" s="55"/>
      <c r="C210" s="56"/>
      <c r="D210" s="74"/>
      <c r="E210" s="56"/>
      <c r="F210" s="57"/>
      <c r="G210" s="19">
        <f t="shared" ref="G210" si="31">SUM(G208:G209)</f>
        <v>20451072</v>
      </c>
      <c r="H210" s="19">
        <f t="shared" ref="H210:P210" si="32">SUM(H208:H209)</f>
        <v>0</v>
      </c>
      <c r="I210" s="19">
        <f t="shared" si="32"/>
        <v>511277</v>
      </c>
      <c r="J210" s="19">
        <f t="shared" si="32"/>
        <v>249668</v>
      </c>
      <c r="K210" s="19">
        <f t="shared" si="32"/>
        <v>0</v>
      </c>
      <c r="L210" s="19">
        <f t="shared" si="32"/>
        <v>14511</v>
      </c>
      <c r="M210" s="19">
        <f t="shared" si="32"/>
        <v>200000</v>
      </c>
      <c r="N210" s="19">
        <f t="shared" si="32"/>
        <v>21426528</v>
      </c>
      <c r="O210" s="19">
        <f t="shared" si="32"/>
        <v>11000000</v>
      </c>
      <c r="P210" s="19">
        <f t="shared" si="32"/>
        <v>32426528</v>
      </c>
      <c r="Q210" s="68"/>
      <c r="R210" s="70"/>
    </row>
    <row r="211" spans="1:18" ht="16.5" thickTop="1">
      <c r="A211" s="23"/>
      <c r="B211" s="22"/>
      <c r="C211" s="22"/>
      <c r="D211" s="23"/>
      <c r="E211" s="22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2"/>
      <c r="Q211" s="69"/>
    </row>
    <row r="212" spans="1:18" ht="15.75">
      <c r="A212" s="23"/>
      <c r="B212" s="28" t="s">
        <v>815</v>
      </c>
      <c r="C212" s="22"/>
      <c r="D212" s="39"/>
      <c r="F212" s="27"/>
      <c r="G212" s="28"/>
      <c r="H212" s="28"/>
      <c r="I212" s="28"/>
      <c r="J212" s="28"/>
      <c r="K212" s="28"/>
      <c r="L212" s="28"/>
      <c r="Q212" s="51"/>
    </row>
    <row r="213" spans="1:18" ht="15.75">
      <c r="A213" s="38"/>
      <c r="B213" s="40" t="s">
        <v>32</v>
      </c>
      <c r="C213" s="28" t="s">
        <v>28</v>
      </c>
      <c r="D213" s="39"/>
      <c r="F213" s="41"/>
      <c r="G213" s="143" t="s">
        <v>26</v>
      </c>
      <c r="H213" s="143"/>
      <c r="I213" s="143"/>
      <c r="K213" s="41"/>
    </row>
    <row r="214" spans="1:18" ht="15.75">
      <c r="A214" s="38"/>
      <c r="B214" s="40"/>
      <c r="C214" s="28"/>
      <c r="D214" s="39"/>
      <c r="F214" s="28"/>
      <c r="G214" s="28"/>
      <c r="H214" s="28"/>
      <c r="I214" s="28"/>
      <c r="J214" s="28"/>
      <c r="K214" s="28"/>
      <c r="L214" s="28"/>
    </row>
    <row r="215" spans="1:18" ht="15.75">
      <c r="A215" s="38"/>
      <c r="B215" s="40"/>
      <c r="C215" s="28"/>
      <c r="D215" s="39"/>
      <c r="F215" s="28"/>
      <c r="G215" s="28"/>
      <c r="H215" s="28"/>
      <c r="I215" s="28"/>
      <c r="J215" s="28"/>
      <c r="K215" s="28"/>
      <c r="L215" s="28"/>
    </row>
    <row r="216" spans="1:18" ht="15.75">
      <c r="A216" s="38"/>
      <c r="B216" s="40"/>
      <c r="C216" s="28"/>
      <c r="D216" s="39"/>
      <c r="F216" s="28"/>
      <c r="G216" s="28"/>
      <c r="H216" s="28"/>
      <c r="I216" s="28"/>
      <c r="J216" s="28"/>
      <c r="K216" s="28"/>
    </row>
    <row r="217" spans="1:18" ht="15.75">
      <c r="A217" s="38"/>
      <c r="B217" s="40"/>
      <c r="C217" s="28"/>
      <c r="D217" s="39"/>
      <c r="F217" s="28"/>
      <c r="G217" s="28"/>
      <c r="H217" s="28"/>
      <c r="I217" s="28"/>
      <c r="J217" s="28"/>
      <c r="K217" s="28"/>
      <c r="L217" s="28"/>
    </row>
    <row r="218" spans="1:18" ht="15.75">
      <c r="A218" s="38" t="s">
        <v>23</v>
      </c>
      <c r="B218" s="42" t="s">
        <v>27</v>
      </c>
      <c r="C218" s="43" t="s">
        <v>24</v>
      </c>
      <c r="D218" s="39"/>
      <c r="F218" s="29"/>
      <c r="G218" s="29" t="s">
        <v>16</v>
      </c>
      <c r="H218" s="29"/>
      <c r="I218" s="29" t="s">
        <v>30</v>
      </c>
    </row>
    <row r="219" spans="1:18" ht="15.75">
      <c r="A219" s="38"/>
      <c r="B219" s="44" t="s">
        <v>31</v>
      </c>
      <c r="C219" s="45" t="s">
        <v>20</v>
      </c>
      <c r="D219" s="39"/>
      <c r="F219" s="46"/>
      <c r="G219" s="46" t="s">
        <v>17</v>
      </c>
      <c r="H219" s="46"/>
      <c r="I219" s="46" t="s">
        <v>25</v>
      </c>
    </row>
    <row r="220" spans="1:18">
      <c r="A220" s="115" t="s">
        <v>106</v>
      </c>
    </row>
    <row r="221" spans="1:18" ht="15.75">
      <c r="A221" s="21" t="s">
        <v>0</v>
      </c>
      <c r="B221" s="22"/>
      <c r="C221" s="23"/>
      <c r="D221" s="23"/>
      <c r="E221" s="23"/>
      <c r="F221" s="24"/>
      <c r="G221" s="24"/>
      <c r="H221" s="24"/>
      <c r="I221" s="24"/>
      <c r="J221" s="24"/>
      <c r="K221" s="24"/>
      <c r="L221" s="25"/>
    </row>
    <row r="222" spans="1:18" ht="15.75">
      <c r="A222" s="26" t="s">
        <v>816</v>
      </c>
      <c r="B222" s="21"/>
      <c r="C222" s="21"/>
      <c r="D222" s="21"/>
      <c r="E222" s="21"/>
      <c r="F222" s="24"/>
      <c r="G222" s="24"/>
      <c r="H222" s="24"/>
      <c r="I222" s="24"/>
      <c r="J222" s="24"/>
      <c r="K222" s="24"/>
      <c r="L222" s="25"/>
    </row>
    <row r="223" spans="1:18">
      <c r="A223" s="62"/>
      <c r="B223" s="62" t="s">
        <v>1</v>
      </c>
      <c r="C223" s="93" t="s">
        <v>2</v>
      </c>
      <c r="D223" s="117" t="s">
        <v>34</v>
      </c>
      <c r="E223" s="95" t="s">
        <v>3</v>
      </c>
      <c r="F223" s="93" t="s">
        <v>4</v>
      </c>
      <c r="G223" s="96" t="s">
        <v>18</v>
      </c>
      <c r="H223" s="96" t="s">
        <v>18</v>
      </c>
      <c r="I223" s="96" t="s">
        <v>18</v>
      </c>
      <c r="J223" s="97" t="s">
        <v>7</v>
      </c>
      <c r="K223" s="130" t="s">
        <v>6</v>
      </c>
      <c r="L223" s="96" t="s">
        <v>29</v>
      </c>
      <c r="M223" s="96" t="s">
        <v>21</v>
      </c>
      <c r="N223" s="96" t="s">
        <v>8</v>
      </c>
      <c r="O223" s="96" t="s">
        <v>8</v>
      </c>
      <c r="P223" s="96" t="s">
        <v>9</v>
      </c>
      <c r="Q223" s="62" t="s">
        <v>10</v>
      </c>
      <c r="R223" s="98" t="s">
        <v>33</v>
      </c>
    </row>
    <row r="224" spans="1:18">
      <c r="A224" s="99"/>
      <c r="B224" s="99"/>
      <c r="C224" s="100"/>
      <c r="D224" s="101"/>
      <c r="E224" s="102"/>
      <c r="F224" s="100"/>
      <c r="G224" s="103" t="s">
        <v>12</v>
      </c>
      <c r="H224" s="103" t="s">
        <v>12</v>
      </c>
      <c r="I224" s="103" t="s">
        <v>822</v>
      </c>
      <c r="J224" s="119" t="s">
        <v>19</v>
      </c>
      <c r="K224" s="131" t="s">
        <v>35</v>
      </c>
      <c r="L224" s="103" t="s">
        <v>22</v>
      </c>
      <c r="M224" s="103" t="s">
        <v>15</v>
      </c>
      <c r="N224" s="103" t="s">
        <v>13</v>
      </c>
      <c r="O224" s="103" t="s">
        <v>14</v>
      </c>
      <c r="P224" s="103" t="s">
        <v>12</v>
      </c>
      <c r="Q224" s="99"/>
      <c r="R224" s="104"/>
    </row>
    <row r="225" spans="1:18">
      <c r="A225" s="99"/>
      <c r="B225" s="99"/>
      <c r="C225" s="105"/>
      <c r="D225" s="101"/>
      <c r="E225" s="102"/>
      <c r="F225" s="100"/>
      <c r="G225" s="103" t="s">
        <v>90</v>
      </c>
      <c r="H225" s="103" t="s">
        <v>821</v>
      </c>
      <c r="I225" s="103" t="s">
        <v>823</v>
      </c>
      <c r="J225" s="119" t="s">
        <v>5</v>
      </c>
      <c r="K225" s="131"/>
      <c r="L225" s="103"/>
      <c r="M225" s="103"/>
      <c r="N225" s="103"/>
      <c r="O225" s="103"/>
      <c r="P225" s="103"/>
      <c r="Q225" s="99"/>
      <c r="R225" s="104"/>
    </row>
    <row r="226" spans="1:18">
      <c r="A226" s="106"/>
      <c r="B226" s="106"/>
      <c r="C226" s="107"/>
      <c r="D226" s="108"/>
      <c r="E226" s="109"/>
      <c r="F226" s="110"/>
      <c r="G226" s="111"/>
      <c r="H226" s="112"/>
      <c r="I226" s="139" t="s">
        <v>824</v>
      </c>
      <c r="J226" s="132"/>
      <c r="K226" s="132"/>
      <c r="L226" s="113"/>
      <c r="M226" s="108"/>
      <c r="N226" s="111"/>
      <c r="O226" s="111"/>
      <c r="P226" s="111"/>
      <c r="Q226" s="106"/>
      <c r="R226" s="114"/>
    </row>
    <row r="227" spans="1:18" ht="15.75">
      <c r="A227" s="52"/>
      <c r="B227" s="47"/>
      <c r="C227" s="48"/>
      <c r="D227" s="73"/>
      <c r="E227" s="17"/>
      <c r="F227" s="48"/>
      <c r="G227" s="36"/>
      <c r="H227" s="36"/>
      <c r="I227" s="125"/>
      <c r="J227" s="36"/>
      <c r="K227" s="36"/>
      <c r="L227" s="8"/>
      <c r="N227" s="8"/>
      <c r="O227" s="8"/>
      <c r="P227" s="8"/>
      <c r="Q227" s="35"/>
      <c r="R227" s="37"/>
    </row>
    <row r="228" spans="1:18" ht="15.75">
      <c r="A228" s="52">
        <v>1</v>
      </c>
      <c r="B228" s="51" t="s">
        <v>817</v>
      </c>
      <c r="C228" s="48" t="s">
        <v>818</v>
      </c>
      <c r="D228" s="67" t="s">
        <v>819</v>
      </c>
      <c r="E228" s="17">
        <v>43292</v>
      </c>
      <c r="F228" s="20" t="s">
        <v>820</v>
      </c>
      <c r="G228" s="36">
        <v>25830000</v>
      </c>
      <c r="H228" s="8">
        <v>3499156</v>
      </c>
      <c r="I228" s="8">
        <v>1094494</v>
      </c>
      <c r="J228" s="8">
        <v>733229</v>
      </c>
      <c r="K228" s="8">
        <v>227699</v>
      </c>
      <c r="L228" s="8">
        <v>200000</v>
      </c>
      <c r="M228" s="8">
        <v>200000</v>
      </c>
      <c r="N228" s="8">
        <f>SUM(G228:M228)</f>
        <v>31784578</v>
      </c>
      <c r="O228" s="8">
        <f>50000000-N228</f>
        <v>18215422</v>
      </c>
      <c r="P228" s="8">
        <f t="shared" ref="P228" si="33">+N228+O228</f>
        <v>50000000</v>
      </c>
      <c r="Q228" s="77" t="s">
        <v>825</v>
      </c>
      <c r="R228" s="66" t="s">
        <v>52</v>
      </c>
    </row>
    <row r="229" spans="1:18" ht="15.75">
      <c r="A229" s="52"/>
      <c r="B229" s="138"/>
      <c r="C229" s="48"/>
      <c r="E229" s="17"/>
      <c r="F229" s="48"/>
      <c r="G229" s="36"/>
      <c r="H229" s="36"/>
      <c r="I229" s="75"/>
      <c r="J229" s="36"/>
      <c r="K229" s="36"/>
      <c r="L229" s="36"/>
      <c r="N229" s="8"/>
      <c r="O229" s="8"/>
      <c r="P229" s="8"/>
      <c r="Q229" s="59"/>
      <c r="R229" s="66"/>
    </row>
    <row r="230" spans="1:18" ht="16.5" thickBot="1">
      <c r="A230" s="18"/>
      <c r="B230" s="55"/>
      <c r="C230" s="56"/>
      <c r="D230" s="74"/>
      <c r="E230" s="56"/>
      <c r="F230" s="57"/>
      <c r="G230" s="19">
        <f>SUM(G228:G229)</f>
        <v>25830000</v>
      </c>
      <c r="H230" s="19">
        <f t="shared" ref="H230:P230" si="34">SUM(H228:H229)</f>
        <v>3499156</v>
      </c>
      <c r="I230" s="19">
        <f t="shared" si="34"/>
        <v>1094494</v>
      </c>
      <c r="J230" s="19">
        <f t="shared" si="34"/>
        <v>733229</v>
      </c>
      <c r="K230" s="19">
        <f t="shared" si="34"/>
        <v>227699</v>
      </c>
      <c r="L230" s="19">
        <f t="shared" si="34"/>
        <v>200000</v>
      </c>
      <c r="M230" s="19">
        <f t="shared" si="34"/>
        <v>200000</v>
      </c>
      <c r="N230" s="19">
        <f t="shared" si="34"/>
        <v>31784578</v>
      </c>
      <c r="O230" s="19">
        <f t="shared" si="34"/>
        <v>18215422</v>
      </c>
      <c r="P230" s="19">
        <f t="shared" si="34"/>
        <v>50000000</v>
      </c>
      <c r="Q230" s="68"/>
      <c r="R230" s="70"/>
    </row>
    <row r="231" spans="1:18" ht="16.5" hidden="1" thickTop="1">
      <c r="A231" s="23"/>
      <c r="B231" s="22"/>
      <c r="C231" s="22"/>
      <c r="D231" s="23"/>
      <c r="E231" s="22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2"/>
      <c r="Q231" s="69"/>
    </row>
    <row r="232" spans="1:18" ht="15.75" hidden="1">
      <c r="A232" s="23"/>
      <c r="B232" s="28" t="s">
        <v>830</v>
      </c>
      <c r="C232" s="22"/>
      <c r="D232" s="39"/>
      <c r="F232" s="27"/>
      <c r="G232" s="28"/>
      <c r="H232" s="28"/>
      <c r="I232" s="28"/>
      <c r="J232" s="28"/>
      <c r="K232" s="28"/>
      <c r="L232" s="28"/>
      <c r="Q232" s="51"/>
    </row>
    <row r="233" spans="1:18" ht="15.75" hidden="1">
      <c r="A233" s="38"/>
      <c r="B233" s="40" t="s">
        <v>32</v>
      </c>
      <c r="C233" s="28" t="s">
        <v>28</v>
      </c>
      <c r="D233" s="39"/>
      <c r="F233" s="41"/>
      <c r="G233" s="143" t="s">
        <v>26</v>
      </c>
      <c r="H233" s="143"/>
      <c r="I233" s="143"/>
      <c r="K233" s="41"/>
    </row>
    <row r="234" spans="1:18" ht="15.75" hidden="1">
      <c r="A234" s="38"/>
      <c r="B234" s="40"/>
      <c r="C234" s="28"/>
      <c r="D234" s="39"/>
      <c r="F234" s="28"/>
      <c r="G234" s="28"/>
      <c r="H234" s="28"/>
      <c r="I234" s="28"/>
      <c r="J234" s="28"/>
      <c r="K234" s="28"/>
      <c r="L234" s="28"/>
    </row>
    <row r="235" spans="1:18" ht="15.75" hidden="1">
      <c r="A235" s="38"/>
      <c r="B235" s="40"/>
      <c r="C235" s="28"/>
      <c r="D235" s="39"/>
      <c r="F235" s="28"/>
      <c r="G235" s="28"/>
      <c r="H235" s="28"/>
      <c r="I235" s="28"/>
      <c r="J235" s="28"/>
      <c r="K235" s="28"/>
      <c r="L235" s="28"/>
    </row>
    <row r="236" spans="1:18" ht="15.75" hidden="1">
      <c r="A236" s="38"/>
      <c r="B236" s="40"/>
      <c r="C236" s="28"/>
      <c r="D236" s="39"/>
      <c r="F236" s="28"/>
      <c r="G236" s="28"/>
      <c r="H236" s="28"/>
      <c r="I236" s="28"/>
      <c r="J236" s="28"/>
      <c r="K236" s="28"/>
    </row>
    <row r="237" spans="1:18" ht="15.75" hidden="1">
      <c r="A237" s="38"/>
      <c r="B237" s="40"/>
      <c r="C237" s="28"/>
      <c r="D237" s="39"/>
      <c r="F237" s="28"/>
      <c r="G237" s="28"/>
      <c r="H237" s="28"/>
      <c r="I237" s="28"/>
      <c r="J237" s="28"/>
      <c r="K237" s="28"/>
      <c r="L237" s="28"/>
    </row>
    <row r="238" spans="1:18" ht="15.75" hidden="1">
      <c r="A238" s="38" t="s">
        <v>23</v>
      </c>
      <c r="B238" s="42" t="s">
        <v>27</v>
      </c>
      <c r="C238" s="43" t="s">
        <v>24</v>
      </c>
      <c r="D238" s="39"/>
      <c r="F238" s="29"/>
      <c r="G238" s="29" t="s">
        <v>16</v>
      </c>
      <c r="H238" s="29"/>
      <c r="I238" s="29" t="s">
        <v>30</v>
      </c>
    </row>
    <row r="239" spans="1:18" ht="15.75" hidden="1">
      <c r="A239" s="38"/>
      <c r="B239" s="44" t="s">
        <v>31</v>
      </c>
      <c r="C239" s="45" t="s">
        <v>20</v>
      </c>
      <c r="D239" s="39"/>
      <c r="F239" s="46"/>
      <c r="G239" s="46" t="s">
        <v>17</v>
      </c>
      <c r="H239" s="46"/>
      <c r="I239" s="46" t="s">
        <v>25</v>
      </c>
    </row>
    <row r="240" spans="1:18" hidden="1"/>
    <row r="241" spans="1:18" ht="16.5" thickTop="1">
      <c r="A241" s="21" t="s">
        <v>0</v>
      </c>
      <c r="B241" s="22"/>
      <c r="C241" s="23"/>
      <c r="D241" s="23"/>
      <c r="E241" s="23"/>
      <c r="F241" s="24"/>
      <c r="G241" s="24"/>
      <c r="H241" s="24"/>
      <c r="I241" s="24"/>
      <c r="J241" s="24"/>
      <c r="K241" s="24"/>
      <c r="L241" s="25"/>
    </row>
    <row r="242" spans="1:18" ht="15.75">
      <c r="A242" s="26" t="s">
        <v>816</v>
      </c>
      <c r="B242" s="21"/>
      <c r="C242" s="21"/>
      <c r="D242" s="21"/>
      <c r="E242" s="21"/>
      <c r="F242" s="24"/>
      <c r="G242" s="24"/>
      <c r="H242" s="24"/>
      <c r="I242" s="24"/>
      <c r="J242" s="24"/>
      <c r="K242" s="24"/>
      <c r="L242" s="25"/>
    </row>
    <row r="243" spans="1:18">
      <c r="A243" s="62"/>
      <c r="B243" s="62" t="s">
        <v>1</v>
      </c>
      <c r="C243" s="93" t="s">
        <v>2</v>
      </c>
      <c r="D243" s="117" t="s">
        <v>34</v>
      </c>
      <c r="E243" s="95" t="s">
        <v>3</v>
      </c>
      <c r="F243" s="93" t="s">
        <v>4</v>
      </c>
      <c r="G243" s="96" t="s">
        <v>18</v>
      </c>
      <c r="H243" s="96" t="s">
        <v>18</v>
      </c>
      <c r="I243" s="96" t="s">
        <v>18</v>
      </c>
      <c r="J243" s="97" t="s">
        <v>7</v>
      </c>
      <c r="K243" s="130" t="s">
        <v>6</v>
      </c>
      <c r="L243" s="96" t="s">
        <v>29</v>
      </c>
      <c r="M243" s="96" t="s">
        <v>21</v>
      </c>
      <c r="N243" s="96" t="s">
        <v>8</v>
      </c>
      <c r="O243" s="96" t="s">
        <v>8</v>
      </c>
      <c r="P243" s="96" t="s">
        <v>9</v>
      </c>
      <c r="Q243" s="62" t="s">
        <v>10</v>
      </c>
      <c r="R243" s="98" t="s">
        <v>33</v>
      </c>
    </row>
    <row r="244" spans="1:18">
      <c r="A244" s="99"/>
      <c r="B244" s="99"/>
      <c r="C244" s="100"/>
      <c r="D244" s="101"/>
      <c r="E244" s="102"/>
      <c r="F244" s="100"/>
      <c r="G244" s="103" t="s">
        <v>12</v>
      </c>
      <c r="H244" s="103" t="s">
        <v>12</v>
      </c>
      <c r="I244" s="103" t="s">
        <v>822</v>
      </c>
      <c r="J244" s="119" t="s">
        <v>19</v>
      </c>
      <c r="K244" s="131" t="s">
        <v>35</v>
      </c>
      <c r="L244" s="103" t="s">
        <v>22</v>
      </c>
      <c r="M244" s="103" t="s">
        <v>15</v>
      </c>
      <c r="N244" s="103" t="s">
        <v>13</v>
      </c>
      <c r="O244" s="103" t="s">
        <v>14</v>
      </c>
      <c r="P244" s="103" t="s">
        <v>12</v>
      </c>
      <c r="Q244" s="99"/>
      <c r="R244" s="104"/>
    </row>
    <row r="245" spans="1:18">
      <c r="A245" s="99"/>
      <c r="B245" s="99"/>
      <c r="C245" s="105"/>
      <c r="D245" s="101"/>
      <c r="E245" s="102"/>
      <c r="F245" s="100"/>
      <c r="G245" s="103" t="s">
        <v>22</v>
      </c>
      <c r="H245" s="103" t="s">
        <v>821</v>
      </c>
      <c r="I245" s="103" t="s">
        <v>823</v>
      </c>
      <c r="J245" s="119" t="s">
        <v>5</v>
      </c>
      <c r="K245" s="131"/>
      <c r="L245" s="103"/>
      <c r="M245" s="103"/>
      <c r="N245" s="103"/>
      <c r="O245" s="103"/>
      <c r="P245" s="103"/>
      <c r="Q245" s="99"/>
      <c r="R245" s="104"/>
    </row>
    <row r="246" spans="1:18">
      <c r="A246" s="106"/>
      <c r="B246" s="106"/>
      <c r="C246" s="107"/>
      <c r="D246" s="108"/>
      <c r="E246" s="109"/>
      <c r="F246" s="110"/>
      <c r="G246" s="111"/>
      <c r="H246" s="112"/>
      <c r="I246" s="139"/>
      <c r="J246" s="132"/>
      <c r="K246" s="132"/>
      <c r="L246" s="113"/>
      <c r="M246" s="108"/>
      <c r="N246" s="111"/>
      <c r="O246" s="111"/>
      <c r="P246" s="111"/>
      <c r="Q246" s="106"/>
      <c r="R246" s="114"/>
    </row>
    <row r="247" spans="1:18" ht="15.75">
      <c r="A247" s="52"/>
      <c r="B247" s="47"/>
      <c r="C247" s="48"/>
      <c r="D247" s="73"/>
      <c r="E247" s="17"/>
      <c r="F247" s="48"/>
      <c r="G247" s="36"/>
      <c r="H247" s="36"/>
      <c r="I247" s="125"/>
      <c r="J247" s="36"/>
      <c r="K247" s="36"/>
      <c r="L247" s="8"/>
      <c r="N247" s="8"/>
      <c r="O247" s="8"/>
      <c r="P247" s="8"/>
      <c r="Q247" s="35"/>
      <c r="R247" s="37"/>
    </row>
    <row r="248" spans="1:18" ht="15.75">
      <c r="A248" s="52">
        <v>1</v>
      </c>
      <c r="B248" s="51" t="s">
        <v>826</v>
      </c>
      <c r="C248" s="48" t="s">
        <v>827</v>
      </c>
      <c r="D248" s="67" t="s">
        <v>828</v>
      </c>
      <c r="E248" s="17">
        <v>43292</v>
      </c>
      <c r="F248" s="20" t="s">
        <v>829</v>
      </c>
      <c r="G248" s="36">
        <v>29219247</v>
      </c>
      <c r="H248" s="8">
        <v>0</v>
      </c>
      <c r="I248" s="8">
        <v>0</v>
      </c>
      <c r="J248" s="8">
        <v>730481</v>
      </c>
      <c r="K248" s="8">
        <v>326521</v>
      </c>
      <c r="L248" s="8">
        <v>200000</v>
      </c>
      <c r="M248" s="8">
        <v>200000</v>
      </c>
      <c r="N248" s="8">
        <f>SUM(G248:M248)</f>
        <v>30676249</v>
      </c>
      <c r="O248" s="8">
        <f>50000000-N248</f>
        <v>19323751</v>
      </c>
      <c r="P248" s="8">
        <f t="shared" ref="P248" si="35">+N248+O248</f>
        <v>50000000</v>
      </c>
      <c r="Q248" s="77" t="s">
        <v>831</v>
      </c>
      <c r="R248" s="66" t="s">
        <v>52</v>
      </c>
    </row>
    <row r="249" spans="1:18" ht="15.75">
      <c r="A249" s="52">
        <v>2</v>
      </c>
      <c r="B249" s="51" t="s">
        <v>77</v>
      </c>
      <c r="C249" s="48" t="s">
        <v>78</v>
      </c>
      <c r="D249" s="67" t="s">
        <v>832</v>
      </c>
      <c r="E249" s="17">
        <v>43292</v>
      </c>
      <c r="F249" s="20" t="s">
        <v>80</v>
      </c>
      <c r="G249" s="36">
        <v>67926955</v>
      </c>
      <c r="H249" s="8">
        <v>0</v>
      </c>
      <c r="I249" s="8">
        <v>0</v>
      </c>
      <c r="J249" s="8">
        <v>1698174</v>
      </c>
      <c r="K249" s="8">
        <v>635541</v>
      </c>
      <c r="L249" s="8">
        <v>230000</v>
      </c>
      <c r="M249" s="8">
        <v>200000</v>
      </c>
      <c r="N249" s="8">
        <f>SUM(G249:M249)</f>
        <v>70690670</v>
      </c>
      <c r="O249" s="8">
        <f>93690670-N249</f>
        <v>23000000</v>
      </c>
      <c r="P249" s="8">
        <f t="shared" ref="P249" si="36">+N249+O249</f>
        <v>93690670</v>
      </c>
      <c r="Q249" s="77" t="s">
        <v>73</v>
      </c>
      <c r="R249" s="66" t="s">
        <v>52</v>
      </c>
    </row>
    <row r="250" spans="1:18" ht="15.75">
      <c r="A250" s="52"/>
      <c r="B250" s="138"/>
      <c r="C250" s="48"/>
      <c r="E250" s="17"/>
      <c r="F250" s="48"/>
      <c r="G250" s="36"/>
      <c r="H250" s="36"/>
      <c r="I250" s="75"/>
      <c r="J250" s="36"/>
      <c r="K250" s="36"/>
      <c r="L250" s="36"/>
      <c r="N250" s="8"/>
      <c r="O250" s="8"/>
      <c r="P250" s="8"/>
      <c r="Q250" s="59"/>
      <c r="R250" s="66"/>
    </row>
    <row r="251" spans="1:18" ht="16.5" thickBot="1">
      <c r="A251" s="18"/>
      <c r="B251" s="55"/>
      <c r="C251" s="56"/>
      <c r="D251" s="74"/>
      <c r="E251" s="56"/>
      <c r="F251" s="57"/>
      <c r="G251" s="19">
        <f>SUM(G248:G250)</f>
        <v>97146202</v>
      </c>
      <c r="H251" s="19">
        <f t="shared" ref="H251:P251" si="37">SUM(H248:H250)</f>
        <v>0</v>
      </c>
      <c r="I251" s="19">
        <f t="shared" si="37"/>
        <v>0</v>
      </c>
      <c r="J251" s="19">
        <f t="shared" si="37"/>
        <v>2428655</v>
      </c>
      <c r="K251" s="19">
        <f t="shared" si="37"/>
        <v>962062</v>
      </c>
      <c r="L251" s="19">
        <f t="shared" si="37"/>
        <v>430000</v>
      </c>
      <c r="M251" s="19">
        <f t="shared" si="37"/>
        <v>400000</v>
      </c>
      <c r="N251" s="19">
        <f t="shared" si="37"/>
        <v>101366919</v>
      </c>
      <c r="O251" s="19">
        <f t="shared" si="37"/>
        <v>42323751</v>
      </c>
      <c r="P251" s="19">
        <f t="shared" si="37"/>
        <v>143690670</v>
      </c>
      <c r="Q251" s="68"/>
      <c r="R251" s="70"/>
    </row>
    <row r="252" spans="1:18" ht="16.5" hidden="1" thickTop="1">
      <c r="A252" s="23"/>
      <c r="B252" s="22"/>
      <c r="C252" s="22"/>
      <c r="D252" s="23"/>
      <c r="E252" s="22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2"/>
      <c r="Q252" s="69"/>
    </row>
    <row r="253" spans="1:18" ht="15.75" hidden="1">
      <c r="A253" s="23"/>
      <c r="B253" s="28" t="s">
        <v>830</v>
      </c>
      <c r="C253" s="22"/>
      <c r="D253" s="39"/>
      <c r="F253" s="27"/>
      <c r="G253" s="28"/>
      <c r="H253" s="28"/>
      <c r="I253" s="28"/>
      <c r="J253" s="28"/>
      <c r="K253" s="28"/>
      <c r="L253" s="28"/>
      <c r="Q253" s="51"/>
    </row>
    <row r="254" spans="1:18" ht="15.75" hidden="1">
      <c r="A254" s="38"/>
      <c r="B254" s="40" t="s">
        <v>32</v>
      </c>
      <c r="C254" s="28" t="s">
        <v>28</v>
      </c>
      <c r="D254" s="39"/>
      <c r="F254" s="41"/>
      <c r="G254" s="143" t="s">
        <v>26</v>
      </c>
      <c r="H254" s="143"/>
      <c r="I254" s="143"/>
      <c r="K254" s="41"/>
    </row>
    <row r="255" spans="1:18" ht="15.75" hidden="1">
      <c r="A255" s="38"/>
      <c r="B255" s="40"/>
      <c r="C255" s="28"/>
      <c r="D255" s="39"/>
      <c r="F255" s="28"/>
      <c r="G255" s="28"/>
      <c r="H255" s="28"/>
      <c r="I255" s="28"/>
      <c r="J255" s="28"/>
      <c r="K255" s="28"/>
      <c r="L255" s="28"/>
    </row>
    <row r="256" spans="1:18" ht="15.75" hidden="1">
      <c r="A256" s="38"/>
      <c r="B256" s="40"/>
      <c r="C256" s="28"/>
      <c r="D256" s="39"/>
      <c r="F256" s="28"/>
      <c r="G256" s="28"/>
      <c r="H256" s="28"/>
      <c r="I256" s="28"/>
      <c r="J256" s="28"/>
      <c r="K256" s="28"/>
      <c r="L256" s="28"/>
    </row>
    <row r="257" spans="1:18" ht="15.75" hidden="1">
      <c r="A257" s="38"/>
      <c r="B257" s="40"/>
      <c r="C257" s="28"/>
      <c r="D257" s="39"/>
      <c r="F257" s="28"/>
      <c r="G257" s="28"/>
      <c r="H257" s="28"/>
      <c r="I257" s="28"/>
      <c r="J257" s="28"/>
      <c r="K257" s="28"/>
    </row>
    <row r="258" spans="1:18" ht="15.75" hidden="1">
      <c r="A258" s="38"/>
      <c r="B258" s="40"/>
      <c r="C258" s="28"/>
      <c r="D258" s="39"/>
      <c r="F258" s="28"/>
      <c r="G258" s="28"/>
      <c r="H258" s="28"/>
      <c r="I258" s="28"/>
      <c r="J258" s="28"/>
      <c r="K258" s="28"/>
      <c r="L258" s="28"/>
    </row>
    <row r="259" spans="1:18" ht="15.75" hidden="1">
      <c r="A259" s="38" t="s">
        <v>23</v>
      </c>
      <c r="B259" s="42" t="s">
        <v>27</v>
      </c>
      <c r="C259" s="43" t="s">
        <v>24</v>
      </c>
      <c r="D259" s="39"/>
      <c r="F259" s="29"/>
      <c r="G259" s="29" t="s">
        <v>16</v>
      </c>
      <c r="H259" s="29"/>
      <c r="I259" s="29" t="s">
        <v>30</v>
      </c>
    </row>
    <row r="260" spans="1:18" ht="15.75" hidden="1">
      <c r="A260" s="38"/>
      <c r="B260" s="44" t="s">
        <v>31</v>
      </c>
      <c r="C260" s="45" t="s">
        <v>20</v>
      </c>
      <c r="D260" s="39"/>
      <c r="F260" s="46"/>
      <c r="G260" s="46" t="s">
        <v>17</v>
      </c>
      <c r="H260" s="46"/>
      <c r="I260" s="46" t="s">
        <v>25</v>
      </c>
    </row>
    <row r="261" spans="1:18" hidden="1"/>
    <row r="262" spans="1:18" ht="16.5" thickTop="1">
      <c r="A262" s="21" t="s">
        <v>0</v>
      </c>
      <c r="B262" s="22"/>
      <c r="C262" s="23"/>
      <c r="D262" s="23"/>
      <c r="E262" s="23"/>
      <c r="F262" s="24"/>
      <c r="G262" s="24"/>
      <c r="H262" s="24"/>
      <c r="I262" s="24"/>
      <c r="J262" s="24"/>
      <c r="K262" s="24"/>
      <c r="L262" s="25"/>
    </row>
    <row r="263" spans="1:18" ht="15.75">
      <c r="A263" s="26" t="s">
        <v>816</v>
      </c>
      <c r="B263" s="21"/>
      <c r="C263" s="21"/>
      <c r="D263" s="21"/>
      <c r="E263" s="21"/>
      <c r="F263" s="24"/>
      <c r="G263" s="24"/>
      <c r="H263" s="24"/>
      <c r="I263" s="24"/>
      <c r="J263" s="24"/>
      <c r="K263" s="24"/>
      <c r="L263" s="25"/>
    </row>
    <row r="264" spans="1:18">
      <c r="A264" s="62"/>
      <c r="B264" s="62" t="s">
        <v>1</v>
      </c>
      <c r="C264" s="93" t="s">
        <v>2</v>
      </c>
      <c r="D264" s="117" t="s">
        <v>34</v>
      </c>
      <c r="E264" s="95" t="s">
        <v>3</v>
      </c>
      <c r="F264" s="93" t="s">
        <v>4</v>
      </c>
      <c r="G264" s="96" t="s">
        <v>18</v>
      </c>
      <c r="H264" s="96" t="s">
        <v>18</v>
      </c>
      <c r="I264" s="96" t="s">
        <v>18</v>
      </c>
      <c r="J264" s="97" t="s">
        <v>7</v>
      </c>
      <c r="K264" s="130" t="s">
        <v>6</v>
      </c>
      <c r="L264" s="96" t="s">
        <v>29</v>
      </c>
      <c r="M264" s="96" t="s">
        <v>21</v>
      </c>
      <c r="N264" s="96" t="s">
        <v>8</v>
      </c>
      <c r="O264" s="96" t="s">
        <v>8</v>
      </c>
      <c r="P264" s="96" t="s">
        <v>9</v>
      </c>
      <c r="Q264" s="62" t="s">
        <v>10</v>
      </c>
      <c r="R264" s="98" t="s">
        <v>33</v>
      </c>
    </row>
    <row r="265" spans="1:18">
      <c r="A265" s="99"/>
      <c r="B265" s="99"/>
      <c r="C265" s="100"/>
      <c r="D265" s="101"/>
      <c r="E265" s="102"/>
      <c r="F265" s="100"/>
      <c r="G265" s="103" t="s">
        <v>12</v>
      </c>
      <c r="H265" s="103" t="s">
        <v>12</v>
      </c>
      <c r="I265" s="103" t="s">
        <v>822</v>
      </c>
      <c r="J265" s="119" t="s">
        <v>19</v>
      </c>
      <c r="K265" s="131" t="s">
        <v>35</v>
      </c>
      <c r="L265" s="103" t="s">
        <v>22</v>
      </c>
      <c r="M265" s="103" t="s">
        <v>15</v>
      </c>
      <c r="N265" s="103" t="s">
        <v>13</v>
      </c>
      <c r="O265" s="103" t="s">
        <v>14</v>
      </c>
      <c r="P265" s="103" t="s">
        <v>12</v>
      </c>
      <c r="Q265" s="99"/>
      <c r="R265" s="104"/>
    </row>
    <row r="266" spans="1:18">
      <c r="A266" s="99"/>
      <c r="B266" s="99"/>
      <c r="C266" s="105"/>
      <c r="D266" s="101"/>
      <c r="E266" s="102"/>
      <c r="F266" s="100"/>
      <c r="G266" s="103" t="s">
        <v>22</v>
      </c>
      <c r="H266" s="103" t="s">
        <v>821</v>
      </c>
      <c r="I266" s="103" t="s">
        <v>823</v>
      </c>
      <c r="J266" s="119" t="s">
        <v>5</v>
      </c>
      <c r="K266" s="131"/>
      <c r="L266" s="103"/>
      <c r="M266" s="103"/>
      <c r="N266" s="103"/>
      <c r="O266" s="103"/>
      <c r="P266" s="103"/>
      <c r="Q266" s="99"/>
      <c r="R266" s="104"/>
    </row>
    <row r="267" spans="1:18">
      <c r="A267" s="106"/>
      <c r="B267" s="106"/>
      <c r="C267" s="107"/>
      <c r="D267" s="108"/>
      <c r="E267" s="109"/>
      <c r="F267" s="110"/>
      <c r="G267" s="111"/>
      <c r="H267" s="112"/>
      <c r="I267" s="139"/>
      <c r="J267" s="132"/>
      <c r="K267" s="132"/>
      <c r="L267" s="113"/>
      <c r="M267" s="108"/>
      <c r="N267" s="111"/>
      <c r="O267" s="111"/>
      <c r="P267" s="111"/>
      <c r="Q267" s="106"/>
      <c r="R267" s="114"/>
    </row>
    <row r="268" spans="1:18" ht="15.75">
      <c r="A268" s="52"/>
      <c r="B268" s="47"/>
      <c r="C268" s="48"/>
      <c r="D268" s="73"/>
      <c r="E268" s="17"/>
      <c r="F268" s="48"/>
      <c r="G268" s="36"/>
      <c r="H268" s="36"/>
      <c r="I268" s="125"/>
      <c r="J268" s="36"/>
      <c r="K268" s="36"/>
      <c r="L268" s="8"/>
      <c r="N268" s="8"/>
      <c r="O268" s="8"/>
      <c r="P268" s="8"/>
      <c r="Q268" s="35"/>
      <c r="R268" s="37"/>
    </row>
    <row r="269" spans="1:18" ht="15.75">
      <c r="A269" s="52">
        <v>1</v>
      </c>
      <c r="B269" s="51" t="s">
        <v>833</v>
      </c>
      <c r="C269" s="48" t="s">
        <v>834</v>
      </c>
      <c r="D269" s="67" t="s">
        <v>835</v>
      </c>
      <c r="E269" s="17">
        <v>43292</v>
      </c>
      <c r="F269" s="20" t="s">
        <v>836</v>
      </c>
      <c r="G269" s="36">
        <v>826000</v>
      </c>
      <c r="H269" s="8">
        <v>0</v>
      </c>
      <c r="I269" s="8">
        <v>0</v>
      </c>
      <c r="J269" s="8">
        <v>20650</v>
      </c>
      <c r="K269" s="8">
        <v>352258</v>
      </c>
      <c r="L269" s="8">
        <v>200000</v>
      </c>
      <c r="M269" s="8">
        <v>200000</v>
      </c>
      <c r="N269" s="8">
        <f>SUM(G269:M269)</f>
        <v>1598908</v>
      </c>
      <c r="O269" s="8">
        <f>50000000-N269</f>
        <v>48401092</v>
      </c>
      <c r="P269" s="8">
        <f t="shared" ref="P269" si="38">+N269+O269</f>
        <v>50000000</v>
      </c>
      <c r="Q269" s="77" t="s">
        <v>837</v>
      </c>
      <c r="R269" s="66" t="s">
        <v>52</v>
      </c>
    </row>
    <row r="270" spans="1:18" ht="15.75">
      <c r="A270" s="52"/>
      <c r="B270" s="138"/>
      <c r="C270" s="48"/>
      <c r="E270" s="17"/>
      <c r="F270" s="48"/>
      <c r="G270" s="36"/>
      <c r="H270" s="36"/>
      <c r="I270" s="75"/>
      <c r="J270" s="36"/>
      <c r="K270" s="36"/>
      <c r="L270" s="36"/>
      <c r="N270" s="8"/>
      <c r="O270" s="8"/>
      <c r="P270" s="8"/>
      <c r="Q270" s="59"/>
      <c r="R270" s="66"/>
    </row>
    <row r="271" spans="1:18" ht="16.5" thickBot="1">
      <c r="A271" s="18"/>
      <c r="B271" s="55"/>
      <c r="C271" s="56"/>
      <c r="D271" s="74"/>
      <c r="E271" s="56"/>
      <c r="F271" s="57"/>
      <c r="G271" s="19">
        <f t="shared" ref="G271:P271" si="39">SUM(G269:G270)</f>
        <v>826000</v>
      </c>
      <c r="H271" s="19">
        <f t="shared" si="39"/>
        <v>0</v>
      </c>
      <c r="I271" s="19">
        <f t="shared" si="39"/>
        <v>0</v>
      </c>
      <c r="J271" s="19">
        <f t="shared" si="39"/>
        <v>20650</v>
      </c>
      <c r="K271" s="19">
        <f t="shared" si="39"/>
        <v>352258</v>
      </c>
      <c r="L271" s="19">
        <f t="shared" si="39"/>
        <v>200000</v>
      </c>
      <c r="M271" s="19">
        <f t="shared" si="39"/>
        <v>200000</v>
      </c>
      <c r="N271" s="19">
        <f t="shared" si="39"/>
        <v>1598908</v>
      </c>
      <c r="O271" s="19">
        <f t="shared" si="39"/>
        <v>48401092</v>
      </c>
      <c r="P271" s="19">
        <f t="shared" si="39"/>
        <v>50000000</v>
      </c>
      <c r="Q271" s="68"/>
      <c r="R271" s="70"/>
    </row>
    <row r="272" spans="1:18" ht="16.5" thickTop="1">
      <c r="A272" s="23"/>
      <c r="B272" s="22"/>
      <c r="C272" s="22"/>
      <c r="D272" s="23"/>
      <c r="E272" s="22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2"/>
      <c r="Q272" s="69"/>
    </row>
    <row r="273" spans="1:18" ht="15.75">
      <c r="A273" s="23"/>
      <c r="B273" s="28" t="s">
        <v>830</v>
      </c>
      <c r="C273" s="22"/>
      <c r="D273" s="39"/>
      <c r="F273" s="27"/>
      <c r="G273" s="28"/>
      <c r="H273" s="28"/>
      <c r="I273" s="28"/>
      <c r="J273" s="28"/>
      <c r="K273" s="28"/>
      <c r="L273" s="28"/>
      <c r="Q273" s="51"/>
    </row>
    <row r="274" spans="1:18" ht="15.75">
      <c r="A274" s="38"/>
      <c r="B274" s="40" t="s">
        <v>32</v>
      </c>
      <c r="C274" s="28" t="s">
        <v>28</v>
      </c>
      <c r="D274" s="39"/>
      <c r="F274" s="41"/>
      <c r="G274" s="143" t="s">
        <v>26</v>
      </c>
      <c r="H274" s="143"/>
      <c r="I274" s="143"/>
      <c r="K274" s="41"/>
    </row>
    <row r="275" spans="1:18" ht="15.75">
      <c r="A275" s="38"/>
      <c r="B275" s="40"/>
      <c r="C275" s="28"/>
      <c r="D275" s="39"/>
      <c r="F275" s="28"/>
      <c r="G275" s="28"/>
      <c r="H275" s="28"/>
      <c r="I275" s="28"/>
      <c r="J275" s="28"/>
      <c r="K275" s="28"/>
      <c r="L275" s="28"/>
    </row>
    <row r="276" spans="1:18" ht="15.75">
      <c r="A276" s="38"/>
      <c r="B276" s="40"/>
      <c r="C276" s="28"/>
      <c r="D276" s="39"/>
      <c r="F276" s="28"/>
      <c r="G276" s="28"/>
      <c r="H276" s="28"/>
      <c r="I276" s="28"/>
      <c r="J276" s="28"/>
      <c r="K276" s="28"/>
      <c r="L276" s="28"/>
    </row>
    <row r="277" spans="1:18" ht="15.75">
      <c r="A277" s="38"/>
      <c r="B277" s="40"/>
      <c r="C277" s="28"/>
      <c r="D277" s="39"/>
      <c r="F277" s="28"/>
      <c r="G277" s="28"/>
      <c r="H277" s="28"/>
      <c r="I277" s="28"/>
      <c r="J277" s="28"/>
      <c r="K277" s="28"/>
    </row>
    <row r="278" spans="1:18" ht="15.75">
      <c r="A278" s="38"/>
      <c r="B278" s="40"/>
      <c r="C278" s="28"/>
      <c r="D278" s="39"/>
      <c r="F278" s="28"/>
      <c r="G278" s="28"/>
      <c r="H278" s="28"/>
      <c r="I278" s="28"/>
      <c r="J278" s="28"/>
      <c r="K278" s="28"/>
      <c r="L278" s="28"/>
    </row>
    <row r="279" spans="1:18" ht="15.75">
      <c r="A279" s="38" t="s">
        <v>23</v>
      </c>
      <c r="B279" s="42" t="s">
        <v>27</v>
      </c>
      <c r="C279" s="43" t="s">
        <v>24</v>
      </c>
      <c r="D279" s="39"/>
      <c r="F279" s="29"/>
      <c r="G279" s="29" t="s">
        <v>16</v>
      </c>
      <c r="H279" s="29"/>
      <c r="I279" s="29" t="s">
        <v>30</v>
      </c>
    </row>
    <row r="280" spans="1:18" ht="15.75">
      <c r="A280" s="38"/>
      <c r="B280" s="44" t="s">
        <v>31</v>
      </c>
      <c r="C280" s="45" t="s">
        <v>20</v>
      </c>
      <c r="D280" s="39"/>
      <c r="F280" s="46"/>
      <c r="G280" s="46" t="s">
        <v>17</v>
      </c>
      <c r="H280" s="46"/>
      <c r="I280" s="46" t="s">
        <v>25</v>
      </c>
    </row>
    <row r="282" spans="1:18" ht="15.75">
      <c r="A282" s="21" t="s">
        <v>0</v>
      </c>
      <c r="B282" s="22"/>
      <c r="C282" s="23"/>
      <c r="D282" s="23"/>
      <c r="E282" s="23"/>
      <c r="F282" s="24"/>
      <c r="G282" s="24"/>
      <c r="H282" s="24"/>
      <c r="I282" s="24"/>
      <c r="J282" s="24"/>
      <c r="K282" s="24"/>
      <c r="L282" s="25"/>
    </row>
    <row r="283" spans="1:18" ht="15.75">
      <c r="A283" s="26" t="s">
        <v>838</v>
      </c>
      <c r="B283" s="21"/>
      <c r="C283" s="21"/>
      <c r="D283" s="21"/>
      <c r="E283" s="21"/>
      <c r="F283" s="24"/>
      <c r="G283" s="24"/>
      <c r="H283" s="24"/>
      <c r="I283" s="24"/>
      <c r="J283" s="24"/>
      <c r="K283" s="24"/>
      <c r="L283" s="25"/>
    </row>
    <row r="284" spans="1:18">
      <c r="A284" s="62"/>
      <c r="B284" s="62" t="s">
        <v>1</v>
      </c>
      <c r="C284" s="93" t="s">
        <v>2</v>
      </c>
      <c r="D284" s="117" t="s">
        <v>34</v>
      </c>
      <c r="E284" s="95" t="s">
        <v>3</v>
      </c>
      <c r="F284" s="93" t="s">
        <v>4</v>
      </c>
      <c r="G284" s="96" t="s">
        <v>18</v>
      </c>
      <c r="H284" s="96" t="s">
        <v>18</v>
      </c>
      <c r="I284" s="96" t="s">
        <v>18</v>
      </c>
      <c r="J284" s="97" t="s">
        <v>7</v>
      </c>
      <c r="K284" s="130" t="s">
        <v>6</v>
      </c>
      <c r="L284" s="96" t="s">
        <v>29</v>
      </c>
      <c r="M284" s="96" t="s">
        <v>21</v>
      </c>
      <c r="N284" s="96" t="s">
        <v>8</v>
      </c>
      <c r="O284" s="96" t="s">
        <v>8</v>
      </c>
      <c r="P284" s="96" t="s">
        <v>9</v>
      </c>
      <c r="Q284" s="62" t="s">
        <v>10</v>
      </c>
      <c r="R284" s="98" t="s">
        <v>33</v>
      </c>
    </row>
    <row r="285" spans="1:18">
      <c r="A285" s="99"/>
      <c r="B285" s="99"/>
      <c r="C285" s="100"/>
      <c r="D285" s="101"/>
      <c r="E285" s="102"/>
      <c r="F285" s="100"/>
      <c r="G285" s="103" t="s">
        <v>12</v>
      </c>
      <c r="H285" s="103" t="s">
        <v>12</v>
      </c>
      <c r="I285" s="103" t="s">
        <v>822</v>
      </c>
      <c r="J285" s="119" t="s">
        <v>19</v>
      </c>
      <c r="K285" s="131" t="s">
        <v>35</v>
      </c>
      <c r="L285" s="103" t="s">
        <v>22</v>
      </c>
      <c r="M285" s="103" t="s">
        <v>15</v>
      </c>
      <c r="N285" s="103" t="s">
        <v>13</v>
      </c>
      <c r="O285" s="103" t="s">
        <v>14</v>
      </c>
      <c r="P285" s="103" t="s">
        <v>12</v>
      </c>
      <c r="Q285" s="99"/>
      <c r="R285" s="104"/>
    </row>
    <row r="286" spans="1:18">
      <c r="A286" s="99"/>
      <c r="B286" s="99"/>
      <c r="C286" s="105"/>
      <c r="D286" s="101"/>
      <c r="E286" s="102"/>
      <c r="F286" s="100"/>
      <c r="G286" s="103" t="s">
        <v>22</v>
      </c>
      <c r="H286" s="103" t="s">
        <v>821</v>
      </c>
      <c r="I286" s="103" t="s">
        <v>823</v>
      </c>
      <c r="J286" s="119" t="s">
        <v>5</v>
      </c>
      <c r="K286" s="131"/>
      <c r="L286" s="103"/>
      <c r="M286" s="103"/>
      <c r="N286" s="103"/>
      <c r="O286" s="103"/>
      <c r="P286" s="103"/>
      <c r="Q286" s="99"/>
      <c r="R286" s="104"/>
    </row>
    <row r="287" spans="1:18">
      <c r="A287" s="106"/>
      <c r="B287" s="106"/>
      <c r="C287" s="107"/>
      <c r="D287" s="108"/>
      <c r="E287" s="109"/>
      <c r="F287" s="110"/>
      <c r="G287" s="111"/>
      <c r="H287" s="112"/>
      <c r="I287" s="139"/>
      <c r="J287" s="132"/>
      <c r="K287" s="132"/>
      <c r="L287" s="113"/>
      <c r="M287" s="108"/>
      <c r="N287" s="111"/>
      <c r="O287" s="111"/>
      <c r="P287" s="111"/>
      <c r="Q287" s="106"/>
      <c r="R287" s="114"/>
    </row>
    <row r="288" spans="1:18" ht="15.75">
      <c r="A288" s="52"/>
      <c r="B288" s="47"/>
      <c r="C288" s="48"/>
      <c r="D288" s="73"/>
      <c r="E288" s="17"/>
      <c r="F288" s="48"/>
      <c r="G288" s="36"/>
      <c r="H288" s="36"/>
      <c r="I288" s="125"/>
      <c r="J288" s="36"/>
      <c r="K288" s="36"/>
      <c r="L288" s="8"/>
      <c r="N288" s="8"/>
      <c r="O288" s="8"/>
      <c r="P288" s="8"/>
      <c r="Q288" s="35"/>
      <c r="R288" s="37"/>
    </row>
    <row r="289" spans="1:18" ht="15.75">
      <c r="A289" s="52">
        <v>1</v>
      </c>
      <c r="B289" s="51" t="s">
        <v>509</v>
      </c>
      <c r="C289" s="48" t="s">
        <v>510</v>
      </c>
      <c r="D289" s="67" t="s">
        <v>839</v>
      </c>
      <c r="E289" s="17">
        <v>43300</v>
      </c>
      <c r="F289" s="20" t="s">
        <v>512</v>
      </c>
      <c r="G289" s="36">
        <v>0</v>
      </c>
      <c r="H289" s="8">
        <v>0</v>
      </c>
      <c r="I289" s="8">
        <v>0</v>
      </c>
      <c r="J289" s="8">
        <v>0</v>
      </c>
      <c r="K289" s="8">
        <v>0</v>
      </c>
      <c r="L289" s="8">
        <v>75000</v>
      </c>
      <c r="M289" s="8">
        <v>0</v>
      </c>
      <c r="N289" s="8">
        <f>SUM(G289:M289)</f>
        <v>75000</v>
      </c>
      <c r="O289" s="8">
        <f>7500000-N289</f>
        <v>7425000</v>
      </c>
      <c r="P289" s="8">
        <f t="shared" ref="P289" si="40">+N289+O289</f>
        <v>7500000</v>
      </c>
      <c r="Q289" s="77" t="s">
        <v>441</v>
      </c>
      <c r="R289" s="66" t="s">
        <v>40</v>
      </c>
    </row>
    <row r="290" spans="1:18" ht="15.75">
      <c r="A290" s="52"/>
      <c r="B290" s="138"/>
      <c r="C290" s="48"/>
      <c r="E290" s="17"/>
      <c r="F290" s="48"/>
      <c r="G290" s="36"/>
      <c r="H290" s="36"/>
      <c r="I290" s="75"/>
      <c r="J290" s="36"/>
      <c r="K290" s="36"/>
      <c r="L290" s="36"/>
      <c r="N290" s="8"/>
      <c r="O290" s="8"/>
      <c r="P290" s="8"/>
      <c r="Q290" s="59"/>
      <c r="R290" s="66"/>
    </row>
    <row r="291" spans="1:18" ht="16.5" thickBot="1">
      <c r="A291" s="18"/>
      <c r="B291" s="55"/>
      <c r="C291" s="56"/>
      <c r="D291" s="74"/>
      <c r="E291" s="56"/>
      <c r="F291" s="57"/>
      <c r="G291" s="19">
        <f t="shared" ref="G291:P291" si="41">SUM(G289:G290)</f>
        <v>0</v>
      </c>
      <c r="H291" s="19">
        <f t="shared" si="41"/>
        <v>0</v>
      </c>
      <c r="I291" s="19">
        <f t="shared" si="41"/>
        <v>0</v>
      </c>
      <c r="J291" s="19">
        <f t="shared" si="41"/>
        <v>0</v>
      </c>
      <c r="K291" s="19">
        <f t="shared" si="41"/>
        <v>0</v>
      </c>
      <c r="L291" s="19">
        <f t="shared" si="41"/>
        <v>75000</v>
      </c>
      <c r="M291" s="19">
        <f t="shared" si="41"/>
        <v>0</v>
      </c>
      <c r="N291" s="19">
        <f t="shared" si="41"/>
        <v>75000</v>
      </c>
      <c r="O291" s="19">
        <f t="shared" si="41"/>
        <v>7425000</v>
      </c>
      <c r="P291" s="19">
        <f t="shared" si="41"/>
        <v>7500000</v>
      </c>
      <c r="Q291" s="68"/>
      <c r="R291" s="70"/>
    </row>
    <row r="292" spans="1:18" ht="16.5" thickTop="1">
      <c r="A292" s="23"/>
      <c r="B292" s="22"/>
      <c r="C292" s="22"/>
      <c r="D292" s="23"/>
      <c r="E292" s="22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2"/>
      <c r="Q292" s="69"/>
    </row>
    <row r="293" spans="1:18" ht="15.75">
      <c r="A293" s="23"/>
      <c r="B293" s="28" t="s">
        <v>840</v>
      </c>
      <c r="C293" s="22"/>
      <c r="D293" s="39"/>
      <c r="F293" s="27"/>
      <c r="G293" s="28"/>
      <c r="H293" s="28"/>
      <c r="I293" s="28"/>
      <c r="J293" s="28"/>
      <c r="K293" s="28"/>
      <c r="L293" s="28"/>
      <c r="Q293" s="51"/>
    </row>
    <row r="294" spans="1:18" ht="15.75">
      <c r="A294" s="38"/>
      <c r="B294" s="40" t="s">
        <v>32</v>
      </c>
      <c r="C294" s="28" t="s">
        <v>28</v>
      </c>
      <c r="D294" s="39"/>
      <c r="F294" s="41"/>
      <c r="G294" s="143" t="s">
        <v>26</v>
      </c>
      <c r="H294" s="143"/>
      <c r="I294" s="143"/>
      <c r="K294" s="41"/>
    </row>
    <row r="295" spans="1:18" ht="15.75">
      <c r="A295" s="38"/>
      <c r="B295" s="40"/>
      <c r="C295" s="28"/>
      <c r="D295" s="39"/>
      <c r="F295" s="28"/>
      <c r="G295" s="28"/>
      <c r="H295" s="28"/>
      <c r="I295" s="28"/>
      <c r="J295" s="28"/>
      <c r="K295" s="28"/>
      <c r="L295" s="28"/>
    </row>
    <row r="296" spans="1:18" ht="15.75">
      <c r="A296" s="38"/>
      <c r="B296" s="40"/>
      <c r="C296" s="28"/>
      <c r="D296" s="39"/>
      <c r="F296" s="28"/>
      <c r="G296" s="28"/>
      <c r="H296" s="28"/>
      <c r="I296" s="28"/>
      <c r="J296" s="28"/>
      <c r="K296" s="28"/>
      <c r="L296" s="28"/>
    </row>
    <row r="297" spans="1:18" ht="15.75">
      <c r="A297" s="38"/>
      <c r="B297" s="40"/>
      <c r="C297" s="28"/>
      <c r="D297" s="39"/>
      <c r="F297" s="28"/>
      <c r="G297" s="28"/>
      <c r="H297" s="28"/>
      <c r="I297" s="28"/>
      <c r="J297" s="28"/>
      <c r="K297" s="28"/>
    </row>
    <row r="298" spans="1:18" ht="15.75">
      <c r="A298" s="38"/>
      <c r="B298" s="40"/>
      <c r="C298" s="28"/>
      <c r="D298" s="39"/>
      <c r="F298" s="28"/>
      <c r="G298" s="28"/>
      <c r="H298" s="28"/>
      <c r="I298" s="28"/>
      <c r="J298" s="28"/>
      <c r="K298" s="28"/>
      <c r="L298" s="28"/>
    </row>
    <row r="299" spans="1:18" ht="15.75">
      <c r="A299" s="38" t="s">
        <v>23</v>
      </c>
      <c r="B299" s="42" t="s">
        <v>27</v>
      </c>
      <c r="C299" s="43" t="s">
        <v>24</v>
      </c>
      <c r="D299" s="39"/>
      <c r="F299" s="29"/>
      <c r="G299" s="29" t="s">
        <v>16</v>
      </c>
      <c r="H299" s="29"/>
      <c r="I299" s="29" t="s">
        <v>30</v>
      </c>
    </row>
    <row r="300" spans="1:18" ht="15.75">
      <c r="A300" s="38"/>
      <c r="B300" s="44" t="s">
        <v>31</v>
      </c>
      <c r="C300" s="45" t="s">
        <v>20</v>
      </c>
      <c r="D300" s="39"/>
      <c r="F300" s="46"/>
      <c r="G300" s="46" t="s">
        <v>17</v>
      </c>
      <c r="H300" s="46"/>
      <c r="I300" s="46" t="s">
        <v>25</v>
      </c>
    </row>
    <row r="302" spans="1:18" ht="15.75">
      <c r="A302" s="21" t="s">
        <v>0</v>
      </c>
      <c r="B302" s="22"/>
      <c r="C302" s="23"/>
      <c r="D302" s="23"/>
      <c r="E302" s="23"/>
      <c r="F302" s="24"/>
      <c r="G302" s="24"/>
      <c r="H302" s="24"/>
      <c r="I302" s="24"/>
      <c r="J302" s="24"/>
      <c r="K302" s="24"/>
      <c r="L302" s="25"/>
    </row>
    <row r="303" spans="1:18" ht="15.75">
      <c r="A303" s="26" t="s">
        <v>845</v>
      </c>
      <c r="B303" s="21"/>
      <c r="C303" s="21"/>
      <c r="D303" s="21"/>
      <c r="E303" s="21"/>
      <c r="F303" s="24"/>
      <c r="G303" s="24"/>
      <c r="H303" s="24"/>
      <c r="I303" s="24"/>
      <c r="J303" s="24"/>
      <c r="K303" s="24"/>
      <c r="L303" s="25"/>
    </row>
    <row r="304" spans="1:18">
      <c r="A304" s="62"/>
      <c r="B304" s="62" t="s">
        <v>1</v>
      </c>
      <c r="C304" s="93" t="s">
        <v>2</v>
      </c>
      <c r="D304" s="117" t="s">
        <v>34</v>
      </c>
      <c r="E304" s="95" t="s">
        <v>3</v>
      </c>
      <c r="F304" s="93" t="s">
        <v>4</v>
      </c>
      <c r="G304" s="96" t="s">
        <v>18</v>
      </c>
      <c r="H304" s="96" t="s">
        <v>18</v>
      </c>
      <c r="I304" s="96" t="s">
        <v>18</v>
      </c>
      <c r="J304" s="97" t="s">
        <v>7</v>
      </c>
      <c r="K304" s="130" t="s">
        <v>6</v>
      </c>
      <c r="L304" s="96" t="s">
        <v>29</v>
      </c>
      <c r="M304" s="96" t="s">
        <v>21</v>
      </c>
      <c r="N304" s="96" t="s">
        <v>8</v>
      </c>
      <c r="O304" s="96" t="s">
        <v>8</v>
      </c>
      <c r="P304" s="96" t="s">
        <v>9</v>
      </c>
      <c r="Q304" s="62" t="s">
        <v>10</v>
      </c>
      <c r="R304" s="98" t="s">
        <v>33</v>
      </c>
    </row>
    <row r="305" spans="1:18">
      <c r="A305" s="99"/>
      <c r="B305" s="99"/>
      <c r="C305" s="100"/>
      <c r="D305" s="101"/>
      <c r="E305" s="102"/>
      <c r="F305" s="100"/>
      <c r="G305" s="103" t="s">
        <v>12</v>
      </c>
      <c r="H305" s="103" t="s">
        <v>12</v>
      </c>
      <c r="I305" s="103" t="s">
        <v>822</v>
      </c>
      <c r="J305" s="119" t="s">
        <v>19</v>
      </c>
      <c r="K305" s="131" t="s">
        <v>35</v>
      </c>
      <c r="L305" s="103" t="s">
        <v>22</v>
      </c>
      <c r="M305" s="103" t="s">
        <v>15</v>
      </c>
      <c r="N305" s="103" t="s">
        <v>13</v>
      </c>
      <c r="O305" s="103" t="s">
        <v>14</v>
      </c>
      <c r="P305" s="103" t="s">
        <v>12</v>
      </c>
      <c r="Q305" s="99"/>
      <c r="R305" s="104"/>
    </row>
    <row r="306" spans="1:18">
      <c r="A306" s="99"/>
      <c r="B306" s="99"/>
      <c r="C306" s="105"/>
      <c r="D306" s="101"/>
      <c r="E306" s="102"/>
      <c r="F306" s="100"/>
      <c r="G306" s="103" t="s">
        <v>22</v>
      </c>
      <c r="H306" s="103" t="s">
        <v>844</v>
      </c>
      <c r="I306" s="103" t="s">
        <v>823</v>
      </c>
      <c r="J306" s="119" t="s">
        <v>5</v>
      </c>
      <c r="K306" s="131"/>
      <c r="L306" s="103"/>
      <c r="M306" s="103"/>
      <c r="N306" s="103"/>
      <c r="O306" s="103"/>
      <c r="P306" s="103"/>
      <c r="Q306" s="99"/>
      <c r="R306" s="104"/>
    </row>
    <row r="307" spans="1:18">
      <c r="A307" s="106"/>
      <c r="B307" s="106"/>
      <c r="C307" s="107"/>
      <c r="D307" s="108"/>
      <c r="E307" s="109"/>
      <c r="F307" s="110"/>
      <c r="G307" s="111"/>
      <c r="H307" s="112"/>
      <c r="I307" s="139"/>
      <c r="J307" s="132"/>
      <c r="K307" s="132"/>
      <c r="L307" s="113"/>
      <c r="M307" s="108"/>
      <c r="N307" s="111"/>
      <c r="O307" s="111"/>
      <c r="P307" s="111"/>
      <c r="Q307" s="106"/>
      <c r="R307" s="114"/>
    </row>
    <row r="308" spans="1:18" ht="15.75">
      <c r="A308" s="52"/>
      <c r="B308" s="47"/>
      <c r="C308" s="48"/>
      <c r="D308" s="73"/>
      <c r="E308" s="17"/>
      <c r="F308" s="48"/>
      <c r="G308" s="36"/>
      <c r="H308" s="36"/>
      <c r="I308" s="125"/>
      <c r="J308" s="36"/>
      <c r="K308" s="36"/>
      <c r="L308" s="8"/>
      <c r="N308" s="8"/>
      <c r="O308" s="8"/>
      <c r="P308" s="8"/>
      <c r="Q308" s="35"/>
      <c r="R308" s="37"/>
    </row>
    <row r="309" spans="1:18" ht="15.75">
      <c r="A309" s="52">
        <v>1</v>
      </c>
      <c r="B309" s="51" t="s">
        <v>841</v>
      </c>
      <c r="C309" s="48" t="s">
        <v>842</v>
      </c>
      <c r="D309" s="67" t="s">
        <v>843</v>
      </c>
      <c r="E309" s="17">
        <v>43306</v>
      </c>
      <c r="F309" s="20" t="s">
        <v>337</v>
      </c>
      <c r="G309" s="36">
        <v>67488000</v>
      </c>
      <c r="H309" s="8">
        <v>2939300</v>
      </c>
      <c r="I309" s="8">
        <v>0</v>
      </c>
      <c r="J309" s="8">
        <v>1760683</v>
      </c>
      <c r="K309" s="8">
        <v>0</v>
      </c>
      <c r="L309" s="8">
        <v>0</v>
      </c>
      <c r="M309" s="8">
        <v>200000</v>
      </c>
      <c r="N309" s="8">
        <f>SUM(G309:M309)</f>
        <v>72387983</v>
      </c>
      <c r="O309" s="8">
        <f>72387983-N309</f>
        <v>0</v>
      </c>
      <c r="P309" s="8">
        <f t="shared" ref="P309" si="42">+N309+O309</f>
        <v>72387983</v>
      </c>
      <c r="Q309" s="77" t="s">
        <v>825</v>
      </c>
      <c r="R309" s="66" t="s">
        <v>338</v>
      </c>
    </row>
    <row r="310" spans="1:18" ht="15.75">
      <c r="A310" s="52"/>
      <c r="B310" s="138"/>
      <c r="C310" s="48"/>
      <c r="E310" s="17"/>
      <c r="F310" s="48"/>
      <c r="G310" s="36"/>
      <c r="H310" s="36"/>
      <c r="I310" s="75"/>
      <c r="J310" s="36"/>
      <c r="K310" s="36"/>
      <c r="L310" s="36"/>
      <c r="N310" s="8"/>
      <c r="O310" s="8"/>
      <c r="P310" s="8"/>
      <c r="Q310" s="59"/>
      <c r="R310" s="66"/>
    </row>
    <row r="311" spans="1:18" ht="16.5" thickBot="1">
      <c r="A311" s="18"/>
      <c r="B311" s="55"/>
      <c r="C311" s="56"/>
      <c r="D311" s="74"/>
      <c r="E311" s="56"/>
      <c r="F311" s="57"/>
      <c r="G311" s="19">
        <f t="shared" ref="G311:P311" si="43">SUM(G309:G310)</f>
        <v>67488000</v>
      </c>
      <c r="H311" s="19">
        <f t="shared" si="43"/>
        <v>2939300</v>
      </c>
      <c r="I311" s="19">
        <f t="shared" si="43"/>
        <v>0</v>
      </c>
      <c r="J311" s="19">
        <f t="shared" si="43"/>
        <v>1760683</v>
      </c>
      <c r="K311" s="19">
        <f t="shared" si="43"/>
        <v>0</v>
      </c>
      <c r="L311" s="19">
        <f t="shared" si="43"/>
        <v>0</v>
      </c>
      <c r="M311" s="19">
        <f t="shared" si="43"/>
        <v>200000</v>
      </c>
      <c r="N311" s="19">
        <f t="shared" si="43"/>
        <v>72387983</v>
      </c>
      <c r="O311" s="19">
        <f t="shared" si="43"/>
        <v>0</v>
      </c>
      <c r="P311" s="19">
        <f t="shared" si="43"/>
        <v>72387983</v>
      </c>
      <c r="Q311" s="68"/>
      <c r="R311" s="70"/>
    </row>
    <row r="312" spans="1:18" ht="16.5" hidden="1" thickTop="1">
      <c r="A312" s="23"/>
      <c r="B312" s="22"/>
      <c r="C312" s="22"/>
      <c r="D312" s="23"/>
      <c r="E312" s="22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2"/>
      <c r="Q312" s="69"/>
    </row>
    <row r="313" spans="1:18" ht="15.75" hidden="1">
      <c r="A313" s="23"/>
      <c r="B313" s="28" t="s">
        <v>846</v>
      </c>
      <c r="C313" s="22"/>
      <c r="D313" s="39"/>
      <c r="F313" s="27"/>
      <c r="G313" s="28"/>
      <c r="H313" s="28"/>
      <c r="I313" s="28"/>
      <c r="J313" s="28"/>
      <c r="K313" s="28"/>
      <c r="L313" s="28"/>
      <c r="Q313" s="51"/>
    </row>
    <row r="314" spans="1:18" ht="15.75" hidden="1">
      <c r="A314" s="38"/>
      <c r="B314" s="40" t="s">
        <v>32</v>
      </c>
      <c r="C314" s="28" t="s">
        <v>28</v>
      </c>
      <c r="D314" s="39"/>
      <c r="F314" s="41"/>
      <c r="G314" s="143" t="s">
        <v>26</v>
      </c>
      <c r="H314" s="143"/>
      <c r="I314" s="143"/>
      <c r="K314" s="41"/>
    </row>
    <row r="315" spans="1:18" ht="15.75" hidden="1">
      <c r="A315" s="38"/>
      <c r="B315" s="40"/>
      <c r="C315" s="28"/>
      <c r="D315" s="39"/>
      <c r="F315" s="28"/>
      <c r="G315" s="28"/>
      <c r="H315" s="28"/>
      <c r="I315" s="28"/>
      <c r="J315" s="28"/>
      <c r="K315" s="28"/>
      <c r="L315" s="28"/>
    </row>
    <row r="316" spans="1:18" ht="15.75" hidden="1">
      <c r="A316" s="38"/>
      <c r="B316" s="40"/>
      <c r="C316" s="28"/>
      <c r="D316" s="39"/>
      <c r="F316" s="28"/>
      <c r="G316" s="28"/>
      <c r="H316" s="28"/>
      <c r="I316" s="28"/>
      <c r="J316" s="28"/>
      <c r="K316" s="28"/>
      <c r="L316" s="28"/>
    </row>
    <row r="317" spans="1:18" ht="15.75" hidden="1">
      <c r="A317" s="38"/>
      <c r="B317" s="40"/>
      <c r="C317" s="28"/>
      <c r="D317" s="39"/>
      <c r="F317" s="28"/>
      <c r="G317" s="28"/>
      <c r="H317" s="28"/>
      <c r="I317" s="28"/>
      <c r="J317" s="28"/>
      <c r="K317" s="28"/>
    </row>
    <row r="318" spans="1:18" ht="15.75" hidden="1">
      <c r="A318" s="38"/>
      <c r="B318" s="40"/>
      <c r="C318" s="28"/>
      <c r="D318" s="39"/>
      <c r="F318" s="28"/>
      <c r="G318" s="28"/>
      <c r="H318" s="28"/>
      <c r="I318" s="28"/>
      <c r="J318" s="28"/>
      <c r="K318" s="28"/>
      <c r="L318" s="28"/>
    </row>
    <row r="319" spans="1:18" ht="15.75" hidden="1">
      <c r="A319" s="38" t="s">
        <v>23</v>
      </c>
      <c r="B319" s="42" t="s">
        <v>27</v>
      </c>
      <c r="C319" s="43" t="s">
        <v>24</v>
      </c>
      <c r="D319" s="39"/>
      <c r="F319" s="29"/>
      <c r="G319" s="29" t="s">
        <v>16</v>
      </c>
      <c r="H319" s="29"/>
      <c r="I319" s="29" t="s">
        <v>30</v>
      </c>
    </row>
    <row r="320" spans="1:18" ht="15.75" hidden="1">
      <c r="A320" s="38"/>
      <c r="B320" s="44" t="s">
        <v>31</v>
      </c>
      <c r="C320" s="45" t="s">
        <v>20</v>
      </c>
      <c r="D320" s="39"/>
      <c r="F320" s="46"/>
      <c r="G320" s="46" t="s">
        <v>17</v>
      </c>
      <c r="H320" s="46"/>
      <c r="I320" s="46" t="s">
        <v>25</v>
      </c>
    </row>
    <row r="321" spans="1:18" hidden="1"/>
    <row r="322" spans="1:18" ht="16.5" thickTop="1">
      <c r="A322" s="21" t="s">
        <v>0</v>
      </c>
      <c r="B322" s="22"/>
      <c r="C322" s="23"/>
      <c r="D322" s="23"/>
      <c r="E322" s="23"/>
      <c r="F322" s="24"/>
      <c r="G322" s="24"/>
      <c r="H322" s="24"/>
      <c r="I322" s="24"/>
      <c r="J322" s="24"/>
      <c r="K322" s="24"/>
      <c r="L322" s="25"/>
    </row>
    <row r="323" spans="1:18" ht="15.75">
      <c r="A323" s="26" t="s">
        <v>845</v>
      </c>
      <c r="B323" s="21"/>
      <c r="C323" s="21"/>
      <c r="D323" s="21"/>
      <c r="E323" s="21"/>
      <c r="F323" s="24"/>
      <c r="G323" s="24"/>
      <c r="H323" s="24"/>
      <c r="I323" s="24"/>
      <c r="J323" s="24"/>
      <c r="K323" s="24"/>
      <c r="L323" s="25"/>
    </row>
    <row r="324" spans="1:18">
      <c r="A324" s="62"/>
      <c r="B324" s="62" t="s">
        <v>1</v>
      </c>
      <c r="C324" s="93" t="s">
        <v>2</v>
      </c>
      <c r="D324" s="117" t="s">
        <v>34</v>
      </c>
      <c r="E324" s="95" t="s">
        <v>3</v>
      </c>
      <c r="F324" s="93" t="s">
        <v>4</v>
      </c>
      <c r="G324" s="96" t="s">
        <v>18</v>
      </c>
      <c r="H324" s="96" t="s">
        <v>18</v>
      </c>
      <c r="I324" s="96" t="s">
        <v>18</v>
      </c>
      <c r="J324" s="97" t="s">
        <v>7</v>
      </c>
      <c r="K324" s="130" t="s">
        <v>6</v>
      </c>
      <c r="L324" s="96" t="s">
        <v>29</v>
      </c>
      <c r="M324" s="96" t="s">
        <v>21</v>
      </c>
      <c r="N324" s="96" t="s">
        <v>8</v>
      </c>
      <c r="O324" s="96" t="s">
        <v>8</v>
      </c>
      <c r="P324" s="96" t="s">
        <v>9</v>
      </c>
      <c r="Q324" s="62" t="s">
        <v>10</v>
      </c>
      <c r="R324" s="98" t="s">
        <v>33</v>
      </c>
    </row>
    <row r="325" spans="1:18">
      <c r="A325" s="99"/>
      <c r="B325" s="99"/>
      <c r="C325" s="100"/>
      <c r="D325" s="101"/>
      <c r="E325" s="102"/>
      <c r="F325" s="100"/>
      <c r="G325" s="103" t="s">
        <v>12</v>
      </c>
      <c r="H325" s="103" t="s">
        <v>12</v>
      </c>
      <c r="I325" s="103" t="s">
        <v>822</v>
      </c>
      <c r="J325" s="119" t="s">
        <v>19</v>
      </c>
      <c r="K325" s="131" t="s">
        <v>35</v>
      </c>
      <c r="L325" s="103" t="s">
        <v>22</v>
      </c>
      <c r="M325" s="103" t="s">
        <v>15</v>
      </c>
      <c r="N325" s="103" t="s">
        <v>13</v>
      </c>
      <c r="O325" s="103" t="s">
        <v>14</v>
      </c>
      <c r="P325" s="103" t="s">
        <v>12</v>
      </c>
      <c r="Q325" s="99"/>
      <c r="R325" s="104"/>
    </row>
    <row r="326" spans="1:18">
      <c r="A326" s="99"/>
      <c r="B326" s="99"/>
      <c r="C326" s="105"/>
      <c r="D326" s="101"/>
      <c r="E326" s="102"/>
      <c r="F326" s="100"/>
      <c r="G326" s="103" t="s">
        <v>22</v>
      </c>
      <c r="H326" s="103" t="s">
        <v>844</v>
      </c>
      <c r="I326" s="103" t="s">
        <v>823</v>
      </c>
      <c r="J326" s="119" t="s">
        <v>5</v>
      </c>
      <c r="K326" s="131"/>
      <c r="L326" s="103"/>
      <c r="M326" s="103"/>
      <c r="N326" s="103"/>
      <c r="O326" s="103"/>
      <c r="P326" s="103"/>
      <c r="Q326" s="99"/>
      <c r="R326" s="104"/>
    </row>
    <row r="327" spans="1:18">
      <c r="A327" s="106"/>
      <c r="B327" s="106"/>
      <c r="C327" s="107"/>
      <c r="D327" s="108"/>
      <c r="E327" s="109"/>
      <c r="F327" s="110"/>
      <c r="G327" s="111"/>
      <c r="H327" s="112"/>
      <c r="I327" s="139"/>
      <c r="J327" s="132"/>
      <c r="K327" s="132"/>
      <c r="L327" s="113"/>
      <c r="M327" s="108"/>
      <c r="N327" s="111"/>
      <c r="O327" s="111"/>
      <c r="P327" s="111"/>
      <c r="Q327" s="106"/>
      <c r="R327" s="114"/>
    </row>
    <row r="328" spans="1:18" ht="15.75">
      <c r="A328" s="52"/>
      <c r="B328" s="47"/>
      <c r="C328" s="48"/>
      <c r="D328" s="73"/>
      <c r="E328" s="17"/>
      <c r="F328" s="48"/>
      <c r="G328" s="36"/>
      <c r="H328" s="36"/>
      <c r="I328" s="125"/>
      <c r="J328" s="36"/>
      <c r="K328" s="36"/>
      <c r="L328" s="8"/>
      <c r="N328" s="8"/>
      <c r="O328" s="8"/>
      <c r="P328" s="8"/>
      <c r="Q328" s="35"/>
      <c r="R328" s="37"/>
    </row>
    <row r="329" spans="1:18" ht="15.75">
      <c r="A329" s="52">
        <v>1</v>
      </c>
      <c r="B329" s="51" t="s">
        <v>847</v>
      </c>
      <c r="C329" s="48" t="s">
        <v>848</v>
      </c>
      <c r="D329" s="67" t="s">
        <v>849</v>
      </c>
      <c r="E329" s="17">
        <v>43306</v>
      </c>
      <c r="F329" s="20" t="s">
        <v>850</v>
      </c>
      <c r="G329" s="36">
        <v>0</v>
      </c>
      <c r="H329" s="8">
        <v>0</v>
      </c>
      <c r="I329" s="8">
        <v>0</v>
      </c>
      <c r="J329" s="8">
        <v>0</v>
      </c>
      <c r="K329" s="8">
        <v>0</v>
      </c>
      <c r="L329" s="8">
        <v>200000</v>
      </c>
      <c r="M329" s="8">
        <v>200000</v>
      </c>
      <c r="N329" s="8">
        <f>SUM(G329:M329)</f>
        <v>400000</v>
      </c>
      <c r="O329" s="8">
        <f>50000000-N329</f>
        <v>49600000</v>
      </c>
      <c r="P329" s="8">
        <f t="shared" ref="P329:P330" si="44">+N329+O329</f>
        <v>50000000</v>
      </c>
      <c r="Q329" s="77" t="s">
        <v>159</v>
      </c>
      <c r="R329" s="66" t="s">
        <v>22</v>
      </c>
    </row>
    <row r="330" spans="1:18" ht="15.75">
      <c r="A330" s="52">
        <v>2</v>
      </c>
      <c r="B330" s="51" t="s">
        <v>865</v>
      </c>
      <c r="C330" s="48" t="s">
        <v>866</v>
      </c>
      <c r="D330" s="67" t="s">
        <v>867</v>
      </c>
      <c r="E330" s="17">
        <v>43306</v>
      </c>
      <c r="F330" s="20" t="s">
        <v>868</v>
      </c>
      <c r="G330" s="36">
        <v>0</v>
      </c>
      <c r="H330" s="8">
        <v>0</v>
      </c>
      <c r="I330" s="8">
        <v>0</v>
      </c>
      <c r="J330" s="8">
        <v>0</v>
      </c>
      <c r="K330" s="8">
        <v>0</v>
      </c>
      <c r="L330" s="8">
        <v>200000</v>
      </c>
      <c r="M330" s="8">
        <v>200000</v>
      </c>
      <c r="N330" s="8">
        <f>SUM(G330:M330)</f>
        <v>400000</v>
      </c>
      <c r="O330" s="8">
        <f>50000000-N330</f>
        <v>49600000</v>
      </c>
      <c r="P330" s="8">
        <f t="shared" si="44"/>
        <v>50000000</v>
      </c>
      <c r="Q330" s="77" t="s">
        <v>869</v>
      </c>
      <c r="R330" s="66" t="s">
        <v>22</v>
      </c>
    </row>
    <row r="331" spans="1:18" ht="15.75">
      <c r="A331" s="52"/>
      <c r="B331" s="138"/>
      <c r="C331" s="48"/>
      <c r="E331" s="17"/>
      <c r="F331" s="48"/>
      <c r="G331" s="36"/>
      <c r="H331" s="36"/>
      <c r="I331" s="75"/>
      <c r="J331" s="36"/>
      <c r="K331" s="36"/>
      <c r="L331" s="36"/>
      <c r="N331" s="8"/>
      <c r="O331" s="8"/>
      <c r="P331" s="8"/>
      <c r="Q331" s="59"/>
      <c r="R331" s="66"/>
    </row>
    <row r="332" spans="1:18" ht="16.5" thickBot="1">
      <c r="A332" s="18"/>
      <c r="B332" s="55"/>
      <c r="C332" s="56"/>
      <c r="D332" s="74"/>
      <c r="E332" s="56"/>
      <c r="F332" s="57"/>
      <c r="G332" s="19">
        <f t="shared" ref="G332:P332" si="45">SUM(G329:G331)</f>
        <v>0</v>
      </c>
      <c r="H332" s="19">
        <f t="shared" si="45"/>
        <v>0</v>
      </c>
      <c r="I332" s="19">
        <f t="shared" si="45"/>
        <v>0</v>
      </c>
      <c r="J332" s="19">
        <f t="shared" si="45"/>
        <v>0</v>
      </c>
      <c r="K332" s="19">
        <f t="shared" si="45"/>
        <v>0</v>
      </c>
      <c r="L332" s="19">
        <f t="shared" si="45"/>
        <v>400000</v>
      </c>
      <c r="M332" s="19">
        <f t="shared" si="45"/>
        <v>400000</v>
      </c>
      <c r="N332" s="19">
        <f t="shared" si="45"/>
        <v>800000</v>
      </c>
      <c r="O332" s="19">
        <f t="shared" si="45"/>
        <v>99200000</v>
      </c>
      <c r="P332" s="19">
        <f t="shared" si="45"/>
        <v>100000000</v>
      </c>
      <c r="Q332" s="68"/>
      <c r="R332" s="70"/>
    </row>
    <row r="333" spans="1:18" ht="16.5" hidden="1" thickTop="1">
      <c r="A333" s="23"/>
      <c r="B333" s="22"/>
      <c r="C333" s="22"/>
      <c r="D333" s="23"/>
      <c r="E333" s="22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2"/>
      <c r="Q333" s="69"/>
    </row>
    <row r="334" spans="1:18" ht="15.75" hidden="1">
      <c r="A334" s="23"/>
      <c r="B334" s="28" t="s">
        <v>846</v>
      </c>
      <c r="C334" s="22"/>
      <c r="D334" s="39"/>
      <c r="F334" s="27"/>
      <c r="G334" s="28"/>
      <c r="H334" s="28"/>
      <c r="I334" s="28"/>
      <c r="J334" s="28"/>
      <c r="K334" s="28"/>
      <c r="L334" s="28"/>
      <c r="Q334" s="51"/>
    </row>
    <row r="335" spans="1:18" ht="15.75" hidden="1">
      <c r="A335" s="38"/>
      <c r="B335" s="40" t="s">
        <v>32</v>
      </c>
      <c r="C335" s="28" t="s">
        <v>28</v>
      </c>
      <c r="D335" s="39"/>
      <c r="F335" s="41"/>
      <c r="G335" s="143" t="s">
        <v>26</v>
      </c>
      <c r="H335" s="143"/>
      <c r="I335" s="143"/>
      <c r="K335" s="41"/>
    </row>
    <row r="336" spans="1:18" ht="15.75" hidden="1">
      <c r="A336" s="38"/>
      <c r="B336" s="40"/>
      <c r="C336" s="28"/>
      <c r="D336" s="39"/>
      <c r="F336" s="28"/>
      <c r="G336" s="28"/>
      <c r="H336" s="28"/>
      <c r="I336" s="28"/>
      <c r="J336" s="28"/>
      <c r="K336" s="28"/>
      <c r="L336" s="28"/>
    </row>
    <row r="337" spans="1:18" ht="15.75" hidden="1">
      <c r="A337" s="38"/>
      <c r="B337" s="40"/>
      <c r="C337" s="28"/>
      <c r="D337" s="39"/>
      <c r="F337" s="28"/>
      <c r="G337" s="28"/>
      <c r="H337" s="28"/>
      <c r="I337" s="28"/>
      <c r="J337" s="28"/>
      <c r="K337" s="28"/>
      <c r="L337" s="28"/>
    </row>
    <row r="338" spans="1:18" ht="15.75" hidden="1">
      <c r="A338" s="38"/>
      <c r="B338" s="40"/>
      <c r="C338" s="28"/>
      <c r="D338" s="39"/>
      <c r="F338" s="28"/>
      <c r="G338" s="28"/>
      <c r="H338" s="28"/>
      <c r="I338" s="28"/>
      <c r="J338" s="28"/>
      <c r="K338" s="28"/>
    </row>
    <row r="339" spans="1:18" ht="15.75" hidden="1">
      <c r="A339" s="38"/>
      <c r="B339" s="40"/>
      <c r="C339" s="28"/>
      <c r="D339" s="39"/>
      <c r="F339" s="28"/>
      <c r="G339" s="28"/>
      <c r="H339" s="28"/>
      <c r="I339" s="28"/>
      <c r="J339" s="28"/>
      <c r="K339" s="28"/>
      <c r="L339" s="28"/>
    </row>
    <row r="340" spans="1:18" ht="15.75" hidden="1">
      <c r="A340" s="38" t="s">
        <v>23</v>
      </c>
      <c r="B340" s="42" t="s">
        <v>27</v>
      </c>
      <c r="C340" s="43" t="s">
        <v>24</v>
      </c>
      <c r="D340" s="39"/>
      <c r="F340" s="29"/>
      <c r="G340" s="29" t="s">
        <v>16</v>
      </c>
      <c r="H340" s="29"/>
      <c r="I340" s="29" t="s">
        <v>30</v>
      </c>
    </row>
    <row r="341" spans="1:18" ht="15.75" hidden="1">
      <c r="A341" s="38"/>
      <c r="B341" s="44" t="s">
        <v>31</v>
      </c>
      <c r="C341" s="45" t="s">
        <v>20</v>
      </c>
      <c r="D341" s="39"/>
      <c r="F341" s="46"/>
      <c r="G341" s="46" t="s">
        <v>17</v>
      </c>
      <c r="H341" s="46"/>
      <c r="I341" s="46" t="s">
        <v>25</v>
      </c>
    </row>
    <row r="342" spans="1:18" hidden="1"/>
    <row r="343" spans="1:18" ht="16.5" thickTop="1">
      <c r="A343" s="21" t="s">
        <v>0</v>
      </c>
      <c r="B343" s="22"/>
      <c r="C343" s="23"/>
      <c r="D343" s="23"/>
      <c r="E343" s="23"/>
      <c r="F343" s="24"/>
      <c r="G343" s="24"/>
      <c r="H343" s="24"/>
      <c r="I343" s="24"/>
      <c r="J343" s="24"/>
      <c r="K343" s="24"/>
      <c r="L343" s="25"/>
    </row>
    <row r="344" spans="1:18" ht="15.75">
      <c r="A344" s="26" t="s">
        <v>845</v>
      </c>
      <c r="B344" s="21"/>
      <c r="C344" s="21"/>
      <c r="D344" s="21"/>
      <c r="E344" s="21"/>
      <c r="F344" s="24"/>
      <c r="G344" s="24"/>
      <c r="H344" s="24"/>
      <c r="I344" s="24"/>
      <c r="J344" s="24"/>
      <c r="K344" s="24"/>
      <c r="L344" s="25"/>
    </row>
    <row r="345" spans="1:18">
      <c r="A345" s="62"/>
      <c r="B345" s="62" t="s">
        <v>1</v>
      </c>
      <c r="C345" s="93" t="s">
        <v>2</v>
      </c>
      <c r="D345" s="117" t="s">
        <v>34</v>
      </c>
      <c r="E345" s="95" t="s">
        <v>3</v>
      </c>
      <c r="F345" s="93" t="s">
        <v>4</v>
      </c>
      <c r="G345" s="96" t="s">
        <v>18</v>
      </c>
      <c r="H345" s="96" t="s">
        <v>18</v>
      </c>
      <c r="I345" s="96" t="s">
        <v>18</v>
      </c>
      <c r="J345" s="97" t="s">
        <v>7</v>
      </c>
      <c r="K345" s="130" t="s">
        <v>6</v>
      </c>
      <c r="L345" s="96" t="s">
        <v>29</v>
      </c>
      <c r="M345" s="96" t="s">
        <v>21</v>
      </c>
      <c r="N345" s="96" t="s">
        <v>8</v>
      </c>
      <c r="O345" s="96" t="s">
        <v>8</v>
      </c>
      <c r="P345" s="96" t="s">
        <v>9</v>
      </c>
      <c r="Q345" s="62" t="s">
        <v>10</v>
      </c>
      <c r="R345" s="98" t="s">
        <v>33</v>
      </c>
    </row>
    <row r="346" spans="1:18">
      <c r="A346" s="99"/>
      <c r="B346" s="99"/>
      <c r="C346" s="100"/>
      <c r="D346" s="101"/>
      <c r="E346" s="102"/>
      <c r="F346" s="100"/>
      <c r="G346" s="103" t="s">
        <v>12</v>
      </c>
      <c r="H346" s="103" t="s">
        <v>12</v>
      </c>
      <c r="I346" s="103" t="s">
        <v>822</v>
      </c>
      <c r="J346" s="119" t="s">
        <v>19</v>
      </c>
      <c r="K346" s="131" t="s">
        <v>35</v>
      </c>
      <c r="L346" s="103" t="s">
        <v>22</v>
      </c>
      <c r="M346" s="103" t="s">
        <v>15</v>
      </c>
      <c r="N346" s="103" t="s">
        <v>13</v>
      </c>
      <c r="O346" s="103" t="s">
        <v>14</v>
      </c>
      <c r="P346" s="103" t="s">
        <v>12</v>
      </c>
      <c r="Q346" s="99"/>
      <c r="R346" s="104"/>
    </row>
    <row r="347" spans="1:18">
      <c r="A347" s="99"/>
      <c r="B347" s="99"/>
      <c r="C347" s="105"/>
      <c r="D347" s="101"/>
      <c r="E347" s="102"/>
      <c r="F347" s="100"/>
      <c r="G347" s="103" t="s">
        <v>90</v>
      </c>
      <c r="H347" s="103" t="s">
        <v>22</v>
      </c>
      <c r="I347" s="103" t="s">
        <v>823</v>
      </c>
      <c r="J347" s="119" t="s">
        <v>5</v>
      </c>
      <c r="K347" s="131"/>
      <c r="L347" s="103"/>
      <c r="M347" s="103"/>
      <c r="N347" s="103"/>
      <c r="O347" s="103"/>
      <c r="P347" s="103"/>
      <c r="Q347" s="99"/>
      <c r="R347" s="104"/>
    </row>
    <row r="348" spans="1:18">
      <c r="A348" s="106"/>
      <c r="B348" s="106"/>
      <c r="C348" s="107"/>
      <c r="D348" s="108"/>
      <c r="E348" s="109"/>
      <c r="F348" s="110"/>
      <c r="G348" s="111"/>
      <c r="H348" s="112"/>
      <c r="I348" s="139"/>
      <c r="J348" s="132"/>
      <c r="K348" s="132"/>
      <c r="L348" s="113"/>
      <c r="M348" s="108"/>
      <c r="N348" s="111"/>
      <c r="O348" s="111"/>
      <c r="P348" s="111"/>
      <c r="Q348" s="106"/>
      <c r="R348" s="114"/>
    </row>
    <row r="349" spans="1:18" ht="15.75">
      <c r="A349" s="52"/>
      <c r="B349" s="47"/>
      <c r="C349" s="48"/>
      <c r="D349" s="73"/>
      <c r="E349" s="17"/>
      <c r="F349" s="48"/>
      <c r="G349" s="36"/>
      <c r="H349" s="36"/>
      <c r="I349" s="125"/>
      <c r="J349" s="36"/>
      <c r="K349" s="36"/>
      <c r="L349" s="8"/>
      <c r="N349" s="8"/>
      <c r="O349" s="8"/>
      <c r="P349" s="8"/>
      <c r="Q349" s="35"/>
      <c r="R349" s="37"/>
    </row>
    <row r="350" spans="1:18" ht="15.75">
      <c r="A350" s="52">
        <v>1</v>
      </c>
      <c r="B350" s="51" t="s">
        <v>852</v>
      </c>
      <c r="C350" s="48" t="s">
        <v>853</v>
      </c>
      <c r="D350" s="67" t="s">
        <v>854</v>
      </c>
      <c r="E350" s="17">
        <v>43306</v>
      </c>
      <c r="F350" s="20" t="s">
        <v>855</v>
      </c>
      <c r="G350" s="36">
        <v>0</v>
      </c>
      <c r="H350" s="8">
        <v>25368510</v>
      </c>
      <c r="I350" s="8">
        <v>0</v>
      </c>
      <c r="J350" s="8">
        <v>634213</v>
      </c>
      <c r="K350" s="8">
        <v>0</v>
      </c>
      <c r="L350" s="8">
        <v>53685</v>
      </c>
      <c r="M350" s="8">
        <v>200000</v>
      </c>
      <c r="N350" s="8">
        <f t="shared" ref="N350:N355" si="46">SUM(G350:M350)</f>
        <v>26256408</v>
      </c>
      <c r="O350" s="8">
        <f>36256408-N350</f>
        <v>10000000</v>
      </c>
      <c r="P350" s="8">
        <f t="shared" ref="P350" si="47">+N350+O350</f>
        <v>36256408</v>
      </c>
      <c r="Q350" s="77" t="s">
        <v>488</v>
      </c>
      <c r="R350" s="66" t="s">
        <v>52</v>
      </c>
    </row>
    <row r="351" spans="1:18" ht="15.75">
      <c r="A351" s="52">
        <v>2</v>
      </c>
      <c r="B351" s="51" t="s">
        <v>484</v>
      </c>
      <c r="C351" s="48" t="s">
        <v>485</v>
      </c>
      <c r="D351" s="67" t="s">
        <v>851</v>
      </c>
      <c r="E351" s="17">
        <v>43306</v>
      </c>
      <c r="F351" s="20" t="s">
        <v>487</v>
      </c>
      <c r="G351" s="36">
        <v>0</v>
      </c>
      <c r="H351" s="8">
        <v>24425000</v>
      </c>
      <c r="I351" s="8">
        <v>0</v>
      </c>
      <c r="J351" s="8">
        <v>610625</v>
      </c>
      <c r="K351" s="8">
        <v>0</v>
      </c>
      <c r="L351" s="8">
        <v>155750</v>
      </c>
      <c r="M351" s="8">
        <v>200000</v>
      </c>
      <c r="N351" s="8">
        <f t="shared" si="46"/>
        <v>25391375</v>
      </c>
      <c r="O351" s="8">
        <f>40000000-N351</f>
        <v>14608625</v>
      </c>
      <c r="P351" s="8">
        <f t="shared" ref="P351" si="48">+N351+O351</f>
        <v>40000000</v>
      </c>
      <c r="Q351" s="77" t="s">
        <v>488</v>
      </c>
      <c r="R351" s="66" t="s">
        <v>52</v>
      </c>
    </row>
    <row r="352" spans="1:18" ht="15.75">
      <c r="A352" s="52">
        <v>3</v>
      </c>
      <c r="B352" s="116" t="s">
        <v>856</v>
      </c>
      <c r="C352" s="48" t="s">
        <v>857</v>
      </c>
      <c r="D352" s="67" t="s">
        <v>858</v>
      </c>
      <c r="E352" s="17">
        <v>43306</v>
      </c>
      <c r="F352" s="20" t="s">
        <v>859</v>
      </c>
      <c r="G352" s="36">
        <v>1663000</v>
      </c>
      <c r="H352" s="8"/>
      <c r="I352" s="8">
        <v>0</v>
      </c>
      <c r="J352" s="8">
        <v>41575</v>
      </c>
      <c r="K352" s="8">
        <v>0</v>
      </c>
      <c r="L352" s="8">
        <v>200000</v>
      </c>
      <c r="M352" s="8">
        <v>200000</v>
      </c>
      <c r="N352" s="8">
        <f t="shared" si="46"/>
        <v>2104575</v>
      </c>
      <c r="O352" s="8">
        <f>50000000-N352</f>
        <v>47895425</v>
      </c>
      <c r="P352" s="8">
        <f t="shared" ref="P352" si="49">+N352+O352</f>
        <v>50000000</v>
      </c>
      <c r="Q352" s="77" t="s">
        <v>159</v>
      </c>
      <c r="R352" s="66" t="s">
        <v>52</v>
      </c>
    </row>
    <row r="353" spans="1:18" ht="15.75">
      <c r="A353" s="52">
        <v>4</v>
      </c>
      <c r="B353" s="51" t="s">
        <v>860</v>
      </c>
      <c r="C353" s="48" t="s">
        <v>861</v>
      </c>
      <c r="D353" s="67" t="s">
        <v>862</v>
      </c>
      <c r="E353" s="17">
        <v>43306</v>
      </c>
      <c r="F353" s="20" t="s">
        <v>863</v>
      </c>
      <c r="G353" s="36">
        <v>0</v>
      </c>
      <c r="H353" s="8">
        <v>14710000</v>
      </c>
      <c r="I353" s="8">
        <v>0</v>
      </c>
      <c r="J353" s="8">
        <v>367750</v>
      </c>
      <c r="K353" s="8">
        <v>0</v>
      </c>
      <c r="L353" s="8">
        <v>200000</v>
      </c>
      <c r="M353" s="8">
        <v>200000</v>
      </c>
      <c r="N353" s="8">
        <f t="shared" si="46"/>
        <v>15477750</v>
      </c>
      <c r="O353" s="8">
        <f>50000000-N353</f>
        <v>34522250</v>
      </c>
      <c r="P353" s="8">
        <f t="shared" ref="P353" si="50">+N353+O353</f>
        <v>50000000</v>
      </c>
      <c r="Q353" s="77" t="s">
        <v>864</v>
      </c>
      <c r="R353" s="66" t="s">
        <v>52</v>
      </c>
    </row>
    <row r="354" spans="1:18" ht="15.75">
      <c r="A354" s="52">
        <v>5</v>
      </c>
      <c r="B354" s="51" t="s">
        <v>870</v>
      </c>
      <c r="C354" s="48" t="s">
        <v>871</v>
      </c>
      <c r="D354" s="67" t="s">
        <v>872</v>
      </c>
      <c r="E354" s="17">
        <v>43306</v>
      </c>
      <c r="F354" s="20" t="s">
        <v>873</v>
      </c>
      <c r="G354" s="36">
        <v>0</v>
      </c>
      <c r="H354" s="8">
        <v>1300000</v>
      </c>
      <c r="I354" s="8">
        <v>0</v>
      </c>
      <c r="J354" s="8">
        <v>32500</v>
      </c>
      <c r="K354" s="8">
        <v>0</v>
      </c>
      <c r="L354" s="8">
        <v>200000</v>
      </c>
      <c r="M354" s="8">
        <v>200000</v>
      </c>
      <c r="N354" s="8">
        <f t="shared" si="46"/>
        <v>1732500</v>
      </c>
      <c r="O354" s="8">
        <f>50000000-N354</f>
        <v>48267500</v>
      </c>
      <c r="P354" s="8">
        <f t="shared" ref="P354" si="51">+N354+O354</f>
        <v>50000000</v>
      </c>
      <c r="Q354" s="77" t="s">
        <v>874</v>
      </c>
      <c r="R354" s="66" t="s">
        <v>52</v>
      </c>
    </row>
    <row r="355" spans="1:18" ht="15.75">
      <c r="A355" s="52">
        <v>6</v>
      </c>
      <c r="B355" s="51" t="s">
        <v>875</v>
      </c>
      <c r="C355" s="48" t="s">
        <v>876</v>
      </c>
      <c r="D355" s="67" t="s">
        <v>877</v>
      </c>
      <c r="E355" s="17">
        <v>43306</v>
      </c>
      <c r="F355" s="20" t="s">
        <v>878</v>
      </c>
      <c r="G355" s="36">
        <v>0</v>
      </c>
      <c r="H355" s="8">
        <v>46116459</v>
      </c>
      <c r="I355" s="8">
        <v>0</v>
      </c>
      <c r="J355" s="8">
        <v>1152911</v>
      </c>
      <c r="K355" s="8">
        <v>0</v>
      </c>
      <c r="L355" s="8">
        <v>400000</v>
      </c>
      <c r="M355" s="8">
        <v>200000</v>
      </c>
      <c r="N355" s="8">
        <f t="shared" si="46"/>
        <v>47869370</v>
      </c>
      <c r="O355" s="8">
        <f>87869370-N355</f>
        <v>40000000</v>
      </c>
      <c r="P355" s="8">
        <f t="shared" ref="P355" si="52">+N355+O355</f>
        <v>87869370</v>
      </c>
      <c r="Q355" s="77" t="s">
        <v>879</v>
      </c>
      <c r="R355" s="66" t="s">
        <v>52</v>
      </c>
    </row>
    <row r="356" spans="1:18" ht="15.75">
      <c r="A356" s="52"/>
      <c r="B356" s="138"/>
      <c r="C356" s="48"/>
      <c r="E356" s="17"/>
      <c r="F356" s="48"/>
      <c r="G356" s="36"/>
      <c r="H356" s="36"/>
      <c r="I356" s="75"/>
      <c r="J356" s="36"/>
      <c r="K356" s="36"/>
      <c r="L356" s="36"/>
      <c r="N356" s="8"/>
      <c r="O356" s="8"/>
      <c r="P356" s="8"/>
      <c r="Q356" s="59"/>
      <c r="R356" s="66"/>
    </row>
    <row r="357" spans="1:18" ht="16.5" thickBot="1">
      <c r="A357" s="18"/>
      <c r="B357" s="55"/>
      <c r="C357" s="56"/>
      <c r="D357" s="74"/>
      <c r="E357" s="56"/>
      <c r="F357" s="57"/>
      <c r="G357" s="19">
        <f>SUM(G350:G356)</f>
        <v>1663000</v>
      </c>
      <c r="H357" s="19">
        <f t="shared" ref="H357:P357" si="53">SUM(H350:H356)</f>
        <v>111919969</v>
      </c>
      <c r="I357" s="19">
        <f t="shared" si="53"/>
        <v>0</v>
      </c>
      <c r="J357" s="19">
        <f t="shared" si="53"/>
        <v>2839574</v>
      </c>
      <c r="K357" s="19">
        <f t="shared" si="53"/>
        <v>0</v>
      </c>
      <c r="L357" s="19">
        <f t="shared" si="53"/>
        <v>1209435</v>
      </c>
      <c r="M357" s="19">
        <f t="shared" si="53"/>
        <v>1200000</v>
      </c>
      <c r="N357" s="19">
        <f t="shared" si="53"/>
        <v>118831978</v>
      </c>
      <c r="O357" s="19">
        <f t="shared" si="53"/>
        <v>195293800</v>
      </c>
      <c r="P357" s="19">
        <f t="shared" si="53"/>
        <v>314125778</v>
      </c>
      <c r="Q357" s="68"/>
      <c r="R357" s="70"/>
    </row>
    <row r="358" spans="1:18" ht="16.5" hidden="1" thickTop="1">
      <c r="A358" s="23"/>
      <c r="B358" s="22"/>
      <c r="C358" s="22"/>
      <c r="D358" s="23"/>
      <c r="E358" s="22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2"/>
      <c r="Q358" s="69"/>
    </row>
    <row r="359" spans="1:18" ht="15.75" hidden="1">
      <c r="A359" s="23"/>
      <c r="B359" s="28" t="s">
        <v>846</v>
      </c>
      <c r="C359" s="22"/>
      <c r="D359" s="39"/>
      <c r="F359" s="27"/>
      <c r="G359" s="28"/>
      <c r="H359" s="28"/>
      <c r="I359" s="28"/>
      <c r="J359" s="28"/>
      <c r="K359" s="28"/>
      <c r="L359" s="28"/>
      <c r="Q359" s="51"/>
    </row>
    <row r="360" spans="1:18" ht="15.75" hidden="1">
      <c r="A360" s="38"/>
      <c r="B360" s="40" t="s">
        <v>32</v>
      </c>
      <c r="C360" s="28" t="s">
        <v>28</v>
      </c>
      <c r="D360" s="39"/>
      <c r="F360" s="41"/>
      <c r="G360" s="143" t="s">
        <v>26</v>
      </c>
      <c r="H360" s="143"/>
      <c r="I360" s="143"/>
      <c r="K360" s="41"/>
    </row>
    <row r="361" spans="1:18" ht="15.75" hidden="1">
      <c r="A361" s="38"/>
      <c r="B361" s="40"/>
      <c r="C361" s="28"/>
      <c r="D361" s="39"/>
      <c r="F361" s="28"/>
      <c r="G361" s="28"/>
      <c r="H361" s="28"/>
      <c r="I361" s="28"/>
      <c r="J361" s="28"/>
      <c r="K361" s="28"/>
      <c r="L361" s="28"/>
    </row>
    <row r="362" spans="1:18" ht="15.75" hidden="1">
      <c r="A362" s="38"/>
      <c r="B362" s="40"/>
      <c r="C362" s="28"/>
      <c r="D362" s="39"/>
      <c r="F362" s="28"/>
      <c r="G362" s="28"/>
      <c r="H362" s="28"/>
      <c r="I362" s="28"/>
      <c r="J362" s="28"/>
      <c r="K362" s="28"/>
      <c r="L362" s="28"/>
    </row>
    <row r="363" spans="1:18" ht="15.75" hidden="1">
      <c r="A363" s="38"/>
      <c r="B363" s="40"/>
      <c r="C363" s="28"/>
      <c r="D363" s="39"/>
      <c r="F363" s="28"/>
      <c r="G363" s="28"/>
      <c r="H363" s="28"/>
      <c r="I363" s="28"/>
      <c r="J363" s="28"/>
      <c r="K363" s="28"/>
    </row>
    <row r="364" spans="1:18" ht="15.75" hidden="1">
      <c r="A364" s="38"/>
      <c r="B364" s="40"/>
      <c r="C364" s="28"/>
      <c r="D364" s="39"/>
      <c r="F364" s="28"/>
      <c r="G364" s="28"/>
      <c r="H364" s="28"/>
      <c r="I364" s="28"/>
      <c r="J364" s="28"/>
      <c r="K364" s="28"/>
      <c r="L364" s="28"/>
    </row>
    <row r="365" spans="1:18" ht="15.75" hidden="1">
      <c r="A365" s="38" t="s">
        <v>23</v>
      </c>
      <c r="B365" s="42" t="s">
        <v>27</v>
      </c>
      <c r="C365" s="43" t="s">
        <v>24</v>
      </c>
      <c r="D365" s="39"/>
      <c r="F365" s="29"/>
      <c r="G365" s="29" t="s">
        <v>16</v>
      </c>
      <c r="H365" s="29"/>
      <c r="I365" s="29" t="s">
        <v>30</v>
      </c>
    </row>
    <row r="366" spans="1:18" ht="15.75" hidden="1">
      <c r="A366" s="38"/>
      <c r="B366" s="44" t="s">
        <v>31</v>
      </c>
      <c r="C366" s="45" t="s">
        <v>20</v>
      </c>
      <c r="D366" s="39"/>
      <c r="F366" s="46"/>
      <c r="G366" s="46" t="s">
        <v>17</v>
      </c>
      <c r="H366" s="46"/>
      <c r="I366" s="46" t="s">
        <v>25</v>
      </c>
    </row>
    <row r="367" spans="1:18" hidden="1"/>
    <row r="368" spans="1:18" ht="16.5" thickTop="1">
      <c r="A368" s="21" t="s">
        <v>0</v>
      </c>
      <c r="B368" s="22"/>
      <c r="C368" s="23"/>
      <c r="D368" s="23"/>
      <c r="E368" s="23"/>
      <c r="F368" s="24"/>
      <c r="G368" s="24"/>
      <c r="H368" s="24"/>
      <c r="I368" s="24"/>
      <c r="J368" s="24"/>
      <c r="K368" s="24"/>
      <c r="L368" s="25"/>
    </row>
    <row r="369" spans="1:18" ht="15.75">
      <c r="A369" s="26" t="s">
        <v>845</v>
      </c>
      <c r="B369" s="21"/>
      <c r="C369" s="21"/>
      <c r="D369" s="21"/>
      <c r="E369" s="21"/>
      <c r="F369" s="24"/>
      <c r="G369" s="24"/>
      <c r="H369" s="24"/>
      <c r="I369" s="24"/>
      <c r="J369" s="24"/>
      <c r="K369" s="24"/>
      <c r="L369" s="25"/>
    </row>
    <row r="370" spans="1:18">
      <c r="A370" s="62"/>
      <c r="B370" s="62" t="s">
        <v>1</v>
      </c>
      <c r="C370" s="93" t="s">
        <v>2</v>
      </c>
      <c r="D370" s="117" t="s">
        <v>34</v>
      </c>
      <c r="E370" s="95" t="s">
        <v>3</v>
      </c>
      <c r="F370" s="93" t="s">
        <v>4</v>
      </c>
      <c r="G370" s="96" t="s">
        <v>18</v>
      </c>
      <c r="H370" s="96" t="s">
        <v>18</v>
      </c>
      <c r="I370" s="96" t="s">
        <v>18</v>
      </c>
      <c r="J370" s="97" t="s">
        <v>7</v>
      </c>
      <c r="K370" s="130" t="s">
        <v>6</v>
      </c>
      <c r="L370" s="96" t="s">
        <v>29</v>
      </c>
      <c r="M370" s="96" t="s">
        <v>21</v>
      </c>
      <c r="N370" s="96" t="s">
        <v>8</v>
      </c>
      <c r="O370" s="96" t="s">
        <v>8</v>
      </c>
      <c r="P370" s="96" t="s">
        <v>9</v>
      </c>
      <c r="Q370" s="62" t="s">
        <v>10</v>
      </c>
      <c r="R370" s="98" t="s">
        <v>33</v>
      </c>
    </row>
    <row r="371" spans="1:18">
      <c r="A371" s="99"/>
      <c r="B371" s="99"/>
      <c r="C371" s="100"/>
      <c r="D371" s="101"/>
      <c r="E371" s="102"/>
      <c r="F371" s="100"/>
      <c r="G371" s="103" t="s">
        <v>12</v>
      </c>
      <c r="H371" s="103" t="s">
        <v>12</v>
      </c>
      <c r="I371" s="103" t="s">
        <v>822</v>
      </c>
      <c r="J371" s="119" t="s">
        <v>19</v>
      </c>
      <c r="K371" s="131" t="s">
        <v>35</v>
      </c>
      <c r="L371" s="103" t="s">
        <v>22</v>
      </c>
      <c r="M371" s="103" t="s">
        <v>15</v>
      </c>
      <c r="N371" s="103" t="s">
        <v>13</v>
      </c>
      <c r="O371" s="103" t="s">
        <v>14</v>
      </c>
      <c r="P371" s="103" t="s">
        <v>12</v>
      </c>
      <c r="Q371" s="99"/>
      <c r="R371" s="104"/>
    </row>
    <row r="372" spans="1:18">
      <c r="A372" s="99"/>
      <c r="B372" s="99"/>
      <c r="C372" s="105"/>
      <c r="D372" s="101"/>
      <c r="E372" s="102"/>
      <c r="F372" s="100"/>
      <c r="G372" s="103" t="s">
        <v>90</v>
      </c>
      <c r="H372" s="103" t="s">
        <v>22</v>
      </c>
      <c r="I372" s="103" t="s">
        <v>823</v>
      </c>
      <c r="J372" s="119" t="s">
        <v>5</v>
      </c>
      <c r="K372" s="131"/>
      <c r="L372" s="103"/>
      <c r="M372" s="103"/>
      <c r="N372" s="103"/>
      <c r="O372" s="103"/>
      <c r="P372" s="103"/>
      <c r="Q372" s="99"/>
      <c r="R372" s="104"/>
    </row>
    <row r="373" spans="1:18">
      <c r="A373" s="106"/>
      <c r="B373" s="106"/>
      <c r="C373" s="107"/>
      <c r="D373" s="108"/>
      <c r="E373" s="109"/>
      <c r="F373" s="110"/>
      <c r="G373" s="111"/>
      <c r="H373" s="112"/>
      <c r="I373" s="139"/>
      <c r="J373" s="132"/>
      <c r="K373" s="132"/>
      <c r="L373" s="113"/>
      <c r="M373" s="108"/>
      <c r="N373" s="111"/>
      <c r="O373" s="111"/>
      <c r="P373" s="111"/>
      <c r="Q373" s="106"/>
      <c r="R373" s="114"/>
    </row>
    <row r="374" spans="1:18" ht="15.75">
      <c r="A374" s="52"/>
      <c r="B374" s="47"/>
      <c r="C374" s="48"/>
      <c r="D374" s="73"/>
      <c r="E374" s="17"/>
      <c r="F374" s="48"/>
      <c r="G374" s="36"/>
      <c r="H374" s="36"/>
      <c r="I374" s="125"/>
      <c r="J374" s="36"/>
      <c r="K374" s="36"/>
      <c r="L374" s="8"/>
      <c r="N374" s="8"/>
      <c r="O374" s="8"/>
      <c r="P374" s="8"/>
      <c r="Q374" s="35"/>
      <c r="R374" s="37"/>
    </row>
    <row r="375" spans="1:18" ht="15.75">
      <c r="A375" s="52">
        <v>1</v>
      </c>
      <c r="B375" s="51" t="s">
        <v>534</v>
      </c>
      <c r="C375" s="48" t="s">
        <v>535</v>
      </c>
      <c r="D375" s="67" t="s">
        <v>880</v>
      </c>
      <c r="E375" s="17">
        <v>43306</v>
      </c>
      <c r="F375" s="20" t="s">
        <v>881</v>
      </c>
      <c r="G375" s="36">
        <v>0</v>
      </c>
      <c r="H375" s="8">
        <v>323710208</v>
      </c>
      <c r="I375" s="8">
        <v>0</v>
      </c>
      <c r="J375" s="8">
        <v>8092755</v>
      </c>
      <c r="K375" s="8">
        <v>0</v>
      </c>
      <c r="L375" s="8">
        <v>1762898</v>
      </c>
      <c r="M375" s="8">
        <v>200000</v>
      </c>
      <c r="N375" s="8">
        <f>SUM(G375:M375)</f>
        <v>333765861</v>
      </c>
      <c r="O375" s="8">
        <f>500000000-N375</f>
        <v>166234139</v>
      </c>
      <c r="P375" s="8">
        <f t="shared" ref="P375" si="54">+N375+O375</f>
        <v>500000000</v>
      </c>
      <c r="Q375" s="77" t="s">
        <v>545</v>
      </c>
      <c r="R375" s="66" t="s">
        <v>52</v>
      </c>
    </row>
    <row r="376" spans="1:18" ht="15.75">
      <c r="A376" s="52"/>
      <c r="B376" s="138"/>
      <c r="C376" s="48"/>
      <c r="E376" s="17"/>
      <c r="F376" s="48"/>
      <c r="G376" s="36"/>
      <c r="H376" s="36"/>
      <c r="I376" s="75"/>
      <c r="J376" s="36"/>
      <c r="K376" s="36"/>
      <c r="L376" s="36"/>
      <c r="N376" s="8"/>
      <c r="O376" s="8"/>
      <c r="P376" s="8"/>
      <c r="Q376" s="59"/>
      <c r="R376" s="66"/>
    </row>
    <row r="377" spans="1:18" ht="16.5" thickBot="1">
      <c r="A377" s="18"/>
      <c r="B377" s="55"/>
      <c r="C377" s="56"/>
      <c r="D377" s="74"/>
      <c r="E377" s="56"/>
      <c r="F377" s="57"/>
      <c r="G377" s="19">
        <f t="shared" ref="G377:P377" si="55">SUM(G375:G376)</f>
        <v>0</v>
      </c>
      <c r="H377" s="19">
        <f t="shared" si="55"/>
        <v>323710208</v>
      </c>
      <c r="I377" s="19">
        <f t="shared" si="55"/>
        <v>0</v>
      </c>
      <c r="J377" s="19">
        <f t="shared" si="55"/>
        <v>8092755</v>
      </c>
      <c r="K377" s="19">
        <f t="shared" si="55"/>
        <v>0</v>
      </c>
      <c r="L377" s="19">
        <f t="shared" si="55"/>
        <v>1762898</v>
      </c>
      <c r="M377" s="19">
        <f t="shared" si="55"/>
        <v>200000</v>
      </c>
      <c r="N377" s="19">
        <f t="shared" si="55"/>
        <v>333765861</v>
      </c>
      <c r="O377" s="19">
        <f t="shared" si="55"/>
        <v>166234139</v>
      </c>
      <c r="P377" s="19">
        <f t="shared" si="55"/>
        <v>500000000</v>
      </c>
      <c r="Q377" s="68"/>
      <c r="R377" s="70"/>
    </row>
    <row r="378" spans="1:18" ht="16.5" hidden="1" thickTop="1">
      <c r="A378" s="23"/>
      <c r="B378" s="22"/>
      <c r="C378" s="22"/>
      <c r="D378" s="23"/>
      <c r="E378" s="22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2"/>
      <c r="Q378" s="69"/>
    </row>
    <row r="379" spans="1:18" ht="15.75" hidden="1">
      <c r="A379" s="23"/>
      <c r="B379" s="28" t="s">
        <v>846</v>
      </c>
      <c r="C379" s="22"/>
      <c r="D379" s="39"/>
      <c r="F379" s="27"/>
      <c r="G379" s="28"/>
      <c r="H379" s="28"/>
      <c r="I379" s="28"/>
      <c r="J379" s="28"/>
      <c r="K379" s="28"/>
      <c r="L379" s="28"/>
      <c r="Q379" s="51"/>
    </row>
    <row r="380" spans="1:18" ht="15.75" hidden="1">
      <c r="A380" s="38"/>
      <c r="B380" s="40" t="s">
        <v>32</v>
      </c>
      <c r="C380" s="28" t="s">
        <v>28</v>
      </c>
      <c r="D380" s="39"/>
      <c r="F380" s="41"/>
      <c r="G380" s="143" t="s">
        <v>26</v>
      </c>
      <c r="H380" s="143"/>
      <c r="I380" s="143"/>
      <c r="K380" s="41"/>
    </row>
    <row r="381" spans="1:18" ht="15.75" hidden="1">
      <c r="A381" s="38"/>
      <c r="B381" s="40"/>
      <c r="C381" s="28"/>
      <c r="D381" s="39"/>
      <c r="F381" s="28"/>
      <c r="G381" s="28"/>
      <c r="H381" s="28"/>
      <c r="I381" s="28"/>
      <c r="J381" s="28"/>
      <c r="K381" s="28"/>
      <c r="L381" s="28"/>
    </row>
    <row r="382" spans="1:18" ht="15.75" hidden="1">
      <c r="A382" s="38"/>
      <c r="B382" s="40"/>
      <c r="C382" s="28"/>
      <c r="D382" s="39"/>
      <c r="F382" s="28"/>
      <c r="G382" s="28"/>
      <c r="H382" s="28"/>
      <c r="I382" s="28"/>
      <c r="J382" s="28"/>
      <c r="K382" s="28"/>
      <c r="L382" s="28"/>
    </row>
    <row r="383" spans="1:18" ht="15.75" hidden="1">
      <c r="A383" s="38"/>
      <c r="B383" s="40"/>
      <c r="C383" s="28"/>
      <c r="D383" s="39"/>
      <c r="F383" s="28"/>
      <c r="G383" s="28"/>
      <c r="H383" s="28"/>
      <c r="I383" s="28"/>
      <c r="J383" s="28"/>
      <c r="K383" s="28"/>
    </row>
    <row r="384" spans="1:18" ht="15.75" hidden="1">
      <c r="A384" s="38"/>
      <c r="B384" s="40"/>
      <c r="C384" s="28"/>
      <c r="D384" s="39"/>
      <c r="F384" s="28"/>
      <c r="G384" s="28"/>
      <c r="H384" s="28"/>
      <c r="I384" s="28"/>
      <c r="J384" s="28"/>
      <c r="K384" s="28"/>
      <c r="L384" s="28"/>
    </row>
    <row r="385" spans="1:18" ht="15.75" hidden="1">
      <c r="A385" s="38" t="s">
        <v>23</v>
      </c>
      <c r="B385" s="42" t="s">
        <v>27</v>
      </c>
      <c r="C385" s="43" t="s">
        <v>24</v>
      </c>
      <c r="D385" s="39"/>
      <c r="F385" s="29"/>
      <c r="G385" s="29" t="s">
        <v>16</v>
      </c>
      <c r="H385" s="29"/>
      <c r="I385" s="29" t="s">
        <v>30</v>
      </c>
    </row>
    <row r="386" spans="1:18" ht="15.75" hidden="1">
      <c r="A386" s="38"/>
      <c r="B386" s="44" t="s">
        <v>31</v>
      </c>
      <c r="C386" s="45" t="s">
        <v>20</v>
      </c>
      <c r="D386" s="39"/>
      <c r="F386" s="46"/>
      <c r="G386" s="46" t="s">
        <v>17</v>
      </c>
      <c r="H386" s="46"/>
      <c r="I386" s="46" t="s">
        <v>25</v>
      </c>
    </row>
    <row r="387" spans="1:18" hidden="1"/>
    <row r="388" spans="1:18" ht="16.5" thickTop="1">
      <c r="A388" s="21" t="s">
        <v>0</v>
      </c>
      <c r="B388" s="22"/>
      <c r="C388" s="23"/>
      <c r="D388" s="23"/>
      <c r="E388" s="23"/>
      <c r="F388" s="24"/>
      <c r="G388" s="24"/>
      <c r="H388" s="24"/>
      <c r="I388" s="24"/>
      <c r="J388" s="24"/>
      <c r="K388" s="24"/>
      <c r="L388" s="25"/>
    </row>
    <row r="389" spans="1:18" ht="15.75">
      <c r="A389" s="26" t="s">
        <v>882</v>
      </c>
      <c r="B389" s="21"/>
      <c r="C389" s="21"/>
      <c r="D389" s="21"/>
      <c r="E389" s="21"/>
      <c r="F389" s="24"/>
      <c r="G389" s="24"/>
      <c r="H389" s="24"/>
      <c r="I389" s="24"/>
      <c r="J389" s="24"/>
      <c r="K389" s="24"/>
      <c r="L389" s="25"/>
    </row>
    <row r="390" spans="1:18">
      <c r="A390" s="62"/>
      <c r="B390" s="62" t="s">
        <v>1</v>
      </c>
      <c r="C390" s="93" t="s">
        <v>2</v>
      </c>
      <c r="D390" s="117" t="s">
        <v>34</v>
      </c>
      <c r="E390" s="95" t="s">
        <v>3</v>
      </c>
      <c r="F390" s="93" t="s">
        <v>4</v>
      </c>
      <c r="G390" s="96" t="s">
        <v>18</v>
      </c>
      <c r="H390" s="96" t="s">
        <v>18</v>
      </c>
      <c r="I390" s="96" t="s">
        <v>18</v>
      </c>
      <c r="J390" s="97" t="s">
        <v>7</v>
      </c>
      <c r="K390" s="130" t="s">
        <v>6</v>
      </c>
      <c r="L390" s="96" t="s">
        <v>29</v>
      </c>
      <c r="M390" s="96" t="s">
        <v>21</v>
      </c>
      <c r="N390" s="96" t="s">
        <v>8</v>
      </c>
      <c r="O390" s="96" t="s">
        <v>8</v>
      </c>
      <c r="P390" s="96" t="s">
        <v>9</v>
      </c>
      <c r="Q390" s="62" t="s">
        <v>10</v>
      </c>
      <c r="R390" s="98" t="s">
        <v>33</v>
      </c>
    </row>
    <row r="391" spans="1:18">
      <c r="A391" s="99"/>
      <c r="B391" s="99"/>
      <c r="C391" s="100"/>
      <c r="D391" s="101"/>
      <c r="E391" s="102"/>
      <c r="F391" s="100"/>
      <c r="G391" s="103" t="s">
        <v>12</v>
      </c>
      <c r="H391" s="103" t="s">
        <v>12</v>
      </c>
      <c r="I391" s="103" t="s">
        <v>12</v>
      </c>
      <c r="J391" s="119" t="s">
        <v>19</v>
      </c>
      <c r="K391" s="131" t="s">
        <v>35</v>
      </c>
      <c r="L391" s="103" t="s">
        <v>22</v>
      </c>
      <c r="M391" s="103" t="s">
        <v>15</v>
      </c>
      <c r="N391" s="103" t="s">
        <v>13</v>
      </c>
      <c r="O391" s="103" t="s">
        <v>14</v>
      </c>
      <c r="P391" s="103" t="s">
        <v>12</v>
      </c>
      <c r="Q391" s="99"/>
      <c r="R391" s="104"/>
    </row>
    <row r="392" spans="1:18">
      <c r="A392" s="99"/>
      <c r="B392" s="99"/>
      <c r="C392" s="105"/>
      <c r="D392" s="101"/>
      <c r="E392" s="102"/>
      <c r="F392" s="100"/>
      <c r="G392" s="103" t="s">
        <v>81</v>
      </c>
      <c r="H392" s="103" t="s">
        <v>22</v>
      </c>
      <c r="I392" s="140" t="s">
        <v>887</v>
      </c>
      <c r="J392" s="119" t="s">
        <v>5</v>
      </c>
      <c r="K392" s="131"/>
      <c r="L392" s="103"/>
      <c r="M392" s="103"/>
      <c r="N392" s="103"/>
      <c r="O392" s="103"/>
      <c r="P392" s="103"/>
      <c r="Q392" s="99"/>
      <c r="R392" s="104"/>
    </row>
    <row r="393" spans="1:18">
      <c r="A393" s="106"/>
      <c r="B393" s="106"/>
      <c r="C393" s="107"/>
      <c r="D393" s="108"/>
      <c r="E393" s="109"/>
      <c r="F393" s="110"/>
      <c r="G393" s="111"/>
      <c r="H393" s="112"/>
      <c r="I393" s="141" t="s">
        <v>888</v>
      </c>
      <c r="J393" s="132"/>
      <c r="K393" s="132"/>
      <c r="L393" s="113"/>
      <c r="M393" s="108"/>
      <c r="N393" s="111"/>
      <c r="O393" s="111"/>
      <c r="P393" s="111"/>
      <c r="Q393" s="106"/>
      <c r="R393" s="114"/>
    </row>
    <row r="394" spans="1:18" ht="15.75">
      <c r="A394" s="52"/>
      <c r="B394" s="47"/>
      <c r="C394" s="48"/>
      <c r="D394" s="73"/>
      <c r="E394" s="17"/>
      <c r="F394" s="48"/>
      <c r="G394" s="36"/>
      <c r="H394" s="36"/>
      <c r="I394" s="125"/>
      <c r="J394" s="36"/>
      <c r="K394" s="36"/>
      <c r="L394" s="8"/>
      <c r="N394" s="8"/>
      <c r="O394" s="8"/>
      <c r="P394" s="8"/>
      <c r="Q394" s="35"/>
      <c r="R394" s="37"/>
    </row>
    <row r="395" spans="1:18" ht="15.75">
      <c r="A395" s="52">
        <v>1</v>
      </c>
      <c r="B395" s="51" t="s">
        <v>903</v>
      </c>
      <c r="C395" s="48" t="s">
        <v>904</v>
      </c>
      <c r="D395" s="67" t="s">
        <v>905</v>
      </c>
      <c r="E395" s="17">
        <v>43307</v>
      </c>
      <c r="F395" s="20" t="s">
        <v>906</v>
      </c>
      <c r="G395" s="36">
        <v>0</v>
      </c>
      <c r="H395" s="8">
        <v>72800000</v>
      </c>
      <c r="I395" s="8">
        <v>0</v>
      </c>
      <c r="J395" s="8">
        <v>1820000</v>
      </c>
      <c r="K395" s="8">
        <v>0</v>
      </c>
      <c r="L395" s="8">
        <v>772000</v>
      </c>
      <c r="M395" s="8">
        <v>200000</v>
      </c>
      <c r="N395" s="8">
        <f>SUM(G395:M395)</f>
        <v>75592000</v>
      </c>
      <c r="O395" s="8">
        <f>150000000-N395</f>
        <v>74408000</v>
      </c>
      <c r="P395" s="8">
        <f t="shared" ref="P395" si="56">+N395+O395</f>
        <v>150000000</v>
      </c>
      <c r="Q395" s="77" t="s">
        <v>584</v>
      </c>
      <c r="R395" s="66" t="s">
        <v>52</v>
      </c>
    </row>
    <row r="396" spans="1:18" ht="15.75">
      <c r="A396" s="52">
        <v>2</v>
      </c>
      <c r="B396" s="51" t="s">
        <v>454</v>
      </c>
      <c r="C396" s="48" t="s">
        <v>455</v>
      </c>
      <c r="D396" s="67" t="s">
        <v>916</v>
      </c>
      <c r="E396" s="17">
        <v>43307</v>
      </c>
      <c r="F396" s="20" t="s">
        <v>917</v>
      </c>
      <c r="G396" s="36">
        <v>0</v>
      </c>
      <c r="H396" s="8">
        <v>196848584</v>
      </c>
      <c r="I396" s="8">
        <v>0</v>
      </c>
      <c r="J396" s="8">
        <v>4921215</v>
      </c>
      <c r="K396" s="8">
        <v>0</v>
      </c>
      <c r="L396" s="8">
        <v>570000</v>
      </c>
      <c r="M396" s="8">
        <v>200000</v>
      </c>
      <c r="N396" s="8">
        <f>SUM(G396:M396)</f>
        <v>202539799</v>
      </c>
      <c r="O396" s="8">
        <f>259539799-N396</f>
        <v>57000000</v>
      </c>
      <c r="P396" s="8">
        <f t="shared" ref="P396" si="57">+N396+O396</f>
        <v>259539799</v>
      </c>
      <c r="Q396" s="77" t="s">
        <v>385</v>
      </c>
      <c r="R396" s="66" t="s">
        <v>52</v>
      </c>
    </row>
    <row r="397" spans="1:18" ht="16.5" customHeight="1">
      <c r="A397" s="52">
        <v>3</v>
      </c>
      <c r="B397" s="51" t="s">
        <v>918</v>
      </c>
      <c r="C397" s="48" t="s">
        <v>919</v>
      </c>
      <c r="D397" s="67" t="s">
        <v>920</v>
      </c>
      <c r="E397" s="17">
        <v>43307</v>
      </c>
      <c r="F397" s="20" t="s">
        <v>921</v>
      </c>
      <c r="G397" s="36">
        <v>0</v>
      </c>
      <c r="H397" s="8">
        <v>64474500</v>
      </c>
      <c r="I397" s="8">
        <v>0</v>
      </c>
      <c r="J397" s="8">
        <v>1611863</v>
      </c>
      <c r="K397" s="8">
        <v>0</v>
      </c>
      <c r="L397" s="8">
        <v>2000000</v>
      </c>
      <c r="M397" s="8">
        <v>200000</v>
      </c>
      <c r="N397" s="8">
        <f>SUM(G397:M397)</f>
        <v>68286363</v>
      </c>
      <c r="O397" s="8">
        <f>268286363-N397</f>
        <v>200000000</v>
      </c>
      <c r="P397" s="8">
        <f t="shared" ref="P397" si="58">+N397+O397</f>
        <v>268286363</v>
      </c>
      <c r="Q397" s="77" t="s">
        <v>922</v>
      </c>
      <c r="R397" s="66" t="s">
        <v>52</v>
      </c>
    </row>
    <row r="398" spans="1:18" ht="15.75">
      <c r="A398" s="52"/>
      <c r="B398" s="138"/>
      <c r="C398" s="48"/>
      <c r="E398" s="17"/>
      <c r="F398" s="48"/>
      <c r="G398" s="36"/>
      <c r="H398" s="36"/>
      <c r="I398" s="75"/>
      <c r="J398" s="36"/>
      <c r="K398" s="36"/>
      <c r="L398" s="36"/>
      <c r="N398" s="8"/>
      <c r="O398" s="8"/>
      <c r="P398" s="8"/>
      <c r="Q398" s="59"/>
      <c r="R398" s="66"/>
    </row>
    <row r="399" spans="1:18" ht="16.5" thickBot="1">
      <c r="A399" s="18"/>
      <c r="B399" s="55"/>
      <c r="C399" s="56"/>
      <c r="D399" s="74"/>
      <c r="E399" s="56"/>
      <c r="F399" s="57"/>
      <c r="G399" s="19">
        <f>SUM(G395:G398)</f>
        <v>0</v>
      </c>
      <c r="H399" s="19">
        <f>SUM(H395:H398)</f>
        <v>334123084</v>
      </c>
      <c r="I399" s="19">
        <f t="shared" ref="I399:P399" si="59">SUM(I395:I398)</f>
        <v>0</v>
      </c>
      <c r="J399" s="19">
        <f t="shared" si="59"/>
        <v>8353078</v>
      </c>
      <c r="K399" s="19">
        <f t="shared" si="59"/>
        <v>0</v>
      </c>
      <c r="L399" s="19">
        <f t="shared" si="59"/>
        <v>3342000</v>
      </c>
      <c r="M399" s="19">
        <f t="shared" si="59"/>
        <v>600000</v>
      </c>
      <c r="N399" s="19">
        <f t="shared" si="59"/>
        <v>346418162</v>
      </c>
      <c r="O399" s="19">
        <f t="shared" si="59"/>
        <v>331408000</v>
      </c>
      <c r="P399" s="19">
        <f t="shared" si="59"/>
        <v>677826162</v>
      </c>
      <c r="Q399" s="68"/>
      <c r="R399" s="70"/>
    </row>
    <row r="400" spans="1:18" ht="16.5" hidden="1" thickTop="1">
      <c r="A400" s="23"/>
      <c r="B400" s="22"/>
      <c r="C400" s="22"/>
      <c r="D400" s="23"/>
      <c r="E400" s="22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2"/>
      <c r="Q400" s="69"/>
    </row>
    <row r="401" spans="1:18" ht="15.75" hidden="1">
      <c r="A401" s="23"/>
      <c r="B401" s="28" t="s">
        <v>897</v>
      </c>
      <c r="C401" s="22"/>
      <c r="D401" s="39"/>
      <c r="F401" s="27"/>
      <c r="G401" s="28"/>
      <c r="H401" s="28"/>
      <c r="I401" s="28"/>
      <c r="J401" s="28"/>
      <c r="K401" s="28"/>
      <c r="L401" s="28"/>
      <c r="Q401" s="51"/>
    </row>
    <row r="402" spans="1:18" ht="15.75" hidden="1">
      <c r="A402" s="38"/>
      <c r="B402" s="40" t="s">
        <v>32</v>
      </c>
      <c r="C402" s="28" t="s">
        <v>28</v>
      </c>
      <c r="D402" s="39"/>
      <c r="F402" s="41"/>
      <c r="G402" s="143" t="s">
        <v>26</v>
      </c>
      <c r="H402" s="143"/>
      <c r="I402" s="143"/>
      <c r="K402" s="41"/>
    </row>
    <row r="403" spans="1:18" ht="15.75" hidden="1">
      <c r="A403" s="38"/>
      <c r="B403" s="40"/>
      <c r="C403" s="28"/>
      <c r="D403" s="39"/>
      <c r="F403" s="28"/>
      <c r="G403" s="28"/>
      <c r="H403" s="28"/>
      <c r="I403" s="28"/>
      <c r="J403" s="28"/>
      <c r="K403" s="28"/>
      <c r="L403" s="28"/>
    </row>
    <row r="404" spans="1:18" ht="15.75" hidden="1">
      <c r="A404" s="38"/>
      <c r="B404" s="40"/>
      <c r="C404" s="28"/>
      <c r="D404" s="39"/>
      <c r="F404" s="28"/>
      <c r="G404" s="28"/>
      <c r="H404" s="28"/>
      <c r="I404" s="28"/>
      <c r="J404" s="28"/>
      <c r="K404" s="28"/>
      <c r="L404" s="28"/>
    </row>
    <row r="405" spans="1:18" ht="15.75" hidden="1">
      <c r="A405" s="38"/>
      <c r="B405" s="40"/>
      <c r="C405" s="28"/>
      <c r="D405" s="39"/>
      <c r="F405" s="28"/>
      <c r="G405" s="28"/>
      <c r="H405" s="28"/>
      <c r="I405" s="28"/>
      <c r="J405" s="28"/>
      <c r="K405" s="28"/>
    </row>
    <row r="406" spans="1:18" ht="15.75" hidden="1">
      <c r="A406" s="38"/>
      <c r="B406" s="40"/>
      <c r="C406" s="28"/>
      <c r="D406" s="39"/>
      <c r="F406" s="28"/>
      <c r="G406" s="28"/>
      <c r="H406" s="28"/>
      <c r="I406" s="28"/>
      <c r="J406" s="28"/>
      <c r="K406" s="28"/>
      <c r="L406" s="28"/>
    </row>
    <row r="407" spans="1:18" ht="15.75" hidden="1">
      <c r="A407" s="38" t="s">
        <v>23</v>
      </c>
      <c r="B407" s="42" t="s">
        <v>27</v>
      </c>
      <c r="C407" s="43" t="s">
        <v>24</v>
      </c>
      <c r="D407" s="39"/>
      <c r="F407" s="29"/>
      <c r="G407" s="29" t="s">
        <v>16</v>
      </c>
      <c r="H407" s="29"/>
      <c r="I407" s="29" t="s">
        <v>30</v>
      </c>
    </row>
    <row r="408" spans="1:18" ht="15.75" hidden="1">
      <c r="A408" s="38"/>
      <c r="B408" s="44" t="s">
        <v>31</v>
      </c>
      <c r="C408" s="45" t="s">
        <v>20</v>
      </c>
      <c r="D408" s="39"/>
      <c r="F408" s="46"/>
      <c r="G408" s="46" t="s">
        <v>17</v>
      </c>
      <c r="H408" s="46"/>
      <c r="I408" s="46" t="s">
        <v>25</v>
      </c>
    </row>
    <row r="409" spans="1:18" hidden="1"/>
    <row r="410" spans="1:18" ht="16.5" thickTop="1">
      <c r="A410" s="21" t="s">
        <v>0</v>
      </c>
      <c r="B410" s="22"/>
      <c r="C410" s="23"/>
      <c r="D410" s="23"/>
      <c r="E410" s="23"/>
      <c r="F410" s="24"/>
      <c r="G410" s="24"/>
      <c r="H410" s="24"/>
      <c r="I410" s="24"/>
      <c r="J410" s="24"/>
      <c r="K410" s="24"/>
      <c r="L410" s="25"/>
    </row>
    <row r="411" spans="1:18" ht="15.75">
      <c r="A411" s="26" t="s">
        <v>882</v>
      </c>
      <c r="B411" s="21"/>
      <c r="C411" s="21"/>
      <c r="D411" s="21"/>
      <c r="E411" s="21"/>
      <c r="F411" s="24"/>
      <c r="G411" s="24"/>
      <c r="H411" s="24"/>
      <c r="I411" s="24"/>
      <c r="J411" s="24"/>
      <c r="K411" s="24"/>
      <c r="L411" s="25"/>
    </row>
    <row r="412" spans="1:18">
      <c r="A412" s="62"/>
      <c r="B412" s="62" t="s">
        <v>1</v>
      </c>
      <c r="C412" s="93" t="s">
        <v>2</v>
      </c>
      <c r="D412" s="117" t="s">
        <v>34</v>
      </c>
      <c r="E412" s="95" t="s">
        <v>3</v>
      </c>
      <c r="F412" s="93" t="s">
        <v>4</v>
      </c>
      <c r="G412" s="96" t="s">
        <v>18</v>
      </c>
      <c r="H412" s="96" t="s">
        <v>18</v>
      </c>
      <c r="I412" s="96" t="s">
        <v>18</v>
      </c>
      <c r="J412" s="97" t="s">
        <v>7</v>
      </c>
      <c r="K412" s="130" t="s">
        <v>6</v>
      </c>
      <c r="L412" s="96" t="s">
        <v>29</v>
      </c>
      <c r="M412" s="96" t="s">
        <v>21</v>
      </c>
      <c r="N412" s="96" t="s">
        <v>8</v>
      </c>
      <c r="O412" s="96" t="s">
        <v>8</v>
      </c>
      <c r="P412" s="96" t="s">
        <v>9</v>
      </c>
      <c r="Q412" s="62" t="s">
        <v>10</v>
      </c>
      <c r="R412" s="98" t="s">
        <v>33</v>
      </c>
    </row>
    <row r="413" spans="1:18">
      <c r="A413" s="99"/>
      <c r="B413" s="99"/>
      <c r="C413" s="100"/>
      <c r="D413" s="101"/>
      <c r="E413" s="102"/>
      <c r="F413" s="100"/>
      <c r="G413" s="103" t="s">
        <v>12</v>
      </c>
      <c r="H413" s="103" t="s">
        <v>12</v>
      </c>
      <c r="I413" s="103" t="s">
        <v>12</v>
      </c>
      <c r="J413" s="119" t="s">
        <v>19</v>
      </c>
      <c r="K413" s="131" t="s">
        <v>35</v>
      </c>
      <c r="L413" s="103" t="s">
        <v>22</v>
      </c>
      <c r="M413" s="103" t="s">
        <v>15</v>
      </c>
      <c r="N413" s="103" t="s">
        <v>13</v>
      </c>
      <c r="O413" s="103" t="s">
        <v>14</v>
      </c>
      <c r="P413" s="103" t="s">
        <v>12</v>
      </c>
      <c r="Q413" s="99"/>
      <c r="R413" s="104"/>
    </row>
    <row r="414" spans="1:18">
      <c r="A414" s="99"/>
      <c r="B414" s="99"/>
      <c r="C414" s="105"/>
      <c r="D414" s="101"/>
      <c r="E414" s="102"/>
      <c r="F414" s="100"/>
      <c r="G414" s="103" t="s">
        <v>81</v>
      </c>
      <c r="H414" s="103" t="s">
        <v>90</v>
      </c>
      <c r="I414" s="140" t="s">
        <v>887</v>
      </c>
      <c r="J414" s="119" t="s">
        <v>5</v>
      </c>
      <c r="K414" s="131"/>
      <c r="L414" s="103"/>
      <c r="M414" s="103"/>
      <c r="N414" s="103"/>
      <c r="O414" s="103"/>
      <c r="P414" s="103"/>
      <c r="Q414" s="99"/>
      <c r="R414" s="104"/>
    </row>
    <row r="415" spans="1:18">
      <c r="A415" s="106"/>
      <c r="B415" s="106"/>
      <c r="C415" s="107"/>
      <c r="D415" s="108"/>
      <c r="E415" s="109"/>
      <c r="F415" s="110"/>
      <c r="G415" s="111"/>
      <c r="H415" s="112"/>
      <c r="I415" s="141" t="s">
        <v>888</v>
      </c>
      <c r="J415" s="132"/>
      <c r="K415" s="132"/>
      <c r="L415" s="113"/>
      <c r="M415" s="108"/>
      <c r="N415" s="111"/>
      <c r="O415" s="111"/>
      <c r="P415" s="111"/>
      <c r="Q415" s="106"/>
      <c r="R415" s="114"/>
    </row>
    <row r="416" spans="1:18" ht="15.75">
      <c r="A416" s="52"/>
      <c r="B416" s="47"/>
      <c r="C416" s="48"/>
      <c r="D416" s="73"/>
      <c r="E416" s="17"/>
      <c r="F416" s="48"/>
      <c r="G416" s="36"/>
      <c r="H416" s="36"/>
      <c r="I416" s="125"/>
      <c r="J416" s="36"/>
      <c r="K416" s="36"/>
      <c r="L416" s="8"/>
      <c r="N416" s="8"/>
      <c r="O416" s="8"/>
      <c r="P416" s="8"/>
      <c r="Q416" s="35"/>
      <c r="R416" s="37"/>
    </row>
    <row r="417" spans="1:18" ht="15.75">
      <c r="A417" s="52">
        <v>1</v>
      </c>
      <c r="B417" s="51" t="s">
        <v>898</v>
      </c>
      <c r="C417" s="48" t="s">
        <v>899</v>
      </c>
      <c r="D417" s="67" t="s">
        <v>900</v>
      </c>
      <c r="E417" s="17">
        <v>43307</v>
      </c>
      <c r="F417" s="20" t="s">
        <v>901</v>
      </c>
      <c r="G417" s="36">
        <v>0</v>
      </c>
      <c r="H417" s="8">
        <v>15822000</v>
      </c>
      <c r="I417" s="8">
        <v>0</v>
      </c>
      <c r="J417" s="8">
        <v>395550</v>
      </c>
      <c r="K417" s="8">
        <v>0</v>
      </c>
      <c r="L417" s="8">
        <v>858220</v>
      </c>
      <c r="M417" s="8">
        <v>200000</v>
      </c>
      <c r="N417" s="8">
        <f>SUM(G417:M417)</f>
        <v>17275770</v>
      </c>
      <c r="O417" s="8">
        <f>117275770-N417</f>
        <v>100000000</v>
      </c>
      <c r="P417" s="8">
        <f t="shared" ref="P417:P418" si="60">+N417+O417</f>
        <v>117275770</v>
      </c>
      <c r="Q417" s="59" t="s">
        <v>902</v>
      </c>
      <c r="R417" s="66" t="s">
        <v>52</v>
      </c>
    </row>
    <row r="418" spans="1:18" ht="15.75">
      <c r="A418" s="52">
        <v>2</v>
      </c>
      <c r="B418" s="51" t="s">
        <v>907</v>
      </c>
      <c r="C418" s="48" t="s">
        <v>908</v>
      </c>
      <c r="D418" s="67" t="s">
        <v>909</v>
      </c>
      <c r="E418" s="17">
        <v>43307</v>
      </c>
      <c r="F418" s="20" t="s">
        <v>910</v>
      </c>
      <c r="G418" s="36">
        <v>0</v>
      </c>
      <c r="H418" s="8">
        <v>22494000</v>
      </c>
      <c r="I418" s="8">
        <v>0</v>
      </c>
      <c r="J418" s="8">
        <v>562350</v>
      </c>
      <c r="K418" s="8">
        <v>0</v>
      </c>
      <c r="L418" s="8">
        <v>1200000</v>
      </c>
      <c r="M418" s="8">
        <v>200000</v>
      </c>
      <c r="N418" s="8">
        <f>SUM(G418:M418)</f>
        <v>24456350</v>
      </c>
      <c r="O418" s="8">
        <f>150000000-N418</f>
        <v>125543650</v>
      </c>
      <c r="P418" s="8">
        <f t="shared" si="60"/>
        <v>150000000</v>
      </c>
      <c r="Q418" s="59" t="s">
        <v>911</v>
      </c>
      <c r="R418" s="66" t="s">
        <v>52</v>
      </c>
    </row>
    <row r="419" spans="1:18" ht="15.75">
      <c r="A419" s="52">
        <v>3</v>
      </c>
      <c r="B419" s="51" t="s">
        <v>912</v>
      </c>
      <c r="C419" s="48" t="s">
        <v>913</v>
      </c>
      <c r="D419" s="67" t="s">
        <v>914</v>
      </c>
      <c r="E419" s="17">
        <v>43307</v>
      </c>
      <c r="F419" s="20" t="s">
        <v>915</v>
      </c>
      <c r="G419" s="36">
        <v>0</v>
      </c>
      <c r="H419" s="8">
        <v>6895000</v>
      </c>
      <c r="I419" s="8">
        <v>0</v>
      </c>
      <c r="J419" s="8">
        <v>172375</v>
      </c>
      <c r="K419" s="8">
        <v>0</v>
      </c>
      <c r="L419" s="8">
        <v>1700000</v>
      </c>
      <c r="M419" s="8">
        <v>200000</v>
      </c>
      <c r="N419" s="8">
        <f>SUM(G419:M419)</f>
        <v>8967375</v>
      </c>
      <c r="O419" s="8">
        <f>200000000-N419</f>
        <v>191032625</v>
      </c>
      <c r="P419" s="8">
        <f t="shared" ref="P419" si="61">+N419+O419</f>
        <v>200000000</v>
      </c>
      <c r="Q419" s="59" t="s">
        <v>192</v>
      </c>
      <c r="R419" s="66" t="s">
        <v>52</v>
      </c>
    </row>
    <row r="420" spans="1:18" ht="15.75">
      <c r="A420" s="52"/>
      <c r="B420" s="138"/>
      <c r="C420" s="48"/>
      <c r="E420" s="17"/>
      <c r="F420" s="48"/>
      <c r="G420" s="36"/>
      <c r="H420" s="36"/>
      <c r="I420" s="75"/>
      <c r="J420" s="36"/>
      <c r="K420" s="36"/>
      <c r="L420" s="36"/>
      <c r="N420" s="8"/>
      <c r="O420" s="8"/>
      <c r="P420" s="8"/>
      <c r="Q420" s="59"/>
      <c r="R420" s="66"/>
    </row>
    <row r="421" spans="1:18" ht="16.5" thickBot="1">
      <c r="A421" s="18"/>
      <c r="B421" s="55"/>
      <c r="C421" s="56"/>
      <c r="D421" s="74"/>
      <c r="E421" s="56"/>
      <c r="F421" s="57"/>
      <c r="G421" s="19">
        <f>SUM(G417:G420)</f>
        <v>0</v>
      </c>
      <c r="H421" s="19">
        <f t="shared" ref="H421:P421" si="62">SUM(H417:H420)</f>
        <v>45211000</v>
      </c>
      <c r="I421" s="19">
        <f t="shared" si="62"/>
        <v>0</v>
      </c>
      <c r="J421" s="19">
        <f t="shared" si="62"/>
        <v>1130275</v>
      </c>
      <c r="K421" s="19">
        <f t="shared" si="62"/>
        <v>0</v>
      </c>
      <c r="L421" s="19">
        <f t="shared" si="62"/>
        <v>3758220</v>
      </c>
      <c r="M421" s="19">
        <f t="shared" si="62"/>
        <v>600000</v>
      </c>
      <c r="N421" s="19">
        <f t="shared" si="62"/>
        <v>50699495</v>
      </c>
      <c r="O421" s="19">
        <f t="shared" si="62"/>
        <v>416576275</v>
      </c>
      <c r="P421" s="19">
        <f t="shared" si="62"/>
        <v>467275770</v>
      </c>
      <c r="Q421" s="68"/>
      <c r="R421" s="70"/>
    </row>
    <row r="422" spans="1:18" ht="16.5" hidden="1" thickTop="1">
      <c r="A422" s="23"/>
      <c r="B422" s="22"/>
      <c r="C422" s="22"/>
      <c r="D422" s="23"/>
      <c r="E422" s="22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2"/>
      <c r="Q422" s="69"/>
    </row>
    <row r="423" spans="1:18" ht="15.75" hidden="1">
      <c r="A423" s="23"/>
      <c r="B423" s="28" t="s">
        <v>897</v>
      </c>
      <c r="C423" s="22"/>
      <c r="D423" s="39"/>
      <c r="F423" s="27"/>
      <c r="G423" s="28"/>
      <c r="H423" s="28"/>
      <c r="I423" s="28"/>
      <c r="J423" s="28"/>
      <c r="K423" s="28"/>
      <c r="L423" s="28"/>
      <c r="Q423" s="51"/>
    </row>
    <row r="424" spans="1:18" ht="15.75" hidden="1">
      <c r="A424" s="38"/>
      <c r="B424" s="40" t="s">
        <v>32</v>
      </c>
      <c r="C424" s="28" t="s">
        <v>28</v>
      </c>
      <c r="D424" s="39"/>
      <c r="F424" s="41"/>
      <c r="G424" s="143" t="s">
        <v>26</v>
      </c>
      <c r="H424" s="143"/>
      <c r="I424" s="143"/>
      <c r="K424" s="41"/>
    </row>
    <row r="425" spans="1:18" ht="15.75" hidden="1">
      <c r="A425" s="38"/>
      <c r="B425" s="40"/>
      <c r="C425" s="28"/>
      <c r="D425" s="39"/>
      <c r="F425" s="28"/>
      <c r="G425" s="28"/>
      <c r="H425" s="28"/>
      <c r="I425" s="28"/>
      <c r="J425" s="28"/>
      <c r="K425" s="28"/>
      <c r="L425" s="28"/>
    </row>
    <row r="426" spans="1:18" ht="15.75" hidden="1">
      <c r="A426" s="38"/>
      <c r="B426" s="40"/>
      <c r="C426" s="28"/>
      <c r="D426" s="39"/>
      <c r="F426" s="28"/>
      <c r="G426" s="28"/>
      <c r="H426" s="28"/>
      <c r="I426" s="28"/>
      <c r="J426" s="28"/>
      <c r="K426" s="28"/>
      <c r="L426" s="28"/>
    </row>
    <row r="427" spans="1:18" ht="15.75" hidden="1">
      <c r="A427" s="38"/>
      <c r="B427" s="40"/>
      <c r="C427" s="28"/>
      <c r="D427" s="39"/>
      <c r="F427" s="28"/>
      <c r="G427" s="28"/>
      <c r="H427" s="28"/>
      <c r="I427" s="28"/>
      <c r="J427" s="28"/>
      <c r="K427" s="28"/>
    </row>
    <row r="428" spans="1:18" ht="15.75" hidden="1">
      <c r="A428" s="38"/>
      <c r="B428" s="40"/>
      <c r="C428" s="28"/>
      <c r="D428" s="39"/>
      <c r="F428" s="28"/>
      <c r="G428" s="28"/>
      <c r="H428" s="28"/>
      <c r="I428" s="28"/>
      <c r="J428" s="28"/>
      <c r="K428" s="28"/>
      <c r="L428" s="28"/>
    </row>
    <row r="429" spans="1:18" ht="15.75" hidden="1">
      <c r="A429" s="38" t="s">
        <v>23</v>
      </c>
      <c r="B429" s="42" t="s">
        <v>27</v>
      </c>
      <c r="C429" s="43" t="s">
        <v>24</v>
      </c>
      <c r="D429" s="39"/>
      <c r="F429" s="29"/>
      <c r="G429" s="29" t="s">
        <v>16</v>
      </c>
      <c r="H429" s="29"/>
      <c r="I429" s="29" t="s">
        <v>30</v>
      </c>
    </row>
    <row r="430" spans="1:18" ht="15.75" hidden="1">
      <c r="A430" s="38"/>
      <c r="B430" s="44" t="s">
        <v>31</v>
      </c>
      <c r="C430" s="45" t="s">
        <v>20</v>
      </c>
      <c r="D430" s="39"/>
      <c r="F430" s="46"/>
      <c r="G430" s="46" t="s">
        <v>17</v>
      </c>
      <c r="H430" s="46"/>
      <c r="I430" s="46" t="s">
        <v>25</v>
      </c>
    </row>
    <row r="431" spans="1:18" ht="15.75" hidden="1">
      <c r="A431" s="38"/>
      <c r="B431" s="44"/>
      <c r="C431" s="45"/>
      <c r="D431" s="39"/>
      <c r="F431" s="46"/>
      <c r="G431" s="46"/>
      <c r="H431" s="46"/>
      <c r="I431" s="46"/>
    </row>
    <row r="432" spans="1:18" ht="16.5" thickTop="1">
      <c r="A432" s="21" t="s">
        <v>0</v>
      </c>
      <c r="B432" s="22"/>
      <c r="C432" s="23"/>
      <c r="D432" s="23"/>
      <c r="E432" s="23"/>
      <c r="F432" s="24"/>
      <c r="G432" s="24"/>
      <c r="H432" s="24"/>
      <c r="I432" s="24"/>
      <c r="J432" s="24"/>
      <c r="K432" s="24"/>
      <c r="L432" s="25"/>
    </row>
    <row r="433" spans="1:18" ht="15.75">
      <c r="A433" s="26" t="s">
        <v>882</v>
      </c>
      <c r="B433" s="21"/>
      <c r="C433" s="21"/>
      <c r="D433" s="21"/>
      <c r="E433" s="21"/>
      <c r="F433" s="24"/>
      <c r="G433" s="24"/>
      <c r="H433" s="24"/>
      <c r="I433" s="24"/>
      <c r="J433" s="24"/>
      <c r="K433" s="24"/>
      <c r="L433" s="25"/>
    </row>
    <row r="434" spans="1:18">
      <c r="A434" s="62"/>
      <c r="B434" s="62" t="s">
        <v>1</v>
      </c>
      <c r="C434" s="93" t="s">
        <v>2</v>
      </c>
      <c r="D434" s="117" t="s">
        <v>34</v>
      </c>
      <c r="E434" s="95" t="s">
        <v>3</v>
      </c>
      <c r="F434" s="93" t="s">
        <v>4</v>
      </c>
      <c r="G434" s="96" t="s">
        <v>18</v>
      </c>
      <c r="H434" s="96" t="s">
        <v>18</v>
      </c>
      <c r="I434" s="96" t="s">
        <v>18</v>
      </c>
      <c r="J434" s="97" t="s">
        <v>7</v>
      </c>
      <c r="K434" s="130" t="s">
        <v>6</v>
      </c>
      <c r="L434" s="96" t="s">
        <v>29</v>
      </c>
      <c r="M434" s="96" t="s">
        <v>21</v>
      </c>
      <c r="N434" s="96" t="s">
        <v>8</v>
      </c>
      <c r="O434" s="96" t="s">
        <v>8</v>
      </c>
      <c r="P434" s="96" t="s">
        <v>9</v>
      </c>
      <c r="Q434" s="62" t="s">
        <v>10</v>
      </c>
      <c r="R434" s="98" t="s">
        <v>33</v>
      </c>
    </row>
    <row r="435" spans="1:18">
      <c r="A435" s="99"/>
      <c r="B435" s="99"/>
      <c r="C435" s="100"/>
      <c r="D435" s="101"/>
      <c r="E435" s="102"/>
      <c r="F435" s="100"/>
      <c r="G435" s="103" t="s">
        <v>12</v>
      </c>
      <c r="H435" s="103" t="s">
        <v>12</v>
      </c>
      <c r="I435" s="103" t="s">
        <v>12</v>
      </c>
      <c r="J435" s="119" t="s">
        <v>19</v>
      </c>
      <c r="K435" s="131" t="s">
        <v>35</v>
      </c>
      <c r="L435" s="103" t="s">
        <v>22</v>
      </c>
      <c r="M435" s="103" t="s">
        <v>15</v>
      </c>
      <c r="N435" s="103" t="s">
        <v>13</v>
      </c>
      <c r="O435" s="103" t="s">
        <v>14</v>
      </c>
      <c r="P435" s="103" t="s">
        <v>12</v>
      </c>
      <c r="Q435" s="99"/>
      <c r="R435" s="104"/>
    </row>
    <row r="436" spans="1:18">
      <c r="A436" s="99"/>
      <c r="B436" s="99"/>
      <c r="C436" s="105"/>
      <c r="D436" s="101"/>
      <c r="E436" s="102"/>
      <c r="F436" s="100"/>
      <c r="G436" s="103" t="s">
        <v>81</v>
      </c>
      <c r="H436" s="103" t="s">
        <v>90</v>
      </c>
      <c r="I436" s="140" t="s">
        <v>887</v>
      </c>
      <c r="J436" s="119" t="s">
        <v>5</v>
      </c>
      <c r="K436" s="131"/>
      <c r="L436" s="103"/>
      <c r="M436" s="103"/>
      <c r="N436" s="103"/>
      <c r="O436" s="103"/>
      <c r="P436" s="103"/>
      <c r="Q436" s="99"/>
      <c r="R436" s="104"/>
    </row>
    <row r="437" spans="1:18">
      <c r="A437" s="106"/>
      <c r="B437" s="106"/>
      <c r="C437" s="107"/>
      <c r="D437" s="108"/>
      <c r="E437" s="109"/>
      <c r="F437" s="110"/>
      <c r="G437" s="111"/>
      <c r="H437" s="112"/>
      <c r="I437" s="141" t="s">
        <v>888</v>
      </c>
      <c r="J437" s="132"/>
      <c r="K437" s="132"/>
      <c r="L437" s="113"/>
      <c r="M437" s="108"/>
      <c r="N437" s="111"/>
      <c r="O437" s="111"/>
      <c r="P437" s="111"/>
      <c r="Q437" s="106"/>
      <c r="R437" s="114"/>
    </row>
    <row r="438" spans="1:18" ht="15.75">
      <c r="A438" s="52"/>
      <c r="B438" s="47"/>
      <c r="C438" s="48"/>
      <c r="D438" s="73"/>
      <c r="E438" s="17"/>
      <c r="F438" s="48"/>
      <c r="G438" s="36"/>
      <c r="H438" s="36"/>
      <c r="I438" s="125"/>
      <c r="J438" s="36"/>
      <c r="K438" s="36"/>
      <c r="L438" s="8"/>
      <c r="N438" s="8"/>
      <c r="O438" s="8"/>
      <c r="P438" s="8"/>
      <c r="Q438" s="35"/>
      <c r="R438" s="37"/>
    </row>
    <row r="439" spans="1:18" ht="15.75">
      <c r="A439" s="52">
        <v>1</v>
      </c>
      <c r="B439" s="51" t="s">
        <v>929</v>
      </c>
      <c r="C439" s="48" t="s">
        <v>407</v>
      </c>
      <c r="D439" s="67" t="s">
        <v>930</v>
      </c>
      <c r="E439" s="17">
        <v>43307</v>
      </c>
      <c r="F439" s="20" t="s">
        <v>931</v>
      </c>
      <c r="G439" s="36">
        <v>0</v>
      </c>
      <c r="H439" s="8">
        <v>0</v>
      </c>
      <c r="I439" s="8">
        <v>0</v>
      </c>
      <c r="J439" s="8">
        <v>0</v>
      </c>
      <c r="K439" s="8">
        <v>0</v>
      </c>
      <c r="L439" s="8">
        <v>450000</v>
      </c>
      <c r="M439" s="8">
        <v>0</v>
      </c>
      <c r="N439" s="8">
        <f>SUM(G439:M439)</f>
        <v>450000</v>
      </c>
      <c r="O439" s="8">
        <f>45000000-N439</f>
        <v>44550000</v>
      </c>
      <c r="P439" s="8">
        <f t="shared" ref="P439" si="63">+N439+O439</f>
        <v>45000000</v>
      </c>
      <c r="Q439" s="59" t="s">
        <v>410</v>
      </c>
      <c r="R439" s="66" t="s">
        <v>40</v>
      </c>
    </row>
    <row r="440" spans="1:18" ht="15.75">
      <c r="A440" s="52"/>
      <c r="B440" s="138"/>
      <c r="C440" s="48"/>
      <c r="E440" s="17"/>
      <c r="F440" s="48"/>
      <c r="G440" s="36"/>
      <c r="H440" s="36"/>
      <c r="I440" s="75"/>
      <c r="J440" s="36"/>
      <c r="K440" s="36"/>
      <c r="L440" s="36"/>
      <c r="N440" s="8"/>
      <c r="O440" s="8"/>
      <c r="P440" s="8"/>
      <c r="Q440" s="59"/>
      <c r="R440" s="66"/>
    </row>
    <row r="441" spans="1:18" ht="16.5" thickBot="1">
      <c r="A441" s="18"/>
      <c r="B441" s="55"/>
      <c r="C441" s="56"/>
      <c r="D441" s="74"/>
      <c r="E441" s="56"/>
      <c r="F441" s="57"/>
      <c r="G441" s="19">
        <f>SUM(G439:G440)</f>
        <v>0</v>
      </c>
      <c r="H441" s="19">
        <f t="shared" ref="H441:P441" si="64">SUM(H439:H440)</f>
        <v>0</v>
      </c>
      <c r="I441" s="19">
        <f t="shared" si="64"/>
        <v>0</v>
      </c>
      <c r="J441" s="19">
        <f t="shared" si="64"/>
        <v>0</v>
      </c>
      <c r="K441" s="19">
        <f t="shared" si="64"/>
        <v>0</v>
      </c>
      <c r="L441" s="19">
        <f t="shared" si="64"/>
        <v>450000</v>
      </c>
      <c r="M441" s="19">
        <f t="shared" si="64"/>
        <v>0</v>
      </c>
      <c r="N441" s="19">
        <f t="shared" si="64"/>
        <v>450000</v>
      </c>
      <c r="O441" s="19">
        <f t="shared" si="64"/>
        <v>44550000</v>
      </c>
      <c r="P441" s="19">
        <f t="shared" si="64"/>
        <v>45000000</v>
      </c>
      <c r="Q441" s="68"/>
      <c r="R441" s="70"/>
    </row>
    <row r="442" spans="1:18" ht="16.5" hidden="1" thickTop="1">
      <c r="A442" s="23"/>
      <c r="B442" s="22"/>
      <c r="C442" s="22"/>
      <c r="D442" s="23"/>
      <c r="E442" s="22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2"/>
      <c r="Q442" s="69"/>
    </row>
    <row r="443" spans="1:18" ht="15.75" hidden="1">
      <c r="A443" s="23"/>
      <c r="B443" s="28" t="s">
        <v>897</v>
      </c>
      <c r="C443" s="22"/>
      <c r="D443" s="39"/>
      <c r="F443" s="27"/>
      <c r="G443" s="28"/>
      <c r="H443" s="28"/>
      <c r="I443" s="28"/>
      <c r="J443" s="28"/>
      <c r="K443" s="28"/>
      <c r="L443" s="28"/>
      <c r="Q443" s="51"/>
    </row>
    <row r="444" spans="1:18" ht="15.75" hidden="1">
      <c r="A444" s="38"/>
      <c r="B444" s="40" t="s">
        <v>32</v>
      </c>
      <c r="C444" s="28" t="s">
        <v>28</v>
      </c>
      <c r="D444" s="39"/>
      <c r="F444" s="41"/>
      <c r="G444" s="143" t="s">
        <v>26</v>
      </c>
      <c r="H444" s="143"/>
      <c r="I444" s="143"/>
      <c r="K444" s="41"/>
    </row>
    <row r="445" spans="1:18" ht="15.75" hidden="1">
      <c r="A445" s="38"/>
      <c r="B445" s="40"/>
      <c r="C445" s="28"/>
      <c r="D445" s="39"/>
      <c r="F445" s="28"/>
      <c r="G445" s="28"/>
      <c r="H445" s="28"/>
      <c r="I445" s="28"/>
      <c r="J445" s="28"/>
      <c r="K445" s="28"/>
      <c r="L445" s="28"/>
    </row>
    <row r="446" spans="1:18" ht="15.75" hidden="1">
      <c r="A446" s="38"/>
      <c r="B446" s="40"/>
      <c r="C446" s="28"/>
      <c r="D446" s="39"/>
      <c r="F446" s="28"/>
      <c r="G446" s="28"/>
      <c r="H446" s="28"/>
      <c r="I446" s="28"/>
      <c r="J446" s="28"/>
      <c r="K446" s="28"/>
      <c r="L446" s="28"/>
    </row>
    <row r="447" spans="1:18" ht="15.75" hidden="1">
      <c r="A447" s="38"/>
      <c r="B447" s="40"/>
      <c r="C447" s="28"/>
      <c r="D447" s="39"/>
      <c r="F447" s="28"/>
      <c r="G447" s="28"/>
      <c r="H447" s="28"/>
      <c r="I447" s="28"/>
      <c r="J447" s="28"/>
      <c r="K447" s="28"/>
    </row>
    <row r="448" spans="1:18" ht="15.75" hidden="1">
      <c r="A448" s="38"/>
      <c r="B448" s="40"/>
      <c r="C448" s="28"/>
      <c r="D448" s="39"/>
      <c r="F448" s="28"/>
      <c r="G448" s="28"/>
      <c r="H448" s="28"/>
      <c r="I448" s="28"/>
      <c r="J448" s="28"/>
      <c r="K448" s="28"/>
      <c r="L448" s="28"/>
    </row>
    <row r="449" spans="1:18" ht="15.75" hidden="1">
      <c r="A449" s="38" t="s">
        <v>23</v>
      </c>
      <c r="B449" s="42" t="s">
        <v>27</v>
      </c>
      <c r="C449" s="43" t="s">
        <v>24</v>
      </c>
      <c r="D449" s="39"/>
      <c r="F449" s="29"/>
      <c r="G449" s="29" t="s">
        <v>16</v>
      </c>
      <c r="H449" s="29"/>
      <c r="I449" s="29" t="s">
        <v>30</v>
      </c>
    </row>
    <row r="450" spans="1:18" ht="15.75" hidden="1">
      <c r="A450" s="38"/>
      <c r="B450" s="44" t="s">
        <v>31</v>
      </c>
      <c r="C450" s="45" t="s">
        <v>20</v>
      </c>
      <c r="D450" s="39"/>
      <c r="F450" s="46"/>
      <c r="G450" s="46" t="s">
        <v>17</v>
      </c>
      <c r="H450" s="46"/>
      <c r="I450" s="46" t="s">
        <v>25</v>
      </c>
    </row>
    <row r="451" spans="1:18" hidden="1"/>
    <row r="452" spans="1:18" ht="16.5" thickTop="1">
      <c r="A452" s="21" t="s">
        <v>0</v>
      </c>
      <c r="B452" s="22"/>
      <c r="C452" s="23"/>
      <c r="D452" s="23"/>
      <c r="E452" s="23"/>
      <c r="F452" s="24"/>
      <c r="G452" s="24"/>
      <c r="H452" s="24"/>
      <c r="I452" s="24"/>
      <c r="J452" s="24"/>
      <c r="K452" s="24"/>
      <c r="L452" s="25"/>
    </row>
    <row r="453" spans="1:18" ht="15.75">
      <c r="A453" s="26" t="s">
        <v>923</v>
      </c>
      <c r="B453" s="21"/>
      <c r="C453" s="21"/>
      <c r="D453" s="21"/>
      <c r="E453" s="21"/>
      <c r="F453" s="24"/>
      <c r="G453" s="24"/>
      <c r="H453" s="24"/>
      <c r="I453" s="24"/>
      <c r="J453" s="24"/>
      <c r="K453" s="24"/>
      <c r="L453" s="25"/>
    </row>
    <row r="454" spans="1:18">
      <c r="A454" s="62"/>
      <c r="B454" s="62" t="s">
        <v>1</v>
      </c>
      <c r="C454" s="93" t="s">
        <v>2</v>
      </c>
      <c r="D454" s="117" t="s">
        <v>34</v>
      </c>
      <c r="E454" s="95" t="s">
        <v>3</v>
      </c>
      <c r="F454" s="93" t="s">
        <v>4</v>
      </c>
      <c r="G454" s="96" t="s">
        <v>18</v>
      </c>
      <c r="H454" s="96" t="s">
        <v>18</v>
      </c>
      <c r="I454" s="96" t="s">
        <v>18</v>
      </c>
      <c r="J454" s="97" t="s">
        <v>7</v>
      </c>
      <c r="K454" s="130" t="s">
        <v>6</v>
      </c>
      <c r="L454" s="96" t="s">
        <v>29</v>
      </c>
      <c r="M454" s="96" t="s">
        <v>21</v>
      </c>
      <c r="N454" s="96" t="s">
        <v>8</v>
      </c>
      <c r="O454" s="96" t="s">
        <v>8</v>
      </c>
      <c r="P454" s="96" t="s">
        <v>9</v>
      </c>
      <c r="Q454" s="62" t="s">
        <v>10</v>
      </c>
      <c r="R454" s="98" t="s">
        <v>33</v>
      </c>
    </row>
    <row r="455" spans="1:18">
      <c r="A455" s="99"/>
      <c r="B455" s="99"/>
      <c r="C455" s="100"/>
      <c r="D455" s="101"/>
      <c r="E455" s="102"/>
      <c r="F455" s="100"/>
      <c r="G455" s="103" t="s">
        <v>12</v>
      </c>
      <c r="H455" s="103" t="s">
        <v>12</v>
      </c>
      <c r="I455" s="103" t="s">
        <v>12</v>
      </c>
      <c r="J455" s="119" t="s">
        <v>19</v>
      </c>
      <c r="K455" s="131" t="s">
        <v>35</v>
      </c>
      <c r="L455" s="103" t="s">
        <v>22</v>
      </c>
      <c r="M455" s="103" t="s">
        <v>15</v>
      </c>
      <c r="N455" s="103" t="s">
        <v>13</v>
      </c>
      <c r="O455" s="103" t="s">
        <v>14</v>
      </c>
      <c r="P455" s="103" t="s">
        <v>12</v>
      </c>
      <c r="Q455" s="99"/>
      <c r="R455" s="104"/>
    </row>
    <row r="456" spans="1:18">
      <c r="A456" s="99"/>
      <c r="B456" s="99"/>
      <c r="C456" s="105"/>
      <c r="D456" s="101"/>
      <c r="E456" s="102"/>
      <c r="F456" s="100"/>
      <c r="G456" s="103" t="s">
        <v>81</v>
      </c>
      <c r="H456" s="103" t="s">
        <v>22</v>
      </c>
      <c r="I456" s="140" t="s">
        <v>887</v>
      </c>
      <c r="J456" s="119" t="s">
        <v>5</v>
      </c>
      <c r="K456" s="131"/>
      <c r="L456" s="103"/>
      <c r="M456" s="103"/>
      <c r="N456" s="103"/>
      <c r="O456" s="103"/>
      <c r="P456" s="103"/>
      <c r="Q456" s="99"/>
      <c r="R456" s="104"/>
    </row>
    <row r="457" spans="1:18">
      <c r="A457" s="106"/>
      <c r="B457" s="106"/>
      <c r="C457" s="107"/>
      <c r="D457" s="108"/>
      <c r="E457" s="109"/>
      <c r="F457" s="110"/>
      <c r="G457" s="111"/>
      <c r="H457" s="112"/>
      <c r="I457" s="141" t="s">
        <v>888</v>
      </c>
      <c r="J457" s="132"/>
      <c r="K457" s="132"/>
      <c r="L457" s="113"/>
      <c r="M457" s="108"/>
      <c r="N457" s="111"/>
      <c r="O457" s="111"/>
      <c r="P457" s="111"/>
      <c r="Q457" s="106"/>
      <c r="R457" s="114"/>
    </row>
    <row r="458" spans="1:18" ht="15.75">
      <c r="A458" s="52"/>
      <c r="B458" s="47"/>
      <c r="C458" s="48"/>
      <c r="D458" s="73"/>
      <c r="E458" s="17"/>
      <c r="F458" s="48"/>
      <c r="G458" s="36"/>
      <c r="H458" s="36"/>
      <c r="I458" s="125"/>
      <c r="J458" s="36"/>
      <c r="K458" s="36"/>
      <c r="L458" s="8"/>
      <c r="N458" s="8"/>
      <c r="O458" s="8"/>
      <c r="P458" s="8"/>
      <c r="Q458" s="35"/>
      <c r="R458" s="37"/>
    </row>
    <row r="459" spans="1:18" ht="15.75">
      <c r="A459" s="52">
        <v>1</v>
      </c>
      <c r="B459" s="51" t="s">
        <v>893</v>
      </c>
      <c r="C459" s="48" t="s">
        <v>894</v>
      </c>
      <c r="D459" s="67" t="s">
        <v>895</v>
      </c>
      <c r="E459" s="17">
        <v>43308</v>
      </c>
      <c r="F459" s="20" t="s">
        <v>896</v>
      </c>
      <c r="G459" s="36">
        <v>0</v>
      </c>
      <c r="H459" s="8">
        <v>0</v>
      </c>
      <c r="I459" s="8">
        <v>0</v>
      </c>
      <c r="J459" s="8">
        <v>0</v>
      </c>
      <c r="K459" s="8">
        <v>0</v>
      </c>
      <c r="L459" s="8">
        <v>800000</v>
      </c>
      <c r="M459" s="8">
        <v>200000</v>
      </c>
      <c r="N459" s="8">
        <f>SUM(G459:M459)</f>
        <v>1000000</v>
      </c>
      <c r="O459" s="8">
        <f>110000000-N459</f>
        <v>109000000</v>
      </c>
      <c r="P459" s="8">
        <f t="shared" ref="P459" si="65">+N459+O459</f>
        <v>110000000</v>
      </c>
      <c r="Q459" s="77" t="s">
        <v>134</v>
      </c>
      <c r="R459" s="66" t="s">
        <v>58</v>
      </c>
    </row>
    <row r="460" spans="1:18" ht="15.75">
      <c r="A460" s="52"/>
      <c r="B460" s="138"/>
      <c r="C460" s="48"/>
      <c r="E460" s="17"/>
      <c r="F460" s="48"/>
      <c r="G460" s="36"/>
      <c r="H460" s="36"/>
      <c r="I460" s="75"/>
      <c r="J460" s="36"/>
      <c r="K460" s="36"/>
      <c r="L460" s="36"/>
      <c r="N460" s="8"/>
      <c r="O460" s="8"/>
      <c r="P460" s="8"/>
      <c r="Q460" s="59"/>
      <c r="R460" s="66"/>
    </row>
    <row r="461" spans="1:18" ht="16.5" thickBot="1">
      <c r="A461" s="18"/>
      <c r="B461" s="55"/>
      <c r="C461" s="56"/>
      <c r="D461" s="74"/>
      <c r="E461" s="56"/>
      <c r="F461" s="57"/>
      <c r="G461" s="19">
        <f t="shared" ref="G461:P461" si="66">SUM(G459:G460)</f>
        <v>0</v>
      </c>
      <c r="H461" s="19">
        <f t="shared" si="66"/>
        <v>0</v>
      </c>
      <c r="I461" s="19">
        <f t="shared" si="66"/>
        <v>0</v>
      </c>
      <c r="J461" s="19">
        <f t="shared" si="66"/>
        <v>0</v>
      </c>
      <c r="K461" s="19">
        <f t="shared" si="66"/>
        <v>0</v>
      </c>
      <c r="L461" s="19">
        <f t="shared" si="66"/>
        <v>800000</v>
      </c>
      <c r="M461" s="19">
        <f t="shared" si="66"/>
        <v>200000</v>
      </c>
      <c r="N461" s="19">
        <f t="shared" si="66"/>
        <v>1000000</v>
      </c>
      <c r="O461" s="19">
        <f t="shared" si="66"/>
        <v>109000000</v>
      </c>
      <c r="P461" s="19">
        <f t="shared" si="66"/>
        <v>110000000</v>
      </c>
      <c r="Q461" s="68"/>
      <c r="R461" s="70"/>
    </row>
    <row r="462" spans="1:18" ht="16.5" hidden="1" thickTop="1">
      <c r="A462" s="23"/>
      <c r="B462" s="22"/>
      <c r="C462" s="22"/>
      <c r="D462" s="23"/>
      <c r="E462" s="22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2"/>
      <c r="Q462" s="69"/>
    </row>
    <row r="463" spans="1:18" ht="15.75" hidden="1">
      <c r="A463" s="23"/>
      <c r="B463" s="28" t="s">
        <v>924</v>
      </c>
      <c r="C463" s="22"/>
      <c r="D463" s="39"/>
      <c r="F463" s="27"/>
      <c r="G463" s="28"/>
      <c r="H463" s="28"/>
      <c r="I463" s="28"/>
      <c r="J463" s="28"/>
      <c r="K463" s="28"/>
      <c r="L463" s="28"/>
      <c r="Q463" s="51"/>
    </row>
    <row r="464" spans="1:18" ht="15.75" hidden="1">
      <c r="A464" s="38"/>
      <c r="B464" s="40" t="s">
        <v>32</v>
      </c>
      <c r="C464" s="28" t="s">
        <v>28</v>
      </c>
      <c r="D464" s="39"/>
      <c r="F464" s="41"/>
      <c r="G464" s="143" t="s">
        <v>26</v>
      </c>
      <c r="H464" s="143"/>
      <c r="I464" s="143"/>
      <c r="K464" s="41"/>
    </row>
    <row r="465" spans="1:18" ht="15.75" hidden="1">
      <c r="A465" s="38"/>
      <c r="B465" s="40"/>
      <c r="C465" s="28"/>
      <c r="D465" s="39"/>
      <c r="F465" s="28"/>
      <c r="G465" s="28"/>
      <c r="H465" s="28"/>
      <c r="I465" s="28"/>
      <c r="J465" s="28"/>
      <c r="K465" s="28"/>
      <c r="L465" s="28"/>
    </row>
    <row r="466" spans="1:18" ht="15.75" hidden="1">
      <c r="A466" s="38"/>
      <c r="B466" s="40"/>
      <c r="C466" s="28"/>
      <c r="D466" s="39"/>
      <c r="F466" s="28"/>
      <c r="G466" s="28"/>
      <c r="H466" s="28"/>
      <c r="I466" s="28"/>
      <c r="J466" s="28"/>
      <c r="K466" s="28"/>
      <c r="L466" s="28"/>
    </row>
    <row r="467" spans="1:18" ht="15.75" hidden="1">
      <c r="A467" s="38"/>
      <c r="B467" s="40"/>
      <c r="C467" s="28"/>
      <c r="D467" s="39"/>
      <c r="F467" s="28"/>
      <c r="G467" s="28"/>
      <c r="H467" s="28"/>
      <c r="I467" s="28"/>
      <c r="J467" s="28"/>
      <c r="K467" s="28"/>
    </row>
    <row r="468" spans="1:18" ht="15.75" hidden="1">
      <c r="A468" s="38"/>
      <c r="B468" s="40"/>
      <c r="C468" s="28"/>
      <c r="D468" s="39"/>
      <c r="F468" s="28"/>
      <c r="G468" s="28"/>
      <c r="H468" s="28"/>
      <c r="I468" s="28"/>
      <c r="J468" s="28"/>
      <c r="K468" s="28"/>
      <c r="L468" s="28"/>
    </row>
    <row r="469" spans="1:18" ht="15.75" hidden="1">
      <c r="A469" s="38" t="s">
        <v>23</v>
      </c>
      <c r="B469" s="42" t="s">
        <v>27</v>
      </c>
      <c r="C469" s="43" t="s">
        <v>24</v>
      </c>
      <c r="D469" s="39"/>
      <c r="F469" s="29"/>
      <c r="G469" s="29" t="s">
        <v>16</v>
      </c>
      <c r="H469" s="29"/>
      <c r="I469" s="29" t="s">
        <v>30</v>
      </c>
    </row>
    <row r="470" spans="1:18" ht="15.75" hidden="1">
      <c r="A470" s="38"/>
      <c r="B470" s="44" t="s">
        <v>31</v>
      </c>
      <c r="C470" s="45" t="s">
        <v>20</v>
      </c>
      <c r="D470" s="39"/>
      <c r="F470" s="46"/>
      <c r="G470" s="46" t="s">
        <v>17</v>
      </c>
      <c r="H470" s="46"/>
      <c r="I470" s="46" t="s">
        <v>25</v>
      </c>
    </row>
    <row r="471" spans="1:18" s="122" customFormat="1" hidden="1"/>
    <row r="472" spans="1:18" ht="16.5" thickTop="1">
      <c r="A472" s="21" t="s">
        <v>0</v>
      </c>
      <c r="B472" s="22"/>
      <c r="C472" s="23"/>
      <c r="D472" s="23"/>
      <c r="E472" s="23"/>
      <c r="F472" s="24"/>
      <c r="G472" s="24"/>
      <c r="H472" s="24"/>
      <c r="I472" s="24"/>
      <c r="J472" s="24"/>
      <c r="K472" s="24"/>
      <c r="L472" s="25"/>
    </row>
    <row r="473" spans="1:18" ht="15.75">
      <c r="A473" s="26" t="s">
        <v>923</v>
      </c>
      <c r="B473" s="21"/>
      <c r="C473" s="21"/>
      <c r="D473" s="21"/>
      <c r="E473" s="21"/>
      <c r="F473" s="24"/>
      <c r="G473" s="24"/>
      <c r="H473" s="24"/>
      <c r="I473" s="24"/>
      <c r="J473" s="24"/>
      <c r="K473" s="24"/>
      <c r="L473" s="25"/>
    </row>
    <row r="474" spans="1:18">
      <c r="A474" s="62"/>
      <c r="B474" s="62" t="s">
        <v>1</v>
      </c>
      <c r="C474" s="93" t="s">
        <v>2</v>
      </c>
      <c r="D474" s="117" t="s">
        <v>34</v>
      </c>
      <c r="E474" s="95" t="s">
        <v>3</v>
      </c>
      <c r="F474" s="93" t="s">
        <v>4</v>
      </c>
      <c r="G474" s="96" t="s">
        <v>18</v>
      </c>
      <c r="H474" s="96" t="s">
        <v>18</v>
      </c>
      <c r="I474" s="96" t="s">
        <v>18</v>
      </c>
      <c r="J474" s="97" t="s">
        <v>7</v>
      </c>
      <c r="K474" s="130" t="s">
        <v>6</v>
      </c>
      <c r="L474" s="96" t="s">
        <v>29</v>
      </c>
      <c r="M474" s="96" t="s">
        <v>21</v>
      </c>
      <c r="N474" s="96" t="s">
        <v>8</v>
      </c>
      <c r="O474" s="96" t="s">
        <v>8</v>
      </c>
      <c r="P474" s="96" t="s">
        <v>9</v>
      </c>
      <c r="Q474" s="62" t="s">
        <v>10</v>
      </c>
      <c r="R474" s="98" t="s">
        <v>33</v>
      </c>
    </row>
    <row r="475" spans="1:18">
      <c r="A475" s="99"/>
      <c r="B475" s="99"/>
      <c r="C475" s="100"/>
      <c r="D475" s="101"/>
      <c r="E475" s="102"/>
      <c r="F475" s="100"/>
      <c r="G475" s="103" t="s">
        <v>12</v>
      </c>
      <c r="H475" s="103" t="s">
        <v>12</v>
      </c>
      <c r="I475" s="103" t="s">
        <v>12</v>
      </c>
      <c r="J475" s="119" t="s">
        <v>19</v>
      </c>
      <c r="K475" s="131" t="s">
        <v>35</v>
      </c>
      <c r="L475" s="103" t="s">
        <v>22</v>
      </c>
      <c r="M475" s="103" t="s">
        <v>15</v>
      </c>
      <c r="N475" s="103" t="s">
        <v>13</v>
      </c>
      <c r="O475" s="103" t="s">
        <v>14</v>
      </c>
      <c r="P475" s="103" t="s">
        <v>12</v>
      </c>
      <c r="Q475" s="99"/>
      <c r="R475" s="104"/>
    </row>
    <row r="476" spans="1:18">
      <c r="A476" s="99"/>
      <c r="B476" s="99"/>
      <c r="C476" s="105"/>
      <c r="D476" s="101"/>
      <c r="E476" s="102"/>
      <c r="F476" s="100"/>
      <c r="G476" s="103" t="s">
        <v>81</v>
      </c>
      <c r="H476" s="103" t="s">
        <v>22</v>
      </c>
      <c r="I476" s="140" t="s">
        <v>887</v>
      </c>
      <c r="J476" s="119" t="s">
        <v>5</v>
      </c>
      <c r="K476" s="131"/>
      <c r="L476" s="103"/>
      <c r="M476" s="103"/>
      <c r="N476" s="103"/>
      <c r="O476" s="103"/>
      <c r="P476" s="103"/>
      <c r="Q476" s="99"/>
      <c r="R476" s="104"/>
    </row>
    <row r="477" spans="1:18">
      <c r="A477" s="106"/>
      <c r="B477" s="106"/>
      <c r="C477" s="107"/>
      <c r="D477" s="108"/>
      <c r="E477" s="109"/>
      <c r="F477" s="110"/>
      <c r="G477" s="111"/>
      <c r="H477" s="112"/>
      <c r="I477" s="141" t="s">
        <v>888</v>
      </c>
      <c r="J477" s="132"/>
      <c r="K477" s="132"/>
      <c r="L477" s="113"/>
      <c r="M477" s="108"/>
      <c r="N477" s="111"/>
      <c r="O477" s="111"/>
      <c r="P477" s="111"/>
      <c r="Q477" s="106"/>
      <c r="R477" s="114"/>
    </row>
    <row r="478" spans="1:18" ht="15.75">
      <c r="A478" s="52"/>
      <c r="B478" s="47"/>
      <c r="C478" s="48"/>
      <c r="D478" s="73"/>
      <c r="E478" s="17"/>
      <c r="F478" s="48"/>
      <c r="G478" s="36"/>
      <c r="H478" s="36"/>
      <c r="I478" s="125"/>
      <c r="J478" s="36"/>
      <c r="K478" s="36"/>
      <c r="L478" s="8"/>
      <c r="N478" s="8"/>
      <c r="O478" s="8"/>
      <c r="P478" s="8"/>
      <c r="Q478" s="35"/>
      <c r="R478" s="37"/>
    </row>
    <row r="479" spans="1:18" ht="15.75">
      <c r="A479" s="52">
        <v>1</v>
      </c>
      <c r="B479" s="51" t="s">
        <v>932</v>
      </c>
      <c r="C479" s="48" t="s">
        <v>933</v>
      </c>
      <c r="D479" s="67" t="s">
        <v>934</v>
      </c>
      <c r="E479" s="17">
        <v>43308</v>
      </c>
      <c r="F479" s="20" t="s">
        <v>935</v>
      </c>
      <c r="G479" s="36">
        <v>0</v>
      </c>
      <c r="H479" s="8">
        <v>7707300</v>
      </c>
      <c r="I479" s="8">
        <v>0</v>
      </c>
      <c r="J479" s="8">
        <v>192683</v>
      </c>
      <c r="K479" s="8">
        <v>0</v>
      </c>
      <c r="L479" s="8">
        <v>200000</v>
      </c>
      <c r="M479" s="8">
        <v>200000</v>
      </c>
      <c r="N479" s="8">
        <f>SUM(G479:M479)</f>
        <v>8299983</v>
      </c>
      <c r="O479" s="8">
        <f>50000000-N479</f>
        <v>41700017</v>
      </c>
      <c r="P479" s="8">
        <f t="shared" ref="P479" si="67">+N479+O479</f>
        <v>50000000</v>
      </c>
      <c r="Q479" s="77" t="s">
        <v>758</v>
      </c>
      <c r="R479" s="66" t="s">
        <v>52</v>
      </c>
    </row>
    <row r="480" spans="1:18" ht="15.75">
      <c r="A480" s="52">
        <v>2</v>
      </c>
      <c r="B480" s="51" t="s">
        <v>925</v>
      </c>
      <c r="C480" s="48" t="s">
        <v>926</v>
      </c>
      <c r="D480" s="67" t="s">
        <v>927</v>
      </c>
      <c r="E480" s="17">
        <v>43308</v>
      </c>
      <c r="F480" s="20" t="s">
        <v>928</v>
      </c>
      <c r="G480" s="36">
        <v>0</v>
      </c>
      <c r="H480" s="8">
        <v>26635000</v>
      </c>
      <c r="I480" s="8">
        <v>0</v>
      </c>
      <c r="J480" s="8">
        <v>665875</v>
      </c>
      <c r="K480" s="8">
        <v>0</v>
      </c>
      <c r="L480" s="8">
        <v>300000</v>
      </c>
      <c r="M480" s="8">
        <v>200000</v>
      </c>
      <c r="N480" s="8">
        <f t="shared" ref="N480:N484" si="68">SUM(G480:M480)</f>
        <v>27800875</v>
      </c>
      <c r="O480" s="8">
        <f>60000000-N480</f>
        <v>32199125</v>
      </c>
      <c r="P480" s="8">
        <f t="shared" ref="P480:P484" si="69">+N480+O480</f>
        <v>60000000</v>
      </c>
      <c r="Q480" s="77" t="s">
        <v>698</v>
      </c>
      <c r="R480" s="66" t="s">
        <v>52</v>
      </c>
    </row>
    <row r="481" spans="1:18" ht="15.75">
      <c r="A481" s="52">
        <v>3</v>
      </c>
      <c r="B481" s="51" t="s">
        <v>941</v>
      </c>
      <c r="C481" s="48" t="s">
        <v>942</v>
      </c>
      <c r="D481" s="67" t="s">
        <v>943</v>
      </c>
      <c r="E481" s="17">
        <v>43308</v>
      </c>
      <c r="F481" s="20" t="s">
        <v>944</v>
      </c>
      <c r="G481" s="36">
        <v>0</v>
      </c>
      <c r="H481" s="8">
        <v>12625000</v>
      </c>
      <c r="I481" s="8">
        <v>0</v>
      </c>
      <c r="J481" s="8">
        <v>315625</v>
      </c>
      <c r="K481" s="8">
        <v>0</v>
      </c>
      <c r="L481" s="8">
        <v>300000</v>
      </c>
      <c r="M481" s="8">
        <v>200000</v>
      </c>
      <c r="N481" s="8">
        <f t="shared" ref="N481" si="70">SUM(G481:M481)</f>
        <v>13440625</v>
      </c>
      <c r="O481" s="8">
        <f>60000000-N481</f>
        <v>46559375</v>
      </c>
      <c r="P481" s="8">
        <f t="shared" ref="P481" si="71">+N481+O481</f>
        <v>60000000</v>
      </c>
      <c r="Q481" s="77" t="s">
        <v>166</v>
      </c>
      <c r="R481" s="66" t="s">
        <v>52</v>
      </c>
    </row>
    <row r="482" spans="1:18" ht="15.75">
      <c r="A482" s="52">
        <v>4</v>
      </c>
      <c r="B482" s="51" t="s">
        <v>936</v>
      </c>
      <c r="C482" s="48" t="s">
        <v>937</v>
      </c>
      <c r="D482" s="67" t="s">
        <v>938</v>
      </c>
      <c r="E482" s="17">
        <v>43308</v>
      </c>
      <c r="F482" s="20" t="s">
        <v>939</v>
      </c>
      <c r="G482" s="36">
        <v>0</v>
      </c>
      <c r="H482" s="8">
        <v>56167500</v>
      </c>
      <c r="I482" s="8">
        <v>0</v>
      </c>
      <c r="J482" s="8">
        <v>1404188</v>
      </c>
      <c r="K482" s="8">
        <v>0</v>
      </c>
      <c r="L482" s="8">
        <v>188325</v>
      </c>
      <c r="M482" s="8">
        <v>200000</v>
      </c>
      <c r="N482" s="8">
        <f t="shared" si="68"/>
        <v>57960013</v>
      </c>
      <c r="O482" s="8">
        <f>75000000-N482</f>
        <v>17039987</v>
      </c>
      <c r="P482" s="8">
        <f t="shared" ref="P482" si="72">+N482+O482</f>
        <v>75000000</v>
      </c>
      <c r="Q482" s="77" t="s">
        <v>940</v>
      </c>
      <c r="R482" s="66" t="s">
        <v>52</v>
      </c>
    </row>
    <row r="483" spans="1:18" ht="15.75">
      <c r="A483" s="52">
        <v>5</v>
      </c>
      <c r="B483" s="51" t="s">
        <v>883</v>
      </c>
      <c r="C483" s="48" t="s">
        <v>884</v>
      </c>
      <c r="D483" s="67" t="s">
        <v>885</v>
      </c>
      <c r="E483" s="17">
        <v>43308</v>
      </c>
      <c r="F483" s="20" t="s">
        <v>886</v>
      </c>
      <c r="G483" s="36">
        <v>423750</v>
      </c>
      <c r="H483" s="8">
        <v>5648000</v>
      </c>
      <c r="I483" s="8">
        <v>67400</v>
      </c>
      <c r="J483" s="8">
        <v>153479</v>
      </c>
      <c r="K483" s="8">
        <v>0</v>
      </c>
      <c r="L483" s="8">
        <v>550000</v>
      </c>
      <c r="M483" s="8">
        <v>200000</v>
      </c>
      <c r="N483" s="8">
        <f t="shared" si="68"/>
        <v>7042629</v>
      </c>
      <c r="O483" s="8">
        <f>85000000-N483</f>
        <v>77957371</v>
      </c>
      <c r="P483" s="8">
        <f t="shared" ref="P483" si="73">+N483+O483</f>
        <v>85000000</v>
      </c>
      <c r="Q483" s="77" t="s">
        <v>159</v>
      </c>
      <c r="R483" s="66" t="s">
        <v>52</v>
      </c>
    </row>
    <row r="484" spans="1:18" ht="15.75">
      <c r="A484" s="52">
        <v>7</v>
      </c>
      <c r="B484" s="51" t="s">
        <v>889</v>
      </c>
      <c r="C484" s="48" t="s">
        <v>890</v>
      </c>
      <c r="D484" s="67" t="s">
        <v>891</v>
      </c>
      <c r="E484" s="17">
        <v>43308</v>
      </c>
      <c r="F484" s="20" t="s">
        <v>892</v>
      </c>
      <c r="G484" s="36">
        <v>0</v>
      </c>
      <c r="H484" s="8">
        <v>9647078</v>
      </c>
      <c r="I484" s="8">
        <v>0</v>
      </c>
      <c r="J484" s="8">
        <v>241177</v>
      </c>
      <c r="K484" s="8">
        <v>0</v>
      </c>
      <c r="L484" s="8">
        <v>700000</v>
      </c>
      <c r="M484" s="8">
        <v>200000</v>
      </c>
      <c r="N484" s="8">
        <f t="shared" si="68"/>
        <v>10788255</v>
      </c>
      <c r="O484" s="8">
        <f>100000000-N484</f>
        <v>89211745</v>
      </c>
      <c r="P484" s="8">
        <f t="shared" si="69"/>
        <v>100000000</v>
      </c>
      <c r="Q484" s="77" t="s">
        <v>134</v>
      </c>
      <c r="R484" s="66" t="s">
        <v>52</v>
      </c>
    </row>
    <row r="485" spans="1:18" ht="15.75">
      <c r="A485" s="52"/>
      <c r="B485" s="138"/>
      <c r="C485" s="48"/>
      <c r="E485" s="17"/>
      <c r="F485" s="48"/>
      <c r="G485" s="36"/>
      <c r="H485" s="36"/>
      <c r="I485" s="75"/>
      <c r="J485" s="36"/>
      <c r="K485" s="36"/>
      <c r="L485" s="36"/>
      <c r="N485" s="8"/>
      <c r="O485" s="8"/>
      <c r="P485" s="8"/>
      <c r="Q485" s="59"/>
      <c r="R485" s="66"/>
    </row>
    <row r="486" spans="1:18" ht="16.5" thickBot="1">
      <c r="A486" s="18"/>
      <c r="B486" s="55"/>
      <c r="C486" s="56"/>
      <c r="D486" s="74"/>
      <c r="E486" s="56"/>
      <c r="F486" s="57"/>
      <c r="G486" s="19">
        <f>SUM(G479:G485)</f>
        <v>423750</v>
      </c>
      <c r="H486" s="19">
        <f t="shared" ref="H486:P486" si="74">SUM(H479:H485)</f>
        <v>118429878</v>
      </c>
      <c r="I486" s="19">
        <f t="shared" si="74"/>
        <v>67400</v>
      </c>
      <c r="J486" s="19">
        <f t="shared" si="74"/>
        <v>2973027</v>
      </c>
      <c r="K486" s="19">
        <f t="shared" si="74"/>
        <v>0</v>
      </c>
      <c r="L486" s="19">
        <f t="shared" si="74"/>
        <v>2238325</v>
      </c>
      <c r="M486" s="19">
        <f t="shared" si="74"/>
        <v>1200000</v>
      </c>
      <c r="N486" s="19">
        <f t="shared" si="74"/>
        <v>125332380</v>
      </c>
      <c r="O486" s="19">
        <f t="shared" si="74"/>
        <v>304667620</v>
      </c>
      <c r="P486" s="19">
        <f t="shared" si="74"/>
        <v>430000000</v>
      </c>
      <c r="Q486" s="68"/>
      <c r="R486" s="70"/>
    </row>
    <row r="487" spans="1:18" ht="16.5" hidden="1" thickTop="1">
      <c r="A487" s="23"/>
      <c r="B487" s="22"/>
      <c r="C487" s="22"/>
      <c r="D487" s="23"/>
      <c r="E487" s="22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2"/>
      <c r="Q487" s="69"/>
    </row>
    <row r="488" spans="1:18" ht="15.75" hidden="1">
      <c r="A488" s="23"/>
      <c r="B488" s="28" t="s">
        <v>924</v>
      </c>
      <c r="C488" s="22"/>
      <c r="D488" s="39"/>
      <c r="F488" s="27"/>
      <c r="G488" s="28"/>
      <c r="H488" s="28"/>
      <c r="I488" s="28"/>
      <c r="J488" s="28"/>
      <c r="K488" s="28"/>
      <c r="L488" s="28"/>
      <c r="Q488" s="51"/>
    </row>
    <row r="489" spans="1:18" ht="15.75" hidden="1">
      <c r="A489" s="38"/>
      <c r="B489" s="40" t="s">
        <v>32</v>
      </c>
      <c r="C489" s="28" t="s">
        <v>28</v>
      </c>
      <c r="D489" s="39"/>
      <c r="F489" s="41"/>
      <c r="G489" s="143" t="s">
        <v>26</v>
      </c>
      <c r="H489" s="143"/>
      <c r="I489" s="143"/>
      <c r="K489" s="41"/>
    </row>
    <row r="490" spans="1:18" ht="15.75" hidden="1">
      <c r="A490" s="38"/>
      <c r="B490" s="40"/>
      <c r="C490" s="28"/>
      <c r="D490" s="39"/>
      <c r="F490" s="28"/>
      <c r="G490" s="28"/>
      <c r="H490" s="28"/>
      <c r="I490" s="28"/>
      <c r="J490" s="28"/>
      <c r="K490" s="28"/>
      <c r="L490" s="28"/>
    </row>
    <row r="491" spans="1:18" ht="15.75" hidden="1">
      <c r="A491" s="38"/>
      <c r="B491" s="40"/>
      <c r="C491" s="28"/>
      <c r="D491" s="39"/>
      <c r="F491" s="28"/>
      <c r="G491" s="28"/>
      <c r="H491" s="28"/>
      <c r="I491" s="28"/>
      <c r="J491" s="28"/>
      <c r="K491" s="28"/>
      <c r="L491" s="28"/>
    </row>
    <row r="492" spans="1:18" ht="15.75" hidden="1">
      <c r="A492" s="38"/>
      <c r="B492" s="40"/>
      <c r="C492" s="28"/>
      <c r="D492" s="39"/>
      <c r="F492" s="28"/>
      <c r="G492" s="28"/>
      <c r="H492" s="28"/>
      <c r="I492" s="28"/>
      <c r="J492" s="28"/>
      <c r="K492" s="28"/>
    </row>
    <row r="493" spans="1:18" ht="15.75" hidden="1">
      <c r="A493" s="38"/>
      <c r="B493" s="40"/>
      <c r="C493" s="28"/>
      <c r="D493" s="39"/>
      <c r="F493" s="28"/>
      <c r="G493" s="28"/>
      <c r="H493" s="28"/>
      <c r="I493" s="28"/>
      <c r="J493" s="28"/>
      <c r="K493" s="28"/>
      <c r="L493" s="28"/>
    </row>
    <row r="494" spans="1:18" ht="15.75" hidden="1">
      <c r="A494" s="38" t="s">
        <v>23</v>
      </c>
      <c r="B494" s="42" t="s">
        <v>27</v>
      </c>
      <c r="C494" s="43" t="s">
        <v>24</v>
      </c>
      <c r="D494" s="39"/>
      <c r="F494" s="29"/>
      <c r="G494" s="29" t="s">
        <v>16</v>
      </c>
      <c r="H494" s="29"/>
      <c r="I494" s="29" t="s">
        <v>30</v>
      </c>
    </row>
    <row r="495" spans="1:18" ht="15.75" hidden="1">
      <c r="A495" s="38"/>
      <c r="B495" s="44" t="s">
        <v>31</v>
      </c>
      <c r="C495" s="45" t="s">
        <v>20</v>
      </c>
      <c r="D495" s="39"/>
      <c r="F495" s="46"/>
      <c r="G495" s="46" t="s">
        <v>17</v>
      </c>
      <c r="H495" s="46"/>
      <c r="I495" s="46" t="s">
        <v>25</v>
      </c>
    </row>
    <row r="496" spans="1:18" hidden="1"/>
    <row r="497" spans="1:18" ht="16.5" thickTop="1">
      <c r="A497" s="21" t="s">
        <v>0</v>
      </c>
      <c r="B497" s="22"/>
      <c r="C497" s="23"/>
      <c r="D497" s="23"/>
      <c r="E497" s="23"/>
      <c r="F497" s="24"/>
      <c r="G497" s="24"/>
      <c r="H497" s="24"/>
      <c r="I497" s="24"/>
      <c r="J497" s="24"/>
      <c r="K497" s="24"/>
      <c r="L497" s="25"/>
    </row>
    <row r="498" spans="1:18" ht="15.75">
      <c r="A498" s="26" t="s">
        <v>923</v>
      </c>
      <c r="B498" s="21"/>
      <c r="C498" s="21"/>
      <c r="D498" s="21"/>
      <c r="E498" s="21"/>
      <c r="F498" s="24"/>
      <c r="G498" s="24"/>
      <c r="H498" s="24"/>
      <c r="I498" s="24"/>
      <c r="J498" s="24"/>
      <c r="K498" s="24"/>
      <c r="L498" s="25"/>
    </row>
    <row r="499" spans="1:18">
      <c r="A499" s="62"/>
      <c r="B499" s="62" t="s">
        <v>1</v>
      </c>
      <c r="C499" s="93" t="s">
        <v>2</v>
      </c>
      <c r="D499" s="117" t="s">
        <v>34</v>
      </c>
      <c r="E499" s="95" t="s">
        <v>3</v>
      </c>
      <c r="F499" s="93" t="s">
        <v>4</v>
      </c>
      <c r="G499" s="96" t="s">
        <v>18</v>
      </c>
      <c r="H499" s="96" t="s">
        <v>18</v>
      </c>
      <c r="I499" s="96" t="s">
        <v>18</v>
      </c>
      <c r="J499" s="97" t="s">
        <v>7</v>
      </c>
      <c r="K499" s="130" t="s">
        <v>6</v>
      </c>
      <c r="L499" s="96" t="s">
        <v>29</v>
      </c>
      <c r="M499" s="96" t="s">
        <v>21</v>
      </c>
      <c r="N499" s="96" t="s">
        <v>8</v>
      </c>
      <c r="O499" s="96" t="s">
        <v>8</v>
      </c>
      <c r="P499" s="96" t="s">
        <v>9</v>
      </c>
      <c r="Q499" s="62" t="s">
        <v>10</v>
      </c>
      <c r="R499" s="98" t="s">
        <v>33</v>
      </c>
    </row>
    <row r="500" spans="1:18">
      <c r="A500" s="99"/>
      <c r="B500" s="99"/>
      <c r="C500" s="100"/>
      <c r="D500" s="101"/>
      <c r="E500" s="102"/>
      <c r="F500" s="100"/>
      <c r="G500" s="103" t="s">
        <v>12</v>
      </c>
      <c r="H500" s="103" t="s">
        <v>12</v>
      </c>
      <c r="I500" s="103" t="s">
        <v>12</v>
      </c>
      <c r="J500" s="119" t="s">
        <v>19</v>
      </c>
      <c r="K500" s="131" t="s">
        <v>35</v>
      </c>
      <c r="L500" s="103" t="s">
        <v>22</v>
      </c>
      <c r="M500" s="103" t="s">
        <v>15</v>
      </c>
      <c r="N500" s="103" t="s">
        <v>13</v>
      </c>
      <c r="O500" s="103" t="s">
        <v>14</v>
      </c>
      <c r="P500" s="103" t="s">
        <v>12</v>
      </c>
      <c r="Q500" s="99"/>
      <c r="R500" s="104"/>
    </row>
    <row r="501" spans="1:18">
      <c r="A501" s="99"/>
      <c r="B501" s="99"/>
      <c r="C501" s="105"/>
      <c r="D501" s="101"/>
      <c r="E501" s="102"/>
      <c r="F501" s="100"/>
      <c r="G501" s="103" t="s">
        <v>81</v>
      </c>
      <c r="H501" s="103" t="s">
        <v>22</v>
      </c>
      <c r="I501" s="103" t="s">
        <v>81</v>
      </c>
      <c r="J501" s="119" t="s">
        <v>5</v>
      </c>
      <c r="K501" s="131"/>
      <c r="L501" s="103"/>
      <c r="M501" s="103"/>
      <c r="N501" s="103"/>
      <c r="O501" s="103"/>
      <c r="P501" s="103"/>
      <c r="Q501" s="99"/>
      <c r="R501" s="104"/>
    </row>
    <row r="502" spans="1:18">
      <c r="A502" s="106"/>
      <c r="B502" s="106"/>
      <c r="C502" s="107"/>
      <c r="D502" s="108"/>
      <c r="E502" s="109"/>
      <c r="F502" s="110"/>
      <c r="G502" s="111"/>
      <c r="H502" s="112"/>
      <c r="I502" s="142" t="s">
        <v>821</v>
      </c>
      <c r="J502" s="132"/>
      <c r="K502" s="132"/>
      <c r="L502" s="113"/>
      <c r="M502" s="108"/>
      <c r="N502" s="111"/>
      <c r="O502" s="111"/>
      <c r="P502" s="111"/>
      <c r="Q502" s="106"/>
      <c r="R502" s="114"/>
    </row>
    <row r="503" spans="1:18" ht="15.75">
      <c r="A503" s="52"/>
      <c r="B503" s="47"/>
      <c r="C503" s="48"/>
      <c r="D503" s="73"/>
      <c r="E503" s="17"/>
      <c r="F503" s="48"/>
      <c r="G503" s="36"/>
      <c r="H503" s="36"/>
      <c r="I503" s="125"/>
      <c r="J503" s="36"/>
      <c r="K503" s="36"/>
      <c r="L503" s="8"/>
      <c r="N503" s="8"/>
      <c r="O503" s="8"/>
      <c r="P503" s="8"/>
      <c r="Q503" s="35"/>
      <c r="R503" s="37"/>
    </row>
    <row r="504" spans="1:18" ht="15.75">
      <c r="A504" s="52">
        <v>1</v>
      </c>
      <c r="B504" s="51" t="s">
        <v>945</v>
      </c>
      <c r="C504" s="48" t="s">
        <v>946</v>
      </c>
      <c r="D504" s="67" t="s">
        <v>947</v>
      </c>
      <c r="E504" s="17">
        <v>43308</v>
      </c>
      <c r="F504" s="20" t="s">
        <v>948</v>
      </c>
      <c r="G504" s="36">
        <v>0</v>
      </c>
      <c r="H504" s="8">
        <v>10200004</v>
      </c>
      <c r="I504" s="8">
        <v>3149234</v>
      </c>
      <c r="J504" s="8">
        <v>333731</v>
      </c>
      <c r="K504" s="8">
        <v>0</v>
      </c>
      <c r="L504" s="8">
        <v>658492</v>
      </c>
      <c r="M504" s="8">
        <v>200000</v>
      </c>
      <c r="N504" s="8">
        <f>SUM(G504:M504)</f>
        <v>14541461</v>
      </c>
      <c r="O504" s="8">
        <f>97041461-N504</f>
        <v>82500000</v>
      </c>
      <c r="P504" s="8">
        <f t="shared" ref="P504" si="75">+N504+O504</f>
        <v>97041461</v>
      </c>
      <c r="Q504" s="77" t="s">
        <v>949</v>
      </c>
      <c r="R504" s="66" t="s">
        <v>52</v>
      </c>
    </row>
    <row r="505" spans="1:18" ht="15.75">
      <c r="A505" s="52"/>
      <c r="B505" s="138"/>
      <c r="C505" s="48"/>
      <c r="E505" s="17"/>
      <c r="F505" s="48"/>
      <c r="G505" s="36"/>
      <c r="H505" s="36"/>
      <c r="I505" s="75"/>
      <c r="J505" s="36"/>
      <c r="K505" s="36"/>
      <c r="L505" s="36"/>
      <c r="N505" s="8"/>
      <c r="O505" s="8"/>
      <c r="P505" s="8"/>
      <c r="Q505" s="59"/>
      <c r="R505" s="66"/>
    </row>
    <row r="506" spans="1:18" ht="16.5" thickBot="1">
      <c r="A506" s="18"/>
      <c r="B506" s="55"/>
      <c r="C506" s="56"/>
      <c r="D506" s="74"/>
      <c r="E506" s="56"/>
      <c r="F506" s="57"/>
      <c r="G506" s="19">
        <f t="shared" ref="G506:P506" si="76">SUM(G504:G505)</f>
        <v>0</v>
      </c>
      <c r="H506" s="19">
        <f t="shared" si="76"/>
        <v>10200004</v>
      </c>
      <c r="I506" s="19">
        <f t="shared" si="76"/>
        <v>3149234</v>
      </c>
      <c r="J506" s="19">
        <f t="shared" si="76"/>
        <v>333731</v>
      </c>
      <c r="K506" s="19">
        <f t="shared" si="76"/>
        <v>0</v>
      </c>
      <c r="L506" s="19">
        <f t="shared" si="76"/>
        <v>658492</v>
      </c>
      <c r="M506" s="19">
        <f t="shared" si="76"/>
        <v>200000</v>
      </c>
      <c r="N506" s="19">
        <f t="shared" si="76"/>
        <v>14541461</v>
      </c>
      <c r="O506" s="19">
        <f t="shared" si="76"/>
        <v>82500000</v>
      </c>
      <c r="P506" s="19">
        <f t="shared" si="76"/>
        <v>97041461</v>
      </c>
      <c r="Q506" s="68"/>
      <c r="R506" s="70"/>
    </row>
    <row r="507" spans="1:18" ht="16.5" hidden="1" thickTop="1">
      <c r="A507" s="23"/>
      <c r="B507" s="22"/>
      <c r="C507" s="22"/>
      <c r="D507" s="23"/>
      <c r="E507" s="22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2"/>
      <c r="Q507" s="69"/>
    </row>
    <row r="508" spans="1:18" ht="15.75" hidden="1">
      <c r="A508" s="23"/>
      <c r="B508" s="28" t="s">
        <v>924</v>
      </c>
      <c r="C508" s="22"/>
      <c r="D508" s="39"/>
      <c r="F508" s="27"/>
      <c r="G508" s="28"/>
      <c r="H508" s="28"/>
      <c r="I508" s="28"/>
      <c r="J508" s="28"/>
      <c r="K508" s="28"/>
      <c r="L508" s="28"/>
      <c r="Q508" s="51"/>
    </row>
    <row r="509" spans="1:18" ht="15.75" hidden="1">
      <c r="A509" s="38"/>
      <c r="B509" s="40" t="s">
        <v>32</v>
      </c>
      <c r="C509" s="28" t="s">
        <v>28</v>
      </c>
      <c r="D509" s="39"/>
      <c r="F509" s="41"/>
      <c r="G509" s="143" t="s">
        <v>26</v>
      </c>
      <c r="H509" s="143"/>
      <c r="I509" s="143"/>
      <c r="K509" s="41"/>
    </row>
    <row r="510" spans="1:18" ht="15.75" hidden="1">
      <c r="A510" s="38"/>
      <c r="B510" s="40"/>
      <c r="C510" s="28"/>
      <c r="D510" s="39"/>
      <c r="F510" s="28"/>
      <c r="G510" s="28"/>
      <c r="H510" s="28"/>
      <c r="I510" s="28"/>
      <c r="J510" s="28"/>
      <c r="K510" s="28"/>
      <c r="L510" s="28"/>
    </row>
    <row r="511" spans="1:18" ht="15.75" hidden="1">
      <c r="A511" s="38"/>
      <c r="B511" s="40"/>
      <c r="C511" s="28"/>
      <c r="D511" s="39"/>
      <c r="F511" s="28"/>
      <c r="G511" s="28"/>
      <c r="H511" s="28"/>
      <c r="I511" s="28"/>
      <c r="J511" s="28"/>
      <c r="K511" s="28"/>
      <c r="L511" s="28"/>
    </row>
    <row r="512" spans="1:18" ht="15.75" hidden="1">
      <c r="A512" s="38"/>
      <c r="B512" s="40"/>
      <c r="C512" s="28"/>
      <c r="D512" s="39"/>
      <c r="F512" s="28"/>
      <c r="G512" s="28"/>
      <c r="H512" s="28"/>
      <c r="I512" s="28"/>
      <c r="J512" s="28"/>
      <c r="K512" s="28"/>
    </row>
    <row r="513" spans="1:18" ht="15.75" hidden="1">
      <c r="A513" s="38"/>
      <c r="B513" s="40"/>
      <c r="C513" s="28"/>
      <c r="D513" s="39"/>
      <c r="F513" s="28"/>
      <c r="G513" s="28"/>
      <c r="H513" s="28"/>
      <c r="I513" s="28"/>
      <c r="J513" s="28"/>
      <c r="K513" s="28"/>
      <c r="L513" s="28"/>
    </row>
    <row r="514" spans="1:18" ht="15.75" hidden="1">
      <c r="A514" s="38" t="s">
        <v>23</v>
      </c>
      <c r="B514" s="42" t="s">
        <v>27</v>
      </c>
      <c r="C514" s="43" t="s">
        <v>24</v>
      </c>
      <c r="D514" s="39"/>
      <c r="F514" s="29"/>
      <c r="G514" s="29" t="s">
        <v>16</v>
      </c>
      <c r="H514" s="29"/>
      <c r="I514" s="29" t="s">
        <v>30</v>
      </c>
    </row>
    <row r="515" spans="1:18" ht="15.75" hidden="1">
      <c r="A515" s="38"/>
      <c r="B515" s="44" t="s">
        <v>31</v>
      </c>
      <c r="C515" s="45" t="s">
        <v>20</v>
      </c>
      <c r="D515" s="39"/>
      <c r="F515" s="46"/>
      <c r="G515" s="46" t="s">
        <v>17</v>
      </c>
      <c r="H515" s="46"/>
      <c r="I515" s="46" t="s">
        <v>25</v>
      </c>
    </row>
    <row r="516" spans="1:18" hidden="1"/>
    <row r="517" spans="1:18" ht="16.5" thickTop="1">
      <c r="A517" s="21" t="s">
        <v>0</v>
      </c>
      <c r="B517" s="22"/>
      <c r="C517" s="23"/>
      <c r="D517" s="23"/>
      <c r="E517" s="23"/>
      <c r="F517" s="24"/>
      <c r="G517" s="24"/>
      <c r="H517" s="24"/>
      <c r="I517" s="24"/>
      <c r="J517" s="24"/>
      <c r="K517" s="24"/>
      <c r="L517" s="25"/>
    </row>
    <row r="518" spans="1:18" ht="15.75">
      <c r="A518" s="26" t="s">
        <v>923</v>
      </c>
      <c r="B518" s="21"/>
      <c r="C518" s="21"/>
      <c r="D518" s="21"/>
      <c r="E518" s="21"/>
      <c r="F518" s="24"/>
      <c r="G518" s="24"/>
      <c r="H518" s="24"/>
      <c r="I518" s="24"/>
      <c r="J518" s="24"/>
      <c r="K518" s="24"/>
      <c r="L518" s="25"/>
    </row>
    <row r="519" spans="1:18">
      <c r="A519" s="62"/>
      <c r="B519" s="62" t="s">
        <v>1</v>
      </c>
      <c r="C519" s="93" t="s">
        <v>2</v>
      </c>
      <c r="D519" s="117" t="s">
        <v>34</v>
      </c>
      <c r="E519" s="95" t="s">
        <v>3</v>
      </c>
      <c r="F519" s="93" t="s">
        <v>4</v>
      </c>
      <c r="G519" s="96" t="s">
        <v>18</v>
      </c>
      <c r="H519" s="96" t="s">
        <v>18</v>
      </c>
      <c r="I519" s="96" t="s">
        <v>18</v>
      </c>
      <c r="J519" s="97" t="s">
        <v>7</v>
      </c>
      <c r="K519" s="130" t="s">
        <v>6</v>
      </c>
      <c r="L519" s="96" t="s">
        <v>29</v>
      </c>
      <c r="M519" s="96" t="s">
        <v>21</v>
      </c>
      <c r="N519" s="96" t="s">
        <v>8</v>
      </c>
      <c r="O519" s="96" t="s">
        <v>8</v>
      </c>
      <c r="P519" s="96" t="s">
        <v>9</v>
      </c>
      <c r="Q519" s="62" t="s">
        <v>10</v>
      </c>
      <c r="R519" s="98" t="s">
        <v>33</v>
      </c>
    </row>
    <row r="520" spans="1:18">
      <c r="A520" s="99"/>
      <c r="B520" s="99"/>
      <c r="C520" s="100"/>
      <c r="D520" s="101"/>
      <c r="E520" s="102"/>
      <c r="F520" s="100"/>
      <c r="G520" s="103" t="s">
        <v>12</v>
      </c>
      <c r="H520" s="103" t="s">
        <v>12</v>
      </c>
      <c r="I520" s="103" t="s">
        <v>12</v>
      </c>
      <c r="J520" s="119" t="s">
        <v>19</v>
      </c>
      <c r="K520" s="131" t="s">
        <v>35</v>
      </c>
      <c r="L520" s="103" t="s">
        <v>22</v>
      </c>
      <c r="M520" s="103" t="s">
        <v>15</v>
      </c>
      <c r="N520" s="103" t="s">
        <v>13</v>
      </c>
      <c r="O520" s="103" t="s">
        <v>14</v>
      </c>
      <c r="P520" s="103" t="s">
        <v>12</v>
      </c>
      <c r="Q520" s="99"/>
      <c r="R520" s="104"/>
    </row>
    <row r="521" spans="1:18">
      <c r="A521" s="99"/>
      <c r="B521" s="99"/>
      <c r="C521" s="105"/>
      <c r="D521" s="101"/>
      <c r="E521" s="102"/>
      <c r="F521" s="100"/>
      <c r="G521" s="103" t="s">
        <v>81</v>
      </c>
      <c r="H521" s="103" t="s">
        <v>90</v>
      </c>
      <c r="I521" s="103" t="s">
        <v>81</v>
      </c>
      <c r="J521" s="119" t="s">
        <v>5</v>
      </c>
      <c r="K521" s="131"/>
      <c r="L521" s="103"/>
      <c r="M521" s="103"/>
      <c r="N521" s="103"/>
      <c r="O521" s="103"/>
      <c r="P521" s="103"/>
      <c r="Q521" s="99"/>
      <c r="R521" s="104"/>
    </row>
    <row r="522" spans="1:18">
      <c r="A522" s="106"/>
      <c r="B522" s="106"/>
      <c r="C522" s="107"/>
      <c r="D522" s="108"/>
      <c r="E522" s="109"/>
      <c r="F522" s="110"/>
      <c r="G522" s="111"/>
      <c r="H522" s="112"/>
      <c r="I522" s="142" t="s">
        <v>821</v>
      </c>
      <c r="J522" s="132"/>
      <c r="K522" s="132"/>
      <c r="L522" s="113"/>
      <c r="M522" s="108"/>
      <c r="N522" s="111"/>
      <c r="O522" s="111"/>
      <c r="P522" s="111"/>
      <c r="Q522" s="106"/>
      <c r="R522" s="114"/>
    </row>
    <row r="523" spans="1:18" ht="15.75">
      <c r="A523" s="52"/>
      <c r="B523" s="47"/>
      <c r="C523" s="48"/>
      <c r="D523" s="73"/>
      <c r="E523" s="17"/>
      <c r="F523" s="48"/>
      <c r="G523" s="36"/>
      <c r="H523" s="36"/>
      <c r="I523" s="125"/>
      <c r="J523" s="36"/>
      <c r="K523" s="36"/>
      <c r="L523" s="8"/>
      <c r="N523" s="8"/>
      <c r="O523" s="8"/>
      <c r="P523" s="8"/>
      <c r="Q523" s="35"/>
      <c r="R523" s="37"/>
    </row>
    <row r="524" spans="1:18" ht="15.75">
      <c r="A524" s="52">
        <v>1</v>
      </c>
      <c r="B524" s="51" t="s">
        <v>950</v>
      </c>
      <c r="C524" s="48" t="s">
        <v>951</v>
      </c>
      <c r="D524" s="67"/>
      <c r="E524" s="17">
        <v>43308</v>
      </c>
      <c r="F524" s="20" t="s">
        <v>952</v>
      </c>
      <c r="G524" s="36">
        <v>0</v>
      </c>
      <c r="H524" s="8">
        <v>14988000</v>
      </c>
      <c r="I524" s="8">
        <v>0</v>
      </c>
      <c r="J524" s="8">
        <v>374700</v>
      </c>
      <c r="K524" s="8">
        <v>0</v>
      </c>
      <c r="L524" s="8">
        <v>450000</v>
      </c>
      <c r="M524" s="8">
        <v>200000</v>
      </c>
      <c r="N524" s="8">
        <f>SUM(G524:M524)</f>
        <v>16012700</v>
      </c>
      <c r="O524" s="8">
        <f>75000000-N524</f>
        <v>58987300</v>
      </c>
      <c r="P524" s="8">
        <f t="shared" ref="P524" si="77">+N524+O524</f>
        <v>75000000</v>
      </c>
      <c r="Q524" s="77" t="s">
        <v>953</v>
      </c>
      <c r="R524" s="66" t="s">
        <v>52</v>
      </c>
    </row>
    <row r="525" spans="1:18" ht="15.75">
      <c r="A525" s="52"/>
      <c r="B525" s="138"/>
      <c r="C525" s="48"/>
      <c r="E525" s="17"/>
      <c r="F525" s="48"/>
      <c r="G525" s="36"/>
      <c r="H525" s="36"/>
      <c r="I525" s="75"/>
      <c r="J525" s="36"/>
      <c r="K525" s="36"/>
      <c r="L525" s="36"/>
      <c r="N525" s="8"/>
      <c r="O525" s="8"/>
      <c r="P525" s="8"/>
      <c r="Q525" s="59"/>
      <c r="R525" s="66"/>
    </row>
    <row r="526" spans="1:18" ht="16.5" thickBot="1">
      <c r="A526" s="18"/>
      <c r="B526" s="55"/>
      <c r="C526" s="56"/>
      <c r="D526" s="74"/>
      <c r="E526" s="56"/>
      <c r="F526" s="57"/>
      <c r="G526" s="19">
        <f t="shared" ref="G526" si="78">SUM(G524:G525)</f>
        <v>0</v>
      </c>
      <c r="H526" s="19">
        <f t="shared" ref="H526" si="79">SUM(H524:H525)</f>
        <v>14988000</v>
      </c>
      <c r="I526" s="19">
        <f t="shared" ref="I526" si="80">SUM(I524:I525)</f>
        <v>0</v>
      </c>
      <c r="J526" s="19">
        <f t="shared" ref="J526" si="81">SUM(J524:J525)</f>
        <v>374700</v>
      </c>
      <c r="K526" s="19">
        <f t="shared" ref="K526" si="82">SUM(K524:K525)</f>
        <v>0</v>
      </c>
      <c r="L526" s="19">
        <f t="shared" ref="L526" si="83">SUM(L524:L525)</f>
        <v>450000</v>
      </c>
      <c r="M526" s="19">
        <f t="shared" ref="M526" si="84">SUM(M524:M525)</f>
        <v>200000</v>
      </c>
      <c r="N526" s="19">
        <f t="shared" ref="N526" si="85">SUM(N524:N525)</f>
        <v>16012700</v>
      </c>
      <c r="O526" s="19">
        <f t="shared" ref="O526" si="86">SUM(O524:O525)</f>
        <v>58987300</v>
      </c>
      <c r="P526" s="19">
        <f t="shared" ref="P526" si="87">SUM(P524:P525)</f>
        <v>75000000</v>
      </c>
      <c r="Q526" s="68"/>
      <c r="R526" s="70"/>
    </row>
    <row r="527" spans="1:18" ht="16.5" hidden="1" thickTop="1">
      <c r="A527" s="23"/>
      <c r="B527" s="22"/>
      <c r="C527" s="22"/>
      <c r="D527" s="23"/>
      <c r="E527" s="22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2"/>
      <c r="Q527" s="69"/>
    </row>
    <row r="528" spans="1:18" ht="15.75" hidden="1">
      <c r="A528" s="23"/>
      <c r="B528" s="28" t="s">
        <v>924</v>
      </c>
      <c r="C528" s="22"/>
      <c r="D528" s="39"/>
      <c r="F528" s="27"/>
      <c r="G528" s="28"/>
      <c r="H528" s="28"/>
      <c r="I528" s="28"/>
      <c r="J528" s="28"/>
      <c r="K528" s="28"/>
      <c r="L528" s="28"/>
      <c r="Q528" s="51"/>
    </row>
    <row r="529" spans="1:18" ht="15.75" hidden="1">
      <c r="A529" s="38"/>
      <c r="B529" s="40" t="s">
        <v>32</v>
      </c>
      <c r="C529" s="28" t="s">
        <v>28</v>
      </c>
      <c r="D529" s="39"/>
      <c r="F529" s="41"/>
      <c r="G529" s="143" t="s">
        <v>26</v>
      </c>
      <c r="H529" s="143"/>
      <c r="I529" s="143"/>
      <c r="K529" s="41"/>
    </row>
    <row r="530" spans="1:18" ht="15.75" hidden="1">
      <c r="A530" s="38"/>
      <c r="B530" s="40"/>
      <c r="C530" s="28"/>
      <c r="D530" s="39"/>
      <c r="F530" s="28"/>
      <c r="G530" s="28"/>
      <c r="H530" s="28"/>
      <c r="I530" s="28"/>
      <c r="J530" s="28"/>
      <c r="K530" s="28"/>
      <c r="L530" s="28"/>
    </row>
    <row r="531" spans="1:18" ht="15.75" hidden="1">
      <c r="A531" s="38"/>
      <c r="B531" s="40"/>
      <c r="C531" s="28"/>
      <c r="D531" s="39"/>
      <c r="F531" s="28"/>
      <c r="G531" s="28"/>
      <c r="H531" s="28"/>
      <c r="I531" s="28"/>
      <c r="J531" s="28"/>
      <c r="K531" s="28"/>
      <c r="L531" s="28"/>
    </row>
    <row r="532" spans="1:18" ht="15.75" hidden="1">
      <c r="A532" s="38"/>
      <c r="B532" s="40"/>
      <c r="C532" s="28"/>
      <c r="D532" s="39"/>
      <c r="F532" s="28"/>
      <c r="G532" s="28"/>
      <c r="H532" s="28"/>
      <c r="I532" s="28"/>
      <c r="J532" s="28"/>
      <c r="K532" s="28"/>
    </row>
    <row r="533" spans="1:18" ht="15.75" hidden="1">
      <c r="A533" s="38"/>
      <c r="B533" s="40"/>
      <c r="C533" s="28"/>
      <c r="D533" s="39"/>
      <c r="F533" s="28"/>
      <c r="G533" s="28"/>
      <c r="H533" s="28"/>
      <c r="I533" s="28"/>
      <c r="J533" s="28"/>
      <c r="K533" s="28"/>
      <c r="L533" s="28"/>
    </row>
    <row r="534" spans="1:18" ht="15.75" hidden="1">
      <c r="A534" s="38" t="s">
        <v>23</v>
      </c>
      <c r="B534" s="42" t="s">
        <v>27</v>
      </c>
      <c r="C534" s="43" t="s">
        <v>24</v>
      </c>
      <c r="D534" s="39"/>
      <c r="F534" s="29"/>
      <c r="G534" s="29" t="s">
        <v>16</v>
      </c>
      <c r="H534" s="29"/>
      <c r="I534" s="29" t="s">
        <v>30</v>
      </c>
    </row>
    <row r="535" spans="1:18" ht="15.75" hidden="1">
      <c r="A535" s="38"/>
      <c r="B535" s="44" t="s">
        <v>31</v>
      </c>
      <c r="C535" s="45" t="s">
        <v>20</v>
      </c>
      <c r="D535" s="39"/>
      <c r="F535" s="46"/>
      <c r="G535" s="46" t="s">
        <v>17</v>
      </c>
      <c r="H535" s="46"/>
      <c r="I535" s="46" t="s">
        <v>25</v>
      </c>
    </row>
    <row r="536" spans="1:18" hidden="1"/>
    <row r="537" spans="1:18" ht="16.5" thickTop="1">
      <c r="A537" s="21" t="s">
        <v>0</v>
      </c>
      <c r="B537" s="22"/>
      <c r="C537" s="23"/>
      <c r="D537" s="23"/>
      <c r="E537" s="23"/>
      <c r="F537" s="24"/>
      <c r="G537" s="24"/>
      <c r="H537" s="24"/>
      <c r="I537" s="24"/>
      <c r="J537" s="24"/>
      <c r="K537" s="24"/>
      <c r="L537" s="25"/>
    </row>
    <row r="538" spans="1:18" ht="15.75">
      <c r="A538" s="26" t="s">
        <v>954</v>
      </c>
      <c r="B538" s="21"/>
      <c r="C538" s="21"/>
      <c r="D538" s="21"/>
      <c r="E538" s="21"/>
      <c r="F538" s="24"/>
      <c r="G538" s="24"/>
      <c r="H538" s="24"/>
      <c r="I538" s="24"/>
      <c r="J538" s="24"/>
      <c r="K538" s="24"/>
      <c r="L538" s="25"/>
    </row>
    <row r="539" spans="1:18">
      <c r="A539" s="62"/>
      <c r="B539" s="62" t="s">
        <v>1</v>
      </c>
      <c r="C539" s="93" t="s">
        <v>2</v>
      </c>
      <c r="D539" s="117" t="s">
        <v>34</v>
      </c>
      <c r="E539" s="95" t="s">
        <v>3</v>
      </c>
      <c r="F539" s="93" t="s">
        <v>4</v>
      </c>
      <c r="G539" s="96" t="s">
        <v>18</v>
      </c>
      <c r="H539" s="96" t="s">
        <v>18</v>
      </c>
      <c r="I539" s="96" t="s">
        <v>18</v>
      </c>
      <c r="J539" s="97" t="s">
        <v>7</v>
      </c>
      <c r="K539" s="130" t="s">
        <v>6</v>
      </c>
      <c r="L539" s="96" t="s">
        <v>29</v>
      </c>
      <c r="M539" s="96" t="s">
        <v>21</v>
      </c>
      <c r="N539" s="96" t="s">
        <v>8</v>
      </c>
      <c r="O539" s="96" t="s">
        <v>8</v>
      </c>
      <c r="P539" s="96" t="s">
        <v>9</v>
      </c>
      <c r="Q539" s="62" t="s">
        <v>10</v>
      </c>
      <c r="R539" s="98" t="s">
        <v>33</v>
      </c>
    </row>
    <row r="540" spans="1:18">
      <c r="A540" s="99"/>
      <c r="B540" s="99"/>
      <c r="C540" s="100"/>
      <c r="D540" s="101"/>
      <c r="E540" s="102"/>
      <c r="F540" s="100"/>
      <c r="G540" s="103" t="s">
        <v>12</v>
      </c>
      <c r="H540" s="103" t="s">
        <v>12</v>
      </c>
      <c r="I540" s="103" t="s">
        <v>12</v>
      </c>
      <c r="J540" s="119" t="s">
        <v>19</v>
      </c>
      <c r="K540" s="131" t="s">
        <v>35</v>
      </c>
      <c r="L540" s="103" t="s">
        <v>22</v>
      </c>
      <c r="M540" s="103" t="s">
        <v>15</v>
      </c>
      <c r="N540" s="103" t="s">
        <v>13</v>
      </c>
      <c r="O540" s="103" t="s">
        <v>14</v>
      </c>
      <c r="P540" s="103" t="s">
        <v>12</v>
      </c>
      <c r="Q540" s="99"/>
      <c r="R540" s="104"/>
    </row>
    <row r="541" spans="1:18">
      <c r="A541" s="99"/>
      <c r="B541" s="99"/>
      <c r="C541" s="105"/>
      <c r="D541" s="101"/>
      <c r="E541" s="102"/>
      <c r="F541" s="100"/>
      <c r="G541" s="103" t="s">
        <v>42</v>
      </c>
      <c r="H541" s="103" t="s">
        <v>22</v>
      </c>
      <c r="I541" s="103" t="s">
        <v>81</v>
      </c>
      <c r="J541" s="119" t="s">
        <v>5</v>
      </c>
      <c r="K541" s="131"/>
      <c r="L541" s="103"/>
      <c r="M541" s="103"/>
      <c r="N541" s="103"/>
      <c r="O541" s="103"/>
      <c r="P541" s="103"/>
      <c r="Q541" s="99"/>
      <c r="R541" s="104"/>
    </row>
    <row r="542" spans="1:18">
      <c r="A542" s="106"/>
      <c r="B542" s="106"/>
      <c r="C542" s="107"/>
      <c r="D542" s="108"/>
      <c r="E542" s="109"/>
      <c r="F542" s="110"/>
      <c r="G542" s="111"/>
      <c r="H542" s="112"/>
      <c r="I542" s="142" t="s">
        <v>821</v>
      </c>
      <c r="J542" s="132"/>
      <c r="K542" s="132"/>
      <c r="L542" s="113"/>
      <c r="M542" s="108"/>
      <c r="N542" s="111"/>
      <c r="O542" s="111"/>
      <c r="P542" s="111"/>
      <c r="Q542" s="106"/>
      <c r="R542" s="114"/>
    </row>
    <row r="543" spans="1:18" ht="15.75">
      <c r="A543" s="52"/>
      <c r="B543" s="47"/>
      <c r="C543" s="48"/>
      <c r="D543" s="73"/>
      <c r="E543" s="17"/>
      <c r="F543" s="48"/>
      <c r="G543" s="36"/>
      <c r="H543" s="36"/>
      <c r="I543" s="125"/>
      <c r="J543" s="36"/>
      <c r="K543" s="36"/>
      <c r="L543" s="8"/>
      <c r="N543" s="8"/>
      <c r="O543" s="8"/>
      <c r="P543" s="8"/>
      <c r="Q543" s="35"/>
      <c r="R543" s="37"/>
    </row>
    <row r="544" spans="1:18" ht="15.75">
      <c r="A544" s="52">
        <v>1</v>
      </c>
      <c r="B544" s="51" t="s">
        <v>955</v>
      </c>
      <c r="C544" s="48" t="s">
        <v>956</v>
      </c>
      <c r="D544" s="67" t="s">
        <v>957</v>
      </c>
      <c r="E544" s="17">
        <v>43312</v>
      </c>
      <c r="F544" s="20" t="s">
        <v>958</v>
      </c>
      <c r="G544" s="36">
        <v>0</v>
      </c>
      <c r="H544" s="8">
        <v>33050000</v>
      </c>
      <c r="I544" s="8">
        <v>0</v>
      </c>
      <c r="J544" s="8">
        <v>826250</v>
      </c>
      <c r="K544" s="8">
        <v>0</v>
      </c>
      <c r="L544" s="8">
        <v>169500</v>
      </c>
      <c r="M544" s="8">
        <v>200000</v>
      </c>
      <c r="N544" s="8">
        <f>SUM(G544:M544)</f>
        <v>34245750</v>
      </c>
      <c r="O544" s="8">
        <f>50000000-N544</f>
        <v>15754250</v>
      </c>
      <c r="P544" s="8">
        <f t="shared" ref="P544" si="88">+N544+O544</f>
        <v>50000000</v>
      </c>
      <c r="Q544" s="77" t="s">
        <v>112</v>
      </c>
      <c r="R544" s="66" t="s">
        <v>52</v>
      </c>
    </row>
    <row r="545" spans="1:18" ht="15.75">
      <c r="A545" s="52">
        <v>2</v>
      </c>
      <c r="B545" s="51" t="s">
        <v>959</v>
      </c>
      <c r="C545" s="48" t="s">
        <v>960</v>
      </c>
      <c r="D545" s="67" t="s">
        <v>961</v>
      </c>
      <c r="E545" s="17">
        <v>43312</v>
      </c>
      <c r="F545" s="20" t="s">
        <v>962</v>
      </c>
      <c r="G545" s="36">
        <v>16250000</v>
      </c>
      <c r="H545" s="8">
        <v>0</v>
      </c>
      <c r="I545" s="8">
        <v>0</v>
      </c>
      <c r="J545" s="8">
        <v>406250</v>
      </c>
      <c r="K545" s="8">
        <v>0</v>
      </c>
      <c r="L545" s="8">
        <v>300000</v>
      </c>
      <c r="M545" s="8">
        <v>200000</v>
      </c>
      <c r="N545" s="8">
        <f>SUM(G545:M545)</f>
        <v>17156250</v>
      </c>
      <c r="O545" s="8">
        <f>60000000-N545</f>
        <v>42843750</v>
      </c>
      <c r="P545" s="8">
        <f t="shared" ref="P545" si="89">+N545+O545</f>
        <v>60000000</v>
      </c>
      <c r="Q545" s="77" t="s">
        <v>963</v>
      </c>
      <c r="R545" s="66" t="s">
        <v>52</v>
      </c>
    </row>
    <row r="546" spans="1:18" ht="15.75">
      <c r="A546" s="52"/>
      <c r="B546" s="138"/>
      <c r="C546" s="48"/>
      <c r="E546" s="17"/>
      <c r="F546" s="48"/>
      <c r="G546" s="36"/>
      <c r="H546" s="36"/>
      <c r="I546" s="75"/>
      <c r="J546" s="36"/>
      <c r="K546" s="36"/>
      <c r="L546" s="36"/>
      <c r="N546" s="8"/>
      <c r="O546" s="8"/>
      <c r="P546" s="8"/>
      <c r="Q546" s="59"/>
      <c r="R546" s="66"/>
    </row>
    <row r="547" spans="1:18" ht="16.5" thickBot="1">
      <c r="A547" s="18"/>
      <c r="B547" s="55"/>
      <c r="C547" s="56"/>
      <c r="D547" s="74"/>
      <c r="E547" s="56"/>
      <c r="F547" s="57"/>
      <c r="G547" s="19">
        <f>SUM(G544:G546)</f>
        <v>16250000</v>
      </c>
      <c r="H547" s="19">
        <f t="shared" ref="H547:P547" si="90">SUM(H544:H546)</f>
        <v>33050000</v>
      </c>
      <c r="I547" s="19">
        <f t="shared" si="90"/>
        <v>0</v>
      </c>
      <c r="J547" s="19">
        <f t="shared" si="90"/>
        <v>1232500</v>
      </c>
      <c r="K547" s="19">
        <f t="shared" si="90"/>
        <v>0</v>
      </c>
      <c r="L547" s="19">
        <f t="shared" si="90"/>
        <v>469500</v>
      </c>
      <c r="M547" s="19">
        <f t="shared" si="90"/>
        <v>400000</v>
      </c>
      <c r="N547" s="19">
        <f t="shared" si="90"/>
        <v>51402000</v>
      </c>
      <c r="O547" s="19">
        <f t="shared" si="90"/>
        <v>58598000</v>
      </c>
      <c r="P547" s="19">
        <f t="shared" si="90"/>
        <v>110000000</v>
      </c>
      <c r="Q547" s="68"/>
      <c r="R547" s="70"/>
    </row>
    <row r="548" spans="1:18" ht="16.5" thickTop="1">
      <c r="A548" s="23"/>
      <c r="B548" s="22"/>
      <c r="C548" s="22"/>
      <c r="D548" s="23"/>
      <c r="E548" s="22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2"/>
      <c r="Q548" s="69"/>
    </row>
    <row r="549" spans="1:18" ht="15.75">
      <c r="A549" s="23"/>
      <c r="B549" s="28" t="s">
        <v>964</v>
      </c>
      <c r="C549" s="22"/>
      <c r="D549" s="39"/>
      <c r="F549" s="27"/>
      <c r="G549" s="28"/>
      <c r="H549" s="28"/>
      <c r="I549" s="28"/>
      <c r="J549" s="28"/>
      <c r="K549" s="28"/>
      <c r="L549" s="28"/>
      <c r="Q549" s="51"/>
    </row>
    <row r="550" spans="1:18" ht="15.75">
      <c r="A550" s="38"/>
      <c r="B550" s="40" t="s">
        <v>32</v>
      </c>
      <c r="C550" s="28" t="s">
        <v>28</v>
      </c>
      <c r="D550" s="39"/>
      <c r="F550" s="41"/>
      <c r="G550" s="143" t="s">
        <v>26</v>
      </c>
      <c r="H550" s="143"/>
      <c r="I550" s="143"/>
      <c r="K550" s="41"/>
    </row>
    <row r="551" spans="1:18" ht="15.75">
      <c r="A551" s="38"/>
      <c r="B551" s="40"/>
      <c r="C551" s="28"/>
      <c r="D551" s="39"/>
      <c r="F551" s="28"/>
      <c r="G551" s="28"/>
      <c r="H551" s="28"/>
      <c r="I551" s="28"/>
      <c r="J551" s="28"/>
      <c r="K551" s="28"/>
      <c r="L551" s="28"/>
    </row>
    <row r="552" spans="1:18" ht="15.75">
      <c r="A552" s="38"/>
      <c r="B552" s="40"/>
      <c r="C552" s="28"/>
      <c r="D552" s="39"/>
      <c r="F552" s="28"/>
      <c r="G552" s="28"/>
      <c r="H552" s="28"/>
      <c r="I552" s="28"/>
      <c r="J552" s="28"/>
      <c r="K552" s="28"/>
      <c r="L552" s="28"/>
    </row>
    <row r="553" spans="1:18" ht="15.75">
      <c r="A553" s="38"/>
      <c r="B553" s="40"/>
      <c r="C553" s="28"/>
      <c r="D553" s="39"/>
      <c r="F553" s="28"/>
      <c r="G553" s="28"/>
      <c r="H553" s="28"/>
      <c r="I553" s="28"/>
      <c r="J553" s="28"/>
      <c r="K553" s="28"/>
    </row>
    <row r="554" spans="1:18" ht="15.75">
      <c r="A554" s="38"/>
      <c r="B554" s="40"/>
      <c r="C554" s="28"/>
      <c r="D554" s="39"/>
      <c r="F554" s="28"/>
      <c r="G554" s="28"/>
      <c r="H554" s="28"/>
      <c r="I554" s="28"/>
      <c r="J554" s="28"/>
      <c r="K554" s="28"/>
      <c r="L554" s="28"/>
    </row>
    <row r="555" spans="1:18" ht="15.75">
      <c r="A555" s="38" t="s">
        <v>23</v>
      </c>
      <c r="B555" s="42" t="s">
        <v>27</v>
      </c>
      <c r="C555" s="43" t="s">
        <v>24</v>
      </c>
      <c r="D555" s="39"/>
      <c r="F555" s="29"/>
      <c r="G555" s="29" t="s">
        <v>16</v>
      </c>
      <c r="H555" s="29"/>
      <c r="I555" s="29" t="s">
        <v>30</v>
      </c>
    </row>
    <row r="556" spans="1:18" ht="15.75">
      <c r="A556" s="38"/>
      <c r="B556" s="44" t="s">
        <v>31</v>
      </c>
      <c r="C556" s="45" t="s">
        <v>20</v>
      </c>
      <c r="D556" s="39"/>
      <c r="F556" s="46"/>
      <c r="G556" s="46" t="s">
        <v>17</v>
      </c>
      <c r="H556" s="46"/>
      <c r="I556" s="46" t="s">
        <v>25</v>
      </c>
    </row>
  </sheetData>
  <mergeCells count="27">
    <mergeCell ref="G550:I550"/>
    <mergeCell ref="G314:I314"/>
    <mergeCell ref="G335:I335"/>
    <mergeCell ref="G360:I360"/>
    <mergeCell ref="G380:I380"/>
    <mergeCell ref="G529:I529"/>
    <mergeCell ref="G489:I489"/>
    <mergeCell ref="G444:I444"/>
    <mergeCell ref="G509:I509"/>
    <mergeCell ref="G402:I402"/>
    <mergeCell ref="G464:I464"/>
    <mergeCell ref="G424:I424"/>
    <mergeCell ref="G13:I13"/>
    <mergeCell ref="G33:I33"/>
    <mergeCell ref="G53:I53"/>
    <mergeCell ref="G73:I73"/>
    <mergeCell ref="G93:I93"/>
    <mergeCell ref="G173:I173"/>
    <mergeCell ref="G113:I113"/>
    <mergeCell ref="G133:I133"/>
    <mergeCell ref="G153:I153"/>
    <mergeCell ref="G193:I193"/>
    <mergeCell ref="G294:I294"/>
    <mergeCell ref="G233:I233"/>
    <mergeCell ref="G254:I254"/>
    <mergeCell ref="G274:I274"/>
    <mergeCell ref="G213:I213"/>
  </mergeCells>
  <pageMargins left="0.11811023622047245" right="0.70866141732283472" top="0.74803149606299213" bottom="0.98425196850393704" header="0.31496062992125984" footer="0.31496062992125984"/>
  <pageSetup paperSize="5" scale="72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44"/>
  <sheetViews>
    <sheetView tabSelected="1" topLeftCell="A45" workbookViewId="0">
      <selection activeCell="J76" sqref="J76"/>
    </sheetView>
  </sheetViews>
  <sheetFormatPr defaultRowHeight="15"/>
  <cols>
    <col min="1" max="1" width="2.28515625" style="34" customWidth="1"/>
    <col min="2" max="2" width="16.85546875" style="34" customWidth="1"/>
    <col min="3" max="3" width="9.28515625" style="34" customWidth="1"/>
    <col min="4" max="4" width="8.140625" style="34" customWidth="1"/>
    <col min="5" max="5" width="12.5703125" style="34" customWidth="1"/>
    <col min="6" max="6" width="15.5703125" style="34" customWidth="1"/>
    <col min="7" max="7" width="16.5703125" style="34" customWidth="1"/>
    <col min="8" max="8" width="16.5703125" style="34" bestFit="1" customWidth="1"/>
    <col min="9" max="9" width="6.140625" style="34" customWidth="1"/>
    <col min="10" max="10" width="14.28515625" style="34" bestFit="1" customWidth="1"/>
    <col min="11" max="11" width="12.85546875" style="34" customWidth="1"/>
    <col min="12" max="12" width="13.140625" style="34" customWidth="1"/>
    <col min="13" max="13" width="13" style="34" customWidth="1"/>
    <col min="14" max="15" width="16.5703125" style="34" bestFit="1" customWidth="1"/>
    <col min="16" max="16" width="16.28515625" style="34" customWidth="1"/>
    <col min="17" max="17" width="7.7109375" style="34" customWidth="1"/>
    <col min="18" max="18" width="5" style="34" customWidth="1"/>
    <col min="19" max="19" width="5.7109375" style="34" customWidth="1"/>
    <col min="20" max="16384" width="9.140625" style="34"/>
  </cols>
  <sheetData>
    <row r="1" spans="1:18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8" ht="15.75">
      <c r="A2" s="26" t="s">
        <v>965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8">
      <c r="A3" s="62"/>
      <c r="B3" s="62" t="s">
        <v>1</v>
      </c>
      <c r="C3" s="93" t="s">
        <v>2</v>
      </c>
      <c r="D3" s="117" t="s">
        <v>34</v>
      </c>
      <c r="E3" s="95" t="s">
        <v>3</v>
      </c>
      <c r="F3" s="93" t="s">
        <v>4</v>
      </c>
      <c r="G3" s="96" t="s">
        <v>18</v>
      </c>
      <c r="H3" s="96" t="s">
        <v>18</v>
      </c>
      <c r="I3" s="96" t="s">
        <v>18</v>
      </c>
      <c r="J3" s="97" t="s">
        <v>7</v>
      </c>
      <c r="K3" s="130" t="s">
        <v>6</v>
      </c>
      <c r="L3" s="96" t="s">
        <v>29</v>
      </c>
      <c r="M3" s="96" t="s">
        <v>21</v>
      </c>
      <c r="N3" s="96" t="s">
        <v>8</v>
      </c>
      <c r="O3" s="96" t="s">
        <v>8</v>
      </c>
      <c r="P3" s="96" t="s">
        <v>9</v>
      </c>
      <c r="Q3" s="62" t="s">
        <v>10</v>
      </c>
      <c r="R3" s="98" t="s">
        <v>33</v>
      </c>
    </row>
    <row r="4" spans="1:18">
      <c r="A4" s="99"/>
      <c r="B4" s="99"/>
      <c r="C4" s="100"/>
      <c r="D4" s="101"/>
      <c r="E4" s="102"/>
      <c r="F4" s="100"/>
      <c r="G4" s="103" t="s">
        <v>12</v>
      </c>
      <c r="H4" s="103" t="s">
        <v>12</v>
      </c>
      <c r="I4" s="103" t="s">
        <v>12</v>
      </c>
      <c r="J4" s="119" t="s">
        <v>19</v>
      </c>
      <c r="K4" s="131" t="s">
        <v>35</v>
      </c>
      <c r="L4" s="103" t="s">
        <v>22</v>
      </c>
      <c r="M4" s="103" t="s">
        <v>15</v>
      </c>
      <c r="N4" s="103" t="s">
        <v>13</v>
      </c>
      <c r="O4" s="103" t="s">
        <v>14</v>
      </c>
      <c r="P4" s="103" t="s">
        <v>12</v>
      </c>
      <c r="Q4" s="99"/>
      <c r="R4" s="104"/>
    </row>
    <row r="5" spans="1:18">
      <c r="A5" s="99"/>
      <c r="B5" s="99"/>
      <c r="C5" s="105"/>
      <c r="D5" s="101"/>
      <c r="E5" s="102"/>
      <c r="F5" s="100"/>
      <c r="G5" s="103" t="s">
        <v>42</v>
      </c>
      <c r="H5" s="103" t="s">
        <v>22</v>
      </c>
      <c r="I5" s="103" t="s">
        <v>81</v>
      </c>
      <c r="J5" s="119" t="s">
        <v>5</v>
      </c>
      <c r="K5" s="131"/>
      <c r="L5" s="103"/>
      <c r="M5" s="103"/>
      <c r="N5" s="103"/>
      <c r="O5" s="103"/>
      <c r="P5" s="103"/>
      <c r="Q5" s="99"/>
      <c r="R5" s="104"/>
    </row>
    <row r="6" spans="1:18">
      <c r="A6" s="106"/>
      <c r="B6" s="106"/>
      <c r="C6" s="107"/>
      <c r="D6" s="108"/>
      <c r="E6" s="109"/>
      <c r="F6" s="110"/>
      <c r="G6" s="111"/>
      <c r="H6" s="112"/>
      <c r="I6" s="142" t="s">
        <v>821</v>
      </c>
      <c r="J6" s="132"/>
      <c r="K6" s="132"/>
      <c r="L6" s="113"/>
      <c r="M6" s="108"/>
      <c r="N6" s="111"/>
      <c r="O6" s="111"/>
      <c r="P6" s="111"/>
      <c r="Q6" s="106"/>
      <c r="R6" s="114"/>
    </row>
    <row r="7" spans="1:18" ht="15.75">
      <c r="A7" s="52"/>
      <c r="B7" s="47"/>
      <c r="C7" s="48"/>
      <c r="D7" s="73"/>
      <c r="E7" s="17"/>
      <c r="F7" s="48"/>
      <c r="G7" s="36"/>
      <c r="H7" s="36"/>
      <c r="I7" s="125"/>
      <c r="J7" s="36"/>
      <c r="K7" s="36"/>
      <c r="L7" s="8"/>
      <c r="N7" s="8"/>
      <c r="O7" s="8"/>
      <c r="P7" s="8"/>
      <c r="Q7" s="35"/>
      <c r="R7" s="37"/>
    </row>
    <row r="8" spans="1:18" ht="15.75">
      <c r="A8" s="52">
        <v>1</v>
      </c>
      <c r="B8" s="51" t="s">
        <v>966</v>
      </c>
      <c r="C8" s="48" t="s">
        <v>967</v>
      </c>
      <c r="D8" s="67" t="s">
        <v>968</v>
      </c>
      <c r="E8" s="17">
        <v>43313</v>
      </c>
      <c r="F8" s="20" t="s">
        <v>969</v>
      </c>
      <c r="G8" s="36">
        <v>0</v>
      </c>
      <c r="H8" s="8">
        <v>0</v>
      </c>
      <c r="I8" s="8">
        <v>0</v>
      </c>
      <c r="J8" s="8">
        <v>0</v>
      </c>
      <c r="K8" s="8">
        <v>0</v>
      </c>
      <c r="L8" s="8">
        <v>250000</v>
      </c>
      <c r="M8" s="8">
        <v>200000</v>
      </c>
      <c r="N8" s="8">
        <f>SUM(G8:M8)</f>
        <v>450000</v>
      </c>
      <c r="O8" s="8">
        <f>55000000-N8</f>
        <v>54550000</v>
      </c>
      <c r="P8" s="8">
        <f t="shared" ref="P8" si="0">+N8+O8</f>
        <v>55000000</v>
      </c>
      <c r="Q8" s="59" t="s">
        <v>970</v>
      </c>
      <c r="R8" s="60" t="s">
        <v>58</v>
      </c>
    </row>
    <row r="9" spans="1:18" ht="15.75">
      <c r="A9" s="52"/>
      <c r="B9" s="138"/>
      <c r="C9" s="48"/>
      <c r="E9" s="17"/>
      <c r="F9" s="48"/>
      <c r="G9" s="36"/>
      <c r="H9" s="36"/>
      <c r="I9" s="75"/>
      <c r="J9" s="36"/>
      <c r="K9" s="36"/>
      <c r="L9" s="36"/>
      <c r="N9" s="8"/>
      <c r="O9" s="8"/>
      <c r="P9" s="8"/>
      <c r="Q9" s="59"/>
      <c r="R9" s="66"/>
    </row>
    <row r="10" spans="1:18" ht="16.5" thickBot="1">
      <c r="A10" s="18"/>
      <c r="B10" s="55"/>
      <c r="C10" s="56"/>
      <c r="D10" s="74"/>
      <c r="E10" s="56"/>
      <c r="F10" s="57"/>
      <c r="G10" s="19">
        <f>SUM(G8:G9)</f>
        <v>0</v>
      </c>
      <c r="H10" s="19">
        <f t="shared" ref="H10:P10" si="1">SUM(H8:H9)</f>
        <v>0</v>
      </c>
      <c r="I10" s="19">
        <f t="shared" si="1"/>
        <v>0</v>
      </c>
      <c r="J10" s="19">
        <f t="shared" si="1"/>
        <v>0</v>
      </c>
      <c r="K10" s="19">
        <f t="shared" si="1"/>
        <v>0</v>
      </c>
      <c r="L10" s="19">
        <f t="shared" si="1"/>
        <v>250000</v>
      </c>
      <c r="M10" s="19">
        <f t="shared" si="1"/>
        <v>200000</v>
      </c>
      <c r="N10" s="19">
        <f t="shared" si="1"/>
        <v>450000</v>
      </c>
      <c r="O10" s="19">
        <f t="shared" si="1"/>
        <v>54550000</v>
      </c>
      <c r="P10" s="19">
        <f t="shared" si="1"/>
        <v>55000000</v>
      </c>
      <c r="Q10" s="68"/>
      <c r="R10" s="70"/>
    </row>
    <row r="11" spans="1:18" ht="16.5" hidden="1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8" ht="15.75" hidden="1">
      <c r="A12" s="23"/>
      <c r="B12" s="28" t="s">
        <v>971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8" ht="15.75" hidden="1">
      <c r="A13" s="38"/>
      <c r="B13" s="40" t="s">
        <v>32</v>
      </c>
      <c r="C13" s="28" t="s">
        <v>28</v>
      </c>
      <c r="D13" s="39"/>
      <c r="F13" s="41"/>
      <c r="G13" s="143" t="s">
        <v>26</v>
      </c>
      <c r="H13" s="143"/>
      <c r="I13" s="143"/>
      <c r="K13" s="41"/>
    </row>
    <row r="14" spans="1:18" ht="15.75" hidden="1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8" ht="15.75" hidden="1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8" ht="15.75" hidden="1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8" ht="15.75" hidden="1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8" ht="15.75" hidden="1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8" ht="15.75" hidden="1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0" spans="1:18" hidden="1"/>
    <row r="21" spans="1:18" ht="16.5" thickTop="1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8" ht="15.75">
      <c r="A22" s="26" t="s">
        <v>972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</row>
    <row r="23" spans="1:18">
      <c r="A23" s="62"/>
      <c r="B23" s="62" t="s">
        <v>1</v>
      </c>
      <c r="C23" s="93" t="s">
        <v>2</v>
      </c>
      <c r="D23" s="117" t="s">
        <v>34</v>
      </c>
      <c r="E23" s="95" t="s">
        <v>3</v>
      </c>
      <c r="F23" s="93" t="s">
        <v>4</v>
      </c>
      <c r="G23" s="96" t="s">
        <v>18</v>
      </c>
      <c r="H23" s="96" t="s">
        <v>18</v>
      </c>
      <c r="I23" s="96" t="s">
        <v>18</v>
      </c>
      <c r="J23" s="97" t="s">
        <v>7</v>
      </c>
      <c r="K23" s="130" t="s">
        <v>6</v>
      </c>
      <c r="L23" s="96" t="s">
        <v>29</v>
      </c>
      <c r="M23" s="96" t="s">
        <v>21</v>
      </c>
      <c r="N23" s="96" t="s">
        <v>8</v>
      </c>
      <c r="O23" s="96" t="s">
        <v>8</v>
      </c>
      <c r="P23" s="96" t="s">
        <v>9</v>
      </c>
      <c r="Q23" s="62" t="s">
        <v>10</v>
      </c>
      <c r="R23" s="98" t="s">
        <v>33</v>
      </c>
    </row>
    <row r="24" spans="1:18">
      <c r="A24" s="99"/>
      <c r="B24" s="99"/>
      <c r="C24" s="100"/>
      <c r="D24" s="101"/>
      <c r="E24" s="102"/>
      <c r="F24" s="100"/>
      <c r="G24" s="103" t="s">
        <v>12</v>
      </c>
      <c r="H24" s="103" t="s">
        <v>12</v>
      </c>
      <c r="I24" s="103" t="s">
        <v>12</v>
      </c>
      <c r="J24" s="119" t="s">
        <v>19</v>
      </c>
      <c r="K24" s="131" t="s">
        <v>35</v>
      </c>
      <c r="L24" s="103" t="s">
        <v>22</v>
      </c>
      <c r="M24" s="103" t="s">
        <v>15</v>
      </c>
      <c r="N24" s="103" t="s">
        <v>13</v>
      </c>
      <c r="O24" s="103" t="s">
        <v>14</v>
      </c>
      <c r="P24" s="103" t="s">
        <v>12</v>
      </c>
      <c r="Q24" s="99"/>
      <c r="R24" s="104"/>
    </row>
    <row r="25" spans="1:18">
      <c r="A25" s="99"/>
      <c r="B25" s="99"/>
      <c r="C25" s="105"/>
      <c r="D25" s="101"/>
      <c r="E25" s="102"/>
      <c r="F25" s="100"/>
      <c r="G25" s="103" t="s">
        <v>42</v>
      </c>
      <c r="H25" s="103" t="s">
        <v>22</v>
      </c>
      <c r="I25" s="103" t="s">
        <v>81</v>
      </c>
      <c r="J25" s="119" t="s">
        <v>5</v>
      </c>
      <c r="K25" s="131"/>
      <c r="L25" s="103"/>
      <c r="M25" s="103"/>
      <c r="N25" s="103"/>
      <c r="O25" s="103"/>
      <c r="P25" s="103"/>
      <c r="Q25" s="99"/>
      <c r="R25" s="104"/>
    </row>
    <row r="26" spans="1:18">
      <c r="A26" s="106"/>
      <c r="B26" s="106"/>
      <c r="C26" s="107"/>
      <c r="D26" s="108"/>
      <c r="E26" s="109"/>
      <c r="F26" s="110"/>
      <c r="G26" s="111"/>
      <c r="H26" s="112"/>
      <c r="I26" s="142" t="s">
        <v>821</v>
      </c>
      <c r="J26" s="132"/>
      <c r="K26" s="132"/>
      <c r="L26" s="113"/>
      <c r="M26" s="108"/>
      <c r="N26" s="111"/>
      <c r="O26" s="111"/>
      <c r="P26" s="111"/>
      <c r="Q26" s="106"/>
      <c r="R26" s="114"/>
    </row>
    <row r="27" spans="1:18" ht="15.75">
      <c r="A27" s="52"/>
      <c r="B27" s="47"/>
      <c r="C27" s="48"/>
      <c r="D27" s="73"/>
      <c r="E27" s="17"/>
      <c r="F27" s="48"/>
      <c r="G27" s="36"/>
      <c r="H27" s="36"/>
      <c r="I27" s="125"/>
      <c r="J27" s="36"/>
      <c r="K27" s="36"/>
      <c r="L27" s="8"/>
      <c r="N27" s="8"/>
      <c r="O27" s="8"/>
      <c r="P27" s="8"/>
      <c r="Q27" s="35"/>
      <c r="R27" s="37"/>
    </row>
    <row r="28" spans="1:18" ht="15.75">
      <c r="A28" s="52">
        <v>1</v>
      </c>
      <c r="B28" s="51" t="s">
        <v>973</v>
      </c>
      <c r="C28" s="48" t="s">
        <v>974</v>
      </c>
      <c r="D28" s="67" t="s">
        <v>975</v>
      </c>
      <c r="E28" s="17">
        <v>43319</v>
      </c>
      <c r="F28" s="20" t="s">
        <v>976</v>
      </c>
      <c r="G28" s="36">
        <v>0</v>
      </c>
      <c r="H28" s="8">
        <v>41780476</v>
      </c>
      <c r="I28" s="8">
        <v>0</v>
      </c>
      <c r="J28" s="8">
        <v>1044512</v>
      </c>
      <c r="K28" s="8">
        <v>416222</v>
      </c>
      <c r="L28" s="8">
        <v>82195</v>
      </c>
      <c r="M28" s="8">
        <v>200000</v>
      </c>
      <c r="N28" s="8">
        <f>SUM(G28:M28)</f>
        <v>43523405</v>
      </c>
      <c r="O28" s="8">
        <f>50000000-N28</f>
        <v>6476595</v>
      </c>
      <c r="P28" s="8">
        <f t="shared" ref="P28" si="2">+N28+O28</f>
        <v>50000000</v>
      </c>
      <c r="Q28" s="77" t="s">
        <v>166</v>
      </c>
      <c r="R28" s="60" t="s">
        <v>52</v>
      </c>
    </row>
    <row r="29" spans="1:18" ht="15.75">
      <c r="A29" s="52">
        <v>2</v>
      </c>
      <c r="B29" s="51" t="s">
        <v>985</v>
      </c>
      <c r="C29" s="48" t="s">
        <v>1001</v>
      </c>
      <c r="D29" s="67" t="s">
        <v>986</v>
      </c>
      <c r="E29" s="17">
        <v>43319</v>
      </c>
      <c r="F29" s="20" t="s">
        <v>987</v>
      </c>
      <c r="G29" s="36">
        <v>0</v>
      </c>
      <c r="H29" s="8">
        <v>31654000</v>
      </c>
      <c r="I29" s="8">
        <v>0</v>
      </c>
      <c r="J29" s="8">
        <v>791350</v>
      </c>
      <c r="K29" s="8">
        <v>290323</v>
      </c>
      <c r="L29" s="8">
        <v>300000</v>
      </c>
      <c r="M29" s="8">
        <v>200000</v>
      </c>
      <c r="N29" s="8">
        <f>SUM(G29:M29)</f>
        <v>33235673</v>
      </c>
      <c r="O29" s="8">
        <f>63235673-N29</f>
        <v>30000000</v>
      </c>
      <c r="P29" s="8">
        <f t="shared" ref="P29" si="3">+N29+O29</f>
        <v>63235673</v>
      </c>
      <c r="Q29" s="77" t="s">
        <v>159</v>
      </c>
      <c r="R29" s="60" t="s">
        <v>52</v>
      </c>
    </row>
    <row r="30" spans="1:18" ht="15.75">
      <c r="A30" s="52">
        <v>3</v>
      </c>
      <c r="B30" s="51" t="s">
        <v>996</v>
      </c>
      <c r="C30" s="48" t="s">
        <v>997</v>
      </c>
      <c r="D30" s="67" t="s">
        <v>998</v>
      </c>
      <c r="E30" s="17">
        <v>43319</v>
      </c>
      <c r="F30" s="20" t="s">
        <v>999</v>
      </c>
      <c r="G30" s="36">
        <v>0</v>
      </c>
      <c r="H30" s="8">
        <v>45769769</v>
      </c>
      <c r="I30" s="8">
        <v>0</v>
      </c>
      <c r="J30" s="8">
        <v>1144244</v>
      </c>
      <c r="K30" s="8">
        <v>386087</v>
      </c>
      <c r="L30" s="8">
        <v>200000</v>
      </c>
      <c r="M30" s="8">
        <v>200000</v>
      </c>
      <c r="N30" s="8">
        <f>SUM(G30:M30)</f>
        <v>47700100</v>
      </c>
      <c r="O30" s="8">
        <f>67700100-N30</f>
        <v>20000000</v>
      </c>
      <c r="P30" s="8">
        <f t="shared" ref="P30" si="4">+N30+O30</f>
        <v>67700100</v>
      </c>
      <c r="Q30" s="77" t="s">
        <v>159</v>
      </c>
      <c r="R30" s="60" t="s">
        <v>52</v>
      </c>
    </row>
    <row r="31" spans="1:18" ht="15.75">
      <c r="A31" s="52">
        <v>4</v>
      </c>
      <c r="B31" s="51" t="s">
        <v>977</v>
      </c>
      <c r="C31" s="48" t="s">
        <v>978</v>
      </c>
      <c r="D31" s="67" t="s">
        <v>979</v>
      </c>
      <c r="E31" s="17">
        <v>43319</v>
      </c>
      <c r="F31" s="20" t="s">
        <v>980</v>
      </c>
      <c r="G31" s="36">
        <v>0</v>
      </c>
      <c r="H31" s="8">
        <v>60200000</v>
      </c>
      <c r="I31" s="8">
        <v>0</v>
      </c>
      <c r="J31" s="8">
        <v>1505000</v>
      </c>
      <c r="K31" s="8">
        <v>870968</v>
      </c>
      <c r="L31" s="8">
        <v>398000</v>
      </c>
      <c r="M31" s="8">
        <v>200000</v>
      </c>
      <c r="N31" s="8">
        <f>SUM(G31:M31)</f>
        <v>63173968</v>
      </c>
      <c r="O31" s="8">
        <f>100000000-N31</f>
        <v>36826032</v>
      </c>
      <c r="P31" s="8">
        <f t="shared" ref="P31" si="5">+N31+O31</f>
        <v>100000000</v>
      </c>
      <c r="Q31" s="77" t="s">
        <v>59</v>
      </c>
      <c r="R31" s="60" t="s">
        <v>52</v>
      </c>
    </row>
    <row r="32" spans="1:18" ht="15.75">
      <c r="A32" s="52"/>
      <c r="B32" s="138"/>
      <c r="C32" s="48"/>
      <c r="E32" s="17"/>
      <c r="F32" s="48"/>
      <c r="G32" s="36"/>
      <c r="H32" s="36"/>
      <c r="I32" s="75"/>
      <c r="J32" s="36"/>
      <c r="K32" s="36"/>
      <c r="L32" s="36"/>
      <c r="N32" s="8"/>
      <c r="O32" s="8"/>
      <c r="P32" s="8"/>
      <c r="Q32" s="59"/>
      <c r="R32" s="66"/>
    </row>
    <row r="33" spans="1:18" ht="16.5" thickBot="1">
      <c r="A33" s="18"/>
      <c r="B33" s="55"/>
      <c r="C33" s="56"/>
      <c r="D33" s="74"/>
      <c r="E33" s="56"/>
      <c r="F33" s="57"/>
      <c r="G33" s="19">
        <f>SUM(G28:G32)</f>
        <v>0</v>
      </c>
      <c r="H33" s="19">
        <f t="shared" ref="H33:P33" si="6">SUM(H28:H32)</f>
        <v>179404245</v>
      </c>
      <c r="I33" s="19">
        <f t="shared" si="6"/>
        <v>0</v>
      </c>
      <c r="J33" s="19">
        <f t="shared" si="6"/>
        <v>4485106</v>
      </c>
      <c r="K33" s="19">
        <f t="shared" si="6"/>
        <v>1963600</v>
      </c>
      <c r="L33" s="19">
        <f t="shared" si="6"/>
        <v>980195</v>
      </c>
      <c r="M33" s="19">
        <f t="shared" si="6"/>
        <v>800000</v>
      </c>
      <c r="N33" s="19">
        <f t="shared" si="6"/>
        <v>187633146</v>
      </c>
      <c r="O33" s="19">
        <f t="shared" si="6"/>
        <v>93302627</v>
      </c>
      <c r="P33" s="19">
        <f t="shared" si="6"/>
        <v>280935773</v>
      </c>
      <c r="Q33" s="68"/>
      <c r="R33" s="70"/>
    </row>
    <row r="34" spans="1:18" ht="16.5" hidden="1" thickTop="1">
      <c r="A34" s="23"/>
      <c r="B34" s="22"/>
      <c r="C34" s="22"/>
      <c r="D34" s="23"/>
      <c r="E34" s="22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2"/>
      <c r="Q34" s="69"/>
    </row>
    <row r="35" spans="1:18" ht="15.75" hidden="1">
      <c r="A35" s="23"/>
      <c r="B35" s="28" t="s">
        <v>1000</v>
      </c>
      <c r="C35" s="22"/>
      <c r="D35" s="39"/>
      <c r="F35" s="27"/>
      <c r="G35" s="28"/>
      <c r="H35" s="28"/>
      <c r="I35" s="28"/>
      <c r="J35" s="28"/>
      <c r="K35" s="28"/>
      <c r="L35" s="28"/>
      <c r="Q35" s="51"/>
    </row>
    <row r="36" spans="1:18" ht="15.75" hidden="1">
      <c r="A36" s="38"/>
      <c r="B36" s="40" t="s">
        <v>32</v>
      </c>
      <c r="C36" s="28" t="s">
        <v>28</v>
      </c>
      <c r="D36" s="39"/>
      <c r="F36" s="41"/>
      <c r="G36" s="143" t="s">
        <v>26</v>
      </c>
      <c r="H36" s="143"/>
      <c r="I36" s="143"/>
      <c r="K36" s="41"/>
    </row>
    <row r="37" spans="1:18" ht="15.75" hidden="1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8" ht="15.75" hidden="1">
      <c r="A38" s="38"/>
      <c r="B38" s="40"/>
      <c r="C38" s="28"/>
      <c r="D38" s="39"/>
      <c r="F38" s="28"/>
      <c r="G38" s="28"/>
      <c r="H38" s="28"/>
      <c r="I38" s="28"/>
      <c r="J38" s="28"/>
      <c r="K38" s="28"/>
      <c r="L38" s="28"/>
    </row>
    <row r="39" spans="1:18" ht="15.75" hidden="1">
      <c r="A39" s="38"/>
      <c r="B39" s="40"/>
      <c r="C39" s="28"/>
      <c r="D39" s="39"/>
      <c r="F39" s="28"/>
      <c r="G39" s="28"/>
      <c r="H39" s="28"/>
      <c r="I39" s="28"/>
      <c r="J39" s="28"/>
      <c r="K39" s="28"/>
    </row>
    <row r="40" spans="1:18" ht="15.75" hidden="1">
      <c r="A40" s="38"/>
      <c r="B40" s="40"/>
      <c r="C40" s="28"/>
      <c r="D40" s="39"/>
      <c r="F40" s="28"/>
      <c r="G40" s="28"/>
      <c r="H40" s="28"/>
      <c r="I40" s="28"/>
      <c r="J40" s="28"/>
      <c r="K40" s="28"/>
      <c r="L40" s="28"/>
    </row>
    <row r="41" spans="1:18" ht="15.75" hidden="1">
      <c r="A41" s="38" t="s">
        <v>23</v>
      </c>
      <c r="B41" s="42" t="s">
        <v>27</v>
      </c>
      <c r="C41" s="43" t="s">
        <v>24</v>
      </c>
      <c r="D41" s="39"/>
      <c r="F41" s="29"/>
      <c r="G41" s="29" t="s">
        <v>16</v>
      </c>
      <c r="H41" s="29"/>
      <c r="I41" s="29" t="s">
        <v>30</v>
      </c>
    </row>
    <row r="42" spans="1:18" ht="15.75" hidden="1">
      <c r="A42" s="38"/>
      <c r="B42" s="44" t="s">
        <v>31</v>
      </c>
      <c r="C42" s="45" t="s">
        <v>20</v>
      </c>
      <c r="D42" s="39"/>
      <c r="F42" s="46"/>
      <c r="G42" s="46" t="s">
        <v>17</v>
      </c>
      <c r="H42" s="46"/>
      <c r="I42" s="46" t="s">
        <v>25</v>
      </c>
    </row>
    <row r="43" spans="1:18" hidden="1"/>
    <row r="44" spans="1:18" ht="16.5" thickTop="1">
      <c r="A44" s="21" t="s">
        <v>0</v>
      </c>
      <c r="B44" s="22"/>
      <c r="C44" s="23"/>
      <c r="D44" s="23"/>
      <c r="E44" s="23"/>
      <c r="F44" s="24"/>
      <c r="G44" s="24"/>
      <c r="H44" s="24"/>
      <c r="I44" s="24"/>
      <c r="J44" s="24"/>
      <c r="K44" s="24"/>
      <c r="L44" s="25"/>
    </row>
    <row r="45" spans="1:18" ht="15.75">
      <c r="A45" s="26" t="s">
        <v>972</v>
      </c>
      <c r="B45" s="21"/>
      <c r="C45" s="21"/>
      <c r="D45" s="21"/>
      <c r="E45" s="21"/>
      <c r="F45" s="24"/>
      <c r="G45" s="24"/>
      <c r="H45" s="24"/>
      <c r="I45" s="24"/>
      <c r="J45" s="24"/>
      <c r="K45" s="24"/>
      <c r="L45" s="25"/>
    </row>
    <row r="46" spans="1:18">
      <c r="A46" s="62"/>
      <c r="B46" s="62" t="s">
        <v>1</v>
      </c>
      <c r="C46" s="93" t="s">
        <v>2</v>
      </c>
      <c r="D46" s="117" t="s">
        <v>34</v>
      </c>
      <c r="E46" s="95" t="s">
        <v>3</v>
      </c>
      <c r="F46" s="93" t="s">
        <v>4</v>
      </c>
      <c r="G46" s="96" t="s">
        <v>18</v>
      </c>
      <c r="H46" s="96" t="s">
        <v>18</v>
      </c>
      <c r="I46" s="96" t="s">
        <v>18</v>
      </c>
      <c r="J46" s="97" t="s">
        <v>7</v>
      </c>
      <c r="K46" s="130" t="s">
        <v>6</v>
      </c>
      <c r="L46" s="96" t="s">
        <v>29</v>
      </c>
      <c r="M46" s="96" t="s">
        <v>21</v>
      </c>
      <c r="N46" s="96" t="s">
        <v>8</v>
      </c>
      <c r="O46" s="96" t="s">
        <v>8</v>
      </c>
      <c r="P46" s="96" t="s">
        <v>9</v>
      </c>
      <c r="Q46" s="62" t="s">
        <v>10</v>
      </c>
      <c r="R46" s="98" t="s">
        <v>33</v>
      </c>
    </row>
    <row r="47" spans="1:18">
      <c r="A47" s="99"/>
      <c r="B47" s="99"/>
      <c r="C47" s="100"/>
      <c r="D47" s="101"/>
      <c r="E47" s="102"/>
      <c r="F47" s="100"/>
      <c r="G47" s="103" t="s">
        <v>12</v>
      </c>
      <c r="H47" s="103" t="s">
        <v>12</v>
      </c>
      <c r="I47" s="103" t="s">
        <v>12</v>
      </c>
      <c r="J47" s="119" t="s">
        <v>19</v>
      </c>
      <c r="K47" s="131" t="s">
        <v>35</v>
      </c>
      <c r="L47" s="103" t="s">
        <v>22</v>
      </c>
      <c r="M47" s="103" t="s">
        <v>15</v>
      </c>
      <c r="N47" s="103" t="s">
        <v>13</v>
      </c>
      <c r="O47" s="103" t="s">
        <v>14</v>
      </c>
      <c r="P47" s="103" t="s">
        <v>12</v>
      </c>
      <c r="Q47" s="99"/>
      <c r="R47" s="104"/>
    </row>
    <row r="48" spans="1:18">
      <c r="A48" s="99"/>
      <c r="B48" s="99"/>
      <c r="C48" s="105"/>
      <c r="D48" s="101"/>
      <c r="E48" s="102"/>
      <c r="F48" s="100"/>
      <c r="G48" s="103" t="s">
        <v>42</v>
      </c>
      <c r="H48" s="103" t="s">
        <v>22</v>
      </c>
      <c r="I48" s="103" t="s">
        <v>81</v>
      </c>
      <c r="J48" s="119" t="s">
        <v>5</v>
      </c>
      <c r="K48" s="131"/>
      <c r="L48" s="103"/>
      <c r="M48" s="103"/>
      <c r="N48" s="103"/>
      <c r="O48" s="103"/>
      <c r="P48" s="103"/>
      <c r="Q48" s="99"/>
      <c r="R48" s="104"/>
    </row>
    <row r="49" spans="1:18">
      <c r="A49" s="106"/>
      <c r="B49" s="106"/>
      <c r="C49" s="107"/>
      <c r="D49" s="108"/>
      <c r="E49" s="109"/>
      <c r="F49" s="110"/>
      <c r="G49" s="111"/>
      <c r="H49" s="112"/>
      <c r="I49" s="142" t="s">
        <v>821</v>
      </c>
      <c r="J49" s="132"/>
      <c r="K49" s="132"/>
      <c r="L49" s="113"/>
      <c r="M49" s="108"/>
      <c r="N49" s="111"/>
      <c r="O49" s="111"/>
      <c r="P49" s="111"/>
      <c r="Q49" s="106"/>
      <c r="R49" s="114"/>
    </row>
    <row r="50" spans="1:18" ht="15.75">
      <c r="A50" s="52"/>
      <c r="B50" s="47"/>
      <c r="C50" s="48"/>
      <c r="D50" s="73"/>
      <c r="E50" s="17"/>
      <c r="F50" s="48"/>
      <c r="G50" s="36"/>
      <c r="H50" s="36"/>
      <c r="I50" s="125"/>
      <c r="J50" s="36"/>
      <c r="K50" s="36"/>
      <c r="L50" s="8"/>
      <c r="N50" s="8"/>
      <c r="O50" s="8"/>
      <c r="P50" s="8"/>
      <c r="Q50" s="35"/>
      <c r="R50" s="37"/>
    </row>
    <row r="51" spans="1:18" ht="15.75">
      <c r="A51" s="52">
        <v>1</v>
      </c>
      <c r="B51" s="51" t="s">
        <v>981</v>
      </c>
      <c r="C51" s="48" t="s">
        <v>982</v>
      </c>
      <c r="D51" s="67" t="s">
        <v>983</v>
      </c>
      <c r="E51" s="17">
        <v>43319</v>
      </c>
      <c r="F51" s="20" t="s">
        <v>984</v>
      </c>
      <c r="G51" s="36">
        <v>0</v>
      </c>
      <c r="H51" s="8">
        <v>0</v>
      </c>
      <c r="I51" s="8">
        <v>0</v>
      </c>
      <c r="J51" s="8">
        <v>0</v>
      </c>
      <c r="K51" s="8">
        <v>0</v>
      </c>
      <c r="L51" s="8">
        <v>300000</v>
      </c>
      <c r="M51" s="8">
        <v>200000</v>
      </c>
      <c r="N51" s="8">
        <f>SUM(G51:M51)</f>
        <v>500000</v>
      </c>
      <c r="O51" s="8">
        <f>60000000-N51</f>
        <v>59500000</v>
      </c>
      <c r="P51" s="8">
        <f t="shared" ref="P51" si="7">+N51+O51</f>
        <v>60000000</v>
      </c>
      <c r="Q51" s="59" t="s">
        <v>166</v>
      </c>
      <c r="R51" s="60" t="s">
        <v>58</v>
      </c>
    </row>
    <row r="52" spans="1:18" ht="15.75">
      <c r="A52" s="52"/>
      <c r="B52" s="138" t="s">
        <v>690</v>
      </c>
      <c r="C52" s="48"/>
      <c r="D52" s="67"/>
      <c r="E52" s="17"/>
      <c r="F52" s="20"/>
      <c r="G52" s="36"/>
      <c r="H52" s="8"/>
      <c r="I52" s="8"/>
      <c r="J52" s="8"/>
      <c r="K52" s="8"/>
      <c r="L52" s="8"/>
      <c r="M52" s="8"/>
      <c r="N52" s="8"/>
      <c r="O52" s="8"/>
      <c r="P52" s="8"/>
      <c r="Q52" s="59"/>
      <c r="R52" s="60"/>
    </row>
    <row r="53" spans="1:18" ht="15.75">
      <c r="A53" s="52">
        <v>2</v>
      </c>
      <c r="B53" s="51" t="s">
        <v>992</v>
      </c>
      <c r="C53" s="48" t="s">
        <v>993</v>
      </c>
      <c r="D53" s="67" t="s">
        <v>994</v>
      </c>
      <c r="E53" s="17">
        <v>43319</v>
      </c>
      <c r="F53" s="20" t="s">
        <v>995</v>
      </c>
      <c r="G53" s="36">
        <v>0</v>
      </c>
      <c r="H53" s="8">
        <v>0</v>
      </c>
      <c r="I53" s="8">
        <v>0</v>
      </c>
      <c r="J53" s="8">
        <v>0</v>
      </c>
      <c r="K53" s="8">
        <v>0</v>
      </c>
      <c r="L53" s="8">
        <v>450000</v>
      </c>
      <c r="M53" s="8">
        <v>200000</v>
      </c>
      <c r="N53" s="8">
        <f>SUM(G53:M53)</f>
        <v>650000</v>
      </c>
      <c r="O53" s="8">
        <f>75000000-N53</f>
        <v>74350000</v>
      </c>
      <c r="P53" s="8">
        <f t="shared" ref="P53" si="8">+N53+O53</f>
        <v>75000000</v>
      </c>
      <c r="Q53" s="59" t="s">
        <v>192</v>
      </c>
      <c r="R53" s="60" t="s">
        <v>58</v>
      </c>
    </row>
    <row r="54" spans="1:18" ht="15.75">
      <c r="A54" s="52"/>
      <c r="B54" s="138" t="s">
        <v>1012</v>
      </c>
      <c r="C54" s="48"/>
      <c r="E54" s="17"/>
      <c r="F54" s="48"/>
      <c r="G54" s="36"/>
      <c r="H54" s="36"/>
      <c r="I54" s="75"/>
      <c r="J54" s="36"/>
      <c r="K54" s="36"/>
      <c r="L54" s="36"/>
      <c r="N54" s="8"/>
      <c r="O54" s="8"/>
      <c r="P54" s="8"/>
      <c r="Q54" s="59"/>
      <c r="R54" s="66"/>
    </row>
    <row r="55" spans="1:18" ht="16.5" thickBot="1">
      <c r="A55" s="18"/>
      <c r="B55" s="55"/>
      <c r="C55" s="56"/>
      <c r="D55" s="74"/>
      <c r="E55" s="56"/>
      <c r="F55" s="57"/>
      <c r="G55" s="19">
        <f t="shared" ref="G55:P55" si="9">SUM(G51:G54)</f>
        <v>0</v>
      </c>
      <c r="H55" s="19">
        <f t="shared" si="9"/>
        <v>0</v>
      </c>
      <c r="I55" s="19">
        <f t="shared" si="9"/>
        <v>0</v>
      </c>
      <c r="J55" s="19">
        <f t="shared" si="9"/>
        <v>0</v>
      </c>
      <c r="K55" s="19">
        <f t="shared" si="9"/>
        <v>0</v>
      </c>
      <c r="L55" s="19">
        <f t="shared" si="9"/>
        <v>750000</v>
      </c>
      <c r="M55" s="19">
        <f t="shared" si="9"/>
        <v>400000</v>
      </c>
      <c r="N55" s="19">
        <f t="shared" si="9"/>
        <v>1150000</v>
      </c>
      <c r="O55" s="19">
        <f t="shared" si="9"/>
        <v>133850000</v>
      </c>
      <c r="P55" s="19">
        <f t="shared" si="9"/>
        <v>135000000</v>
      </c>
      <c r="Q55" s="68"/>
      <c r="R55" s="70"/>
    </row>
    <row r="56" spans="1:18" ht="16.5" hidden="1" thickTop="1">
      <c r="A56" s="23"/>
      <c r="B56" s="22"/>
      <c r="C56" s="22"/>
      <c r="D56" s="23"/>
      <c r="E56" s="22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2"/>
      <c r="Q56" s="69"/>
    </row>
    <row r="57" spans="1:18" ht="15.75" hidden="1">
      <c r="A57" s="23"/>
      <c r="B57" s="28" t="s">
        <v>1000</v>
      </c>
      <c r="C57" s="22"/>
      <c r="D57" s="39"/>
      <c r="F57" s="27"/>
      <c r="G57" s="28"/>
      <c r="H57" s="28"/>
      <c r="I57" s="28"/>
      <c r="J57" s="28"/>
      <c r="K57" s="28"/>
      <c r="L57" s="28"/>
      <c r="Q57" s="51"/>
    </row>
    <row r="58" spans="1:18" ht="15.75" hidden="1">
      <c r="A58" s="38"/>
      <c r="B58" s="40" t="s">
        <v>32</v>
      </c>
      <c r="C58" s="28" t="s">
        <v>28</v>
      </c>
      <c r="D58" s="39"/>
      <c r="F58" s="41"/>
      <c r="G58" s="143" t="s">
        <v>26</v>
      </c>
      <c r="H58" s="143"/>
      <c r="I58" s="143"/>
      <c r="K58" s="41"/>
    </row>
    <row r="59" spans="1:18" ht="15.75" hidden="1">
      <c r="A59" s="38"/>
      <c r="B59" s="40"/>
      <c r="C59" s="28"/>
      <c r="D59" s="39"/>
      <c r="F59" s="28"/>
      <c r="G59" s="28"/>
      <c r="H59" s="28"/>
      <c r="I59" s="28"/>
      <c r="J59" s="28"/>
      <c r="K59" s="28"/>
      <c r="L59" s="28"/>
    </row>
    <row r="60" spans="1:18" ht="15.75" hidden="1">
      <c r="A60" s="38"/>
      <c r="B60" s="40"/>
      <c r="C60" s="28"/>
      <c r="D60" s="39"/>
      <c r="F60" s="28"/>
      <c r="G60" s="28"/>
      <c r="H60" s="28"/>
      <c r="I60" s="28"/>
      <c r="J60" s="28"/>
      <c r="K60" s="28"/>
      <c r="L60" s="28"/>
    </row>
    <row r="61" spans="1:18" ht="15.75" hidden="1">
      <c r="A61" s="38"/>
      <c r="B61" s="40"/>
      <c r="C61" s="28"/>
      <c r="D61" s="39"/>
      <c r="F61" s="28"/>
      <c r="G61" s="28"/>
      <c r="H61" s="28"/>
      <c r="I61" s="28"/>
      <c r="J61" s="28"/>
      <c r="K61" s="28"/>
    </row>
    <row r="62" spans="1:18" ht="15.75" hidden="1">
      <c r="A62" s="38"/>
      <c r="B62" s="40"/>
      <c r="C62" s="28"/>
      <c r="D62" s="39"/>
      <c r="F62" s="28"/>
      <c r="G62" s="28"/>
      <c r="H62" s="28"/>
      <c r="I62" s="28"/>
      <c r="J62" s="28"/>
      <c r="K62" s="28"/>
      <c r="L62" s="28"/>
    </row>
    <row r="63" spans="1:18" ht="15.75" hidden="1">
      <c r="A63" s="38" t="s">
        <v>23</v>
      </c>
      <c r="B63" s="42" t="s">
        <v>27</v>
      </c>
      <c r="C63" s="43" t="s">
        <v>24</v>
      </c>
      <c r="D63" s="39"/>
      <c r="F63" s="29"/>
      <c r="G63" s="29" t="s">
        <v>16</v>
      </c>
      <c r="H63" s="29"/>
      <c r="I63" s="29" t="s">
        <v>30</v>
      </c>
    </row>
    <row r="64" spans="1:18" ht="15.75" hidden="1">
      <c r="A64" s="38"/>
      <c r="B64" s="44" t="s">
        <v>31</v>
      </c>
      <c r="C64" s="45" t="s">
        <v>20</v>
      </c>
      <c r="D64" s="39"/>
      <c r="F64" s="46"/>
      <c r="G64" s="46" t="s">
        <v>17</v>
      </c>
      <c r="H64" s="46"/>
      <c r="I64" s="46" t="s">
        <v>25</v>
      </c>
    </row>
    <row r="65" spans="1:18" hidden="1"/>
    <row r="66" spans="1:18" ht="16.5" thickTop="1">
      <c r="A66" s="21" t="s">
        <v>0</v>
      </c>
      <c r="B66" s="22"/>
      <c r="C66" s="23"/>
      <c r="D66" s="23"/>
      <c r="E66" s="23"/>
      <c r="F66" s="24"/>
      <c r="G66" s="24"/>
      <c r="H66" s="24"/>
      <c r="I66" s="24"/>
      <c r="J66" s="24"/>
      <c r="K66" s="24"/>
      <c r="L66" s="25"/>
    </row>
    <row r="67" spans="1:18" ht="15.75">
      <c r="A67" s="26" t="s">
        <v>972</v>
      </c>
      <c r="B67" s="21"/>
      <c r="C67" s="21"/>
      <c r="D67" s="21"/>
      <c r="E67" s="21"/>
      <c r="F67" s="24"/>
      <c r="G67" s="24"/>
      <c r="H67" s="24"/>
      <c r="I67" s="24"/>
      <c r="J67" s="24"/>
      <c r="K67" s="24"/>
      <c r="L67" s="25"/>
    </row>
    <row r="68" spans="1:18">
      <c r="A68" s="62"/>
      <c r="B68" s="62" t="s">
        <v>1</v>
      </c>
      <c r="C68" s="93" t="s">
        <v>2</v>
      </c>
      <c r="D68" s="117" t="s">
        <v>34</v>
      </c>
      <c r="E68" s="95" t="s">
        <v>3</v>
      </c>
      <c r="F68" s="93" t="s">
        <v>4</v>
      </c>
      <c r="G68" s="96" t="s">
        <v>18</v>
      </c>
      <c r="H68" s="96" t="s">
        <v>18</v>
      </c>
      <c r="I68" s="96" t="s">
        <v>18</v>
      </c>
      <c r="J68" s="97" t="s">
        <v>7</v>
      </c>
      <c r="K68" s="130" t="s">
        <v>6</v>
      </c>
      <c r="L68" s="96" t="s">
        <v>29</v>
      </c>
      <c r="M68" s="96" t="s">
        <v>21</v>
      </c>
      <c r="N68" s="96" t="s">
        <v>8</v>
      </c>
      <c r="O68" s="96" t="s">
        <v>8</v>
      </c>
      <c r="P68" s="96" t="s">
        <v>9</v>
      </c>
      <c r="Q68" s="62" t="s">
        <v>10</v>
      </c>
      <c r="R68" s="98" t="s">
        <v>33</v>
      </c>
    </row>
    <row r="69" spans="1:18">
      <c r="A69" s="99"/>
      <c r="B69" s="99"/>
      <c r="C69" s="100"/>
      <c r="D69" s="101"/>
      <c r="E69" s="102"/>
      <c r="F69" s="100"/>
      <c r="G69" s="103" t="s">
        <v>12</v>
      </c>
      <c r="H69" s="103" t="s">
        <v>12</v>
      </c>
      <c r="I69" s="103" t="s">
        <v>12</v>
      </c>
      <c r="J69" s="119" t="s">
        <v>19</v>
      </c>
      <c r="K69" s="131" t="s">
        <v>35</v>
      </c>
      <c r="L69" s="103" t="s">
        <v>22</v>
      </c>
      <c r="M69" s="103" t="s">
        <v>15</v>
      </c>
      <c r="N69" s="103" t="s">
        <v>13</v>
      </c>
      <c r="O69" s="103" t="s">
        <v>14</v>
      </c>
      <c r="P69" s="103" t="s">
        <v>12</v>
      </c>
      <c r="Q69" s="99"/>
      <c r="R69" s="104"/>
    </row>
    <row r="70" spans="1:18">
      <c r="A70" s="99"/>
      <c r="B70" s="99"/>
      <c r="C70" s="105"/>
      <c r="D70" s="101"/>
      <c r="E70" s="102"/>
      <c r="F70" s="100"/>
      <c r="G70" s="103" t="s">
        <v>42</v>
      </c>
      <c r="H70" s="103" t="s">
        <v>22</v>
      </c>
      <c r="I70" s="103" t="s">
        <v>81</v>
      </c>
      <c r="J70" s="119" t="s">
        <v>5</v>
      </c>
      <c r="K70" s="131"/>
      <c r="L70" s="103"/>
      <c r="M70" s="103"/>
      <c r="N70" s="103"/>
      <c r="O70" s="103"/>
      <c r="P70" s="103"/>
      <c r="Q70" s="99"/>
      <c r="R70" s="104"/>
    </row>
    <row r="71" spans="1:18">
      <c r="A71" s="106"/>
      <c r="B71" s="106"/>
      <c r="C71" s="107"/>
      <c r="D71" s="108"/>
      <c r="E71" s="109"/>
      <c r="F71" s="110"/>
      <c r="G71" s="111"/>
      <c r="H71" s="112"/>
      <c r="I71" s="142" t="s">
        <v>821</v>
      </c>
      <c r="J71" s="132"/>
      <c r="K71" s="132"/>
      <c r="L71" s="113"/>
      <c r="M71" s="108"/>
      <c r="N71" s="111"/>
      <c r="O71" s="111"/>
      <c r="P71" s="111"/>
      <c r="Q71" s="106"/>
      <c r="R71" s="114"/>
    </row>
    <row r="72" spans="1:18" ht="15.75">
      <c r="A72" s="52"/>
      <c r="B72" s="47"/>
      <c r="C72" s="48"/>
      <c r="D72" s="73"/>
      <c r="E72" s="17"/>
      <c r="F72" s="48"/>
      <c r="G72" s="36"/>
      <c r="H72" s="36"/>
      <c r="I72" s="125"/>
      <c r="J72" s="36"/>
      <c r="K72" s="36"/>
      <c r="L72" s="8"/>
      <c r="N72" s="8"/>
      <c r="O72" s="8"/>
      <c r="P72" s="8"/>
      <c r="Q72" s="35"/>
      <c r="R72" s="37"/>
    </row>
    <row r="73" spans="1:18" ht="15.75">
      <c r="A73" s="52">
        <v>1</v>
      </c>
      <c r="B73" s="51" t="s">
        <v>988</v>
      </c>
      <c r="C73" s="48" t="s">
        <v>989</v>
      </c>
      <c r="D73" s="67" t="s">
        <v>990</v>
      </c>
      <c r="E73" s="17">
        <v>43319</v>
      </c>
      <c r="F73" s="20" t="s">
        <v>991</v>
      </c>
      <c r="G73" s="36">
        <v>2776000</v>
      </c>
      <c r="H73" s="8">
        <v>0</v>
      </c>
      <c r="I73" s="8">
        <v>0</v>
      </c>
      <c r="J73" s="8">
        <v>69400</v>
      </c>
      <c r="K73" s="8">
        <v>145161</v>
      </c>
      <c r="L73" s="8">
        <v>100000</v>
      </c>
      <c r="M73" s="8">
        <v>200000</v>
      </c>
      <c r="N73" s="8">
        <f>SUM(G73:M73)</f>
        <v>3290561</v>
      </c>
      <c r="O73" s="8">
        <f>40000000-N73</f>
        <v>36709439</v>
      </c>
      <c r="P73" s="8">
        <f t="shared" ref="P73" si="10">+N73+O73</f>
        <v>40000000</v>
      </c>
      <c r="Q73" s="77" t="s">
        <v>800</v>
      </c>
      <c r="R73" s="60" t="s">
        <v>52</v>
      </c>
    </row>
    <row r="74" spans="1:18" ht="15.75">
      <c r="A74" s="52"/>
      <c r="B74" s="138"/>
      <c r="C74" s="48"/>
      <c r="E74" s="17"/>
      <c r="F74" s="48"/>
      <c r="G74" s="36"/>
      <c r="H74" s="36"/>
      <c r="I74" s="75"/>
      <c r="J74" s="36"/>
      <c r="K74" s="36"/>
      <c r="L74" s="36"/>
      <c r="N74" s="8"/>
      <c r="O74" s="8"/>
      <c r="P74" s="8"/>
      <c r="Q74" s="59"/>
      <c r="R74" s="66"/>
    </row>
    <row r="75" spans="1:18" ht="16.5" thickBot="1">
      <c r="A75" s="18"/>
      <c r="B75" s="55"/>
      <c r="C75" s="56"/>
      <c r="D75" s="74"/>
      <c r="E75" s="56"/>
      <c r="F75" s="57"/>
      <c r="G75" s="19">
        <f t="shared" ref="G75:P75" si="11">SUM(G73:G74)</f>
        <v>2776000</v>
      </c>
      <c r="H75" s="19">
        <f t="shared" si="11"/>
        <v>0</v>
      </c>
      <c r="I75" s="19">
        <f t="shared" si="11"/>
        <v>0</v>
      </c>
      <c r="J75" s="19">
        <f t="shared" si="11"/>
        <v>69400</v>
      </c>
      <c r="K75" s="19">
        <f t="shared" si="11"/>
        <v>145161</v>
      </c>
      <c r="L75" s="19">
        <f t="shared" si="11"/>
        <v>100000</v>
      </c>
      <c r="M75" s="19">
        <f t="shared" si="11"/>
        <v>200000</v>
      </c>
      <c r="N75" s="19">
        <f t="shared" si="11"/>
        <v>3290561</v>
      </c>
      <c r="O75" s="19">
        <f t="shared" si="11"/>
        <v>36709439</v>
      </c>
      <c r="P75" s="19">
        <f t="shared" si="11"/>
        <v>40000000</v>
      </c>
      <c r="Q75" s="68"/>
      <c r="R75" s="70"/>
    </row>
    <row r="76" spans="1:18" ht="16.5" thickTop="1">
      <c r="A76" s="23"/>
      <c r="B76" s="22"/>
      <c r="C76" s="22">
        <v>300000</v>
      </c>
      <c r="D76" s="23">
        <f>C76/31</f>
        <v>9677.4193548387102</v>
      </c>
      <c r="E76" s="22">
        <f>D76*7</f>
        <v>67741.93548387097</v>
      </c>
      <c r="F76" s="27"/>
      <c r="G76" s="27">
        <f>C76/31</f>
        <v>9677.4193548387102</v>
      </c>
      <c r="H76" s="27">
        <f>G76*8</f>
        <v>77419.354838709682</v>
      </c>
      <c r="I76" s="27"/>
      <c r="J76" s="27">
        <f>E76+H76</f>
        <v>145161.29032258067</v>
      </c>
      <c r="K76" s="27"/>
      <c r="L76" s="27"/>
      <c r="M76" s="27"/>
      <c r="N76" s="27"/>
      <c r="O76" s="27"/>
      <c r="P76" s="22"/>
      <c r="Q76" s="69"/>
    </row>
    <row r="77" spans="1:18" ht="15.75">
      <c r="A77" s="23"/>
      <c r="B77" s="28" t="s">
        <v>1000</v>
      </c>
      <c r="C77" s="22"/>
      <c r="D77" s="39"/>
      <c r="F77" s="27"/>
      <c r="G77" s="28"/>
      <c r="H77" s="28"/>
      <c r="I77" s="28"/>
      <c r="J77" s="28"/>
      <c r="K77" s="28"/>
      <c r="L77" s="28"/>
      <c r="Q77" s="51"/>
    </row>
    <row r="78" spans="1:18" ht="15.75">
      <c r="A78" s="38"/>
      <c r="B78" s="40" t="s">
        <v>32</v>
      </c>
      <c r="C78" s="28" t="s">
        <v>28</v>
      </c>
      <c r="D78" s="39"/>
      <c r="F78" s="41"/>
      <c r="G78" s="143" t="s">
        <v>26</v>
      </c>
      <c r="H78" s="143"/>
      <c r="I78" s="143"/>
      <c r="K78" s="41"/>
    </row>
    <row r="79" spans="1:18" ht="15.75">
      <c r="A79" s="38"/>
      <c r="B79" s="40"/>
      <c r="C79" s="28"/>
      <c r="D79" s="39"/>
      <c r="F79" s="28"/>
      <c r="G79" s="28"/>
      <c r="H79" s="28"/>
      <c r="I79" s="28"/>
      <c r="J79" s="28"/>
      <c r="K79" s="28"/>
      <c r="L79" s="28"/>
    </row>
    <row r="80" spans="1:18" ht="15.75">
      <c r="A80" s="38"/>
      <c r="B80" s="40"/>
      <c r="C80" s="28"/>
      <c r="D80" s="39"/>
      <c r="F80" s="28"/>
      <c r="G80" s="28"/>
      <c r="H80" s="28"/>
      <c r="I80" s="28"/>
      <c r="J80" s="28"/>
      <c r="K80" s="28"/>
      <c r="L80" s="28"/>
    </row>
    <row r="81" spans="1:18" ht="15.75">
      <c r="A81" s="38"/>
      <c r="B81" s="40"/>
      <c r="C81" s="28"/>
      <c r="D81" s="39"/>
      <c r="F81" s="28"/>
      <c r="G81" s="28"/>
      <c r="H81" s="28"/>
      <c r="I81" s="28"/>
      <c r="J81" s="28"/>
      <c r="K81" s="28"/>
    </row>
    <row r="82" spans="1:18" ht="15.75">
      <c r="A82" s="38"/>
      <c r="B82" s="40"/>
      <c r="C82" s="28"/>
      <c r="D82" s="39"/>
      <c r="F82" s="28"/>
      <c r="G82" s="28"/>
      <c r="H82" s="28"/>
      <c r="I82" s="28"/>
      <c r="J82" s="28"/>
      <c r="K82" s="28"/>
      <c r="L82" s="28"/>
    </row>
    <row r="83" spans="1:18" ht="15.75">
      <c r="A83" s="38" t="s">
        <v>23</v>
      </c>
      <c r="B83" s="42" t="s">
        <v>27</v>
      </c>
      <c r="C83" s="43" t="s">
        <v>24</v>
      </c>
      <c r="D83" s="39"/>
      <c r="F83" s="29"/>
      <c r="G83" s="29" t="s">
        <v>16</v>
      </c>
      <c r="H83" s="29"/>
      <c r="I83" s="29" t="s">
        <v>30</v>
      </c>
    </row>
    <row r="84" spans="1:18" ht="15.75">
      <c r="A84" s="38"/>
      <c r="B84" s="44" t="s">
        <v>31</v>
      </c>
      <c r="C84" s="45" t="s">
        <v>20</v>
      </c>
      <c r="D84" s="39"/>
      <c r="F84" s="46"/>
      <c r="G84" s="46" t="s">
        <v>17</v>
      </c>
      <c r="H84" s="46"/>
      <c r="I84" s="46" t="s">
        <v>25</v>
      </c>
    </row>
    <row r="85" spans="1:18">
      <c r="A85" s="92" t="s">
        <v>106</v>
      </c>
    </row>
    <row r="86" spans="1:18" ht="15.75">
      <c r="A86" s="21" t="s">
        <v>0</v>
      </c>
      <c r="B86" s="22"/>
      <c r="C86" s="23"/>
      <c r="D86" s="23"/>
      <c r="E86" s="23"/>
      <c r="F86" s="24"/>
      <c r="G86" s="24"/>
      <c r="H86" s="24"/>
      <c r="I86" s="24"/>
      <c r="J86" s="24"/>
      <c r="K86" s="24"/>
      <c r="L86" s="25"/>
    </row>
    <row r="87" spans="1:18" ht="15.75">
      <c r="A87" s="26" t="s">
        <v>972</v>
      </c>
      <c r="B87" s="21"/>
      <c r="C87" s="21"/>
      <c r="D87" s="21"/>
      <c r="E87" s="21"/>
      <c r="F87" s="24"/>
      <c r="G87" s="24"/>
      <c r="H87" s="24"/>
      <c r="I87" s="24"/>
      <c r="J87" s="24"/>
      <c r="K87" s="24"/>
      <c r="L87" s="25"/>
    </row>
    <row r="88" spans="1:18">
      <c r="A88" s="62"/>
      <c r="B88" s="62" t="s">
        <v>1</v>
      </c>
      <c r="C88" s="93" t="s">
        <v>2</v>
      </c>
      <c r="D88" s="117" t="s">
        <v>34</v>
      </c>
      <c r="E88" s="95" t="s">
        <v>3</v>
      </c>
      <c r="F88" s="93" t="s">
        <v>4</v>
      </c>
      <c r="G88" s="96" t="s">
        <v>18</v>
      </c>
      <c r="H88" s="96" t="s">
        <v>18</v>
      </c>
      <c r="I88" s="96" t="s">
        <v>18</v>
      </c>
      <c r="J88" s="97" t="s">
        <v>7</v>
      </c>
      <c r="K88" s="130" t="s">
        <v>6</v>
      </c>
      <c r="L88" s="96" t="s">
        <v>29</v>
      </c>
      <c r="M88" s="96" t="s">
        <v>21</v>
      </c>
      <c r="N88" s="96" t="s">
        <v>8</v>
      </c>
      <c r="O88" s="96" t="s">
        <v>8</v>
      </c>
      <c r="P88" s="96" t="s">
        <v>9</v>
      </c>
      <c r="Q88" s="62" t="s">
        <v>10</v>
      </c>
      <c r="R88" s="98" t="s">
        <v>33</v>
      </c>
    </row>
    <row r="89" spans="1:18">
      <c r="A89" s="99"/>
      <c r="B89" s="99"/>
      <c r="C89" s="100"/>
      <c r="D89" s="101"/>
      <c r="E89" s="102"/>
      <c r="F89" s="100"/>
      <c r="G89" s="103" t="s">
        <v>12</v>
      </c>
      <c r="H89" s="103" t="s">
        <v>12</v>
      </c>
      <c r="I89" s="103" t="s">
        <v>12</v>
      </c>
      <c r="J89" s="119" t="s">
        <v>19</v>
      </c>
      <c r="K89" s="131" t="s">
        <v>35</v>
      </c>
      <c r="L89" s="103" t="s">
        <v>22</v>
      </c>
      <c r="M89" s="103" t="s">
        <v>15</v>
      </c>
      <c r="N89" s="103" t="s">
        <v>13</v>
      </c>
      <c r="O89" s="103" t="s">
        <v>14</v>
      </c>
      <c r="P89" s="103" t="s">
        <v>12</v>
      </c>
      <c r="Q89" s="99"/>
      <c r="R89" s="104"/>
    </row>
    <row r="90" spans="1:18">
      <c r="A90" s="99"/>
      <c r="B90" s="99"/>
      <c r="C90" s="105"/>
      <c r="D90" s="101"/>
      <c r="E90" s="102"/>
      <c r="F90" s="100"/>
      <c r="G90" s="103" t="s">
        <v>409</v>
      </c>
      <c r="H90" s="103" t="s">
        <v>22</v>
      </c>
      <c r="I90" s="103" t="s">
        <v>81</v>
      </c>
      <c r="J90" s="119" t="s">
        <v>5</v>
      </c>
      <c r="K90" s="131"/>
      <c r="L90" s="103"/>
      <c r="M90" s="103"/>
      <c r="N90" s="103"/>
      <c r="O90" s="103"/>
      <c r="P90" s="103"/>
      <c r="Q90" s="99"/>
      <c r="R90" s="104"/>
    </row>
    <row r="91" spans="1:18">
      <c r="A91" s="106"/>
      <c r="B91" s="106"/>
      <c r="C91" s="107"/>
      <c r="D91" s="108"/>
      <c r="E91" s="109"/>
      <c r="F91" s="110"/>
      <c r="G91" s="111"/>
      <c r="H91" s="112"/>
      <c r="I91" s="142" t="s">
        <v>821</v>
      </c>
      <c r="J91" s="132"/>
      <c r="K91" s="132"/>
      <c r="L91" s="113"/>
      <c r="M91" s="108"/>
      <c r="N91" s="111"/>
      <c r="O91" s="111"/>
      <c r="P91" s="111"/>
      <c r="Q91" s="106"/>
      <c r="R91" s="114"/>
    </row>
    <row r="92" spans="1:18" ht="15.75">
      <c r="A92" s="52"/>
      <c r="B92" s="47"/>
      <c r="C92" s="48"/>
      <c r="D92" s="73"/>
      <c r="E92" s="17"/>
      <c r="F92" s="48"/>
      <c r="G92" s="36"/>
      <c r="H92" s="36"/>
      <c r="I92" s="125"/>
      <c r="J92" s="36"/>
      <c r="K92" s="36"/>
      <c r="L92" s="8"/>
      <c r="N92" s="8"/>
      <c r="O92" s="8"/>
      <c r="P92" s="8"/>
      <c r="Q92" s="35"/>
      <c r="R92" s="37"/>
    </row>
    <row r="93" spans="1:18" ht="15.75">
      <c r="A93" s="52">
        <v>1</v>
      </c>
      <c r="B93" s="51" t="s">
        <v>1002</v>
      </c>
      <c r="C93" s="48" t="s">
        <v>677</v>
      </c>
      <c r="D93" s="67" t="s">
        <v>1003</v>
      </c>
      <c r="E93" s="17">
        <v>43319</v>
      </c>
      <c r="F93" s="20" t="s">
        <v>337</v>
      </c>
      <c r="G93" s="36">
        <v>83458196</v>
      </c>
      <c r="H93" s="8">
        <v>0</v>
      </c>
      <c r="I93" s="8">
        <v>0</v>
      </c>
      <c r="J93" s="8">
        <v>2086455</v>
      </c>
      <c r="K93" s="8">
        <v>701948</v>
      </c>
      <c r="L93" s="8">
        <v>0</v>
      </c>
      <c r="M93" s="8">
        <v>200000</v>
      </c>
      <c r="N93" s="8">
        <f>SUM(G93:M93)</f>
        <v>86446599</v>
      </c>
      <c r="O93" s="8">
        <f>86446599-N93</f>
        <v>0</v>
      </c>
      <c r="P93" s="8">
        <f t="shared" ref="P93" si="12">+N93+O93</f>
        <v>86446599</v>
      </c>
      <c r="Q93" s="77" t="s">
        <v>680</v>
      </c>
      <c r="R93" s="60" t="s">
        <v>338</v>
      </c>
    </row>
    <row r="94" spans="1:18" ht="15.75">
      <c r="A94" s="52"/>
      <c r="B94" s="138"/>
      <c r="C94" s="48"/>
      <c r="E94" s="17"/>
      <c r="F94" s="48"/>
      <c r="G94" s="36"/>
      <c r="H94" s="36"/>
      <c r="I94" s="75"/>
      <c r="J94" s="36"/>
      <c r="K94" s="36"/>
      <c r="L94" s="36"/>
      <c r="N94" s="8"/>
      <c r="O94" s="8"/>
      <c r="P94" s="8"/>
      <c r="Q94" s="59"/>
      <c r="R94" s="66"/>
    </row>
    <row r="95" spans="1:18" ht="16.5" thickBot="1">
      <c r="A95" s="18"/>
      <c r="B95" s="55"/>
      <c r="C95" s="56"/>
      <c r="D95" s="74"/>
      <c r="E95" s="56"/>
      <c r="F95" s="57"/>
      <c r="G95" s="19">
        <f t="shared" ref="G95:P95" si="13">SUM(G93:G94)</f>
        <v>83458196</v>
      </c>
      <c r="H95" s="19">
        <f t="shared" si="13"/>
        <v>0</v>
      </c>
      <c r="I95" s="19">
        <f t="shared" si="13"/>
        <v>0</v>
      </c>
      <c r="J95" s="19">
        <f t="shared" si="13"/>
        <v>2086455</v>
      </c>
      <c r="K95" s="19">
        <f t="shared" si="13"/>
        <v>701948</v>
      </c>
      <c r="L95" s="19">
        <f t="shared" si="13"/>
        <v>0</v>
      </c>
      <c r="M95" s="19">
        <f t="shared" si="13"/>
        <v>200000</v>
      </c>
      <c r="N95" s="19">
        <f t="shared" si="13"/>
        <v>86446599</v>
      </c>
      <c r="O95" s="19">
        <f t="shared" si="13"/>
        <v>0</v>
      </c>
      <c r="P95" s="19">
        <f t="shared" si="13"/>
        <v>86446599</v>
      </c>
      <c r="Q95" s="68"/>
      <c r="R95" s="70"/>
    </row>
    <row r="96" spans="1:18" ht="16.5" thickTop="1">
      <c r="A96" s="23"/>
      <c r="B96" s="22"/>
      <c r="C96" s="22"/>
      <c r="D96" s="23"/>
      <c r="E96" s="22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2"/>
      <c r="Q96" s="69"/>
    </row>
    <row r="97" spans="1:18" ht="15.75">
      <c r="A97" s="23"/>
      <c r="B97" s="28" t="s">
        <v>1000</v>
      </c>
      <c r="C97" s="22"/>
      <c r="D97" s="39"/>
      <c r="F97" s="27"/>
      <c r="G97" s="28"/>
      <c r="H97" s="28"/>
      <c r="I97" s="28"/>
      <c r="J97" s="28"/>
      <c r="K97" s="28"/>
      <c r="L97" s="28"/>
      <c r="Q97" s="51"/>
    </row>
    <row r="98" spans="1:18" ht="15.75">
      <c r="A98" s="38"/>
      <c r="B98" s="40" t="s">
        <v>32</v>
      </c>
      <c r="C98" s="28" t="s">
        <v>28</v>
      </c>
      <c r="D98" s="39"/>
      <c r="F98" s="41"/>
      <c r="G98" s="143" t="s">
        <v>26</v>
      </c>
      <c r="H98" s="143"/>
      <c r="I98" s="143"/>
      <c r="K98" s="41"/>
    </row>
    <row r="99" spans="1:18" ht="15.75">
      <c r="A99" s="38"/>
      <c r="B99" s="40"/>
      <c r="C99" s="28"/>
      <c r="D99" s="39"/>
      <c r="F99" s="28"/>
      <c r="G99" s="28"/>
      <c r="H99" s="28"/>
      <c r="I99" s="28"/>
      <c r="J99" s="28"/>
      <c r="K99" s="28"/>
      <c r="L99" s="28"/>
    </row>
    <row r="100" spans="1:18" ht="15.75">
      <c r="A100" s="38"/>
      <c r="B100" s="40"/>
      <c r="C100" s="28"/>
      <c r="D100" s="39"/>
      <c r="F100" s="28"/>
      <c r="G100" s="28"/>
      <c r="H100" s="28"/>
      <c r="I100" s="28"/>
      <c r="J100" s="28"/>
      <c r="K100" s="28"/>
      <c r="L100" s="28"/>
    </row>
    <row r="101" spans="1:18" ht="15.75">
      <c r="A101" s="38"/>
      <c r="B101" s="40"/>
      <c r="C101" s="28"/>
      <c r="D101" s="39"/>
      <c r="F101" s="28"/>
      <c r="G101" s="28"/>
      <c r="H101" s="28"/>
      <c r="I101" s="28"/>
      <c r="J101" s="28"/>
      <c r="K101" s="28"/>
    </row>
    <row r="102" spans="1:18" ht="15.75">
      <c r="A102" s="38"/>
      <c r="B102" s="40"/>
      <c r="C102" s="28"/>
      <c r="D102" s="39"/>
      <c r="F102" s="28"/>
      <c r="G102" s="28"/>
      <c r="H102" s="28"/>
      <c r="I102" s="28"/>
      <c r="J102" s="28"/>
      <c r="K102" s="28"/>
      <c r="L102" s="28"/>
    </row>
    <row r="103" spans="1:18" ht="15.75">
      <c r="A103" s="38" t="s">
        <v>23</v>
      </c>
      <c r="B103" s="42" t="s">
        <v>27</v>
      </c>
      <c r="C103" s="43" t="s">
        <v>24</v>
      </c>
      <c r="D103" s="39"/>
      <c r="F103" s="29"/>
      <c r="G103" s="29" t="s">
        <v>16</v>
      </c>
      <c r="H103" s="29"/>
      <c r="I103" s="29" t="s">
        <v>30</v>
      </c>
    </row>
    <row r="104" spans="1:18" ht="15.75">
      <c r="A104" s="38"/>
      <c r="B104" s="44" t="s">
        <v>31</v>
      </c>
      <c r="C104" s="45" t="s">
        <v>20</v>
      </c>
      <c r="D104" s="39"/>
      <c r="F104" s="46"/>
      <c r="G104" s="46" t="s">
        <v>17</v>
      </c>
      <c r="H104" s="46"/>
      <c r="I104" s="46" t="s">
        <v>25</v>
      </c>
    </row>
    <row r="106" spans="1:18" ht="15.75">
      <c r="A106" s="21" t="s">
        <v>0</v>
      </c>
      <c r="B106" s="22"/>
      <c r="C106" s="23"/>
      <c r="D106" s="23"/>
      <c r="E106" s="23"/>
      <c r="F106" s="24"/>
      <c r="G106" s="24"/>
      <c r="H106" s="24"/>
      <c r="I106" s="24"/>
      <c r="J106" s="24"/>
      <c r="K106" s="24"/>
      <c r="L106" s="25"/>
    </row>
    <row r="107" spans="1:18" ht="15.75">
      <c r="A107" s="26" t="s">
        <v>1004</v>
      </c>
      <c r="B107" s="21"/>
      <c r="C107" s="21"/>
      <c r="D107" s="21"/>
      <c r="E107" s="21"/>
      <c r="F107" s="24"/>
      <c r="G107" s="24"/>
      <c r="H107" s="24"/>
      <c r="I107" s="24"/>
      <c r="J107" s="24"/>
      <c r="K107" s="24"/>
      <c r="L107" s="25"/>
    </row>
    <row r="108" spans="1:18">
      <c r="A108" s="62"/>
      <c r="B108" s="62" t="s">
        <v>1</v>
      </c>
      <c r="C108" s="93" t="s">
        <v>2</v>
      </c>
      <c r="D108" s="117" t="s">
        <v>34</v>
      </c>
      <c r="E108" s="95" t="s">
        <v>3</v>
      </c>
      <c r="F108" s="93" t="s">
        <v>4</v>
      </c>
      <c r="G108" s="96" t="s">
        <v>18</v>
      </c>
      <c r="H108" s="96" t="s">
        <v>18</v>
      </c>
      <c r="I108" s="96" t="s">
        <v>18</v>
      </c>
      <c r="J108" s="97" t="s">
        <v>7</v>
      </c>
      <c r="K108" s="130" t="s">
        <v>6</v>
      </c>
      <c r="L108" s="96" t="s">
        <v>29</v>
      </c>
      <c r="M108" s="96" t="s">
        <v>21</v>
      </c>
      <c r="N108" s="96" t="s">
        <v>8</v>
      </c>
      <c r="O108" s="96" t="s">
        <v>8</v>
      </c>
      <c r="P108" s="96" t="s">
        <v>9</v>
      </c>
      <c r="Q108" s="62" t="s">
        <v>10</v>
      </c>
      <c r="R108" s="98" t="s">
        <v>33</v>
      </c>
    </row>
    <row r="109" spans="1:18">
      <c r="A109" s="99"/>
      <c r="B109" s="99"/>
      <c r="C109" s="100"/>
      <c r="D109" s="101"/>
      <c r="E109" s="102"/>
      <c r="F109" s="100"/>
      <c r="G109" s="103" t="s">
        <v>12</v>
      </c>
      <c r="H109" s="103" t="s">
        <v>12</v>
      </c>
      <c r="I109" s="103" t="s">
        <v>12</v>
      </c>
      <c r="J109" s="119" t="s">
        <v>19</v>
      </c>
      <c r="K109" s="131" t="s">
        <v>35</v>
      </c>
      <c r="L109" s="103" t="s">
        <v>22</v>
      </c>
      <c r="M109" s="103" t="s">
        <v>15</v>
      </c>
      <c r="N109" s="103" t="s">
        <v>13</v>
      </c>
      <c r="O109" s="103" t="s">
        <v>14</v>
      </c>
      <c r="P109" s="103" t="s">
        <v>12</v>
      </c>
      <c r="Q109" s="99"/>
      <c r="R109" s="104"/>
    </row>
    <row r="110" spans="1:18">
      <c r="A110" s="99"/>
      <c r="B110" s="99"/>
      <c r="C110" s="105"/>
      <c r="D110" s="101"/>
      <c r="E110" s="102"/>
      <c r="F110" s="100"/>
      <c r="G110" s="103" t="s">
        <v>409</v>
      </c>
      <c r="H110" s="103" t="s">
        <v>22</v>
      </c>
      <c r="I110" s="103" t="s">
        <v>81</v>
      </c>
      <c r="J110" s="119" t="s">
        <v>5</v>
      </c>
      <c r="K110" s="131"/>
      <c r="L110" s="103"/>
      <c r="M110" s="103"/>
      <c r="N110" s="103"/>
      <c r="O110" s="103"/>
      <c r="P110" s="103"/>
      <c r="Q110" s="99"/>
      <c r="R110" s="104"/>
    </row>
    <row r="111" spans="1:18">
      <c r="A111" s="106"/>
      <c r="B111" s="106"/>
      <c r="C111" s="107"/>
      <c r="D111" s="108"/>
      <c r="E111" s="109"/>
      <c r="F111" s="110"/>
      <c r="G111" s="111"/>
      <c r="H111" s="112"/>
      <c r="I111" s="142" t="s">
        <v>821</v>
      </c>
      <c r="J111" s="132"/>
      <c r="K111" s="132"/>
      <c r="L111" s="113"/>
      <c r="M111" s="108"/>
      <c r="N111" s="111"/>
      <c r="O111" s="111"/>
      <c r="P111" s="111"/>
      <c r="Q111" s="106"/>
      <c r="R111" s="114"/>
    </row>
    <row r="112" spans="1:18" ht="15.75">
      <c r="A112" s="52"/>
      <c r="B112" s="47"/>
      <c r="C112" s="48"/>
      <c r="D112" s="73"/>
      <c r="E112" s="17"/>
      <c r="F112" s="48"/>
      <c r="G112" s="36"/>
      <c r="H112" s="36"/>
      <c r="I112" s="125"/>
      <c r="J112" s="36"/>
      <c r="K112" s="36"/>
      <c r="L112" s="8"/>
      <c r="N112" s="8"/>
      <c r="O112" s="8"/>
      <c r="P112" s="8"/>
      <c r="Q112" s="35"/>
      <c r="R112" s="37"/>
    </row>
    <row r="113" spans="1:18" ht="15.75">
      <c r="A113" s="52">
        <v>1</v>
      </c>
      <c r="B113" s="116" t="s">
        <v>1005</v>
      </c>
      <c r="C113" s="48" t="s">
        <v>224</v>
      </c>
      <c r="D113" s="67" t="s">
        <v>1006</v>
      </c>
      <c r="E113" s="17">
        <v>43320</v>
      </c>
      <c r="F113" s="20" t="s">
        <v>226</v>
      </c>
      <c r="G113" s="36">
        <v>0</v>
      </c>
      <c r="H113" s="8">
        <v>0</v>
      </c>
      <c r="I113" s="8">
        <v>0</v>
      </c>
      <c r="J113" s="8">
        <v>0</v>
      </c>
      <c r="K113" s="8">
        <v>0</v>
      </c>
      <c r="L113" s="8">
        <v>33390</v>
      </c>
      <c r="M113" s="8">
        <v>0</v>
      </c>
      <c r="N113" s="8">
        <f>SUM(G113:M113)</f>
        <v>33390</v>
      </c>
      <c r="O113" s="8">
        <f>3339000-N113</f>
        <v>3305610</v>
      </c>
      <c r="P113" s="8">
        <f t="shared" ref="P113" si="14">+N113+O113</f>
        <v>3339000</v>
      </c>
      <c r="Q113" s="77" t="s">
        <v>227</v>
      </c>
      <c r="R113" s="60" t="s">
        <v>40</v>
      </c>
    </row>
    <row r="114" spans="1:18" ht="15.75">
      <c r="A114" s="52"/>
      <c r="B114" s="138"/>
      <c r="C114" s="48"/>
      <c r="E114" s="17"/>
      <c r="F114" s="48"/>
      <c r="G114" s="36"/>
      <c r="H114" s="36"/>
      <c r="I114" s="75"/>
      <c r="J114" s="36"/>
      <c r="K114" s="36"/>
      <c r="L114" s="36"/>
      <c r="N114" s="8"/>
      <c r="O114" s="8"/>
      <c r="P114" s="8"/>
      <c r="Q114" s="59"/>
      <c r="R114" s="66"/>
    </row>
    <row r="115" spans="1:18" ht="16.5" thickBot="1">
      <c r="A115" s="18"/>
      <c r="B115" s="55"/>
      <c r="C115" s="56"/>
      <c r="D115" s="74"/>
      <c r="E115" s="56"/>
      <c r="F115" s="57"/>
      <c r="G115" s="19">
        <f t="shared" ref="G115:P115" si="15">SUM(G113:G114)</f>
        <v>0</v>
      </c>
      <c r="H115" s="19">
        <f t="shared" si="15"/>
        <v>0</v>
      </c>
      <c r="I115" s="19">
        <f t="shared" si="15"/>
        <v>0</v>
      </c>
      <c r="J115" s="19">
        <f t="shared" si="15"/>
        <v>0</v>
      </c>
      <c r="K115" s="19">
        <f t="shared" si="15"/>
        <v>0</v>
      </c>
      <c r="L115" s="19">
        <f t="shared" si="15"/>
        <v>33390</v>
      </c>
      <c r="M115" s="19">
        <f t="shared" si="15"/>
        <v>0</v>
      </c>
      <c r="N115" s="19">
        <f t="shared" si="15"/>
        <v>33390</v>
      </c>
      <c r="O115" s="19">
        <f t="shared" si="15"/>
        <v>3305610</v>
      </c>
      <c r="P115" s="19">
        <f t="shared" si="15"/>
        <v>3339000</v>
      </c>
      <c r="Q115" s="68"/>
      <c r="R115" s="70"/>
    </row>
    <row r="116" spans="1:18" ht="16.5" thickTop="1">
      <c r="A116" s="23"/>
      <c r="B116" s="22"/>
      <c r="C116" s="22"/>
      <c r="D116" s="23"/>
      <c r="E116" s="22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2"/>
      <c r="Q116" s="69"/>
    </row>
    <row r="117" spans="1:18" ht="15.75">
      <c r="A117" s="23"/>
      <c r="B117" s="28" t="s">
        <v>1007</v>
      </c>
      <c r="C117" s="22"/>
      <c r="D117" s="39"/>
      <c r="F117" s="27"/>
      <c r="G117" s="28"/>
      <c r="H117" s="28"/>
      <c r="I117" s="28"/>
      <c r="J117" s="28"/>
      <c r="K117" s="28"/>
      <c r="L117" s="28"/>
      <c r="Q117" s="51"/>
    </row>
    <row r="118" spans="1:18" ht="15.75">
      <c r="A118" s="38"/>
      <c r="B118" s="40" t="s">
        <v>32</v>
      </c>
      <c r="C118" s="28" t="s">
        <v>28</v>
      </c>
      <c r="D118" s="39"/>
      <c r="F118" s="41"/>
      <c r="G118" s="143" t="s">
        <v>26</v>
      </c>
      <c r="H118" s="143"/>
      <c r="I118" s="143"/>
      <c r="K118" s="41"/>
    </row>
    <row r="119" spans="1:18" ht="15.75">
      <c r="A119" s="38"/>
      <c r="B119" s="40"/>
      <c r="C119" s="28"/>
      <c r="D119" s="39"/>
      <c r="F119" s="28"/>
      <c r="G119" s="28"/>
      <c r="H119" s="28"/>
      <c r="I119" s="28"/>
      <c r="J119" s="28"/>
      <c r="K119" s="28"/>
      <c r="L119" s="28"/>
    </row>
    <row r="120" spans="1:18" ht="15.75">
      <c r="A120" s="38"/>
      <c r="B120" s="40"/>
      <c r="C120" s="28"/>
      <c r="D120" s="39"/>
      <c r="F120" s="28"/>
      <c r="G120" s="28"/>
      <c r="H120" s="28"/>
      <c r="I120" s="28"/>
      <c r="J120" s="28"/>
      <c r="K120" s="28"/>
      <c r="L120" s="28"/>
    </row>
    <row r="121" spans="1:18" ht="15.75">
      <c r="A121" s="38"/>
      <c r="B121" s="40"/>
      <c r="C121" s="28"/>
      <c r="D121" s="39"/>
      <c r="F121" s="28"/>
      <c r="G121" s="28"/>
      <c r="H121" s="28"/>
      <c r="I121" s="28"/>
      <c r="J121" s="28"/>
      <c r="K121" s="28"/>
    </row>
    <row r="122" spans="1:18" ht="15.75">
      <c r="A122" s="38"/>
      <c r="B122" s="40"/>
      <c r="C122" s="28"/>
      <c r="D122" s="39"/>
      <c r="F122" s="28"/>
      <c r="G122" s="28"/>
      <c r="H122" s="28"/>
      <c r="I122" s="28"/>
      <c r="J122" s="28"/>
      <c r="K122" s="28"/>
      <c r="L122" s="28"/>
    </row>
    <row r="123" spans="1:18" ht="15.75">
      <c r="A123" s="38" t="s">
        <v>23</v>
      </c>
      <c r="B123" s="42" t="s">
        <v>27</v>
      </c>
      <c r="C123" s="43" t="s">
        <v>24</v>
      </c>
      <c r="D123" s="39"/>
      <c r="F123" s="29"/>
      <c r="G123" s="29" t="s">
        <v>16</v>
      </c>
      <c r="H123" s="29"/>
      <c r="I123" s="29" t="s">
        <v>30</v>
      </c>
    </row>
    <row r="124" spans="1:18" ht="15.75">
      <c r="A124" s="38"/>
      <c r="B124" s="44" t="s">
        <v>31</v>
      </c>
      <c r="C124" s="45" t="s">
        <v>20</v>
      </c>
      <c r="D124" s="39"/>
      <c r="F124" s="46"/>
      <c r="G124" s="46" t="s">
        <v>17</v>
      </c>
      <c r="H124" s="46"/>
      <c r="I124" s="46" t="s">
        <v>25</v>
      </c>
    </row>
    <row r="126" spans="1:18" ht="15.75">
      <c r="A126" s="21" t="s">
        <v>0</v>
      </c>
      <c r="B126" s="22"/>
      <c r="C126" s="23"/>
      <c r="D126" s="23"/>
      <c r="E126" s="23"/>
      <c r="F126" s="24"/>
      <c r="G126" s="24"/>
      <c r="H126" s="24"/>
      <c r="I126" s="24"/>
      <c r="J126" s="24"/>
      <c r="K126" s="24"/>
      <c r="L126" s="25"/>
    </row>
    <row r="127" spans="1:18" ht="15.75">
      <c r="A127" s="26" t="s">
        <v>1004</v>
      </c>
      <c r="B127" s="21"/>
      <c r="C127" s="21"/>
      <c r="D127" s="21"/>
      <c r="E127" s="21"/>
      <c r="F127" s="24"/>
      <c r="G127" s="24"/>
      <c r="H127" s="24"/>
      <c r="I127" s="24"/>
      <c r="J127" s="24"/>
      <c r="K127" s="24"/>
      <c r="L127" s="25"/>
    </row>
    <row r="128" spans="1:18">
      <c r="A128" s="62"/>
      <c r="B128" s="62" t="s">
        <v>1</v>
      </c>
      <c r="C128" s="93" t="s">
        <v>2</v>
      </c>
      <c r="D128" s="117" t="s">
        <v>34</v>
      </c>
      <c r="E128" s="95" t="s">
        <v>3</v>
      </c>
      <c r="F128" s="93" t="s">
        <v>4</v>
      </c>
      <c r="G128" s="96" t="s">
        <v>18</v>
      </c>
      <c r="H128" s="96" t="s">
        <v>18</v>
      </c>
      <c r="I128" s="96" t="s">
        <v>18</v>
      </c>
      <c r="J128" s="97" t="s">
        <v>7</v>
      </c>
      <c r="K128" s="130" t="s">
        <v>6</v>
      </c>
      <c r="L128" s="96" t="s">
        <v>29</v>
      </c>
      <c r="M128" s="96" t="s">
        <v>21</v>
      </c>
      <c r="N128" s="96" t="s">
        <v>8</v>
      </c>
      <c r="O128" s="96" t="s">
        <v>8</v>
      </c>
      <c r="P128" s="96" t="s">
        <v>9</v>
      </c>
      <c r="Q128" s="62" t="s">
        <v>10</v>
      </c>
      <c r="R128" s="98" t="s">
        <v>33</v>
      </c>
    </row>
    <row r="129" spans="1:18">
      <c r="A129" s="99"/>
      <c r="B129" s="99"/>
      <c r="C129" s="100"/>
      <c r="D129" s="101"/>
      <c r="E129" s="102"/>
      <c r="F129" s="100"/>
      <c r="G129" s="103" t="s">
        <v>12</v>
      </c>
      <c r="H129" s="103" t="s">
        <v>12</v>
      </c>
      <c r="I129" s="103" t="s">
        <v>12</v>
      </c>
      <c r="J129" s="119" t="s">
        <v>19</v>
      </c>
      <c r="K129" s="131" t="s">
        <v>35</v>
      </c>
      <c r="L129" s="103" t="s">
        <v>22</v>
      </c>
      <c r="M129" s="103" t="s">
        <v>15</v>
      </c>
      <c r="N129" s="103" t="s">
        <v>13</v>
      </c>
      <c r="O129" s="103" t="s">
        <v>14</v>
      </c>
      <c r="P129" s="103" t="s">
        <v>12</v>
      </c>
      <c r="Q129" s="99"/>
      <c r="R129" s="104"/>
    </row>
    <row r="130" spans="1:18">
      <c r="A130" s="99"/>
      <c r="B130" s="99"/>
      <c r="C130" s="105"/>
      <c r="D130" s="101"/>
      <c r="E130" s="102"/>
      <c r="F130" s="100"/>
      <c r="G130" s="103" t="s">
        <v>409</v>
      </c>
      <c r="H130" s="103" t="s">
        <v>22</v>
      </c>
      <c r="I130" s="103" t="s">
        <v>81</v>
      </c>
      <c r="J130" s="119" t="s">
        <v>5</v>
      </c>
      <c r="K130" s="131"/>
      <c r="L130" s="103"/>
      <c r="M130" s="103"/>
      <c r="N130" s="103"/>
      <c r="O130" s="103"/>
      <c r="P130" s="103"/>
      <c r="Q130" s="99"/>
      <c r="R130" s="104"/>
    </row>
    <row r="131" spans="1:18">
      <c r="A131" s="106"/>
      <c r="B131" s="106"/>
      <c r="C131" s="107"/>
      <c r="D131" s="108"/>
      <c r="E131" s="109"/>
      <c r="F131" s="110"/>
      <c r="G131" s="111"/>
      <c r="H131" s="112"/>
      <c r="I131" s="142" t="s">
        <v>821</v>
      </c>
      <c r="J131" s="132"/>
      <c r="K131" s="132"/>
      <c r="L131" s="113"/>
      <c r="M131" s="108"/>
      <c r="N131" s="111"/>
      <c r="O131" s="111"/>
      <c r="P131" s="111"/>
      <c r="Q131" s="106"/>
      <c r="R131" s="114"/>
    </row>
    <row r="132" spans="1:18" ht="15.75">
      <c r="A132" s="52"/>
      <c r="B132" s="47"/>
      <c r="C132" s="48"/>
      <c r="D132" s="73"/>
      <c r="E132" s="17"/>
      <c r="F132" s="48"/>
      <c r="G132" s="36"/>
      <c r="H132" s="36"/>
      <c r="I132" s="125"/>
      <c r="J132" s="36"/>
      <c r="K132" s="36"/>
      <c r="L132" s="8"/>
      <c r="N132" s="8"/>
      <c r="O132" s="8"/>
      <c r="P132" s="8"/>
      <c r="Q132" s="35"/>
      <c r="R132" s="37"/>
    </row>
    <row r="133" spans="1:18" ht="15.75">
      <c r="A133" s="52">
        <v>1</v>
      </c>
      <c r="B133" s="51" t="s">
        <v>1008</v>
      </c>
      <c r="C133" s="48" t="s">
        <v>1009</v>
      </c>
      <c r="D133" s="67" t="s">
        <v>1010</v>
      </c>
      <c r="E133" s="17">
        <v>43320</v>
      </c>
      <c r="F133" s="20" t="s">
        <v>1011</v>
      </c>
      <c r="G133" s="36">
        <v>21882495</v>
      </c>
      <c r="H133" s="8">
        <v>0</v>
      </c>
      <c r="I133" s="8">
        <v>0</v>
      </c>
      <c r="J133" s="8">
        <v>547062</v>
      </c>
      <c r="K133" s="8">
        <v>221899</v>
      </c>
      <c r="L133" s="8">
        <v>700000</v>
      </c>
      <c r="M133" s="8">
        <v>200000</v>
      </c>
      <c r="N133" s="8">
        <f>SUM(G133:M133)</f>
        <v>23551456</v>
      </c>
      <c r="O133" s="8">
        <f>100000000-N133</f>
        <v>76448544</v>
      </c>
      <c r="P133" s="8">
        <f t="shared" ref="P133" si="16">+N133+O133</f>
        <v>100000000</v>
      </c>
      <c r="Q133" s="77" t="s">
        <v>166</v>
      </c>
      <c r="R133" s="60" t="s">
        <v>52</v>
      </c>
    </row>
    <row r="134" spans="1:18" ht="15.75">
      <c r="A134" s="52"/>
      <c r="B134" s="138"/>
      <c r="C134" s="48"/>
      <c r="E134" s="17"/>
      <c r="F134" s="48"/>
      <c r="G134" s="36"/>
      <c r="H134" s="36"/>
      <c r="I134" s="75"/>
      <c r="J134" s="36"/>
      <c r="K134" s="36"/>
      <c r="L134" s="36"/>
      <c r="N134" s="8"/>
      <c r="O134" s="8"/>
      <c r="P134" s="8"/>
      <c r="Q134" s="59"/>
      <c r="R134" s="66"/>
    </row>
    <row r="135" spans="1:18" ht="16.5" thickBot="1">
      <c r="A135" s="18"/>
      <c r="B135" s="55"/>
      <c r="C135" s="56"/>
      <c r="D135" s="74"/>
      <c r="E135" s="56"/>
      <c r="F135" s="57"/>
      <c r="G135" s="19">
        <f t="shared" ref="G135:P135" si="17">SUM(G133:G134)</f>
        <v>21882495</v>
      </c>
      <c r="H135" s="19">
        <f t="shared" si="17"/>
        <v>0</v>
      </c>
      <c r="I135" s="19">
        <f t="shared" si="17"/>
        <v>0</v>
      </c>
      <c r="J135" s="19">
        <f t="shared" si="17"/>
        <v>547062</v>
      </c>
      <c r="K135" s="19">
        <f t="shared" si="17"/>
        <v>221899</v>
      </c>
      <c r="L135" s="19">
        <f t="shared" si="17"/>
        <v>700000</v>
      </c>
      <c r="M135" s="19">
        <f t="shared" si="17"/>
        <v>200000</v>
      </c>
      <c r="N135" s="19">
        <f t="shared" si="17"/>
        <v>23551456</v>
      </c>
      <c r="O135" s="19">
        <f t="shared" si="17"/>
        <v>76448544</v>
      </c>
      <c r="P135" s="19">
        <f t="shared" si="17"/>
        <v>100000000</v>
      </c>
      <c r="Q135" s="68"/>
      <c r="R135" s="70"/>
    </row>
    <row r="136" spans="1:18" ht="16.5" thickTop="1">
      <c r="A136" s="23"/>
      <c r="B136" s="22"/>
      <c r="C136" s="22"/>
      <c r="D136" s="23"/>
      <c r="E136" s="22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2"/>
      <c r="Q136" s="69"/>
    </row>
    <row r="137" spans="1:18" ht="15.75">
      <c r="A137" s="23"/>
      <c r="B137" s="28" t="s">
        <v>1007</v>
      </c>
      <c r="C137" s="22"/>
      <c r="D137" s="39"/>
      <c r="F137" s="27"/>
      <c r="G137" s="28"/>
      <c r="H137" s="28"/>
      <c r="I137" s="28"/>
      <c r="J137" s="28"/>
      <c r="K137" s="28"/>
      <c r="L137" s="28"/>
      <c r="Q137" s="51"/>
    </row>
    <row r="138" spans="1:18" ht="15.75">
      <c r="A138" s="38"/>
      <c r="B138" s="40" t="s">
        <v>32</v>
      </c>
      <c r="C138" s="28" t="s">
        <v>28</v>
      </c>
      <c r="D138" s="39"/>
      <c r="F138" s="41"/>
      <c r="G138" s="143" t="s">
        <v>26</v>
      </c>
      <c r="H138" s="143"/>
      <c r="I138" s="143"/>
      <c r="K138" s="41"/>
    </row>
    <row r="139" spans="1:18" ht="15.75">
      <c r="A139" s="38"/>
      <c r="B139" s="40"/>
      <c r="C139" s="28"/>
      <c r="D139" s="39"/>
      <c r="F139" s="28"/>
      <c r="G139" s="28"/>
      <c r="H139" s="28"/>
      <c r="I139" s="28"/>
      <c r="J139" s="28"/>
      <c r="K139" s="28"/>
      <c r="L139" s="28"/>
    </row>
    <row r="140" spans="1:18" ht="15.75">
      <c r="A140" s="38"/>
      <c r="B140" s="40"/>
      <c r="C140" s="28"/>
      <c r="D140" s="39"/>
      <c r="F140" s="28"/>
      <c r="G140" s="28"/>
      <c r="H140" s="28"/>
      <c r="I140" s="28"/>
      <c r="J140" s="28"/>
      <c r="K140" s="28"/>
      <c r="L140" s="28"/>
    </row>
    <row r="141" spans="1:18" ht="15.75">
      <c r="A141" s="38"/>
      <c r="B141" s="40"/>
      <c r="C141" s="28"/>
      <c r="D141" s="39"/>
      <c r="F141" s="28"/>
      <c r="G141" s="28"/>
      <c r="H141" s="28"/>
      <c r="I141" s="28"/>
      <c r="J141" s="28"/>
      <c r="K141" s="28"/>
    </row>
    <row r="142" spans="1:18" ht="15.75">
      <c r="A142" s="38"/>
      <c r="B142" s="40"/>
      <c r="C142" s="28"/>
      <c r="D142" s="39"/>
      <c r="F142" s="28"/>
      <c r="G142" s="28"/>
      <c r="H142" s="28"/>
      <c r="I142" s="28"/>
      <c r="J142" s="28"/>
      <c r="K142" s="28"/>
      <c r="L142" s="28"/>
    </row>
    <row r="143" spans="1:18" ht="15.75">
      <c r="A143" s="38" t="s">
        <v>23</v>
      </c>
      <c r="B143" s="42" t="s">
        <v>27</v>
      </c>
      <c r="C143" s="43" t="s">
        <v>24</v>
      </c>
      <c r="D143" s="39"/>
      <c r="F143" s="29"/>
      <c r="G143" s="29" t="s">
        <v>16</v>
      </c>
      <c r="H143" s="29"/>
      <c r="I143" s="29" t="s">
        <v>30</v>
      </c>
    </row>
    <row r="144" spans="1:18" ht="15.75">
      <c r="A144" s="38"/>
      <c r="B144" s="44" t="s">
        <v>31</v>
      </c>
      <c r="C144" s="45" t="s">
        <v>20</v>
      </c>
      <c r="D144" s="39"/>
      <c r="F144" s="46"/>
      <c r="G144" s="46" t="s">
        <v>17</v>
      </c>
      <c r="H144" s="46"/>
      <c r="I144" s="46" t="s">
        <v>25</v>
      </c>
    </row>
  </sheetData>
  <mergeCells count="7">
    <mergeCell ref="G118:I118"/>
    <mergeCell ref="G138:I138"/>
    <mergeCell ref="G13:I13"/>
    <mergeCell ref="G36:I36"/>
    <mergeCell ref="G58:I58"/>
    <mergeCell ref="G78:I78"/>
    <mergeCell ref="G98:I98"/>
  </mergeCells>
  <pageMargins left="0.11811023622047245" right="0.70866141732283472" top="0.74803149606299213" bottom="0.74803149606299213" header="0.31496062992125984" footer="0.31496062992125984"/>
  <pageSetup paperSize="5" scale="75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JAN'18</vt:lpstr>
      <vt:lpstr>FEB'18</vt:lpstr>
      <vt:lpstr>MAR'18</vt:lpstr>
      <vt:lpstr>APRIL'18</vt:lpstr>
      <vt:lpstr>MEI'18</vt:lpstr>
      <vt:lpstr>JUNI'18</vt:lpstr>
      <vt:lpstr>JULI'18</vt:lpstr>
      <vt:lpstr>AGT'18</vt:lpstr>
      <vt:lpstr>'AGT''18'!Print_Area</vt:lpstr>
      <vt:lpstr>'FEB''18'!Print_Area</vt:lpstr>
      <vt:lpstr>'JULI''18'!Print_Area</vt:lpstr>
      <vt:lpstr>'JUNI''18'!Print_Area</vt:lpstr>
      <vt:lpstr>'MEI''18'!Print_Area</vt:lpstr>
    </vt:vector>
  </TitlesOfParts>
  <Company>Kopkar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RASHYA-IZAN</cp:lastModifiedBy>
  <cp:lastPrinted>2018-08-08T04:15:10Z</cp:lastPrinted>
  <dcterms:created xsi:type="dcterms:W3CDTF">2013-01-02T04:45:29Z</dcterms:created>
  <dcterms:modified xsi:type="dcterms:W3CDTF">2018-08-09T09:44:10Z</dcterms:modified>
</cp:coreProperties>
</file>