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325" windowWidth="12120" windowHeight="2505" activeTab="4"/>
  </bookViews>
  <sheets>
    <sheet name="JAN'18" sheetId="63" r:id="rId1"/>
    <sheet name="FEB'18" sheetId="64" r:id="rId2"/>
    <sheet name="MAR'18" sheetId="65" r:id="rId3"/>
    <sheet name="APRIL'18" sheetId="66" r:id="rId4"/>
    <sheet name="MEI'18" sheetId="67" r:id="rId5"/>
  </sheets>
  <definedNames>
    <definedName name="_xlnm.Print_Area" localSheetId="3">'APRIL''18'!#REF!</definedName>
    <definedName name="_xlnm.Print_Area" localSheetId="1">'FEB''18'!$A$141:$Q$232</definedName>
    <definedName name="_xlnm.Print_Area" localSheetId="0">'JAN''18'!#REF!</definedName>
    <definedName name="_xlnm.Print_Area" localSheetId="2">'MAR''18'!#REF!</definedName>
    <definedName name="_xlnm.Print_Area" localSheetId="4">'MEI''18'!$A$565:$R$574</definedName>
  </definedNames>
  <calcPr calcId="144525"/>
  <fileRecoveryPr autoRecover="0"/>
</workbook>
</file>

<file path=xl/calcChain.xml><?xml version="1.0" encoding="utf-8"?>
<calcChain xmlns="http://schemas.openxmlformats.org/spreadsheetml/2006/main">
  <c r="O572" i="67"/>
  <c r="M574"/>
  <c r="L574"/>
  <c r="K574"/>
  <c r="J574"/>
  <c r="I574"/>
  <c r="H574"/>
  <c r="G574"/>
  <c r="N572"/>
  <c r="N574" s="1"/>
  <c r="O552"/>
  <c r="M554"/>
  <c r="L554"/>
  <c r="K554"/>
  <c r="J554"/>
  <c r="I554"/>
  <c r="H554"/>
  <c r="G554"/>
  <c r="N552"/>
  <c r="N554" s="1"/>
  <c r="O574" l="1"/>
  <c r="O554"/>
  <c r="P572" l="1"/>
  <c r="P574" s="1"/>
  <c r="P552"/>
  <c r="P554" s="1"/>
  <c r="O532" l="1"/>
  <c r="M534"/>
  <c r="L534"/>
  <c r="K534"/>
  <c r="J534"/>
  <c r="I534"/>
  <c r="H534"/>
  <c r="G534"/>
  <c r="N532"/>
  <c r="N534" s="1"/>
  <c r="O511"/>
  <c r="O534" l="1"/>
  <c r="P532" l="1"/>
  <c r="P534" s="1"/>
  <c r="M513" l="1"/>
  <c r="L513"/>
  <c r="K513"/>
  <c r="J513"/>
  <c r="I513"/>
  <c r="H513"/>
  <c r="G513"/>
  <c r="N511"/>
  <c r="N513" s="1"/>
  <c r="O513" l="1"/>
  <c r="P511" l="1"/>
  <c r="P513" s="1"/>
  <c r="O491" l="1"/>
  <c r="M493" l="1"/>
  <c r="L493"/>
  <c r="K493"/>
  <c r="J493"/>
  <c r="I493"/>
  <c r="H493"/>
  <c r="G493"/>
  <c r="N491"/>
  <c r="N493" s="1"/>
  <c r="O471"/>
  <c r="M473"/>
  <c r="L473"/>
  <c r="K473"/>
  <c r="J473"/>
  <c r="I473"/>
  <c r="H473"/>
  <c r="G473"/>
  <c r="N471"/>
  <c r="N473" s="1"/>
  <c r="O451"/>
  <c r="M453"/>
  <c r="L453"/>
  <c r="K453"/>
  <c r="J453"/>
  <c r="I453"/>
  <c r="H453"/>
  <c r="G453"/>
  <c r="N451"/>
  <c r="N453" s="1"/>
  <c r="O431"/>
  <c r="M433"/>
  <c r="L433"/>
  <c r="K433"/>
  <c r="J433"/>
  <c r="I433"/>
  <c r="H433"/>
  <c r="G433"/>
  <c r="N431"/>
  <c r="N433" s="1"/>
  <c r="O493" l="1"/>
  <c r="O473"/>
  <c r="O453"/>
  <c r="O433"/>
  <c r="P491" l="1"/>
  <c r="P493" s="1"/>
  <c r="P471"/>
  <c r="P473" s="1"/>
  <c r="P451"/>
  <c r="P453" s="1"/>
  <c r="P431"/>
  <c r="P433" s="1"/>
  <c r="O411" l="1"/>
  <c r="M413"/>
  <c r="L413"/>
  <c r="K413"/>
  <c r="J413"/>
  <c r="I413"/>
  <c r="H413"/>
  <c r="G413"/>
  <c r="N411"/>
  <c r="N413" s="1"/>
  <c r="O413" l="1"/>
  <c r="N391"/>
  <c r="O391" s="1"/>
  <c r="M393"/>
  <c r="L393"/>
  <c r="K393"/>
  <c r="J393"/>
  <c r="I393"/>
  <c r="H393"/>
  <c r="G393"/>
  <c r="P411" l="1"/>
  <c r="P413" s="1"/>
  <c r="N393"/>
  <c r="O393"/>
  <c r="P391" l="1"/>
  <c r="P393" s="1"/>
  <c r="O371" l="1"/>
  <c r="M373"/>
  <c r="L373"/>
  <c r="K373"/>
  <c r="J373"/>
  <c r="I373"/>
  <c r="H373"/>
  <c r="G373"/>
  <c r="N371"/>
  <c r="N373" s="1"/>
  <c r="O373" l="1"/>
  <c r="P371" l="1"/>
  <c r="P373" s="1"/>
  <c r="N351" l="1"/>
  <c r="O351" s="1"/>
  <c r="N353"/>
  <c r="H353"/>
  <c r="I353"/>
  <c r="J353"/>
  <c r="K353"/>
  <c r="L353"/>
  <c r="M353"/>
  <c r="G353"/>
  <c r="N271"/>
  <c r="M291"/>
  <c r="M311"/>
  <c r="M331"/>
  <c r="O353" l="1"/>
  <c r="N331"/>
  <c r="L333"/>
  <c r="K333"/>
  <c r="J333"/>
  <c r="I333"/>
  <c r="H333"/>
  <c r="G333"/>
  <c r="M333"/>
  <c r="L313"/>
  <c r="K313"/>
  <c r="J313"/>
  <c r="I313"/>
  <c r="H313"/>
  <c r="G313"/>
  <c r="M313"/>
  <c r="N291"/>
  <c r="L293"/>
  <c r="K293"/>
  <c r="J293"/>
  <c r="I293"/>
  <c r="H293"/>
  <c r="G293"/>
  <c r="M293"/>
  <c r="O271"/>
  <c r="J273"/>
  <c r="M273"/>
  <c r="L273"/>
  <c r="K273"/>
  <c r="I273"/>
  <c r="H273"/>
  <c r="G273"/>
  <c r="N273"/>
  <c r="P351" l="1"/>
  <c r="P353" s="1"/>
  <c r="N333"/>
  <c r="N311"/>
  <c r="N313" s="1"/>
  <c r="N293"/>
  <c r="O273"/>
  <c r="L232"/>
  <c r="K232"/>
  <c r="J232"/>
  <c r="I232"/>
  <c r="H232"/>
  <c r="G232"/>
  <c r="M230"/>
  <c r="M232" s="1"/>
  <c r="O331" l="1"/>
  <c r="O333" s="1"/>
  <c r="O311"/>
  <c r="O313" s="1"/>
  <c r="O291"/>
  <c r="O293" s="1"/>
  <c r="N230"/>
  <c r="N232" s="1"/>
  <c r="P271"/>
  <c r="P273" s="1"/>
  <c r="O230"/>
  <c r="O232" s="1"/>
  <c r="L253"/>
  <c r="K253"/>
  <c r="J253"/>
  <c r="I253"/>
  <c r="H253"/>
  <c r="G253"/>
  <c r="M251"/>
  <c r="M253" l="1"/>
  <c r="N251"/>
  <c r="N253"/>
  <c r="O251" l="1"/>
  <c r="O253" s="1"/>
  <c r="N210" l="1"/>
  <c r="L212"/>
  <c r="K212"/>
  <c r="J212"/>
  <c r="I212"/>
  <c r="H212"/>
  <c r="G212"/>
  <c r="M210"/>
  <c r="M212" s="1"/>
  <c r="N190"/>
  <c r="L192"/>
  <c r="K192"/>
  <c r="J192"/>
  <c r="I192"/>
  <c r="H192"/>
  <c r="G192"/>
  <c r="M190"/>
  <c r="M192" s="1"/>
  <c r="N212" l="1"/>
  <c r="N192"/>
  <c r="O210" l="1"/>
  <c r="O212" s="1"/>
  <c r="O190"/>
  <c r="O192" s="1"/>
  <c r="N170" l="1"/>
  <c r="L172"/>
  <c r="K172"/>
  <c r="J172"/>
  <c r="I172"/>
  <c r="H172"/>
  <c r="G172"/>
  <c r="M170"/>
  <c r="M172" s="1"/>
  <c r="N172" l="1"/>
  <c r="O170" l="1"/>
  <c r="O172" s="1"/>
  <c r="L152" l="1"/>
  <c r="K152"/>
  <c r="J152"/>
  <c r="I152"/>
  <c r="H152"/>
  <c r="G152"/>
  <c r="M150"/>
  <c r="N150" s="1"/>
  <c r="L132"/>
  <c r="K132"/>
  <c r="J132"/>
  <c r="I132"/>
  <c r="H132"/>
  <c r="G132"/>
  <c r="M130"/>
  <c r="N130" s="1"/>
  <c r="O150" l="1"/>
  <c r="O152" s="1"/>
  <c r="N152"/>
  <c r="M152"/>
  <c r="M132"/>
  <c r="N132"/>
  <c r="O130" l="1"/>
  <c r="O132" s="1"/>
  <c r="N110" l="1"/>
  <c r="L112"/>
  <c r="K112"/>
  <c r="J112"/>
  <c r="I112"/>
  <c r="H112"/>
  <c r="G112"/>
  <c r="M110"/>
  <c r="N112" l="1"/>
  <c r="M112"/>
  <c r="O110" l="1"/>
  <c r="O112" s="1"/>
  <c r="L91" l="1"/>
  <c r="K91"/>
  <c r="J91"/>
  <c r="I91"/>
  <c r="H91"/>
  <c r="G91"/>
  <c r="M89"/>
  <c r="N89" s="1"/>
  <c r="L71"/>
  <c r="K71"/>
  <c r="J71"/>
  <c r="I71"/>
  <c r="H71"/>
  <c r="G71"/>
  <c r="M69"/>
  <c r="N69" s="1"/>
  <c r="N91" l="1"/>
  <c r="M91"/>
  <c r="N71"/>
  <c r="M71"/>
  <c r="O89" l="1"/>
  <c r="O91" s="1"/>
  <c r="O69"/>
  <c r="O71" s="1"/>
  <c r="L51" l="1"/>
  <c r="K51"/>
  <c r="J51"/>
  <c r="I51"/>
  <c r="H51"/>
  <c r="G51"/>
  <c r="M49"/>
  <c r="N49" s="1"/>
  <c r="N51" l="1"/>
  <c r="M51"/>
  <c r="O49" l="1"/>
  <c r="O51" s="1"/>
  <c r="L31" l="1"/>
  <c r="K31"/>
  <c r="J31"/>
  <c r="I31"/>
  <c r="H31"/>
  <c r="G31"/>
  <c r="M29"/>
  <c r="N29" s="1"/>
  <c r="N31" l="1"/>
  <c r="M31"/>
  <c r="O29" l="1"/>
  <c r="O31" s="1"/>
  <c r="L11" l="1"/>
  <c r="K11"/>
  <c r="J11"/>
  <c r="I11"/>
  <c r="H11"/>
  <c r="G11"/>
  <c r="M9"/>
  <c r="N9" s="1"/>
  <c r="M11" l="1"/>
  <c r="N11"/>
  <c r="O9" l="1"/>
  <c r="O11" s="1"/>
  <c r="M96" i="66" l="1"/>
  <c r="L96"/>
  <c r="K96"/>
  <c r="J96"/>
  <c r="I96"/>
  <c r="H96"/>
  <c r="G96"/>
  <c r="N94"/>
  <c r="O94" s="1"/>
  <c r="N96" l="1"/>
  <c r="P94"/>
  <c r="P96" l="1"/>
  <c r="O96"/>
  <c r="N71" l="1"/>
  <c r="N72"/>
  <c r="N73"/>
  <c r="O73" s="1"/>
  <c r="N74"/>
  <c r="O74" s="1"/>
  <c r="N70"/>
  <c r="O70" s="1"/>
  <c r="H76"/>
  <c r="I76"/>
  <c r="J76"/>
  <c r="K76"/>
  <c r="L76"/>
  <c r="M76"/>
  <c r="G76"/>
  <c r="O72"/>
  <c r="P72" s="1"/>
  <c r="O71"/>
  <c r="H52"/>
  <c r="I52"/>
  <c r="J52"/>
  <c r="K52"/>
  <c r="L52"/>
  <c r="G52"/>
  <c r="M50"/>
  <c r="N50" s="1"/>
  <c r="M49"/>
  <c r="N49" s="1"/>
  <c r="M48"/>
  <c r="N48" s="1"/>
  <c r="N52" s="1"/>
  <c r="O76" l="1"/>
  <c r="N76"/>
  <c r="M52"/>
  <c r="P74"/>
  <c r="P73"/>
  <c r="P71"/>
  <c r="O50"/>
  <c r="O49"/>
  <c r="O48"/>
  <c r="O52" l="1"/>
  <c r="P70"/>
  <c r="P76" s="1"/>
  <c r="L30" l="1"/>
  <c r="K30"/>
  <c r="J30"/>
  <c r="I30"/>
  <c r="H30"/>
  <c r="G30"/>
  <c r="M28"/>
  <c r="M30" s="1"/>
  <c r="L10"/>
  <c r="K10"/>
  <c r="J10"/>
  <c r="I10"/>
  <c r="H10"/>
  <c r="G10"/>
  <c r="M8"/>
  <c r="N8" s="1"/>
  <c r="N28" l="1"/>
  <c r="N30" s="1"/>
  <c r="M10"/>
  <c r="N10"/>
  <c r="O28" l="1"/>
  <c r="O30" s="1"/>
  <c r="O8"/>
  <c r="O10" s="1"/>
  <c r="L316" i="65" l="1"/>
  <c r="K316"/>
  <c r="J316"/>
  <c r="I316"/>
  <c r="H316"/>
  <c r="G316"/>
  <c r="M314"/>
  <c r="M316" s="1"/>
  <c r="N314" l="1"/>
  <c r="N316" s="1"/>
  <c r="O314" l="1"/>
  <c r="O316" s="1"/>
  <c r="L296" l="1"/>
  <c r="K296"/>
  <c r="J296"/>
  <c r="I296"/>
  <c r="H296"/>
  <c r="G296"/>
  <c r="M294"/>
  <c r="M296" s="1"/>
  <c r="N294" l="1"/>
  <c r="N296" s="1"/>
  <c r="O294" l="1"/>
  <c r="O296" s="1"/>
  <c r="L276"/>
  <c r="K276"/>
  <c r="J276"/>
  <c r="I276"/>
  <c r="H276"/>
  <c r="G276"/>
  <c r="M274"/>
  <c r="N274" s="1"/>
  <c r="O274" l="1"/>
  <c r="O276" s="1"/>
  <c r="M276"/>
  <c r="N276" l="1"/>
  <c r="H256" l="1"/>
  <c r="I256"/>
  <c r="J256"/>
  <c r="K256"/>
  <c r="L256"/>
  <c r="G256"/>
  <c r="M254"/>
  <c r="N254" s="1"/>
  <c r="M253"/>
  <c r="N253" s="1"/>
  <c r="O254" l="1"/>
  <c r="O253"/>
  <c r="L214"/>
  <c r="K214"/>
  <c r="J214"/>
  <c r="I214"/>
  <c r="H214"/>
  <c r="G214"/>
  <c r="M212"/>
  <c r="N212" s="1"/>
  <c r="M252"/>
  <c r="L234"/>
  <c r="K234"/>
  <c r="J234"/>
  <c r="I234"/>
  <c r="H234"/>
  <c r="G234"/>
  <c r="M232"/>
  <c r="M234" s="1"/>
  <c r="N252" l="1"/>
  <c r="N256" s="1"/>
  <c r="M256"/>
  <c r="N232"/>
  <c r="N234" s="1"/>
  <c r="M214"/>
  <c r="N214"/>
  <c r="L194"/>
  <c r="K194"/>
  <c r="J194"/>
  <c r="I194"/>
  <c r="H194"/>
  <c r="G194"/>
  <c r="M192"/>
  <c r="M194" s="1"/>
  <c r="O252" l="1"/>
  <c r="O256" s="1"/>
  <c r="O212"/>
  <c r="O214" s="1"/>
  <c r="O232"/>
  <c r="O234" s="1"/>
  <c r="N192"/>
  <c r="N194" s="1"/>
  <c r="O192" l="1"/>
  <c r="O194" s="1"/>
  <c r="M172" l="1"/>
  <c r="N172" s="1"/>
  <c r="O172" s="1"/>
  <c r="L174" l="1"/>
  <c r="K174"/>
  <c r="J174"/>
  <c r="H174"/>
  <c r="I174"/>
  <c r="G174"/>
  <c r="M171" l="1"/>
  <c r="N171" s="1"/>
  <c r="L153"/>
  <c r="K153"/>
  <c r="J153"/>
  <c r="H153"/>
  <c r="I151"/>
  <c r="I153" s="1"/>
  <c r="G151"/>
  <c r="G153" s="1"/>
  <c r="M174" l="1"/>
  <c r="N174"/>
  <c r="O171"/>
  <c r="O174" s="1"/>
  <c r="M151"/>
  <c r="L133"/>
  <c r="K133"/>
  <c r="J133"/>
  <c r="I133"/>
  <c r="H133"/>
  <c r="G133"/>
  <c r="M131"/>
  <c r="M133" s="1"/>
  <c r="N131" l="1"/>
  <c r="N133" s="1"/>
  <c r="M153"/>
  <c r="N151"/>
  <c r="N153" s="1"/>
  <c r="O151" l="1"/>
  <c r="O153" s="1"/>
  <c r="O131"/>
  <c r="O133" s="1"/>
  <c r="L113" l="1"/>
  <c r="K113"/>
  <c r="J113"/>
  <c r="I113"/>
  <c r="H113"/>
  <c r="G113"/>
  <c r="M111"/>
  <c r="N111" s="1"/>
  <c r="M113" l="1"/>
  <c r="N113"/>
  <c r="O111"/>
  <c r="O113" s="1"/>
  <c r="L92" l="1"/>
  <c r="K92"/>
  <c r="J92"/>
  <c r="I92"/>
  <c r="H92"/>
  <c r="G92"/>
  <c r="M89"/>
  <c r="M92" l="1"/>
  <c r="N89"/>
  <c r="N92" s="1"/>
  <c r="O89" l="1"/>
  <c r="O92" s="1"/>
  <c r="M69" l="1"/>
  <c r="L71"/>
  <c r="K71"/>
  <c r="J71"/>
  <c r="I71"/>
  <c r="H71"/>
  <c r="G71"/>
  <c r="M68"/>
  <c r="L50"/>
  <c r="K50"/>
  <c r="J50"/>
  <c r="I50"/>
  <c r="H50"/>
  <c r="G50"/>
  <c r="M48"/>
  <c r="M50" s="1"/>
  <c r="N48" l="1"/>
  <c r="N69"/>
  <c r="O69" s="1"/>
  <c r="M71"/>
  <c r="N68"/>
  <c r="N71" s="1"/>
  <c r="N50"/>
  <c r="L30"/>
  <c r="K30"/>
  <c r="J30"/>
  <c r="I30"/>
  <c r="H30"/>
  <c r="G30"/>
  <c r="M28"/>
  <c r="M30" s="1"/>
  <c r="N28" l="1"/>
  <c r="N30" s="1"/>
  <c r="O68"/>
  <c r="O71" s="1"/>
  <c r="O48"/>
  <c r="O50" s="1"/>
  <c r="O28" l="1"/>
  <c r="O30" s="1"/>
  <c r="L10" l="1"/>
  <c r="K10"/>
  <c r="J10"/>
  <c r="I10"/>
  <c r="H10"/>
  <c r="G10"/>
  <c r="M8"/>
  <c r="M10" s="1"/>
  <c r="N8" l="1"/>
  <c r="N10" s="1"/>
  <c r="O8" l="1"/>
  <c r="O10" s="1"/>
  <c r="H232" i="64" l="1"/>
  <c r="I232"/>
  <c r="J232"/>
  <c r="K232"/>
  <c r="L232"/>
  <c r="G232"/>
  <c r="M230"/>
  <c r="N230" s="1"/>
  <c r="M229"/>
  <c r="M232" l="1"/>
  <c r="N229"/>
  <c r="N232" s="1"/>
  <c r="O230"/>
  <c r="O229" l="1"/>
  <c r="O232" s="1"/>
  <c r="L211" l="1"/>
  <c r="K211"/>
  <c r="J211"/>
  <c r="I211"/>
  <c r="H211"/>
  <c r="G211"/>
  <c r="M209"/>
  <c r="N209" l="1"/>
  <c r="N211" s="1"/>
  <c r="M211"/>
  <c r="O209" l="1"/>
  <c r="O211" s="1"/>
  <c r="L191" l="1"/>
  <c r="K191"/>
  <c r="J191"/>
  <c r="I191"/>
  <c r="H191"/>
  <c r="G191"/>
  <c r="M189"/>
  <c r="M191" s="1"/>
  <c r="L171"/>
  <c r="K171"/>
  <c r="J171"/>
  <c r="I171"/>
  <c r="H171"/>
  <c r="G171"/>
  <c r="M169"/>
  <c r="M171" s="1"/>
  <c r="N189" l="1"/>
  <c r="N191" s="1"/>
  <c r="N169"/>
  <c r="O169" s="1"/>
  <c r="O171" s="1"/>
  <c r="N171" l="1"/>
  <c r="O189"/>
  <c r="O191" s="1"/>
  <c r="M149" l="1"/>
  <c r="L151"/>
  <c r="K151"/>
  <c r="J151"/>
  <c r="I151"/>
  <c r="H151"/>
  <c r="G151"/>
  <c r="M148"/>
  <c r="M151" l="1"/>
  <c r="N148"/>
  <c r="N149"/>
  <c r="O149" s="1"/>
  <c r="L130"/>
  <c r="K130"/>
  <c r="J130"/>
  <c r="I130"/>
  <c r="H130"/>
  <c r="G130"/>
  <c r="M128"/>
  <c r="N151" l="1"/>
  <c r="O148"/>
  <c r="O151" s="1"/>
  <c r="M130"/>
  <c r="N128"/>
  <c r="N130" s="1"/>
  <c r="O128" l="1"/>
  <c r="O130" s="1"/>
  <c r="L110" l="1"/>
  <c r="K110"/>
  <c r="J110"/>
  <c r="I110"/>
  <c r="H110"/>
  <c r="G110"/>
  <c r="M108"/>
  <c r="M110" s="1"/>
  <c r="L90"/>
  <c r="K90"/>
  <c r="J90"/>
  <c r="I90"/>
  <c r="H90"/>
  <c r="G90"/>
  <c r="M88"/>
  <c r="M90" s="1"/>
  <c r="N88" l="1"/>
  <c r="N108"/>
  <c r="N110" s="1"/>
  <c r="N90"/>
  <c r="L70"/>
  <c r="K70"/>
  <c r="J70"/>
  <c r="I70"/>
  <c r="H70"/>
  <c r="G70"/>
  <c r="M68"/>
  <c r="M70" s="1"/>
  <c r="N68" l="1"/>
  <c r="N70" s="1"/>
  <c r="O108"/>
  <c r="O110" s="1"/>
  <c r="O88"/>
  <c r="O90" s="1"/>
  <c r="O68" l="1"/>
  <c r="O70" s="1"/>
  <c r="L50" l="1"/>
  <c r="K50"/>
  <c r="J50"/>
  <c r="I50"/>
  <c r="H50"/>
  <c r="G50"/>
  <c r="M48"/>
  <c r="M50" s="1"/>
  <c r="N48" l="1"/>
  <c r="N50" s="1"/>
  <c r="O48" l="1"/>
  <c r="O50" s="1"/>
  <c r="L30" l="1"/>
  <c r="K30"/>
  <c r="J30"/>
  <c r="I30"/>
  <c r="H30"/>
  <c r="G30"/>
  <c r="M28"/>
  <c r="M30" s="1"/>
  <c r="N28" l="1"/>
  <c r="N30" s="1"/>
  <c r="O28" l="1"/>
  <c r="O30" s="1"/>
  <c r="L10" l="1"/>
  <c r="K10"/>
  <c r="J10"/>
  <c r="I10"/>
  <c r="H10"/>
  <c r="G10"/>
  <c r="M8"/>
  <c r="M10" s="1"/>
  <c r="N8" l="1"/>
  <c r="N10" s="1"/>
  <c r="O8" l="1"/>
  <c r="O10" s="1"/>
  <c r="L272" i="63" l="1"/>
  <c r="K272"/>
  <c r="J272"/>
  <c r="I272"/>
  <c r="H272"/>
  <c r="G272"/>
  <c r="M270"/>
  <c r="M272" s="1"/>
  <c r="L252"/>
  <c r="K252"/>
  <c r="J252"/>
  <c r="I252"/>
  <c r="H252"/>
  <c r="G252"/>
  <c r="M250"/>
  <c r="N270" l="1"/>
  <c r="N272" s="1"/>
  <c r="M252"/>
  <c r="N250"/>
  <c r="N252" s="1"/>
  <c r="L232"/>
  <c r="K232"/>
  <c r="J232"/>
  <c r="I232"/>
  <c r="H232"/>
  <c r="G232"/>
  <c r="M229"/>
  <c r="M232" s="1"/>
  <c r="O270" l="1"/>
  <c r="O272" s="1"/>
  <c r="O250"/>
  <c r="O252" s="1"/>
  <c r="N229"/>
  <c r="N232" s="1"/>
  <c r="M209"/>
  <c r="N209" s="1"/>
  <c r="L211"/>
  <c r="K211"/>
  <c r="J211"/>
  <c r="I211"/>
  <c r="H211"/>
  <c r="G211"/>
  <c r="M208"/>
  <c r="M211" s="1"/>
  <c r="N208" l="1"/>
  <c r="N211" s="1"/>
  <c r="O229"/>
  <c r="O232" s="1"/>
  <c r="O209"/>
  <c r="L190"/>
  <c r="K190"/>
  <c r="J190"/>
  <c r="I190"/>
  <c r="H190"/>
  <c r="G190"/>
  <c r="M188"/>
  <c r="N188" s="1"/>
  <c r="O208" l="1"/>
  <c r="O211" s="1"/>
  <c r="N190"/>
  <c r="O188"/>
  <c r="O190" s="1"/>
  <c r="M190"/>
  <c r="K170"/>
  <c r="J170"/>
  <c r="I170"/>
  <c r="H170"/>
  <c r="G170"/>
  <c r="L168"/>
  <c r="L170" s="1"/>
  <c r="M168" l="1"/>
  <c r="M170" s="1"/>
  <c r="N168" l="1"/>
  <c r="N170" s="1"/>
  <c r="L150" l="1"/>
  <c r="K150"/>
  <c r="J150"/>
  <c r="I150"/>
  <c r="H150"/>
  <c r="G150"/>
  <c r="M148"/>
  <c r="M150" s="1"/>
  <c r="N148" l="1"/>
  <c r="N150" s="1"/>
  <c r="L130"/>
  <c r="K130"/>
  <c r="J130"/>
  <c r="I130"/>
  <c r="H130"/>
  <c r="G130"/>
  <c r="M128"/>
  <c r="M130" s="1"/>
  <c r="N128" l="1"/>
  <c r="O148"/>
  <c r="O150" s="1"/>
  <c r="N130"/>
  <c r="L110"/>
  <c r="K110"/>
  <c r="J110"/>
  <c r="I110"/>
  <c r="H110"/>
  <c r="G110"/>
  <c r="M108"/>
  <c r="N108" s="1"/>
  <c r="L90"/>
  <c r="K90"/>
  <c r="J90"/>
  <c r="I90"/>
  <c r="H90"/>
  <c r="G90"/>
  <c r="M88"/>
  <c r="M90" s="1"/>
  <c r="N88" l="1"/>
  <c r="O128"/>
  <c r="O130" s="1"/>
  <c r="N110"/>
  <c r="M110"/>
  <c r="N90"/>
  <c r="O108" l="1"/>
  <c r="O110" s="1"/>
  <c r="O88"/>
  <c r="O90" s="1"/>
  <c r="L70" l="1"/>
  <c r="K70"/>
  <c r="J70"/>
  <c r="I70"/>
  <c r="H70"/>
  <c r="G70"/>
  <c r="M68"/>
  <c r="M70" s="1"/>
  <c r="N68" l="1"/>
  <c r="N70" s="1"/>
  <c r="L50"/>
  <c r="K50"/>
  <c r="J50"/>
  <c r="I50"/>
  <c r="H50"/>
  <c r="G50"/>
  <c r="M48"/>
  <c r="M50" s="1"/>
  <c r="N48" l="1"/>
  <c r="O68"/>
  <c r="O70" s="1"/>
  <c r="N50"/>
  <c r="O48" l="1"/>
  <c r="O50" s="1"/>
  <c r="L30" l="1"/>
  <c r="K30"/>
  <c r="J30"/>
  <c r="I30"/>
  <c r="H30"/>
  <c r="G30"/>
  <c r="M28"/>
  <c r="M30" s="1"/>
  <c r="N28" l="1"/>
  <c r="N30" s="1"/>
  <c r="O28" l="1"/>
  <c r="O30" s="1"/>
  <c r="L10" l="1"/>
  <c r="K10"/>
  <c r="J10"/>
  <c r="I10"/>
  <c r="H10"/>
  <c r="G10"/>
  <c r="M8"/>
  <c r="N8" s="1"/>
  <c r="N10" l="1"/>
  <c r="O8"/>
  <c r="O10" s="1"/>
  <c r="M10"/>
</calcChain>
</file>

<file path=xl/sharedStrings.xml><?xml version="1.0" encoding="utf-8"?>
<sst xmlns="http://schemas.openxmlformats.org/spreadsheetml/2006/main" count="3826" uniqueCount="530">
  <si>
    <t>KOPERASI KARYAWAN BCA MITRA SEJAHTERA</t>
  </si>
  <si>
    <t xml:space="preserve"> </t>
  </si>
  <si>
    <t xml:space="preserve">NIP </t>
  </si>
  <si>
    <t>TGL</t>
  </si>
  <si>
    <t>NO. REK</t>
  </si>
  <si>
    <t>PELUNASAN</t>
  </si>
  <si>
    <t>BUNGA</t>
  </si>
  <si>
    <t>PENALTY 2.5%</t>
  </si>
  <si>
    <t>TRANSFER</t>
  </si>
  <si>
    <t>PLAFON</t>
  </si>
  <si>
    <t>CABANG</t>
  </si>
  <si>
    <t xml:space="preserve">PINJAMAN </t>
  </si>
  <si>
    <t>PINJAMAN</t>
  </si>
  <si>
    <t>KE KOPERASI</t>
  </si>
  <si>
    <t>KE KARYAWAN</t>
  </si>
  <si>
    <t>DIATAS MAX</t>
  </si>
  <si>
    <t>M. Arief Kaprawi</t>
  </si>
  <si>
    <t>Ketua Koperasi</t>
  </si>
  <si>
    <t xml:space="preserve"> PELUNASAN </t>
  </si>
  <si>
    <t xml:space="preserve">DARI </t>
  </si>
  <si>
    <t>Kabag Simpan Pinjam</t>
  </si>
  <si>
    <t>BY ADM</t>
  </si>
  <si>
    <t>DL NORM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</si>
  <si>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</si>
  <si>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</si>
  <si>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</si>
  <si>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Menyetujui,</t>
  </si>
  <si>
    <t>Isparina T</t>
  </si>
  <si>
    <t>Pemeriksa,</t>
  </si>
  <si>
    <t>BY PROVISI 1%</t>
  </si>
  <si>
    <t>Wina Saraswati</t>
  </si>
  <si>
    <t xml:space="preserve">Staf Simpan Pinjam </t>
  </si>
  <si>
    <t xml:space="preserve">Pembuat, </t>
  </si>
  <si>
    <t>KET</t>
  </si>
  <si>
    <t>NO. FORM</t>
  </si>
  <si>
    <t>BERJALAN</t>
  </si>
  <si>
    <t>HENY RUSDIANA</t>
  </si>
  <si>
    <t>975392</t>
  </si>
  <si>
    <t>7900000060</t>
  </si>
  <si>
    <t>LOG KW3</t>
  </si>
  <si>
    <t>TAMB</t>
  </si>
  <si>
    <t>DILUAR NORM</t>
  </si>
  <si>
    <t>NORMATIF</t>
  </si>
  <si>
    <t>REALISASI PINJAMAN DILUAR NORMATIF TGL 02 JANUARI 2018</t>
  </si>
  <si>
    <t>002207</t>
  </si>
  <si>
    <t>Surabaya, 02 JANUARI 2018</t>
  </si>
  <si>
    <t>REALISASI PINJAMAN DILUAR NORMATIF TGL 04 JANUARI 2018</t>
  </si>
  <si>
    <t>ANUGERAHWATI PUJI</t>
  </si>
  <si>
    <t>980801</t>
  </si>
  <si>
    <t>002115</t>
  </si>
  <si>
    <t>3422445533</t>
  </si>
  <si>
    <t>PIKW KW3</t>
  </si>
  <si>
    <t>RECOV</t>
  </si>
  <si>
    <t>Surabaya, 04 JANUARI 2018</t>
  </si>
  <si>
    <t>TJATUR IDA HARIYATI</t>
  </si>
  <si>
    <t>973171</t>
  </si>
  <si>
    <t>001967</t>
  </si>
  <si>
    <t>7880060079</t>
  </si>
  <si>
    <t>DLN</t>
  </si>
  <si>
    <t>KCU GALAXY</t>
  </si>
  <si>
    <t>REALISASI PINJAMAN DILUAR NORMATIF TGL 05 JANUARI 2018</t>
  </si>
  <si>
    <t>Surabaya, 05 JANUARI 2018</t>
  </si>
  <si>
    <t>batal mintanya 2,650,000,- transaksi tgl 05 jan 2018</t>
  </si>
  <si>
    <t>ENDANG INDERA</t>
  </si>
  <si>
    <t>963653</t>
  </si>
  <si>
    <t>002120</t>
  </si>
  <si>
    <t>0100304643</t>
  </si>
  <si>
    <t>KCP MARGOMULYO</t>
  </si>
  <si>
    <t>REALISASI PINJAMAN DILUAR NORMATIF TGL 09 JANUARI 2018</t>
  </si>
  <si>
    <t>TRI MAULANA D</t>
  </si>
  <si>
    <t>899557</t>
  </si>
  <si>
    <t>002141</t>
  </si>
  <si>
    <t>2131039150</t>
  </si>
  <si>
    <t>KCU HRM</t>
  </si>
  <si>
    <t>TAMBAHAN</t>
  </si>
  <si>
    <t>Surabaya, 09 JANUARI 2018</t>
  </si>
  <si>
    <t>REALISASI PINJAMAN DILUAR NORMATIF TGL 10 JANUARI 2018</t>
  </si>
  <si>
    <t>MARDJUKI</t>
  </si>
  <si>
    <t>962069</t>
  </si>
  <si>
    <t>001886</t>
  </si>
  <si>
    <t>8290121141</t>
  </si>
  <si>
    <t>BARANG</t>
  </si>
  <si>
    <t>Surabaya, 10 JANUARI 2018</t>
  </si>
  <si>
    <t>RECOVERY</t>
  </si>
  <si>
    <t>REALISASI PINJAMAN DILUAR NORMATIF TGL 11 JANUARI 2018</t>
  </si>
  <si>
    <t>SUGIJARTO</t>
  </si>
  <si>
    <t>913375</t>
  </si>
  <si>
    <t>002173</t>
  </si>
  <si>
    <t>0101139386</t>
  </si>
  <si>
    <t>Surabaya, 11 JANUARI 2018</t>
  </si>
  <si>
    <t>NORM</t>
  </si>
  <si>
    <t/>
  </si>
  <si>
    <t>WANDA PUSPITASARI</t>
  </si>
  <si>
    <t>063324</t>
  </si>
  <si>
    <t>002256</t>
  </si>
  <si>
    <t>1880423017</t>
  </si>
  <si>
    <t>KCU DIPONEGORO</t>
  </si>
  <si>
    <t>REALISASI PINJAMAN DL NORMATIF TGL 12 JANUARI 2018</t>
  </si>
  <si>
    <t>Surabaya, 12 JANUARI 2018</t>
  </si>
  <si>
    <t>ini yang ke dua yang pertam tgl 11 jan 2018 total 35jt</t>
  </si>
  <si>
    <t>REALISASI PINJAMAN DILUAR NORMATIF TGL 19 JANUARI 2018</t>
  </si>
  <si>
    <t>ENDARTO</t>
  </si>
  <si>
    <t>896621</t>
  </si>
  <si>
    <t>002557</t>
  </si>
  <si>
    <t>0101142271</t>
  </si>
  <si>
    <t>Surabaya, 19 JANUARI 2018</t>
  </si>
  <si>
    <t>BATAS PRINT</t>
  </si>
  <si>
    <t>REALISASI PINJAMAN DILUAR NORMATIF TGL 25 JANUARI 2018</t>
  </si>
  <si>
    <t>ANTO PRIYO M</t>
  </si>
  <si>
    <t>912127</t>
  </si>
  <si>
    <t>008135</t>
  </si>
  <si>
    <t>1130509882</t>
  </si>
  <si>
    <t>KCU JOMBANG</t>
  </si>
  <si>
    <t>FIFY SOEHENDRA</t>
  </si>
  <si>
    <t>974040</t>
  </si>
  <si>
    <t>002053</t>
  </si>
  <si>
    <t>1010688368</t>
  </si>
  <si>
    <t>KCP SEMUT</t>
  </si>
  <si>
    <t>Surabaya, 25 JANUARI 2018</t>
  </si>
  <si>
    <t>REALISASI PINJAMAN DILUAR NORMATIF TGL 30 JANUARI 2018</t>
  </si>
  <si>
    <t>YOPIE KOLOSIES</t>
  </si>
  <si>
    <t>962810</t>
  </si>
  <si>
    <t>001909</t>
  </si>
  <si>
    <t>2581422204</t>
  </si>
  <si>
    <t>SOY KW3</t>
  </si>
  <si>
    <t>RIFAI</t>
  </si>
  <si>
    <t>913373</t>
  </si>
  <si>
    <t>002329</t>
  </si>
  <si>
    <t>8290107408</t>
  </si>
  <si>
    <t>Surabaya, 30 JANUARI 2018</t>
  </si>
  <si>
    <t>MARZUKI</t>
  </si>
  <si>
    <t>897091</t>
  </si>
  <si>
    <t>002328</t>
  </si>
  <si>
    <t>0101093858</t>
  </si>
  <si>
    <t>KCU VETERAN</t>
  </si>
  <si>
    <t>REALISASI PINJAMAN DILUAR NORMATIF TGL 01 FEBRUARI 2018</t>
  </si>
  <si>
    <t>HESTI DWI A</t>
  </si>
  <si>
    <t>010464</t>
  </si>
  <si>
    <t>009976</t>
  </si>
  <si>
    <t>2560134200</t>
  </si>
  <si>
    <t>Surabaya, 01 FEBRUARI 2018</t>
  </si>
  <si>
    <t>REALISASI PINJAMAN DILUAR NORMATIF TGL 02 FEBRUARI 2018</t>
  </si>
  <si>
    <t>CHIN BUI LIONG</t>
  </si>
  <si>
    <t>972647</t>
  </si>
  <si>
    <t>009484</t>
  </si>
  <si>
    <t>0880765574</t>
  </si>
  <si>
    <t>KCP PONDOK CHANDRA</t>
  </si>
  <si>
    <t>Surabaya, 02 FEBRUARI 2018</t>
  </si>
  <si>
    <t>REALISASI PINJAMAN DILUAR NORMATIF TGL 05 FEBRUARI 2018</t>
  </si>
  <si>
    <t>SUWARNO ARIFIN</t>
  </si>
  <si>
    <t>970748</t>
  </si>
  <si>
    <t>002572</t>
  </si>
  <si>
    <t>4686500870</t>
  </si>
  <si>
    <t>PEMB KW3</t>
  </si>
  <si>
    <t>Surabaya, 05 FEBRUARI 2018</t>
  </si>
  <si>
    <t>YOHANES ANDI S</t>
  </si>
  <si>
    <t>914072</t>
  </si>
  <si>
    <t>002348</t>
  </si>
  <si>
    <t>0641001456</t>
  </si>
  <si>
    <t>KCU DARMO</t>
  </si>
  <si>
    <t>REALISASI PINJAMAN DILUAR NORMATIF TGL 09 FEBRUARI 2018</t>
  </si>
  <si>
    <t>DJOKO PRIYO U</t>
  </si>
  <si>
    <t>900257</t>
  </si>
  <si>
    <t>010267</t>
  </si>
  <si>
    <t>2160032076</t>
  </si>
  <si>
    <t>KHUSUS</t>
  </si>
  <si>
    <t>KCU RUNGKUT</t>
  </si>
  <si>
    <t>Surabaya, 09 FEBRUARI 2018</t>
  </si>
  <si>
    <t>MUKAFFI</t>
  </si>
  <si>
    <t>922012</t>
  </si>
  <si>
    <t>002013</t>
  </si>
  <si>
    <t>2581422336</t>
  </si>
  <si>
    <t>M DADANG PRIJONGGO</t>
  </si>
  <si>
    <t>912806</t>
  </si>
  <si>
    <t>009249</t>
  </si>
  <si>
    <t>2581422662</t>
  </si>
  <si>
    <t>KK KEDUNGDORO</t>
  </si>
  <si>
    <t>KRISTINA DWI MAYA</t>
  </si>
  <si>
    <t>973274</t>
  </si>
  <si>
    <t>002195</t>
  </si>
  <si>
    <t>7880065151</t>
  </si>
  <si>
    <t>KCP KLAMPIS</t>
  </si>
  <si>
    <t>SRI UNTARI</t>
  </si>
  <si>
    <t>911201</t>
  </si>
  <si>
    <t>002268</t>
  </si>
  <si>
    <t>7880060109</t>
  </si>
  <si>
    <t>Surabaya, 23 FEBRUARI 2018</t>
  </si>
  <si>
    <t>REALISASI PINJAMAN DILUAR NORMATIF TGL 23 FEBRUARI 2018</t>
  </si>
  <si>
    <t>REALISASI PINJAMAN DILUAR NORMATIF TGL 26 FEBRUARI 2018</t>
  </si>
  <si>
    <t>MULYADI</t>
  </si>
  <si>
    <t>911814</t>
  </si>
  <si>
    <t>002458</t>
  </si>
  <si>
    <t>SLK KW3</t>
  </si>
  <si>
    <t>1020331883</t>
  </si>
  <si>
    <t>Surabaya, 26 FEBRUARI 2018</t>
  </si>
  <si>
    <t>KUSWANDI</t>
  </si>
  <si>
    <t>900835</t>
  </si>
  <si>
    <t>002349</t>
  </si>
  <si>
    <t>1520295409</t>
  </si>
  <si>
    <t>ANGG LUAR BIASA</t>
  </si>
  <si>
    <t>REALISASI PINJAMAN DILUAR NORMATIF TGL 27 FEBRUARI 2018</t>
  </si>
  <si>
    <t>IRA WAHYU H</t>
  </si>
  <si>
    <t>951559</t>
  </si>
  <si>
    <t>002410</t>
  </si>
  <si>
    <t>0640411970</t>
  </si>
  <si>
    <t>KCP NGAGEL JAYA</t>
  </si>
  <si>
    <t>Surabaya, 27 FEBRUARI 2018</t>
  </si>
  <si>
    <t>ANDIKA PANGESTU</t>
  </si>
  <si>
    <t>960951</t>
  </si>
  <si>
    <t>002451</t>
  </si>
  <si>
    <t>8290107271</t>
  </si>
  <si>
    <t>ELYANY</t>
  </si>
  <si>
    <t>898345</t>
  </si>
  <si>
    <t>002370</t>
  </si>
  <si>
    <t>2151035151</t>
  </si>
  <si>
    <t>KCP MEGA GROSIR</t>
  </si>
  <si>
    <t>IRA SHANTY</t>
  </si>
  <si>
    <t>975044</t>
  </si>
  <si>
    <t>009431</t>
  </si>
  <si>
    <t>0100358191</t>
  </si>
  <si>
    <t>KVU VETERAN</t>
  </si>
  <si>
    <t>REALISASI PINJAMAN DILUAR NORMATIF TGL 02 MARET 2018</t>
  </si>
  <si>
    <t>Surabaya, 02 MARET 2018</t>
  </si>
  <si>
    <t>MARGARETHA HENNY K</t>
  </si>
  <si>
    <t>971772</t>
  </si>
  <si>
    <t>002032</t>
  </si>
  <si>
    <t>5090001835</t>
  </si>
  <si>
    <t>KCP RUNGKUT MAPAN</t>
  </si>
  <si>
    <t>REALISASI PINJAMAN DILUAR NORMATIF TGL 06 MARET 2018</t>
  </si>
  <si>
    <t>002480</t>
  </si>
  <si>
    <t>Surabaya, 06 MARET 2018</t>
  </si>
  <si>
    <t>HENDRA</t>
  </si>
  <si>
    <t>960196</t>
  </si>
  <si>
    <t>002488</t>
  </si>
  <si>
    <t>1870360378</t>
  </si>
  <si>
    <t>KCU INDRAPURA</t>
  </si>
  <si>
    <t>EKA NURHAYATI</t>
  </si>
  <si>
    <t>885249</t>
  </si>
  <si>
    <t>002485</t>
  </si>
  <si>
    <t>0880420640</t>
  </si>
  <si>
    <t>KCP KUSUMA BANGSA</t>
  </si>
  <si>
    <t>REALISASI PINJAMAN DILUAR NORMATIF TGL 07 MARET 2018</t>
  </si>
  <si>
    <t>CHOIRIYA CHRISDIANI</t>
  </si>
  <si>
    <t>975298</t>
  </si>
  <si>
    <t>002402</t>
  </si>
  <si>
    <t>7880017173</t>
  </si>
  <si>
    <t>KCP BABATAN PANTAI</t>
  </si>
  <si>
    <t>SETYO WIDARTI</t>
  </si>
  <si>
    <t>921694</t>
  </si>
  <si>
    <t>002450</t>
  </si>
  <si>
    <t>1071046341</t>
  </si>
  <si>
    <t>Surabaya, 07 MARET 2018</t>
  </si>
  <si>
    <t>REALISASI PINJAMAN DILUAR NORMATIF TGL 08 MARET 2018</t>
  </si>
  <si>
    <t>ANA REKASARI</t>
  </si>
  <si>
    <t>970337</t>
  </si>
  <si>
    <t>002196</t>
  </si>
  <si>
    <t>0101227200</t>
  </si>
  <si>
    <t>Surabaya, 08 MARET 2018</t>
  </si>
  <si>
    <t>REALISASI PINJAMAN DILUAR NORMATIF TGL 12 MARET 2018</t>
  </si>
  <si>
    <t xml:space="preserve">VERONICA LINDA </t>
  </si>
  <si>
    <t>974032</t>
  </si>
  <si>
    <t>007711</t>
  </si>
  <si>
    <t>4681121808</t>
  </si>
  <si>
    <t>BO INDRAPURA</t>
  </si>
  <si>
    <t>Surabaya, 12 MARET 2018</t>
  </si>
  <si>
    <t>REALISASI PINJAMAN DILUAR NORMATIF TGL 14 MARET 2018</t>
  </si>
  <si>
    <t>GERADINA ROSA</t>
  </si>
  <si>
    <t>005979</t>
  </si>
  <si>
    <t>001434</t>
  </si>
  <si>
    <t>8290109621</t>
  </si>
  <si>
    <t>KCP SUNGKONO</t>
  </si>
  <si>
    <t>Surabaya, 14 MARET 2018</t>
  </si>
  <si>
    <t>JONY YACUBUS</t>
  </si>
  <si>
    <t>970677</t>
  </si>
  <si>
    <t>002603</t>
  </si>
  <si>
    <t>4681127288</t>
  </si>
  <si>
    <t>REALISASI PINJAMAN DILUAR NORMATIF TGL 23 MARET 2018</t>
  </si>
  <si>
    <t>SURJONO</t>
  </si>
  <si>
    <t>898840</t>
  </si>
  <si>
    <t>002651</t>
  </si>
  <si>
    <t>2581427711</t>
  </si>
  <si>
    <t>Surabaya, 23 MARET 2018</t>
  </si>
  <si>
    <t>FENNY JOHAN MULYONO</t>
  </si>
  <si>
    <t>910353</t>
  </si>
  <si>
    <t>002461</t>
  </si>
  <si>
    <t>1921043487</t>
  </si>
  <si>
    <t>KCP PAMEKASAN</t>
  </si>
  <si>
    <t>KCP DELTA PLAZA</t>
  </si>
  <si>
    <t>RONY OWEN DINATA</t>
  </si>
  <si>
    <t>911099</t>
  </si>
  <si>
    <t>002414</t>
  </si>
  <si>
    <t>0884880889</t>
  </si>
  <si>
    <t>KCU SIDOARJO</t>
  </si>
  <si>
    <t>REALISASI PINJAMAN DILUAR NORMATIF TGL 26 MARET 2018</t>
  </si>
  <si>
    <t>Surabaya, 26 MARET 2018</t>
  </si>
  <si>
    <t>SUPARIADJI</t>
  </si>
  <si>
    <t>853365</t>
  </si>
  <si>
    <t>002505</t>
  </si>
  <si>
    <t>0180793500</t>
  </si>
  <si>
    <t>WAKHIDAH N</t>
  </si>
  <si>
    <t>902248</t>
  </si>
  <si>
    <t>002668</t>
  </si>
  <si>
    <t>0101137618</t>
  </si>
  <si>
    <t>CAHYANINGTYAS</t>
  </si>
  <si>
    <t>973149</t>
  </si>
  <si>
    <t>010057</t>
  </si>
  <si>
    <t>0180699996</t>
  </si>
  <si>
    <t>ISPARINA T</t>
  </si>
  <si>
    <t>040310</t>
  </si>
  <si>
    <t>002670</t>
  </si>
  <si>
    <t>0885186641</t>
  </si>
  <si>
    <t xml:space="preserve"> DL NORM</t>
  </si>
  <si>
    <t>KOMITSE</t>
  </si>
  <si>
    <t>REALISASI PINJAMAN DILUAR NORMATIF TGL 27 MARET 2018</t>
  </si>
  <si>
    <t>ROBBY SETIAWAN</t>
  </si>
  <si>
    <t>899085</t>
  </si>
  <si>
    <t>002365</t>
  </si>
  <si>
    <t>0881212080</t>
  </si>
  <si>
    <t>Surabaya, 27 MARET 2018</t>
  </si>
  <si>
    <t>REALISASI PINJAMAN DILUAR NORMATIF TGL 28 MARET 2018</t>
  </si>
  <si>
    <t>OCTAVIANUS JWS</t>
  </si>
  <si>
    <t>963685</t>
  </si>
  <si>
    <t>002375</t>
  </si>
  <si>
    <t>1881500600</t>
  </si>
  <si>
    <t>Surabaya, 28 MARET 2018</t>
  </si>
  <si>
    <t>REALISASI PINJAMAN DILUAR NORMATIF TGL 13 APRIL 2018</t>
  </si>
  <si>
    <t>RUDI HANDOKO</t>
  </si>
  <si>
    <t>977398</t>
  </si>
  <si>
    <t>002662</t>
  </si>
  <si>
    <t>1880310000</t>
  </si>
  <si>
    <t>Surabaya, 13 APRIL 2018</t>
  </si>
  <si>
    <t>DIJAH RUKMINI</t>
  </si>
  <si>
    <t>920413</t>
  </si>
  <si>
    <t>002685</t>
  </si>
  <si>
    <t>0881079151</t>
  </si>
  <si>
    <t>DLNORM</t>
  </si>
  <si>
    <t>REALISASI PINJAMAN DILUAR NORMATIF TGL 25 APRIL 2018</t>
  </si>
  <si>
    <t>-</t>
  </si>
  <si>
    <t>RESCEDULE</t>
  </si>
  <si>
    <t>INDIASWARI P</t>
  </si>
  <si>
    <t>896948</t>
  </si>
  <si>
    <t>002729</t>
  </si>
  <si>
    <t>KCP JAGALAN</t>
  </si>
  <si>
    <t>ATING RUKIYATI</t>
  </si>
  <si>
    <t>899458</t>
  </si>
  <si>
    <t>002492</t>
  </si>
  <si>
    <t>KCP MANYAR</t>
  </si>
  <si>
    <t>002679</t>
  </si>
  <si>
    <t>Surabaya, 25 APRIL 2018</t>
  </si>
  <si>
    <t>FRANSISCA MARIANI</t>
  </si>
  <si>
    <t>971751</t>
  </si>
  <si>
    <t>002706</t>
  </si>
  <si>
    <t>7880064244</t>
  </si>
  <si>
    <t>MULYONO</t>
  </si>
  <si>
    <t>901148</t>
  </si>
  <si>
    <t>002728</t>
  </si>
  <si>
    <t>0881079240</t>
  </si>
  <si>
    <t>SUHARTONO</t>
  </si>
  <si>
    <t>890031</t>
  </si>
  <si>
    <t>010603</t>
  </si>
  <si>
    <t>0361046993</t>
  </si>
  <si>
    <t>UPPA KW3</t>
  </si>
  <si>
    <t>JUNITA REBIKA</t>
  </si>
  <si>
    <t>970654</t>
  </si>
  <si>
    <t>002600</t>
  </si>
  <si>
    <t>0881074914</t>
  </si>
  <si>
    <t xml:space="preserve">NORM </t>
  </si>
  <si>
    <t xml:space="preserve">DL NORM </t>
  </si>
  <si>
    <t>RAGA TAUFANI</t>
  </si>
  <si>
    <t>050958</t>
  </si>
  <si>
    <t>002135</t>
  </si>
  <si>
    <t>2150227766</t>
  </si>
  <si>
    <t>REALISASI PINJAMAN DILUAR NORMATIF TGL 30 APRIL 2018</t>
  </si>
  <si>
    <t>OEKIK DHIAN D</t>
  </si>
  <si>
    <t>898830</t>
  </si>
  <si>
    <t>002596</t>
  </si>
  <si>
    <t>0101710644</t>
  </si>
  <si>
    <t>Surabaya, 30 APRIL 2018</t>
  </si>
  <si>
    <t>REALISASI PINJAMAN DILUAR NORMATIF TGL 02 MEI 2018</t>
  </si>
  <si>
    <t>MUJIANA</t>
  </si>
  <si>
    <t>921870</t>
  </si>
  <si>
    <t>002686</t>
  </si>
  <si>
    <t>BNS APRIL 2018</t>
  </si>
  <si>
    <t>KURANG KP</t>
  </si>
  <si>
    <t>ANGS DLN</t>
  </si>
  <si>
    <t>KFCC KW3</t>
  </si>
  <si>
    <t>Surabaya, 02 MEI 2018</t>
  </si>
  <si>
    <t>CICIL 36 BLN</t>
  </si>
  <si>
    <t>REALISASI PINJAMAN DILUAR NORMATIF TGL 03 MEI 2018</t>
  </si>
  <si>
    <t>SUGITO HARI S</t>
  </si>
  <si>
    <t>903076</t>
  </si>
  <si>
    <t>010838</t>
  </si>
  <si>
    <t>0101138673</t>
  </si>
  <si>
    <t>SLA KW3</t>
  </si>
  <si>
    <t>Surabaya, 03 MEI 2018</t>
  </si>
  <si>
    <t>REALISASI PINJAMAN DILUAR NORMATIF TGL 04 MEI 2018</t>
  </si>
  <si>
    <t>MOEDJI SANTOSO</t>
  </si>
  <si>
    <t>912769</t>
  </si>
  <si>
    <t>002347</t>
  </si>
  <si>
    <t>1500471006</t>
  </si>
  <si>
    <t>KCP SUNCITY</t>
  </si>
  <si>
    <t>Surabaya, 04 MEI 2018</t>
  </si>
  <si>
    <t>LISTIJOWATI SUTANTO</t>
  </si>
  <si>
    <t>912822</t>
  </si>
  <si>
    <t>002113</t>
  </si>
  <si>
    <t>2580909909</t>
  </si>
  <si>
    <t>TONY CH.Y TOWOLIU</t>
  </si>
  <si>
    <t>974069</t>
  </si>
  <si>
    <t>011011</t>
  </si>
  <si>
    <t>DL NORMATIF</t>
  </si>
  <si>
    <t>HI KW3</t>
  </si>
  <si>
    <t>REALISASI PINJAMAN DILUAR NORMATIF TGL 07 MEI 2018</t>
  </si>
  <si>
    <t>PRIANTONO S</t>
  </si>
  <si>
    <t>900781</t>
  </si>
  <si>
    <t>010481</t>
  </si>
  <si>
    <t>8290048088</t>
  </si>
  <si>
    <t xml:space="preserve">CICIL 24 BULAN </t>
  </si>
  <si>
    <t>HIW KW3</t>
  </si>
  <si>
    <t>Surabaya, 07 MEI 2018</t>
  </si>
  <si>
    <t>SONY SUMARSONO</t>
  </si>
  <si>
    <t>913433</t>
  </si>
  <si>
    <t>010270</t>
  </si>
  <si>
    <t>REALISASI PINJAMAN DILUAR NORMATIF TGL 08 MEI 2018</t>
  </si>
  <si>
    <t>0181068301</t>
  </si>
  <si>
    <t>Surabaya, 08 MEI 2018</t>
  </si>
  <si>
    <t>PRAYITNO</t>
  </si>
  <si>
    <t>899519</t>
  </si>
  <si>
    <t>002133</t>
  </si>
  <si>
    <t>1879667788</t>
  </si>
  <si>
    <t>KCP PERAK BARAT</t>
  </si>
  <si>
    <t>REALISASI PINJAMAN DILUAR NORMATIF TGL 11 MEI 2018</t>
  </si>
  <si>
    <t>010566</t>
  </si>
  <si>
    <t>Surabaya, 11 MEI 2018</t>
  </si>
  <si>
    <t>SUSMINI</t>
  </si>
  <si>
    <t>981059</t>
  </si>
  <si>
    <t>010794</t>
  </si>
  <si>
    <t>0884005970</t>
  </si>
  <si>
    <t>KCP KENJERAN</t>
  </si>
  <si>
    <t>NURUL MUKARROMAH</t>
  </si>
  <si>
    <t>902790</t>
  </si>
  <si>
    <t>002422</t>
  </si>
  <si>
    <t>KK PAGERWOJO</t>
  </si>
  <si>
    <t>CICIL 36 BULAN</t>
  </si>
  <si>
    <t>REALISASI PINJAMAN DILUAR NORMATIF TGL 14 MEI 2018</t>
  </si>
  <si>
    <t>011060</t>
  </si>
  <si>
    <t xml:space="preserve">GAGAL DEBET </t>
  </si>
  <si>
    <t xml:space="preserve">PIJ POT BNS APRIL </t>
  </si>
  <si>
    <t>2018 NORM</t>
  </si>
  <si>
    <t>Surabaya, 14 MEI 2018</t>
  </si>
  <si>
    <t>SRIJANI ISMULANDARI</t>
  </si>
  <si>
    <t>962203</t>
  </si>
  <si>
    <t>002486</t>
  </si>
  <si>
    <t>4681084848</t>
  </si>
  <si>
    <t>KK PGS</t>
  </si>
  <si>
    <t>DAVID LAMONGI</t>
  </si>
  <si>
    <t>975130</t>
  </si>
  <si>
    <t>011057</t>
  </si>
  <si>
    <t>GAGAL DEBET</t>
  </si>
  <si>
    <t>DENDA</t>
  </si>
  <si>
    <t>BNS APRIL</t>
  </si>
  <si>
    <t>2018</t>
  </si>
  <si>
    <t>ARDY MAWAR W</t>
  </si>
  <si>
    <t>904110</t>
  </si>
  <si>
    <t>010611</t>
  </si>
  <si>
    <t>0180864865</t>
  </si>
  <si>
    <t>GANDJAR WIDHI</t>
  </si>
  <si>
    <t>900842</t>
  </si>
  <si>
    <t>002653</t>
  </si>
  <si>
    <t>7880062080</t>
  </si>
  <si>
    <t>SIFERA TRISMINARTI</t>
  </si>
  <si>
    <t>010424</t>
  </si>
  <si>
    <t>011003</t>
  </si>
  <si>
    <t>4681157250</t>
  </si>
  <si>
    <t>002720</t>
  </si>
  <si>
    <t>1888855555</t>
  </si>
  <si>
    <t>REALISASI PINJAMAN DILUAR NORMATIF TGL 15 MEI 2018</t>
  </si>
  <si>
    <t>Surabaya, 15 MEI 2018</t>
  </si>
  <si>
    <t>AKINA LANNY S</t>
  </si>
  <si>
    <t>911195</t>
  </si>
  <si>
    <t>011055</t>
  </si>
  <si>
    <t>RIYANTI WULANDARI</t>
  </si>
  <si>
    <t>973200</t>
  </si>
  <si>
    <t>011004</t>
  </si>
  <si>
    <t>8290149798</t>
  </si>
  <si>
    <t>M YUSUF</t>
  </si>
  <si>
    <t>912195</t>
  </si>
  <si>
    <t>010847</t>
  </si>
  <si>
    <t>8290931119</t>
  </si>
  <si>
    <t>KCP DIT</t>
  </si>
  <si>
    <t>DYAH MIRNA ISWARI</t>
  </si>
  <si>
    <t>960953</t>
  </si>
  <si>
    <t>002428</t>
  </si>
  <si>
    <t>0180123318</t>
  </si>
  <si>
    <t>REALISASI PINJAMAN DILUAR NORMATIF TGL 16 MEI 2018</t>
  </si>
  <si>
    <t>MOCH SUUDI</t>
  </si>
  <si>
    <t>913918</t>
  </si>
  <si>
    <t>002664</t>
  </si>
  <si>
    <t>0181195257</t>
  </si>
  <si>
    <t>Surabaya, 16 MEI 2018</t>
  </si>
  <si>
    <t>SUDARMAWAN</t>
  </si>
  <si>
    <t>921354</t>
  </si>
  <si>
    <t>002665</t>
  </si>
  <si>
    <t>3251073595</t>
  </si>
  <si>
    <t>AGUS PURWANTO</t>
  </si>
  <si>
    <t>912784</t>
  </si>
  <si>
    <t>001902</t>
  </si>
  <si>
    <t>6170391177</t>
  </si>
  <si>
    <t>KK MANUKAN</t>
  </si>
  <si>
    <t>REALISASI PINJAMAN DILUAR NORMATIF TGL 17 MEI 2018</t>
  </si>
  <si>
    <t>EFIE LINDA JANI</t>
  </si>
  <si>
    <t>973211</t>
  </si>
  <si>
    <t>001713</t>
  </si>
  <si>
    <t>7250026565</t>
  </si>
  <si>
    <t>Surabaya, 17 MEI 2018</t>
  </si>
  <si>
    <t>RUDI KURNIAWAN</t>
  </si>
  <si>
    <t>973908</t>
  </si>
  <si>
    <t>011058</t>
  </si>
  <si>
    <t>GGL DBT</t>
  </si>
  <si>
    <t>KCP PERAK TIMUR</t>
  </si>
  <si>
    <t>MEMPERKECIL</t>
  </si>
  <si>
    <t>ANGSURAN</t>
  </si>
  <si>
    <t>REALISASI PINJAMAN DILUAR NORMATIF TGL 18 MEI 2018</t>
  </si>
  <si>
    <t>011006</t>
  </si>
  <si>
    <t>Surabaya, 18 MEI 2018</t>
  </si>
  <si>
    <t>MOCH ARIEF KAPRAWI</t>
  </si>
  <si>
    <t>901149</t>
  </si>
  <si>
    <t>011025</t>
  </si>
  <si>
    <t xml:space="preserve"> PEL PINJ KHUSUS </t>
  </si>
  <si>
    <t>A/N. M YOSI FIDAL</t>
  </si>
  <si>
    <t>NIP: 960690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</si>
</sst>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21]dd\ mmmm\ yy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10"/>
      <name val="Calibri"/>
      <family val="2"/>
      <scheme val="minor"/>
    </font>
    <font>
      <b/>
      <sz val="1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sz val="6"/>
      <name val="Times New Roman"/>
      <family val="1"/>
    </font>
    <font>
      <sz val="7"/>
      <name val="Calibri"/>
      <family val="2"/>
      <scheme val="minor"/>
    </font>
    <font>
      <i/>
      <sz val="8"/>
      <name val="Arial Black"/>
      <family val="2"/>
    </font>
    <font>
      <sz val="6"/>
      <name val="Calibri"/>
      <family val="2"/>
      <scheme val="minor"/>
    </font>
    <font>
      <i/>
      <sz val="7"/>
      <name val="Arial Black"/>
      <family val="2"/>
    </font>
    <font>
      <i/>
      <sz val="12"/>
      <color rgb="FFFF0000"/>
      <name val="Times New Roman"/>
      <family val="1"/>
    </font>
    <font>
      <sz val="5"/>
      <name val="Times New Roman"/>
      <family val="1"/>
    </font>
    <font>
      <sz val="11"/>
      <name val="Times New Roman"/>
      <family val="1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i/>
      <sz val="5"/>
      <name val="Arial Black"/>
      <family val="2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41" fontId="2" fillId="0" borderId="2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41" fontId="2" fillId="0" borderId="4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49" fontId="2" fillId="0" borderId="2" xfId="0" quotePrefix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0" fontId="3" fillId="0" borderId="0" xfId="0" applyNumberFormat="1" applyFont="1" applyFill="1" applyAlignment="1">
      <alignment horizontal="left"/>
    </xf>
    <xf numFmtId="164" fontId="2" fillId="0" borderId="0" xfId="1" applyNumberFormat="1" applyFont="1" applyFill="1"/>
    <xf numFmtId="41" fontId="2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0" fontId="5" fillId="0" borderId="0" xfId="0" applyFont="1" applyFill="1"/>
    <xf numFmtId="0" fontId="7" fillId="0" borderId="2" xfId="0" applyFont="1" applyFill="1" applyBorder="1"/>
    <xf numFmtId="164" fontId="2" fillId="0" borderId="2" xfId="2" applyNumberFormat="1" applyFont="1" applyFill="1" applyBorder="1"/>
    <xf numFmtId="0" fontId="11" fillId="0" borderId="2" xfId="0" applyFont="1" applyFill="1" applyBorder="1"/>
    <xf numFmtId="0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8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/>
    <xf numFmtId="0" fontId="9" fillId="0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2" xfId="0" quotePrefix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164" fontId="2" fillId="0" borderId="4" xfId="1" quotePrefix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2" xfId="0" applyNumberFormat="1" applyFont="1" applyFill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14" fillId="0" borderId="2" xfId="0" applyFont="1" applyFill="1" applyBorder="1"/>
    <xf numFmtId="0" fontId="15" fillId="0" borderId="2" xfId="0" applyFont="1" applyFill="1" applyBorder="1"/>
    <xf numFmtId="0" fontId="16" fillId="0" borderId="2" xfId="0" applyFont="1" applyFill="1" applyBorder="1"/>
    <xf numFmtId="164" fontId="13" fillId="0" borderId="2" xfId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6" fillId="0" borderId="10" xfId="1" applyNumberFormat="1" applyFont="1" applyFill="1" applyBorder="1" applyAlignment="1">
      <alignment horizontal="center"/>
    </xf>
    <xf numFmtId="0" fontId="5" fillId="0" borderId="0" xfId="0" applyFont="1"/>
    <xf numFmtId="164" fontId="13" fillId="0" borderId="1" xfId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7" fillId="0" borderId="0" xfId="0" quotePrefix="1" applyFont="1" applyFill="1" applyAlignment="1">
      <alignment horizontal="center"/>
    </xf>
    <xf numFmtId="0" fontId="2" fillId="0" borderId="7" xfId="0" applyFont="1" applyFill="1" applyBorder="1"/>
    <xf numFmtId="0" fontId="14" fillId="0" borderId="0" xfId="0" applyFont="1" applyFill="1" applyBorder="1"/>
    <xf numFmtId="0" fontId="16" fillId="0" borderId="9" xfId="0" applyFont="1" applyFill="1" applyBorder="1"/>
    <xf numFmtId="0" fontId="19" fillId="0" borderId="1" xfId="0" applyFont="1" applyFill="1" applyBorder="1" applyAlignment="1">
      <alignment horizontal="center"/>
    </xf>
    <xf numFmtId="0" fontId="16" fillId="0" borderId="4" xfId="0" applyFont="1" applyFill="1" applyBorder="1"/>
    <xf numFmtId="0" fontId="16" fillId="0" borderId="0" xfId="0" applyFont="1" applyFill="1"/>
    <xf numFmtId="0" fontId="5" fillId="0" borderId="8" xfId="0" applyFont="1" applyFill="1" applyBorder="1"/>
    <xf numFmtId="0" fontId="5" fillId="0" borderId="4" xfId="0" applyFont="1" applyFill="1" applyBorder="1"/>
    <xf numFmtId="41" fontId="20" fillId="0" borderId="0" xfId="0" applyNumberFormat="1" applyFont="1" applyFill="1" applyAlignment="1">
      <alignment horizontal="center"/>
    </xf>
    <xf numFmtId="0" fontId="21" fillId="0" borderId="2" xfId="0" applyFont="1" applyFill="1" applyBorder="1"/>
    <xf numFmtId="0" fontId="19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6" fillId="0" borderId="2" xfId="0" applyFont="1" applyBorder="1"/>
    <xf numFmtId="0" fontId="16" fillId="0" borderId="4" xfId="0" applyFont="1" applyBorder="1"/>
    <xf numFmtId="164" fontId="7" fillId="0" borderId="4" xfId="1" applyNumberFormat="1" applyFont="1" applyFill="1" applyBorder="1" applyAlignment="1">
      <alignment horizontal="center"/>
    </xf>
    <xf numFmtId="0" fontId="16" fillId="0" borderId="0" xfId="0" applyFont="1"/>
    <xf numFmtId="0" fontId="22" fillId="0" borderId="0" xfId="0" applyFont="1" applyFill="1" applyBorder="1"/>
    <xf numFmtId="0" fontId="15" fillId="0" borderId="11" xfId="0" applyFont="1" applyFill="1" applyBorder="1"/>
    <xf numFmtId="0" fontId="5" fillId="0" borderId="2" xfId="0" applyFont="1" applyFill="1" applyBorder="1"/>
    <xf numFmtId="0" fontId="5" fillId="0" borderId="8" xfId="0" applyFont="1" applyBorder="1"/>
    <xf numFmtId="0" fontId="2" fillId="0" borderId="6" xfId="0" applyFont="1" applyFill="1" applyBorder="1"/>
    <xf numFmtId="41" fontId="20" fillId="0" borderId="0" xfId="0" applyNumberFormat="1" applyFont="1" applyFill="1" applyAlignment="1">
      <alignment horizontal="left"/>
    </xf>
    <xf numFmtId="0" fontId="23" fillId="0" borderId="0" xfId="0" applyFont="1"/>
    <xf numFmtId="0" fontId="13" fillId="0" borderId="0" xfId="0" applyFont="1" applyFill="1" applyBorder="1"/>
    <xf numFmtId="0" fontId="24" fillId="0" borderId="0" xfId="0" applyFont="1" applyFill="1"/>
    <xf numFmtId="49" fontId="10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center"/>
    </xf>
    <xf numFmtId="164" fontId="10" fillId="0" borderId="10" xfId="1" applyNumberFormat="1" applyFont="1" applyFill="1" applyBorder="1" applyAlignment="1">
      <alignment horizontal="center"/>
    </xf>
    <xf numFmtId="41" fontId="10" fillId="0" borderId="1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0" fontId="26" fillId="0" borderId="2" xfId="0" applyFont="1" applyFill="1" applyBorder="1"/>
    <xf numFmtId="165" fontId="10" fillId="0" borderId="2" xfId="0" applyNumberFormat="1" applyFont="1" applyFill="1" applyBorder="1" applyAlignment="1">
      <alignment horizontal="center"/>
    </xf>
    <xf numFmtId="164" fontId="10" fillId="0" borderId="2" xfId="1" applyNumberFormat="1" applyFont="1" applyFill="1" applyBorder="1" applyAlignment="1">
      <alignment horizontal="center"/>
    </xf>
    <xf numFmtId="41" fontId="10" fillId="0" borderId="2" xfId="0" applyNumberFormat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/>
    </xf>
    <xf numFmtId="0" fontId="26" fillId="0" borderId="4" xfId="0" applyFont="1" applyFill="1" applyBorder="1"/>
    <xf numFmtId="165" fontId="10" fillId="0" borderId="4" xfId="0" applyNumberFormat="1" applyFont="1" applyFill="1" applyBorder="1" applyAlignment="1">
      <alignment horizontal="center"/>
    </xf>
    <xf numFmtId="49" fontId="10" fillId="0" borderId="4" xfId="0" applyNumberFormat="1" applyFont="1" applyFill="1" applyBorder="1" applyAlignment="1">
      <alignment horizontal="center"/>
    </xf>
    <xf numFmtId="164" fontId="10" fillId="0" borderId="4" xfId="1" applyNumberFormat="1" applyFont="1" applyFill="1" applyBorder="1" applyAlignment="1">
      <alignment horizontal="center"/>
    </xf>
    <xf numFmtId="164" fontId="10" fillId="0" borderId="4" xfId="1" quotePrefix="1" applyNumberFormat="1" applyFont="1" applyFill="1" applyBorder="1" applyAlignment="1">
      <alignment horizontal="center"/>
    </xf>
    <xf numFmtId="164" fontId="27" fillId="0" borderId="4" xfId="1" applyNumberFormat="1" applyFont="1" applyFill="1" applyBorder="1" applyAlignment="1">
      <alignment horizontal="center"/>
    </xf>
    <xf numFmtId="41" fontId="10" fillId="0" borderId="4" xfId="0" applyNumberFormat="1" applyFont="1" applyFill="1" applyBorder="1" applyAlignment="1">
      <alignment horizontal="center"/>
    </xf>
    <xf numFmtId="0" fontId="23" fillId="0" borderId="0" xfId="0" applyFont="1" applyFill="1"/>
    <xf numFmtId="0" fontId="6" fillId="0" borderId="0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0" xfId="0" applyFont="1" applyFill="1"/>
    <xf numFmtId="164" fontId="10" fillId="0" borderId="3" xfId="1" applyNumberFormat="1" applyFont="1" applyFill="1" applyBorder="1" applyAlignment="1">
      <alignment horizontal="center"/>
    </xf>
    <xf numFmtId="164" fontId="10" fillId="0" borderId="5" xfId="1" applyNumberFormat="1" applyFont="1" applyFill="1" applyBorder="1" applyAlignment="1">
      <alignment horizontal="center"/>
    </xf>
    <xf numFmtId="0" fontId="5" fillId="0" borderId="6" xfId="0" applyFont="1" applyFill="1" applyBorder="1"/>
    <xf numFmtId="0" fontId="30" fillId="0" borderId="0" xfId="0" applyFont="1" applyFill="1"/>
    <xf numFmtId="164" fontId="2" fillId="2" borderId="2" xfId="1" applyNumberFormat="1" applyFont="1" applyFill="1" applyBorder="1" applyAlignment="1">
      <alignment horizontal="center"/>
    </xf>
    <xf numFmtId="41" fontId="31" fillId="0" borderId="0" xfId="0" applyNumberFormat="1" applyFont="1" applyFill="1" applyAlignment="1">
      <alignment horizontal="center"/>
    </xf>
    <xf numFmtId="0" fontId="5" fillId="0" borderId="1" xfId="0" applyFont="1" applyFill="1" applyBorder="1"/>
    <xf numFmtId="49" fontId="7" fillId="0" borderId="1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1"/>
  <sheetViews>
    <sheetView topLeftCell="A259" workbookViewId="0">
      <selection activeCell="I277" sqref="I277"/>
    </sheetView>
  </sheetViews>
  <sheetFormatPr defaultRowHeight="15"/>
  <cols>
    <col min="1" max="1" width="2.28515625" style="64" customWidth="1"/>
    <col min="2" max="2" width="13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19" style="64" customWidth="1"/>
    <col min="9" max="9" width="16.28515625" style="64" customWidth="1"/>
    <col min="10" max="10" width="11.42578125" style="64" customWidth="1"/>
    <col min="11" max="11" width="14.28515625" style="64" bestFit="1" customWidth="1"/>
    <col min="12" max="12" width="12.7109375" style="64" customWidth="1"/>
    <col min="13" max="13" width="17.28515625" style="34" bestFit="1" customWidth="1"/>
    <col min="14" max="14" width="18.28515625" style="34" customWidth="1"/>
    <col min="15" max="15" width="17.140625" style="64" customWidth="1"/>
    <col min="16" max="16" width="9" style="64" customWidth="1"/>
    <col min="17" max="17" width="5.42578125" style="64" customWidth="1"/>
    <col min="18" max="18" width="5.85546875" style="64" customWidth="1"/>
    <col min="19" max="16384" width="9.140625" style="64"/>
  </cols>
  <sheetData>
    <row r="1" spans="1:17" ht="15.75">
      <c r="A1" s="21" t="s">
        <v>0</v>
      </c>
      <c r="B1" s="22"/>
      <c r="C1" s="23"/>
      <c r="D1" s="23"/>
      <c r="E1" s="23"/>
      <c r="F1" s="24"/>
      <c r="G1" s="76" t="s">
        <v>62</v>
      </c>
      <c r="H1" s="24"/>
      <c r="I1" s="24"/>
      <c r="J1" s="24"/>
      <c r="K1" s="24"/>
      <c r="L1" s="25"/>
      <c r="O1" s="34"/>
      <c r="P1" s="34"/>
      <c r="Q1" s="34"/>
    </row>
    <row r="2" spans="1:17" ht="15.75">
      <c r="A2" s="26" t="s">
        <v>43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>
      <c r="A5" s="5"/>
      <c r="B5" s="5"/>
      <c r="C5" s="10"/>
      <c r="D5" s="60"/>
      <c r="E5" s="7"/>
      <c r="F5" s="6"/>
      <c r="G5" s="8" t="s">
        <v>41</v>
      </c>
      <c r="H5" s="8" t="s">
        <v>42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>
      <c r="A8" s="52">
        <v>1</v>
      </c>
      <c r="B8" s="51" t="s">
        <v>36</v>
      </c>
      <c r="C8" s="48" t="s">
        <v>37</v>
      </c>
      <c r="D8" s="67" t="s">
        <v>44</v>
      </c>
      <c r="E8" s="17">
        <v>43102</v>
      </c>
      <c r="F8" s="20" t="s">
        <v>38</v>
      </c>
      <c r="G8" s="36">
        <v>0</v>
      </c>
      <c r="H8" s="36">
        <v>0</v>
      </c>
      <c r="I8" s="8">
        <v>0</v>
      </c>
      <c r="J8" s="8">
        <v>0</v>
      </c>
      <c r="K8" s="8">
        <v>21500</v>
      </c>
      <c r="L8" s="8">
        <v>0</v>
      </c>
      <c r="M8" s="8">
        <f>SUM(G8:L8)</f>
        <v>21500</v>
      </c>
      <c r="N8" s="8">
        <f>2150000-M8</f>
        <v>2128500</v>
      </c>
      <c r="O8" s="8">
        <f t="shared" ref="O8" si="0">+M8+N8</f>
        <v>2150000</v>
      </c>
      <c r="P8" s="35" t="s">
        <v>39</v>
      </c>
      <c r="Q8" s="58" t="s">
        <v>40</v>
      </c>
    </row>
    <row r="9" spans="1:17" ht="15.7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" si="1">SUM(G8:G9)</f>
        <v>0</v>
      </c>
      <c r="H10" s="19">
        <f t="shared" ref="H10:O10" si="2">SUM(H8:H9)</f>
        <v>0</v>
      </c>
      <c r="I10" s="19">
        <f t="shared" si="2"/>
        <v>0</v>
      </c>
      <c r="J10" s="19">
        <f t="shared" si="2"/>
        <v>0</v>
      </c>
      <c r="K10" s="19">
        <f t="shared" si="2"/>
        <v>21500</v>
      </c>
      <c r="L10" s="19">
        <f t="shared" si="2"/>
        <v>0</v>
      </c>
      <c r="M10" s="19">
        <f t="shared" si="2"/>
        <v>21500</v>
      </c>
      <c r="N10" s="19">
        <f t="shared" si="2"/>
        <v>2128500</v>
      </c>
      <c r="O10" s="19">
        <f t="shared" si="2"/>
        <v>2150000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45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>
      <c r="A13" s="38"/>
      <c r="B13" s="40" t="s">
        <v>32</v>
      </c>
      <c r="C13" s="28" t="s">
        <v>28</v>
      </c>
      <c r="D13" s="39"/>
      <c r="E13" s="34"/>
      <c r="F13" s="41"/>
      <c r="G13" s="127" t="s">
        <v>26</v>
      </c>
      <c r="H13" s="127"/>
      <c r="I13" s="127"/>
      <c r="J13" s="34"/>
      <c r="K13" s="41"/>
      <c r="L13" s="34"/>
      <c r="O13" s="34"/>
      <c r="P13" s="34"/>
      <c r="Q13" s="34"/>
    </row>
    <row r="14" spans="1:17" ht="15.7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>
      <c r="A22" s="26" t="s">
        <v>46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>
      <c r="A25" s="5"/>
      <c r="B25" s="5"/>
      <c r="C25" s="10"/>
      <c r="D25" s="60"/>
      <c r="E25" s="7"/>
      <c r="F25" s="6"/>
      <c r="G25" s="8" t="s">
        <v>41</v>
      </c>
      <c r="H25" s="8" t="s">
        <v>42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>
      <c r="A28" s="52">
        <v>1</v>
      </c>
      <c r="B28" s="51" t="s">
        <v>47</v>
      </c>
      <c r="C28" s="48" t="s">
        <v>48</v>
      </c>
      <c r="D28" s="67" t="s">
        <v>49</v>
      </c>
      <c r="E28" s="17">
        <v>43104</v>
      </c>
      <c r="F28" s="20" t="s">
        <v>50</v>
      </c>
      <c r="G28" s="36">
        <v>35856738</v>
      </c>
      <c r="H28" s="36">
        <v>0</v>
      </c>
      <c r="I28" s="8">
        <v>896418</v>
      </c>
      <c r="J28" s="8">
        <v>257642</v>
      </c>
      <c r="K28" s="8">
        <v>250000</v>
      </c>
      <c r="L28" s="8">
        <v>200000</v>
      </c>
      <c r="M28" s="8">
        <f>SUM(G28:L28)</f>
        <v>37460798</v>
      </c>
      <c r="N28" s="8">
        <f>62460798-M28</f>
        <v>25000000</v>
      </c>
      <c r="O28" s="8">
        <f t="shared" ref="O28" si="3">+M28+N28</f>
        <v>62460798</v>
      </c>
      <c r="P28" s="35" t="s">
        <v>51</v>
      </c>
      <c r="Q28" s="58" t="s">
        <v>52</v>
      </c>
    </row>
    <row r="29" spans="1:17" ht="15.7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" si="4">SUM(G28:G29)</f>
        <v>35856738</v>
      </c>
      <c r="H30" s="19">
        <f t="shared" ref="H30:O30" si="5">SUM(H28:H29)</f>
        <v>0</v>
      </c>
      <c r="I30" s="19">
        <f t="shared" si="5"/>
        <v>896418</v>
      </c>
      <c r="J30" s="19">
        <f t="shared" si="5"/>
        <v>257642</v>
      </c>
      <c r="K30" s="19">
        <f t="shared" si="5"/>
        <v>250000</v>
      </c>
      <c r="L30" s="19">
        <f t="shared" si="5"/>
        <v>200000</v>
      </c>
      <c r="M30" s="19">
        <f t="shared" si="5"/>
        <v>37460798</v>
      </c>
      <c r="N30" s="19">
        <f t="shared" si="5"/>
        <v>25000000</v>
      </c>
      <c r="O30" s="19">
        <f t="shared" si="5"/>
        <v>62460798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53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>
      <c r="A33" s="38"/>
      <c r="B33" s="40" t="s">
        <v>32</v>
      </c>
      <c r="C33" s="28" t="s">
        <v>28</v>
      </c>
      <c r="D33" s="39"/>
      <c r="E33" s="34"/>
      <c r="F33" s="41"/>
      <c r="G33" s="127" t="s">
        <v>26</v>
      </c>
      <c r="H33" s="127"/>
      <c r="I33" s="127"/>
      <c r="J33" s="34"/>
      <c r="K33" s="41"/>
      <c r="L33" s="34"/>
      <c r="O33" s="34"/>
      <c r="P33" s="34"/>
      <c r="Q33" s="34"/>
    </row>
    <row r="34" spans="1:17" ht="15.7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>
      <c r="A42" s="26" t="s">
        <v>46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>
      <c r="A45" s="5"/>
      <c r="B45" s="5"/>
      <c r="C45" s="10"/>
      <c r="D45" s="60"/>
      <c r="E45" s="7"/>
      <c r="F45" s="6"/>
      <c r="G45" s="8" t="s">
        <v>58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>
      <c r="A48" s="52">
        <v>1</v>
      </c>
      <c r="B48" s="51" t="s">
        <v>54</v>
      </c>
      <c r="C48" s="48" t="s">
        <v>55</v>
      </c>
      <c r="D48" s="67" t="s">
        <v>56</v>
      </c>
      <c r="E48" s="17">
        <v>43104</v>
      </c>
      <c r="F48" s="20" t="s">
        <v>57</v>
      </c>
      <c r="G48" s="36">
        <v>13938770</v>
      </c>
      <c r="H48" s="36">
        <v>1887500</v>
      </c>
      <c r="I48" s="8">
        <v>395657</v>
      </c>
      <c r="J48" s="8">
        <v>413224</v>
      </c>
      <c r="K48" s="8">
        <v>550000</v>
      </c>
      <c r="L48" s="8">
        <v>200000</v>
      </c>
      <c r="M48" s="8">
        <f>SUM(G48:L48)</f>
        <v>17385151</v>
      </c>
      <c r="N48" s="8">
        <f>85000000-M48</f>
        <v>67614849</v>
      </c>
      <c r="O48" s="8">
        <f t="shared" ref="O48" si="6">+M48+N48</f>
        <v>85000000</v>
      </c>
      <c r="P48" s="35" t="s">
        <v>59</v>
      </c>
      <c r="Q48" s="58" t="s">
        <v>52</v>
      </c>
    </row>
    <row r="49" spans="1:17" ht="15.7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>
      <c r="A50" s="18"/>
      <c r="B50" s="55"/>
      <c r="C50" s="56"/>
      <c r="D50" s="74"/>
      <c r="E50" s="56"/>
      <c r="F50" s="57"/>
      <c r="G50" s="19">
        <f t="shared" ref="G50" si="7">SUM(G48:G49)</f>
        <v>13938770</v>
      </c>
      <c r="H50" s="19">
        <f t="shared" ref="H50:O50" si="8">SUM(H48:H49)</f>
        <v>1887500</v>
      </c>
      <c r="I50" s="19">
        <f t="shared" si="8"/>
        <v>395657</v>
      </c>
      <c r="J50" s="19">
        <f t="shared" si="8"/>
        <v>413224</v>
      </c>
      <c r="K50" s="19">
        <f t="shared" si="8"/>
        <v>550000</v>
      </c>
      <c r="L50" s="19">
        <f t="shared" si="8"/>
        <v>200000</v>
      </c>
      <c r="M50" s="19">
        <f t="shared" si="8"/>
        <v>17385151</v>
      </c>
      <c r="N50" s="19">
        <f t="shared" si="8"/>
        <v>67614849</v>
      </c>
      <c r="O50" s="19">
        <f t="shared" si="8"/>
        <v>85000000</v>
      </c>
      <c r="P50" s="68"/>
      <c r="Q50" s="70"/>
    </row>
    <row r="51" spans="1:17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>
      <c r="A52" s="23"/>
      <c r="B52" s="28" t="s">
        <v>53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>
      <c r="A53" s="38"/>
      <c r="B53" s="40" t="s">
        <v>32</v>
      </c>
      <c r="C53" s="28" t="s">
        <v>28</v>
      </c>
      <c r="D53" s="39"/>
      <c r="E53" s="34"/>
      <c r="F53" s="41"/>
      <c r="G53" s="127" t="s">
        <v>26</v>
      </c>
      <c r="H53" s="127"/>
      <c r="I53" s="127"/>
      <c r="J53" s="34"/>
      <c r="K53" s="41"/>
      <c r="L53" s="34"/>
      <c r="O53" s="34"/>
      <c r="P53" s="34"/>
      <c r="Q53" s="34"/>
    </row>
    <row r="54" spans="1:17" ht="15.7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>
      <c r="A62" s="26" t="s">
        <v>60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>
      <c r="A65" s="5"/>
      <c r="B65" s="5"/>
      <c r="C65" s="10"/>
      <c r="D65" s="60"/>
      <c r="E65" s="7"/>
      <c r="F65" s="6"/>
      <c r="G65" s="8" t="s">
        <v>41</v>
      </c>
      <c r="H65" s="8" t="s">
        <v>42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>
      <c r="A68" s="52">
        <v>1</v>
      </c>
      <c r="B68" s="51" t="s">
        <v>36</v>
      </c>
      <c r="C68" s="48" t="s">
        <v>37</v>
      </c>
      <c r="D68" s="67" t="s">
        <v>44</v>
      </c>
      <c r="E68" s="17">
        <v>43105</v>
      </c>
      <c r="F68" s="20" t="s">
        <v>38</v>
      </c>
      <c r="G68" s="36">
        <v>0</v>
      </c>
      <c r="H68" s="36">
        <v>0</v>
      </c>
      <c r="I68" s="8">
        <v>0</v>
      </c>
      <c r="J68" s="8">
        <v>0</v>
      </c>
      <c r="K68" s="8">
        <v>26500</v>
      </c>
      <c r="L68" s="8">
        <v>0</v>
      </c>
      <c r="M68" s="8">
        <f>SUM(G68:L68)</f>
        <v>26500</v>
      </c>
      <c r="N68" s="8">
        <f>2650000-M68</f>
        <v>2623500</v>
      </c>
      <c r="O68" s="8">
        <f t="shared" ref="O68" si="9">+M68+N68</f>
        <v>2650000</v>
      </c>
      <c r="P68" s="35" t="s">
        <v>39</v>
      </c>
      <c r="Q68" s="58" t="s">
        <v>40</v>
      </c>
    </row>
    <row r="69" spans="1:17" ht="15.7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>
      <c r="A70" s="18"/>
      <c r="B70" s="55"/>
      <c r="C70" s="56"/>
      <c r="D70" s="74"/>
      <c r="E70" s="56"/>
      <c r="F70" s="57"/>
      <c r="G70" s="19">
        <f t="shared" ref="G70" si="10">SUM(G68:G69)</f>
        <v>0</v>
      </c>
      <c r="H70" s="19">
        <f t="shared" ref="H70:O70" si="11">SUM(H68:H69)</f>
        <v>0</v>
      </c>
      <c r="I70" s="19">
        <f t="shared" si="11"/>
        <v>0</v>
      </c>
      <c r="J70" s="19">
        <f t="shared" si="11"/>
        <v>0</v>
      </c>
      <c r="K70" s="19">
        <f t="shared" si="11"/>
        <v>26500</v>
      </c>
      <c r="L70" s="19">
        <f t="shared" si="11"/>
        <v>0</v>
      </c>
      <c r="M70" s="19">
        <f t="shared" si="11"/>
        <v>26500</v>
      </c>
      <c r="N70" s="19">
        <f t="shared" si="11"/>
        <v>2623500</v>
      </c>
      <c r="O70" s="19">
        <f t="shared" si="11"/>
        <v>2650000</v>
      </c>
      <c r="P70" s="68"/>
      <c r="Q70" s="70"/>
    </row>
    <row r="71" spans="1:17" ht="16.5" thickTop="1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>
      <c r="A72" s="23"/>
      <c r="B72" s="28" t="s">
        <v>61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>
      <c r="A73" s="38"/>
      <c r="B73" s="40" t="s">
        <v>32</v>
      </c>
      <c r="C73" s="28" t="s">
        <v>28</v>
      </c>
      <c r="D73" s="39"/>
      <c r="E73" s="34"/>
      <c r="F73" s="41"/>
      <c r="G73" s="127" t="s">
        <v>26</v>
      </c>
      <c r="H73" s="127"/>
      <c r="I73" s="127"/>
      <c r="J73" s="34"/>
      <c r="K73" s="41"/>
      <c r="L73" s="34"/>
      <c r="O73" s="34"/>
      <c r="P73" s="34"/>
      <c r="Q73" s="34"/>
    </row>
    <row r="74" spans="1:17" ht="15.7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>
      <c r="A82" s="26" t="s">
        <v>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>
      <c r="A85" s="5"/>
      <c r="B85" s="5"/>
      <c r="C85" s="10"/>
      <c r="D85" s="60"/>
      <c r="E85" s="7"/>
      <c r="F85" s="6"/>
      <c r="G85" s="8" t="s">
        <v>41</v>
      </c>
      <c r="H85" s="8" t="s">
        <v>42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>
      <c r="A88" s="52">
        <v>1</v>
      </c>
      <c r="B88" s="51" t="s">
        <v>63</v>
      </c>
      <c r="C88" s="48" t="s">
        <v>64</v>
      </c>
      <c r="D88" s="67" t="s">
        <v>65</v>
      </c>
      <c r="E88" s="17">
        <v>43105</v>
      </c>
      <c r="F88" s="20" t="s">
        <v>66</v>
      </c>
      <c r="G88" s="36">
        <v>47480000</v>
      </c>
      <c r="H88" s="36">
        <v>0</v>
      </c>
      <c r="I88" s="8">
        <v>1187000</v>
      </c>
      <c r="J88" s="8">
        <v>232258</v>
      </c>
      <c r="K88" s="8">
        <v>450000</v>
      </c>
      <c r="L88" s="8">
        <v>200000</v>
      </c>
      <c r="M88" s="8">
        <f>SUM(G88:L88)</f>
        <v>49549258</v>
      </c>
      <c r="N88" s="8">
        <f>94549258-M88</f>
        <v>45000000</v>
      </c>
      <c r="O88" s="8">
        <f t="shared" ref="O88" si="12">+M88+N88</f>
        <v>94549258</v>
      </c>
      <c r="P88" s="77" t="s">
        <v>67</v>
      </c>
      <c r="Q88" s="58" t="s">
        <v>52</v>
      </c>
    </row>
    <row r="89" spans="1:17" ht="15.7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>
      <c r="A90" s="18"/>
      <c r="B90" s="55"/>
      <c r="C90" s="56"/>
      <c r="D90" s="74"/>
      <c r="E90" s="56"/>
      <c r="F90" s="57"/>
      <c r="G90" s="19">
        <f t="shared" ref="G90" si="13">SUM(G88:G89)</f>
        <v>47480000</v>
      </c>
      <c r="H90" s="19">
        <f t="shared" ref="H90:O90" si="14">SUM(H88:H89)</f>
        <v>0</v>
      </c>
      <c r="I90" s="19">
        <f t="shared" si="14"/>
        <v>1187000</v>
      </c>
      <c r="J90" s="19">
        <f t="shared" si="14"/>
        <v>232258</v>
      </c>
      <c r="K90" s="19">
        <f t="shared" si="14"/>
        <v>450000</v>
      </c>
      <c r="L90" s="19">
        <f t="shared" si="14"/>
        <v>200000</v>
      </c>
      <c r="M90" s="19">
        <f t="shared" si="14"/>
        <v>49549258</v>
      </c>
      <c r="N90" s="19">
        <f t="shared" si="14"/>
        <v>45000000</v>
      </c>
      <c r="O90" s="19">
        <f t="shared" si="14"/>
        <v>94549258</v>
      </c>
      <c r="P90" s="68"/>
      <c r="Q90" s="70"/>
    </row>
    <row r="91" spans="1:17" ht="16.5" thickTop="1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>
      <c r="A92" s="23"/>
      <c r="B92" s="28" t="s">
        <v>61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>
      <c r="A93" s="38"/>
      <c r="B93" s="40" t="s">
        <v>32</v>
      </c>
      <c r="C93" s="28" t="s">
        <v>28</v>
      </c>
      <c r="D93" s="39"/>
      <c r="E93" s="34"/>
      <c r="F93" s="41"/>
      <c r="G93" s="127" t="s">
        <v>26</v>
      </c>
      <c r="H93" s="127"/>
      <c r="I93" s="127"/>
      <c r="J93" s="34"/>
      <c r="K93" s="41"/>
      <c r="L93" s="34"/>
      <c r="O93" s="34"/>
      <c r="P93" s="34"/>
      <c r="Q93" s="34"/>
    </row>
    <row r="94" spans="1:17" ht="15.7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>
      <c r="A102" s="26" t="s">
        <v>68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>
      <c r="A105" s="5"/>
      <c r="B105" s="5"/>
      <c r="C105" s="10"/>
      <c r="D105" s="60"/>
      <c r="E105" s="7"/>
      <c r="F105" s="6"/>
      <c r="G105" s="8" t="s">
        <v>41</v>
      </c>
      <c r="H105" s="8" t="s">
        <v>42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>
      <c r="A108" s="52">
        <v>1</v>
      </c>
      <c r="B108" s="51" t="s">
        <v>69</v>
      </c>
      <c r="C108" s="48" t="s">
        <v>70</v>
      </c>
      <c r="D108" s="67" t="s">
        <v>71</v>
      </c>
      <c r="E108" s="17">
        <v>43109</v>
      </c>
      <c r="F108" s="20" t="s">
        <v>72</v>
      </c>
      <c r="G108" s="36">
        <v>0</v>
      </c>
      <c r="H108" s="36">
        <v>0</v>
      </c>
      <c r="I108" s="8">
        <v>0</v>
      </c>
      <c r="J108" s="8">
        <v>0</v>
      </c>
      <c r="K108" s="8">
        <v>25000</v>
      </c>
      <c r="L108" s="8">
        <v>0</v>
      </c>
      <c r="M108" s="8">
        <f>SUM(G108:L108)</f>
        <v>25000</v>
      </c>
      <c r="N108" s="8">
        <f>2500000-M108</f>
        <v>2475000</v>
      </c>
      <c r="O108" s="8">
        <f t="shared" ref="O108" si="15">+M108+N108</f>
        <v>2500000</v>
      </c>
      <c r="P108" s="35" t="s">
        <v>73</v>
      </c>
      <c r="Q108" s="58" t="s">
        <v>74</v>
      </c>
    </row>
    <row r="109" spans="1:17" ht="15.7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>
      <c r="A110" s="18"/>
      <c r="B110" s="55"/>
      <c r="C110" s="56"/>
      <c r="D110" s="74"/>
      <c r="E110" s="56"/>
      <c r="F110" s="57"/>
      <c r="G110" s="19">
        <f t="shared" ref="G110" si="16">SUM(G108:G109)</f>
        <v>0</v>
      </c>
      <c r="H110" s="19">
        <f t="shared" ref="H110:O110" si="17">SUM(H108:H109)</f>
        <v>0</v>
      </c>
      <c r="I110" s="19">
        <f t="shared" si="17"/>
        <v>0</v>
      </c>
      <c r="J110" s="19">
        <f t="shared" si="17"/>
        <v>0</v>
      </c>
      <c r="K110" s="19">
        <f t="shared" si="17"/>
        <v>25000</v>
      </c>
      <c r="L110" s="19">
        <f t="shared" si="17"/>
        <v>0</v>
      </c>
      <c r="M110" s="19">
        <f t="shared" si="17"/>
        <v>25000</v>
      </c>
      <c r="N110" s="19">
        <f t="shared" si="17"/>
        <v>2475000</v>
      </c>
      <c r="O110" s="19">
        <f t="shared" si="17"/>
        <v>2500000</v>
      </c>
      <c r="P110" s="68"/>
      <c r="Q110" s="70"/>
    </row>
    <row r="111" spans="1:17" ht="16.5" thickTop="1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>
      <c r="A112" s="23"/>
      <c r="B112" s="28" t="s">
        <v>75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>
      <c r="A113" s="38"/>
      <c r="B113" s="40" t="s">
        <v>32</v>
      </c>
      <c r="C113" s="28" t="s">
        <v>28</v>
      </c>
      <c r="D113" s="39"/>
      <c r="E113" s="34"/>
      <c r="F113" s="41"/>
      <c r="G113" s="127" t="s">
        <v>26</v>
      </c>
      <c r="H113" s="127"/>
      <c r="I113" s="127"/>
      <c r="J113" s="34"/>
      <c r="K113" s="41"/>
      <c r="L113" s="34"/>
      <c r="O113" s="34"/>
      <c r="P113" s="34"/>
      <c r="Q113" s="34"/>
    </row>
    <row r="114" spans="1:17" ht="15.7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>
      <c r="A122" s="26" t="s">
        <v>76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>
      <c r="A125" s="5"/>
      <c r="B125" s="5"/>
      <c r="C125" s="10"/>
      <c r="D125" s="60"/>
      <c r="E125" s="7"/>
      <c r="F125" s="6"/>
      <c r="G125" s="8" t="s">
        <v>81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>
      <c r="A128" s="52">
        <v>1</v>
      </c>
      <c r="B128" s="51" t="s">
        <v>77</v>
      </c>
      <c r="C128" s="48" t="s">
        <v>78</v>
      </c>
      <c r="D128" s="67" t="s">
        <v>79</v>
      </c>
      <c r="E128" s="17">
        <v>43110</v>
      </c>
      <c r="F128" s="20" t="s">
        <v>80</v>
      </c>
      <c r="G128" s="36">
        <v>2099250</v>
      </c>
      <c r="H128" s="36">
        <v>75519657</v>
      </c>
      <c r="I128" s="8">
        <v>1940473</v>
      </c>
      <c r="J128" s="8">
        <v>544869</v>
      </c>
      <c r="K128" s="8">
        <v>150000</v>
      </c>
      <c r="L128" s="8">
        <v>200000</v>
      </c>
      <c r="M128" s="8">
        <f>SUM(G128:L128)</f>
        <v>80454249</v>
      </c>
      <c r="N128" s="8">
        <f>95454249-M128</f>
        <v>15000000</v>
      </c>
      <c r="O128" s="8">
        <f t="shared" ref="O128" si="18">+M128+N128</f>
        <v>95454249</v>
      </c>
      <c r="P128" s="35" t="s">
        <v>73</v>
      </c>
      <c r="Q128" s="58" t="s">
        <v>83</v>
      </c>
    </row>
    <row r="129" spans="1:17" ht="15.7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>
      <c r="A130" s="18"/>
      <c r="B130" s="55"/>
      <c r="C130" s="56"/>
      <c r="D130" s="74"/>
      <c r="E130" s="56"/>
      <c r="F130" s="57"/>
      <c r="G130" s="19">
        <f t="shared" ref="G130" si="19">SUM(G128:G129)</f>
        <v>2099250</v>
      </c>
      <c r="H130" s="19">
        <f t="shared" ref="H130:O130" si="20">SUM(H128:H129)</f>
        <v>75519657</v>
      </c>
      <c r="I130" s="19">
        <f t="shared" si="20"/>
        <v>1940473</v>
      </c>
      <c r="J130" s="19">
        <f t="shared" si="20"/>
        <v>544869</v>
      </c>
      <c r="K130" s="19">
        <f t="shared" si="20"/>
        <v>150000</v>
      </c>
      <c r="L130" s="19">
        <f t="shared" si="20"/>
        <v>200000</v>
      </c>
      <c r="M130" s="19">
        <f t="shared" si="20"/>
        <v>80454249</v>
      </c>
      <c r="N130" s="19">
        <f t="shared" si="20"/>
        <v>15000000</v>
      </c>
      <c r="O130" s="19">
        <f t="shared" si="20"/>
        <v>95454249</v>
      </c>
      <c r="P130" s="68"/>
      <c r="Q130" s="70"/>
    </row>
    <row r="131" spans="1:17" ht="16.5" thickTop="1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>
      <c r="A132" s="23"/>
      <c r="B132" s="28" t="s">
        <v>82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>
      <c r="A133" s="38"/>
      <c r="B133" s="40" t="s">
        <v>32</v>
      </c>
      <c r="C133" s="28" t="s">
        <v>28</v>
      </c>
      <c r="D133" s="39"/>
      <c r="E133" s="34"/>
      <c r="F133" s="41"/>
      <c r="G133" s="127" t="s">
        <v>26</v>
      </c>
      <c r="H133" s="127"/>
      <c r="I133" s="127"/>
      <c r="J133" s="34"/>
      <c r="K133" s="41"/>
      <c r="L133" s="34"/>
      <c r="O133" s="34"/>
      <c r="P133" s="34"/>
      <c r="Q133" s="34"/>
    </row>
    <row r="134" spans="1:17" ht="15.7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1" spans="1:17" ht="15.7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>
      <c r="A142" s="26" t="s">
        <v>84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>
      <c r="A145" s="5"/>
      <c r="B145" s="5"/>
      <c r="C145" s="10"/>
      <c r="D145" s="60"/>
      <c r="E145" s="7"/>
      <c r="F145" s="6"/>
      <c r="G145" s="8" t="s">
        <v>81</v>
      </c>
      <c r="H145" s="8" t="s">
        <v>58</v>
      </c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>
      <c r="A148" s="52">
        <v>1</v>
      </c>
      <c r="B148" s="51" t="s">
        <v>85</v>
      </c>
      <c r="C148" s="48" t="s">
        <v>86</v>
      </c>
      <c r="D148" s="67" t="s">
        <v>87</v>
      </c>
      <c r="E148" s="17">
        <v>43111</v>
      </c>
      <c r="F148" s="20" t="s">
        <v>88</v>
      </c>
      <c r="G148" s="36">
        <v>0</v>
      </c>
      <c r="H148" s="36">
        <v>43719000</v>
      </c>
      <c r="I148" s="8">
        <v>1092975</v>
      </c>
      <c r="J148" s="8">
        <v>445161</v>
      </c>
      <c r="K148" s="8">
        <v>170000</v>
      </c>
      <c r="L148" s="8">
        <v>200000</v>
      </c>
      <c r="M148" s="8">
        <f>SUM(G148:L148)</f>
        <v>45627136</v>
      </c>
      <c r="N148" s="8">
        <f>62627136-M148</f>
        <v>17000000</v>
      </c>
      <c r="O148" s="8">
        <f t="shared" ref="O148" si="21">+M148+N148</f>
        <v>62627136</v>
      </c>
      <c r="P148" s="59" t="s">
        <v>59</v>
      </c>
      <c r="Q148" s="58" t="s">
        <v>83</v>
      </c>
    </row>
    <row r="149" spans="1:17" ht="15.75">
      <c r="A149" s="52"/>
      <c r="B149" s="51"/>
      <c r="C149" s="48"/>
      <c r="D149" s="34"/>
      <c r="E149" s="17"/>
      <c r="F149" s="48"/>
      <c r="G149" s="36"/>
      <c r="H149" s="36"/>
      <c r="I149" s="36"/>
      <c r="J149" s="36"/>
      <c r="K149" s="36"/>
      <c r="L149" s="34"/>
      <c r="M149" s="8"/>
      <c r="N149" s="8"/>
      <c r="O149" s="8"/>
      <c r="P149" s="59"/>
      <c r="Q149" s="66"/>
    </row>
    <row r="150" spans="1:17" ht="16.5" thickBot="1">
      <c r="A150" s="18"/>
      <c r="B150" s="55"/>
      <c r="C150" s="56"/>
      <c r="D150" s="74"/>
      <c r="E150" s="56"/>
      <c r="F150" s="57"/>
      <c r="G150" s="19">
        <f t="shared" ref="G150" si="22">SUM(G148:G149)</f>
        <v>0</v>
      </c>
      <c r="H150" s="19">
        <f t="shared" ref="H150:O150" si="23">SUM(H148:H149)</f>
        <v>43719000</v>
      </c>
      <c r="I150" s="19">
        <f t="shared" si="23"/>
        <v>1092975</v>
      </c>
      <c r="J150" s="19">
        <f t="shared" si="23"/>
        <v>445161</v>
      </c>
      <c r="K150" s="19">
        <f t="shared" si="23"/>
        <v>170000</v>
      </c>
      <c r="L150" s="19">
        <f t="shared" si="23"/>
        <v>200000</v>
      </c>
      <c r="M150" s="19">
        <f t="shared" si="23"/>
        <v>45627136</v>
      </c>
      <c r="N150" s="19">
        <f t="shared" si="23"/>
        <v>17000000</v>
      </c>
      <c r="O150" s="19">
        <f t="shared" si="23"/>
        <v>62627136</v>
      </c>
      <c r="P150" s="68"/>
      <c r="Q150" s="70"/>
    </row>
    <row r="151" spans="1:17" ht="16.5" thickTop="1">
      <c r="A151" s="23"/>
      <c r="B151" s="22"/>
      <c r="C151" s="22"/>
      <c r="D151" s="23"/>
      <c r="E151" s="22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2"/>
      <c r="Q151" s="69"/>
    </row>
    <row r="152" spans="1:17" ht="15.75">
      <c r="A152" s="23"/>
      <c r="B152" s="28" t="s">
        <v>89</v>
      </c>
      <c r="C152" s="22"/>
      <c r="D152" s="39"/>
      <c r="E152" s="34"/>
      <c r="F152" s="27"/>
      <c r="G152" s="28"/>
      <c r="H152" s="28"/>
      <c r="I152" s="28"/>
      <c r="J152" s="28"/>
      <c r="K152" s="28"/>
      <c r="L152" s="28"/>
      <c r="O152" s="34"/>
      <c r="P152" s="34"/>
      <c r="Q152" s="51"/>
    </row>
    <row r="153" spans="1:17" ht="15.75">
      <c r="A153" s="38"/>
      <c r="B153" s="40" t="s">
        <v>32</v>
      </c>
      <c r="C153" s="28" t="s">
        <v>28</v>
      </c>
      <c r="D153" s="39"/>
      <c r="E153" s="34"/>
      <c r="F153" s="41"/>
      <c r="G153" s="127" t="s">
        <v>26</v>
      </c>
      <c r="H153" s="127"/>
      <c r="I153" s="127"/>
      <c r="J153" s="34"/>
      <c r="K153" s="41"/>
      <c r="L153" s="34"/>
      <c r="O153" s="34"/>
      <c r="P153" s="34"/>
      <c r="Q153" s="34"/>
    </row>
    <row r="154" spans="1:17" ht="15.75">
      <c r="A154" s="38"/>
      <c r="B154" s="40"/>
      <c r="C154" s="28"/>
      <c r="D154" s="39"/>
      <c r="E154" s="34"/>
      <c r="F154" s="28"/>
      <c r="G154" s="28"/>
      <c r="H154" s="28"/>
      <c r="I154" s="28"/>
      <c r="J154" s="28"/>
      <c r="K154" s="28"/>
      <c r="L154" s="28"/>
      <c r="O154" s="34"/>
      <c r="P154" s="34"/>
      <c r="Q154" s="34"/>
    </row>
    <row r="155" spans="1:17" ht="15.7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34"/>
      <c r="O156" s="34"/>
      <c r="P156" s="34"/>
      <c r="Q156" s="34"/>
    </row>
    <row r="157" spans="1:17" ht="15.7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28"/>
      <c r="O157" s="34"/>
      <c r="P157" s="34"/>
      <c r="Q157" s="34"/>
    </row>
    <row r="158" spans="1:17" ht="15.75">
      <c r="A158" s="38" t="s">
        <v>23</v>
      </c>
      <c r="B158" s="42" t="s">
        <v>27</v>
      </c>
      <c r="C158" s="43" t="s">
        <v>24</v>
      </c>
      <c r="D158" s="39"/>
      <c r="E158" s="34"/>
      <c r="F158" s="29"/>
      <c r="G158" s="29" t="s">
        <v>16</v>
      </c>
      <c r="H158" s="29"/>
      <c r="I158" s="29" t="s">
        <v>30</v>
      </c>
      <c r="J158" s="34"/>
      <c r="K158" s="34"/>
      <c r="L158" s="34"/>
      <c r="O158" s="34"/>
      <c r="P158" s="34"/>
      <c r="Q158" s="34"/>
    </row>
    <row r="159" spans="1:17" ht="15.75">
      <c r="A159" s="38"/>
      <c r="B159" s="44" t="s">
        <v>31</v>
      </c>
      <c r="C159" s="45" t="s">
        <v>20</v>
      </c>
      <c r="D159" s="39"/>
      <c r="E159" s="34"/>
      <c r="F159" s="46"/>
      <c r="G159" s="46" t="s">
        <v>17</v>
      </c>
      <c r="H159" s="46"/>
      <c r="I159" s="46" t="s">
        <v>25</v>
      </c>
      <c r="J159" s="34"/>
      <c r="K159" s="34"/>
      <c r="L159" s="34"/>
      <c r="O159" s="34"/>
      <c r="P159" s="34"/>
      <c r="Q159" s="34"/>
    </row>
    <row r="161" spans="1:16" customFormat="1" ht="15.75">
      <c r="A161" s="21" t="s">
        <v>0</v>
      </c>
      <c r="B161" s="22"/>
      <c r="C161" s="23"/>
      <c r="D161" s="23"/>
      <c r="E161" s="23"/>
      <c r="F161" s="89" t="s">
        <v>99</v>
      </c>
      <c r="G161" s="24"/>
      <c r="H161" s="24"/>
      <c r="I161" s="24"/>
      <c r="J161" s="24"/>
      <c r="K161" s="24"/>
      <c r="L161" s="25"/>
      <c r="M161" s="34"/>
      <c r="N161" s="34"/>
      <c r="O161" s="34"/>
      <c r="P161" s="34"/>
    </row>
    <row r="162" spans="1:16" customFormat="1" ht="15.75">
      <c r="A162" s="26" t="s">
        <v>97</v>
      </c>
      <c r="B162" s="21"/>
      <c r="C162" s="21"/>
      <c r="D162" s="21"/>
      <c r="E162" s="21"/>
      <c r="F162" s="24"/>
      <c r="G162" s="76"/>
      <c r="H162" s="24"/>
      <c r="I162" s="24"/>
      <c r="J162" s="24"/>
      <c r="K162" s="24"/>
      <c r="L162" s="25"/>
      <c r="M162" s="34"/>
      <c r="N162" s="34"/>
      <c r="O162" s="34"/>
      <c r="P162" s="34"/>
    </row>
    <row r="163" spans="1:16" customFormat="1" ht="15.75">
      <c r="A163" s="1"/>
      <c r="B163" s="1" t="s">
        <v>1</v>
      </c>
      <c r="C163" s="2" t="s">
        <v>2</v>
      </c>
      <c r="D163" s="78" t="s">
        <v>34</v>
      </c>
      <c r="E163" s="3" t="s">
        <v>3</v>
      </c>
      <c r="F163" s="2" t="s">
        <v>4</v>
      </c>
      <c r="G163" s="4" t="s">
        <v>18</v>
      </c>
      <c r="H163" s="4" t="s">
        <v>18</v>
      </c>
      <c r="I163" s="63" t="s">
        <v>7</v>
      </c>
      <c r="J163" s="32" t="s">
        <v>29</v>
      </c>
      <c r="K163" s="32" t="s">
        <v>21</v>
      </c>
      <c r="L163" s="4" t="s">
        <v>8</v>
      </c>
      <c r="M163" s="30" t="s">
        <v>8</v>
      </c>
      <c r="N163" s="4" t="s">
        <v>9</v>
      </c>
      <c r="O163" s="79" t="s">
        <v>10</v>
      </c>
      <c r="P163" s="54" t="s">
        <v>33</v>
      </c>
    </row>
    <row r="164" spans="1:16" customFormat="1" ht="15.75">
      <c r="A164" s="5"/>
      <c r="B164" s="5"/>
      <c r="C164" s="6"/>
      <c r="D164" s="80"/>
      <c r="E164" s="7"/>
      <c r="F164" s="6"/>
      <c r="G164" s="8" t="s">
        <v>11</v>
      </c>
      <c r="H164" s="8" t="s">
        <v>11</v>
      </c>
      <c r="I164" s="31" t="s">
        <v>19</v>
      </c>
      <c r="J164" s="33" t="s">
        <v>22</v>
      </c>
      <c r="K164" s="33" t="s">
        <v>15</v>
      </c>
      <c r="L164" s="8" t="s">
        <v>13</v>
      </c>
      <c r="M164" s="31" t="s">
        <v>14</v>
      </c>
      <c r="N164" s="8" t="s">
        <v>12</v>
      </c>
      <c r="O164" s="5"/>
      <c r="P164" s="9"/>
    </row>
    <row r="165" spans="1:16" customFormat="1" ht="15.75">
      <c r="A165" s="5"/>
      <c r="B165" s="5"/>
      <c r="C165" s="10"/>
      <c r="D165" s="80"/>
      <c r="E165" s="7"/>
      <c r="F165" s="6"/>
      <c r="G165" s="8" t="s">
        <v>90</v>
      </c>
      <c r="H165" s="8" t="s">
        <v>81</v>
      </c>
      <c r="I165" s="31" t="s">
        <v>5</v>
      </c>
      <c r="J165" s="8"/>
      <c r="K165" s="8"/>
      <c r="L165" s="8"/>
      <c r="M165" s="8"/>
      <c r="N165" s="8"/>
      <c r="O165" s="5"/>
      <c r="P165" s="9"/>
    </row>
    <row r="166" spans="1:16" customFormat="1" ht="15.75">
      <c r="A166" s="11"/>
      <c r="B166" s="11"/>
      <c r="C166" s="12"/>
      <c r="D166" s="81"/>
      <c r="E166" s="13"/>
      <c r="F166" s="14"/>
      <c r="G166" s="15"/>
      <c r="H166" s="82"/>
      <c r="I166" s="50"/>
      <c r="J166" s="15"/>
      <c r="K166" s="49"/>
      <c r="L166" s="15"/>
      <c r="M166" s="15"/>
      <c r="N166" s="15"/>
      <c r="O166" s="11"/>
      <c r="P166" s="16"/>
    </row>
    <row r="167" spans="1:16" customFormat="1" ht="15.75">
      <c r="A167" s="52"/>
      <c r="B167" s="47"/>
      <c r="C167" s="48" t="s">
        <v>91</v>
      </c>
      <c r="D167" s="83"/>
      <c r="E167" s="17"/>
      <c r="F167" s="48"/>
      <c r="G167" s="36"/>
      <c r="H167" s="36"/>
      <c r="I167" s="36"/>
      <c r="J167" s="36"/>
      <c r="K167" s="36"/>
      <c r="L167" s="8"/>
      <c r="M167" s="8"/>
      <c r="N167" s="8"/>
      <c r="O167" s="35"/>
      <c r="P167" s="37"/>
    </row>
    <row r="168" spans="1:16" customFormat="1" ht="15.75">
      <c r="A168" s="52">
        <v>1</v>
      </c>
      <c r="B168" s="84" t="s">
        <v>92</v>
      </c>
      <c r="C168" s="48" t="s">
        <v>93</v>
      </c>
      <c r="D168" s="67" t="s">
        <v>94</v>
      </c>
      <c r="E168" s="17">
        <v>43112</v>
      </c>
      <c r="F168" s="48" t="s">
        <v>95</v>
      </c>
      <c r="G168" s="36">
        <v>0</v>
      </c>
      <c r="H168" s="36">
        <v>0</v>
      </c>
      <c r="I168" s="36">
        <v>0</v>
      </c>
      <c r="J168" s="8">
        <v>50000</v>
      </c>
      <c r="K168" s="8">
        <v>0</v>
      </c>
      <c r="L168" s="8">
        <f t="shared" ref="L168" si="24">SUM(G168:K168)</f>
        <v>50000</v>
      </c>
      <c r="M168" s="8">
        <f>15000000-L168</f>
        <v>14950000</v>
      </c>
      <c r="N168" s="8">
        <f t="shared" ref="N168" si="25">+L168+M168</f>
        <v>15000000</v>
      </c>
      <c r="O168" s="85" t="s">
        <v>96</v>
      </c>
      <c r="P168" s="60" t="s">
        <v>22</v>
      </c>
    </row>
    <row r="169" spans="1:16" customFormat="1" ht="15.75">
      <c r="A169" s="52"/>
      <c r="B169" s="51"/>
      <c r="C169" s="48"/>
      <c r="D169" s="64"/>
      <c r="E169" s="17"/>
      <c r="F169" s="48"/>
      <c r="G169" s="36"/>
      <c r="H169" s="36"/>
      <c r="I169" s="36"/>
      <c r="J169" s="36"/>
      <c r="K169" s="36"/>
      <c r="L169" s="8"/>
      <c r="M169" s="8"/>
      <c r="N169" s="8"/>
      <c r="O169" s="77"/>
      <c r="P169" s="86"/>
    </row>
    <row r="170" spans="1:16" customFormat="1" ht="16.5" thickBot="1">
      <c r="A170" s="18"/>
      <c r="B170" s="55"/>
      <c r="C170" s="56"/>
      <c r="D170" s="87"/>
      <c r="E170" s="56"/>
      <c r="F170" s="57"/>
      <c r="G170" s="19">
        <f t="shared" ref="G170:N170" si="26">SUM(G168:G169)</f>
        <v>0</v>
      </c>
      <c r="H170" s="19">
        <f t="shared" si="26"/>
        <v>0</v>
      </c>
      <c r="I170" s="19">
        <f t="shared" si="26"/>
        <v>0</v>
      </c>
      <c r="J170" s="19">
        <f t="shared" si="26"/>
        <v>50000</v>
      </c>
      <c r="K170" s="19">
        <f t="shared" si="26"/>
        <v>0</v>
      </c>
      <c r="L170" s="19">
        <f t="shared" si="26"/>
        <v>50000</v>
      </c>
      <c r="M170" s="19">
        <f t="shared" si="26"/>
        <v>14950000</v>
      </c>
      <c r="N170" s="19">
        <f t="shared" si="26"/>
        <v>15000000</v>
      </c>
      <c r="O170" s="88"/>
      <c r="P170" s="88"/>
    </row>
    <row r="171" spans="1:16" customFormat="1" ht="16.5" thickTop="1">
      <c r="A171" s="23"/>
      <c r="B171" s="22"/>
      <c r="C171" s="22"/>
      <c r="D171" s="23"/>
      <c r="E171" s="22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2"/>
    </row>
    <row r="172" spans="1:16" customFormat="1" ht="15.75">
      <c r="A172" s="23"/>
      <c r="B172" s="28" t="s">
        <v>98</v>
      </c>
      <c r="C172" s="22"/>
      <c r="D172" s="39"/>
      <c r="E172" s="34"/>
      <c r="F172" s="27"/>
      <c r="G172" s="28"/>
      <c r="H172" s="28"/>
      <c r="I172" s="28"/>
      <c r="J172" s="28"/>
      <c r="K172" s="28"/>
      <c r="L172" s="28"/>
      <c r="M172" s="34"/>
      <c r="N172" s="34"/>
      <c r="O172" s="34"/>
      <c r="P172" s="34"/>
    </row>
    <row r="173" spans="1:16" customFormat="1" ht="15.75">
      <c r="A173" s="38"/>
      <c r="B173" s="40" t="s">
        <v>32</v>
      </c>
      <c r="C173" s="28" t="s">
        <v>28</v>
      </c>
      <c r="D173" s="39"/>
      <c r="E173" s="64"/>
      <c r="F173" s="41"/>
      <c r="G173" s="127" t="s">
        <v>26</v>
      </c>
      <c r="H173" s="127"/>
      <c r="I173" s="127"/>
      <c r="J173" s="34"/>
      <c r="K173" s="41"/>
      <c r="L173" s="34"/>
      <c r="M173" s="34"/>
      <c r="N173" s="34"/>
      <c r="O173" s="34"/>
      <c r="P173" s="34"/>
    </row>
    <row r="174" spans="1:16" customFormat="1" ht="15.75">
      <c r="A174" s="38"/>
      <c r="B174" s="40"/>
      <c r="C174" s="28"/>
      <c r="D174" s="39"/>
      <c r="E174" s="64"/>
      <c r="F174" s="28"/>
      <c r="G174" s="28"/>
      <c r="H174" s="28"/>
      <c r="I174" s="28"/>
      <c r="J174" s="28"/>
      <c r="K174" s="28"/>
      <c r="L174" s="28"/>
      <c r="M174" s="34"/>
      <c r="N174" s="34"/>
      <c r="O174" s="34"/>
      <c r="P174" s="34"/>
    </row>
    <row r="175" spans="1:16" customFormat="1" ht="15.75">
      <c r="A175" s="38"/>
      <c r="B175" s="40"/>
      <c r="C175" s="28"/>
      <c r="D175" s="39"/>
      <c r="E175" s="64"/>
      <c r="F175" s="28"/>
      <c r="G175" s="28"/>
      <c r="H175" s="28"/>
      <c r="I175" s="28"/>
      <c r="J175" s="28"/>
      <c r="K175" s="28"/>
      <c r="L175" s="28"/>
      <c r="M175" s="34"/>
      <c r="N175" s="34"/>
      <c r="O175" s="34"/>
      <c r="P175" s="34"/>
    </row>
    <row r="176" spans="1:16" customFormat="1" ht="15.75">
      <c r="A176" s="38"/>
      <c r="B176" s="40"/>
      <c r="C176" s="28"/>
      <c r="D176" s="39"/>
      <c r="E176" s="64"/>
      <c r="F176" s="28"/>
      <c r="G176" s="28"/>
      <c r="H176" s="28"/>
      <c r="I176" s="28"/>
      <c r="J176" s="28"/>
      <c r="K176" s="28"/>
      <c r="L176" s="34"/>
      <c r="M176" s="34"/>
      <c r="N176" s="34"/>
      <c r="O176" s="34"/>
      <c r="P176" s="34"/>
    </row>
    <row r="177" spans="1:17" customFormat="1" ht="15.75">
      <c r="A177" s="38"/>
      <c r="B177" s="40"/>
      <c r="C177" s="28"/>
      <c r="D177" s="39"/>
      <c r="E177" s="64"/>
      <c r="F177" s="28"/>
      <c r="G177" s="28"/>
      <c r="H177" s="28"/>
      <c r="I177" s="28"/>
      <c r="J177" s="28"/>
      <c r="K177" s="28"/>
      <c r="L177" s="28"/>
      <c r="M177" s="34"/>
      <c r="N177" s="34"/>
      <c r="O177" s="34"/>
      <c r="P177" s="34"/>
    </row>
    <row r="178" spans="1:17" customFormat="1" ht="15.75">
      <c r="A178" s="38" t="s">
        <v>23</v>
      </c>
      <c r="B178" s="42" t="s">
        <v>27</v>
      </c>
      <c r="C178" s="43" t="s">
        <v>24</v>
      </c>
      <c r="D178" s="39"/>
      <c r="E178" s="64"/>
      <c r="F178" s="29"/>
      <c r="G178" s="29" t="s">
        <v>16</v>
      </c>
      <c r="H178" s="29"/>
      <c r="I178" s="29" t="s">
        <v>30</v>
      </c>
      <c r="J178" s="34"/>
      <c r="K178" s="34"/>
      <c r="L178" s="34"/>
      <c r="M178" s="34"/>
      <c r="N178" s="34"/>
      <c r="O178" s="34"/>
      <c r="P178" s="34"/>
    </row>
    <row r="179" spans="1:17" customFormat="1" ht="15.75">
      <c r="A179" s="38"/>
      <c r="B179" s="44" t="s">
        <v>31</v>
      </c>
      <c r="C179" s="45" t="s">
        <v>20</v>
      </c>
      <c r="D179" s="39"/>
      <c r="E179" s="64"/>
      <c r="F179" s="46"/>
      <c r="G179" s="46" t="s">
        <v>17</v>
      </c>
      <c r="H179" s="46"/>
      <c r="I179" s="46" t="s">
        <v>25</v>
      </c>
      <c r="J179" s="34"/>
      <c r="K179" s="34"/>
      <c r="L179" s="34"/>
      <c r="M179" s="34"/>
      <c r="N179" s="34"/>
      <c r="O179" s="34"/>
      <c r="P179" s="34"/>
    </row>
    <row r="181" spans="1:17" ht="15.75">
      <c r="A181" s="21" t="s">
        <v>0</v>
      </c>
      <c r="B181" s="22"/>
      <c r="C181" s="23"/>
      <c r="D181" s="23"/>
      <c r="E181" s="23"/>
      <c r="F181" s="24"/>
      <c r="G181" s="24"/>
      <c r="H181" s="24"/>
      <c r="I181" s="24"/>
      <c r="J181" s="24"/>
      <c r="K181" s="24"/>
      <c r="L181" s="25"/>
      <c r="O181" s="34"/>
      <c r="P181" s="34"/>
      <c r="Q181" s="34"/>
    </row>
    <row r="182" spans="1:17" ht="15.75">
      <c r="A182" s="26" t="s">
        <v>100</v>
      </c>
      <c r="B182" s="21"/>
      <c r="C182" s="21"/>
      <c r="D182" s="21"/>
      <c r="E182" s="21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>
      <c r="A183" s="1"/>
      <c r="B183" s="1" t="s">
        <v>1</v>
      </c>
      <c r="C183" s="2" t="s">
        <v>2</v>
      </c>
      <c r="D183" s="71" t="s">
        <v>34</v>
      </c>
      <c r="E183" s="3" t="s">
        <v>3</v>
      </c>
      <c r="F183" s="2" t="s">
        <v>4</v>
      </c>
      <c r="G183" s="4" t="s">
        <v>18</v>
      </c>
      <c r="H183" s="4" t="s">
        <v>18</v>
      </c>
      <c r="I183" s="63" t="s">
        <v>7</v>
      </c>
      <c r="J183" s="65" t="s">
        <v>6</v>
      </c>
      <c r="K183" s="32" t="s">
        <v>29</v>
      </c>
      <c r="L183" s="32" t="s">
        <v>21</v>
      </c>
      <c r="M183" s="4" t="s">
        <v>8</v>
      </c>
      <c r="N183" s="30" t="s">
        <v>8</v>
      </c>
      <c r="O183" s="4" t="s">
        <v>9</v>
      </c>
      <c r="P183" s="62" t="s">
        <v>10</v>
      </c>
      <c r="Q183" s="54" t="s">
        <v>33</v>
      </c>
    </row>
    <row r="184" spans="1:17" ht="15.75">
      <c r="A184" s="5"/>
      <c r="B184" s="5"/>
      <c r="C184" s="6"/>
      <c r="D184" s="60"/>
      <c r="E184" s="7"/>
      <c r="F184" s="6"/>
      <c r="G184" s="8" t="s">
        <v>11</v>
      </c>
      <c r="H184" s="8" t="s">
        <v>11</v>
      </c>
      <c r="I184" s="31" t="s">
        <v>19</v>
      </c>
      <c r="J184" s="61" t="s">
        <v>35</v>
      </c>
      <c r="K184" s="33" t="s">
        <v>22</v>
      </c>
      <c r="L184" s="33" t="s">
        <v>15</v>
      </c>
      <c r="M184" s="8" t="s">
        <v>13</v>
      </c>
      <c r="N184" s="31" t="s">
        <v>14</v>
      </c>
      <c r="O184" s="8" t="s">
        <v>12</v>
      </c>
      <c r="P184" s="5"/>
      <c r="Q184" s="9"/>
    </row>
    <row r="185" spans="1:17" ht="15.75">
      <c r="A185" s="5"/>
      <c r="B185" s="5"/>
      <c r="C185" s="10"/>
      <c r="D185" s="60"/>
      <c r="E185" s="7"/>
      <c r="F185" s="6"/>
      <c r="G185" s="8" t="s">
        <v>81</v>
      </c>
      <c r="H185" s="8" t="s">
        <v>58</v>
      </c>
      <c r="I185" s="31" t="s">
        <v>5</v>
      </c>
      <c r="J185" s="8"/>
      <c r="K185" s="8"/>
      <c r="L185" s="8"/>
      <c r="M185" s="8"/>
      <c r="N185" s="8"/>
      <c r="O185" s="8"/>
      <c r="P185" s="5"/>
      <c r="Q185" s="9"/>
    </row>
    <row r="186" spans="1:17" ht="15.75">
      <c r="A186" s="11"/>
      <c r="B186" s="11"/>
      <c r="C186" s="12"/>
      <c r="D186" s="72"/>
      <c r="E186" s="13"/>
      <c r="F186" s="14"/>
      <c r="G186" s="15"/>
      <c r="H186" s="50"/>
      <c r="I186" s="15"/>
      <c r="J186" s="49"/>
      <c r="K186" s="53"/>
      <c r="L186" s="75"/>
      <c r="M186" s="15"/>
      <c r="N186" s="15"/>
      <c r="O186" s="15"/>
      <c r="P186" s="11"/>
      <c r="Q186" s="16"/>
    </row>
    <row r="187" spans="1:17" ht="15.75">
      <c r="A187" s="52"/>
      <c r="B187" s="47"/>
      <c r="C187" s="48"/>
      <c r="D187" s="73"/>
      <c r="E187" s="17"/>
      <c r="F187" s="48"/>
      <c r="G187" s="36"/>
      <c r="H187" s="36"/>
      <c r="I187" s="36"/>
      <c r="J187" s="36"/>
      <c r="K187" s="8"/>
      <c r="L187" s="34"/>
      <c r="M187" s="8"/>
      <c r="N187" s="8"/>
      <c r="O187" s="8"/>
      <c r="P187" s="35"/>
      <c r="Q187" s="37"/>
    </row>
    <row r="188" spans="1:17" ht="15.75">
      <c r="A188" s="52">
        <v>1</v>
      </c>
      <c r="B188" s="51" t="s">
        <v>101</v>
      </c>
      <c r="C188" s="48" t="s">
        <v>102</v>
      </c>
      <c r="D188" s="67" t="s">
        <v>103</v>
      </c>
      <c r="E188" s="17">
        <v>43119</v>
      </c>
      <c r="F188" s="20" t="s">
        <v>104</v>
      </c>
      <c r="G188" s="36">
        <v>0</v>
      </c>
      <c r="H188" s="36">
        <v>2000000</v>
      </c>
      <c r="I188" s="8">
        <v>50000</v>
      </c>
      <c r="J188" s="8">
        <v>0</v>
      </c>
      <c r="K188" s="8">
        <v>0</v>
      </c>
      <c r="L188" s="8">
        <v>0</v>
      </c>
      <c r="M188" s="8">
        <f>SUM(G188:L188)</f>
        <v>2050000</v>
      </c>
      <c r="N188" s="8">
        <f>7000000-M188</f>
        <v>4950000</v>
      </c>
      <c r="O188" s="8">
        <f t="shared" ref="O188" si="27">+M188+N188</f>
        <v>7000000</v>
      </c>
      <c r="P188" s="59" t="s">
        <v>51</v>
      </c>
      <c r="Q188" s="58" t="s">
        <v>83</v>
      </c>
    </row>
    <row r="189" spans="1:17" ht="15.75">
      <c r="A189" s="52"/>
      <c r="B189" s="51"/>
      <c r="C189" s="48"/>
      <c r="D189" s="34"/>
      <c r="E189" s="17"/>
      <c r="F189" s="48"/>
      <c r="G189" s="36"/>
      <c r="H189" s="36"/>
      <c r="I189" s="36"/>
      <c r="J189" s="36"/>
      <c r="K189" s="36"/>
      <c r="L189" s="34"/>
      <c r="M189" s="8"/>
      <c r="N189" s="8"/>
      <c r="O189" s="8"/>
      <c r="P189" s="59"/>
      <c r="Q189" s="66"/>
    </row>
    <row r="190" spans="1:17" ht="16.5" thickBot="1">
      <c r="A190" s="18"/>
      <c r="B190" s="55"/>
      <c r="C190" s="56"/>
      <c r="D190" s="74"/>
      <c r="E190" s="56"/>
      <c r="F190" s="57"/>
      <c r="G190" s="19">
        <f t="shared" ref="G190" si="28">SUM(G188:G189)</f>
        <v>0</v>
      </c>
      <c r="H190" s="19">
        <f t="shared" ref="H190:O190" si="29">SUM(H188:H189)</f>
        <v>2000000</v>
      </c>
      <c r="I190" s="19">
        <f t="shared" si="29"/>
        <v>50000</v>
      </c>
      <c r="J190" s="19">
        <f t="shared" si="29"/>
        <v>0</v>
      </c>
      <c r="K190" s="19">
        <f t="shared" si="29"/>
        <v>0</v>
      </c>
      <c r="L190" s="19">
        <f t="shared" si="29"/>
        <v>0</v>
      </c>
      <c r="M190" s="19">
        <f t="shared" si="29"/>
        <v>2050000</v>
      </c>
      <c r="N190" s="19">
        <f t="shared" si="29"/>
        <v>4950000</v>
      </c>
      <c r="O190" s="19">
        <f t="shared" si="29"/>
        <v>7000000</v>
      </c>
      <c r="P190" s="68"/>
      <c r="Q190" s="70"/>
    </row>
    <row r="191" spans="1:17" ht="16.5" thickTop="1">
      <c r="A191" s="23"/>
      <c r="B191" s="22"/>
      <c r="C191" s="22"/>
      <c r="D191" s="23"/>
      <c r="E191" s="22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2"/>
      <c r="Q191" s="69"/>
    </row>
    <row r="192" spans="1:17" ht="15.75">
      <c r="A192" s="23"/>
      <c r="B192" s="28" t="s">
        <v>105</v>
      </c>
      <c r="C192" s="22"/>
      <c r="D192" s="39"/>
      <c r="E192" s="34"/>
      <c r="F192" s="27"/>
      <c r="G192" s="28"/>
      <c r="H192" s="28"/>
      <c r="I192" s="28"/>
      <c r="J192" s="28"/>
      <c r="K192" s="28"/>
      <c r="L192" s="28"/>
      <c r="O192" s="34"/>
      <c r="P192" s="34"/>
      <c r="Q192" s="51"/>
    </row>
    <row r="193" spans="1:17" ht="15.75">
      <c r="A193" s="38"/>
      <c r="B193" s="40" t="s">
        <v>32</v>
      </c>
      <c r="C193" s="28" t="s">
        <v>28</v>
      </c>
      <c r="D193" s="39"/>
      <c r="E193" s="34"/>
      <c r="F193" s="41"/>
      <c r="G193" s="127" t="s">
        <v>26</v>
      </c>
      <c r="H193" s="127"/>
      <c r="I193" s="127"/>
      <c r="J193" s="34"/>
      <c r="K193" s="41"/>
      <c r="L193" s="34"/>
      <c r="O193" s="34"/>
      <c r="P193" s="34"/>
      <c r="Q193" s="34"/>
    </row>
    <row r="194" spans="1:17" ht="15.75">
      <c r="A194" s="38"/>
      <c r="B194" s="40"/>
      <c r="C194" s="28"/>
      <c r="D194" s="39"/>
      <c r="E194" s="34"/>
      <c r="F194" s="28"/>
      <c r="G194" s="28"/>
      <c r="H194" s="28"/>
      <c r="I194" s="28"/>
      <c r="J194" s="28"/>
      <c r="K194" s="28"/>
      <c r="L194" s="28"/>
      <c r="O194" s="34"/>
      <c r="P194" s="34"/>
      <c r="Q194" s="34"/>
    </row>
    <row r="195" spans="1:17" ht="15.7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34"/>
      <c r="O196" s="34"/>
      <c r="P196" s="34"/>
      <c r="Q196" s="34"/>
    </row>
    <row r="197" spans="1:17" ht="15.7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28"/>
      <c r="O197" s="34"/>
      <c r="P197" s="34"/>
      <c r="Q197" s="34"/>
    </row>
    <row r="198" spans="1:17" ht="15.75">
      <c r="A198" s="38" t="s">
        <v>23</v>
      </c>
      <c r="B198" s="42" t="s">
        <v>27</v>
      </c>
      <c r="C198" s="43" t="s">
        <v>24</v>
      </c>
      <c r="D198" s="39"/>
      <c r="E198" s="34"/>
      <c r="F198" s="29"/>
      <c r="G198" s="29" t="s">
        <v>16</v>
      </c>
      <c r="H198" s="29"/>
      <c r="I198" s="29" t="s">
        <v>30</v>
      </c>
      <c r="J198" s="34"/>
      <c r="K198" s="34"/>
      <c r="L198" s="34"/>
      <c r="O198" s="34"/>
      <c r="P198" s="34"/>
      <c r="Q198" s="34"/>
    </row>
    <row r="199" spans="1:17" ht="15.75">
      <c r="A199" s="38"/>
      <c r="B199" s="44" t="s">
        <v>31</v>
      </c>
      <c r="C199" s="45" t="s">
        <v>20</v>
      </c>
      <c r="D199" s="39"/>
      <c r="E199" s="34"/>
      <c r="F199" s="46"/>
      <c r="G199" s="46" t="s">
        <v>17</v>
      </c>
      <c r="H199" s="46"/>
      <c r="I199" s="46" t="s">
        <v>25</v>
      </c>
      <c r="J199" s="34"/>
      <c r="K199" s="34"/>
      <c r="L199" s="34"/>
      <c r="O199" s="34"/>
      <c r="P199" s="34"/>
      <c r="Q199" s="34"/>
    </row>
    <row r="200" spans="1:17">
      <c r="A200" s="90" t="s">
        <v>106</v>
      </c>
    </row>
    <row r="201" spans="1:17" ht="15.75">
      <c r="A201" s="21" t="s">
        <v>0</v>
      </c>
      <c r="B201" s="22"/>
      <c r="C201" s="23"/>
      <c r="D201" s="23"/>
      <c r="E201" s="23"/>
      <c r="F201" s="24"/>
      <c r="G201" s="24"/>
      <c r="H201" s="24"/>
      <c r="I201" s="24"/>
      <c r="J201" s="24"/>
      <c r="K201" s="24"/>
      <c r="L201" s="25"/>
      <c r="O201" s="34"/>
      <c r="P201" s="34"/>
      <c r="Q201" s="34"/>
    </row>
    <row r="202" spans="1:17" ht="15.75">
      <c r="A202" s="26" t="s">
        <v>107</v>
      </c>
      <c r="B202" s="21"/>
      <c r="C202" s="21"/>
      <c r="D202" s="21"/>
      <c r="E202" s="21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>
      <c r="A203" s="1"/>
      <c r="B203" s="1" t="s">
        <v>1</v>
      </c>
      <c r="C203" s="2" t="s">
        <v>2</v>
      </c>
      <c r="D203" s="71" t="s">
        <v>34</v>
      </c>
      <c r="E203" s="3" t="s">
        <v>3</v>
      </c>
      <c r="F203" s="2" t="s">
        <v>4</v>
      </c>
      <c r="G203" s="4" t="s">
        <v>18</v>
      </c>
      <c r="H203" s="4" t="s">
        <v>18</v>
      </c>
      <c r="I203" s="63" t="s">
        <v>7</v>
      </c>
      <c r="J203" s="65" t="s">
        <v>6</v>
      </c>
      <c r="K203" s="32" t="s">
        <v>29</v>
      </c>
      <c r="L203" s="32" t="s">
        <v>21</v>
      </c>
      <c r="M203" s="4" t="s">
        <v>8</v>
      </c>
      <c r="N203" s="30" t="s">
        <v>8</v>
      </c>
      <c r="O203" s="4" t="s">
        <v>9</v>
      </c>
      <c r="P203" s="62" t="s">
        <v>10</v>
      </c>
      <c r="Q203" s="54" t="s">
        <v>33</v>
      </c>
    </row>
    <row r="204" spans="1:17" ht="15.75">
      <c r="A204" s="5"/>
      <c r="B204" s="5"/>
      <c r="C204" s="6"/>
      <c r="D204" s="60"/>
      <c r="E204" s="7"/>
      <c r="F204" s="6"/>
      <c r="G204" s="8" t="s">
        <v>11</v>
      </c>
      <c r="H204" s="8" t="s">
        <v>11</v>
      </c>
      <c r="I204" s="31" t="s">
        <v>19</v>
      </c>
      <c r="J204" s="61" t="s">
        <v>35</v>
      </c>
      <c r="K204" s="33" t="s">
        <v>22</v>
      </c>
      <c r="L204" s="33" t="s">
        <v>15</v>
      </c>
      <c r="M204" s="8" t="s">
        <v>13</v>
      </c>
      <c r="N204" s="31" t="s">
        <v>14</v>
      </c>
      <c r="O204" s="8" t="s">
        <v>12</v>
      </c>
      <c r="P204" s="5"/>
      <c r="Q204" s="9"/>
    </row>
    <row r="205" spans="1:17" ht="15.75">
      <c r="A205" s="5"/>
      <c r="B205" s="5"/>
      <c r="C205" s="10"/>
      <c r="D205" s="60"/>
      <c r="E205" s="7"/>
      <c r="F205" s="6"/>
      <c r="G205" s="8" t="s">
        <v>81</v>
      </c>
      <c r="H205" s="8" t="s">
        <v>58</v>
      </c>
      <c r="I205" s="31" t="s">
        <v>5</v>
      </c>
      <c r="J205" s="8"/>
      <c r="K205" s="8"/>
      <c r="L205" s="8"/>
      <c r="M205" s="8"/>
      <c r="N205" s="8"/>
      <c r="O205" s="8"/>
      <c r="P205" s="5"/>
      <c r="Q205" s="9"/>
    </row>
    <row r="206" spans="1:17" ht="15.75">
      <c r="A206" s="11"/>
      <c r="B206" s="11"/>
      <c r="C206" s="12"/>
      <c r="D206" s="72"/>
      <c r="E206" s="13"/>
      <c r="F206" s="14"/>
      <c r="G206" s="15"/>
      <c r="H206" s="50"/>
      <c r="I206" s="15"/>
      <c r="J206" s="49"/>
      <c r="K206" s="53"/>
      <c r="L206" s="75"/>
      <c r="M206" s="15"/>
      <c r="N206" s="15"/>
      <c r="O206" s="15"/>
      <c r="P206" s="11"/>
      <c r="Q206" s="16"/>
    </row>
    <row r="207" spans="1:17" ht="15.75">
      <c r="A207" s="52"/>
      <c r="B207" s="47"/>
      <c r="C207" s="48"/>
      <c r="D207" s="73"/>
      <c r="E207" s="17"/>
      <c r="F207" s="48"/>
      <c r="G207" s="36"/>
      <c r="H207" s="36"/>
      <c r="I207" s="36"/>
      <c r="J207" s="36"/>
      <c r="K207" s="8"/>
      <c r="L207" s="34"/>
      <c r="M207" s="8"/>
      <c r="N207" s="8"/>
      <c r="O207" s="8"/>
      <c r="P207" s="35"/>
      <c r="Q207" s="37"/>
    </row>
    <row r="208" spans="1:17" ht="15.75">
      <c r="A208" s="52">
        <v>1</v>
      </c>
      <c r="B208" s="51" t="s">
        <v>108</v>
      </c>
      <c r="C208" s="48" t="s">
        <v>109</v>
      </c>
      <c r="D208" s="67" t="s">
        <v>110</v>
      </c>
      <c r="E208" s="17">
        <v>43125</v>
      </c>
      <c r="F208" s="20" t="s">
        <v>111</v>
      </c>
      <c r="G208" s="36">
        <v>0</v>
      </c>
      <c r="H208" s="36">
        <v>32212500</v>
      </c>
      <c r="I208" s="8">
        <v>805313</v>
      </c>
      <c r="J208" s="8">
        <v>0</v>
      </c>
      <c r="K208" s="8">
        <v>100000</v>
      </c>
      <c r="L208" s="8">
        <v>200000</v>
      </c>
      <c r="M208" s="8">
        <f>SUM(G208:L208)</f>
        <v>33317813</v>
      </c>
      <c r="N208" s="8">
        <f>43317813-M208</f>
        <v>10000000</v>
      </c>
      <c r="O208" s="8">
        <f t="shared" ref="O208" si="30">+M208+N208</f>
        <v>43317813</v>
      </c>
      <c r="P208" s="59" t="s">
        <v>112</v>
      </c>
      <c r="Q208" s="58" t="s">
        <v>83</v>
      </c>
    </row>
    <row r="209" spans="1:17" ht="15.75">
      <c r="A209" s="52">
        <v>2</v>
      </c>
      <c r="B209" s="51" t="s">
        <v>113</v>
      </c>
      <c r="C209" s="48" t="s">
        <v>114</v>
      </c>
      <c r="D209" s="67" t="s">
        <v>115</v>
      </c>
      <c r="E209" s="17">
        <v>43125</v>
      </c>
      <c r="F209" s="20" t="s">
        <v>116</v>
      </c>
      <c r="G209" s="36">
        <v>0</v>
      </c>
      <c r="H209" s="36">
        <v>81767858</v>
      </c>
      <c r="I209" s="8">
        <v>2044196</v>
      </c>
      <c r="J209" s="8">
        <v>0</v>
      </c>
      <c r="K209" s="8">
        <v>100000</v>
      </c>
      <c r="L209" s="8">
        <v>200000</v>
      </c>
      <c r="M209" s="8">
        <f>SUM(G209:L209)</f>
        <v>84112054</v>
      </c>
      <c r="N209" s="8">
        <f>94112054-M209</f>
        <v>10000000</v>
      </c>
      <c r="O209" s="8">
        <f t="shared" ref="O209" si="31">+M209+N209</f>
        <v>94112054</v>
      </c>
      <c r="P209" s="59" t="s">
        <v>117</v>
      </c>
      <c r="Q209" s="58" t="s">
        <v>83</v>
      </c>
    </row>
    <row r="210" spans="1:17" ht="15.7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>
      <c r="A211" s="18"/>
      <c r="B211" s="55"/>
      <c r="C211" s="56"/>
      <c r="D211" s="74"/>
      <c r="E211" s="56"/>
      <c r="F211" s="57"/>
      <c r="G211" s="19">
        <f t="shared" ref="G211" si="32">SUM(G208:G210)</f>
        <v>0</v>
      </c>
      <c r="H211" s="19">
        <f t="shared" ref="H211:O211" si="33">SUM(H208:H210)</f>
        <v>113980358</v>
      </c>
      <c r="I211" s="19">
        <f t="shared" si="33"/>
        <v>2849509</v>
      </c>
      <c r="J211" s="19">
        <f t="shared" si="33"/>
        <v>0</v>
      </c>
      <c r="K211" s="19">
        <f t="shared" si="33"/>
        <v>200000</v>
      </c>
      <c r="L211" s="19">
        <f t="shared" si="33"/>
        <v>400000</v>
      </c>
      <c r="M211" s="19">
        <f t="shared" si="33"/>
        <v>117429867</v>
      </c>
      <c r="N211" s="19">
        <f t="shared" si="33"/>
        <v>20000000</v>
      </c>
      <c r="O211" s="19">
        <f t="shared" si="33"/>
        <v>137429867</v>
      </c>
      <c r="P211" s="68"/>
      <c r="Q211" s="70"/>
    </row>
    <row r="212" spans="1:17" ht="16.5" thickTop="1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>
      <c r="A213" s="23"/>
      <c r="B213" s="28" t="s">
        <v>118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>
      <c r="A214" s="38"/>
      <c r="B214" s="40" t="s">
        <v>32</v>
      </c>
      <c r="C214" s="28" t="s">
        <v>28</v>
      </c>
      <c r="D214" s="39"/>
      <c r="E214" s="34"/>
      <c r="F214" s="41"/>
      <c r="G214" s="127" t="s">
        <v>26</v>
      </c>
      <c r="H214" s="127"/>
      <c r="I214" s="127"/>
      <c r="J214" s="34"/>
      <c r="K214" s="41"/>
      <c r="L214" s="34"/>
      <c r="O214" s="34"/>
      <c r="P214" s="34"/>
      <c r="Q214" s="34"/>
    </row>
    <row r="215" spans="1:17" ht="15.7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2" spans="1:17" ht="15.7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>
      <c r="A223" s="26" t="s">
        <v>119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>
      <c r="A226" s="5"/>
      <c r="B226" s="5"/>
      <c r="C226" s="10"/>
      <c r="D226" s="60"/>
      <c r="E226" s="7"/>
      <c r="F226" s="6"/>
      <c r="G226" s="8" t="s">
        <v>81</v>
      </c>
      <c r="H226" s="8" t="s">
        <v>58</v>
      </c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>
      <c r="A229" s="52">
        <v>1</v>
      </c>
      <c r="B229" s="51" t="s">
        <v>120</v>
      </c>
      <c r="C229" s="48" t="s">
        <v>121</v>
      </c>
      <c r="D229" s="67" t="s">
        <v>122</v>
      </c>
      <c r="E229" s="17">
        <v>43130</v>
      </c>
      <c r="F229" s="20" t="s">
        <v>123</v>
      </c>
      <c r="G229" s="36">
        <v>0</v>
      </c>
      <c r="H229" s="36">
        <v>214396380</v>
      </c>
      <c r="I229" s="8">
        <v>5359910</v>
      </c>
      <c r="J229" s="8">
        <v>0</v>
      </c>
      <c r="K229" s="8">
        <v>2000000</v>
      </c>
      <c r="L229" s="8">
        <v>200000</v>
      </c>
      <c r="M229" s="8">
        <f>SUM(G229:L229)</f>
        <v>221956290</v>
      </c>
      <c r="N229" s="8">
        <f>421956290-M229</f>
        <v>200000000</v>
      </c>
      <c r="O229" s="8">
        <f t="shared" ref="O229" si="34">+M229+N229</f>
        <v>421956290</v>
      </c>
      <c r="P229" s="59" t="s">
        <v>124</v>
      </c>
      <c r="Q229" s="58" t="s">
        <v>83</v>
      </c>
    </row>
    <row r="230" spans="1:17" ht="15.75">
      <c r="A230" s="52"/>
      <c r="B230" s="51"/>
      <c r="C230" s="48"/>
      <c r="D230" s="67"/>
      <c r="E230" s="17"/>
      <c r="F230" s="20"/>
      <c r="G230" s="36"/>
      <c r="H230" s="36"/>
      <c r="I230" s="8"/>
      <c r="J230" s="8"/>
      <c r="K230" s="8"/>
      <c r="L230" s="8"/>
      <c r="M230" s="8"/>
      <c r="N230" s="8"/>
      <c r="O230" s="8"/>
      <c r="P230" s="59"/>
      <c r="Q230" s="58"/>
    </row>
    <row r="231" spans="1:17" ht="15.7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>
      <c r="A232" s="18"/>
      <c r="B232" s="55"/>
      <c r="C232" s="56"/>
      <c r="D232" s="74"/>
      <c r="E232" s="56"/>
      <c r="F232" s="57"/>
      <c r="G232" s="19">
        <f t="shared" ref="G232" si="35">SUM(G229:G231)</f>
        <v>0</v>
      </c>
      <c r="H232" s="19">
        <f t="shared" ref="H232:O232" si="36">SUM(H229:H231)</f>
        <v>214396380</v>
      </c>
      <c r="I232" s="19">
        <f t="shared" si="36"/>
        <v>5359910</v>
      </c>
      <c r="J232" s="19">
        <f t="shared" si="36"/>
        <v>0</v>
      </c>
      <c r="K232" s="19">
        <f t="shared" si="36"/>
        <v>2000000</v>
      </c>
      <c r="L232" s="19">
        <f t="shared" si="36"/>
        <v>200000</v>
      </c>
      <c r="M232" s="19">
        <f t="shared" si="36"/>
        <v>221956290</v>
      </c>
      <c r="N232" s="19">
        <f t="shared" si="36"/>
        <v>200000000</v>
      </c>
      <c r="O232" s="19">
        <f t="shared" si="36"/>
        <v>421956290</v>
      </c>
      <c r="P232" s="68"/>
      <c r="Q232" s="70"/>
    </row>
    <row r="233" spans="1:17" ht="16.5" thickTop="1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>
      <c r="A234" s="23"/>
      <c r="B234" s="28" t="s">
        <v>129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>
      <c r="A235" s="38"/>
      <c r="B235" s="40" t="s">
        <v>32</v>
      </c>
      <c r="C235" s="28" t="s">
        <v>28</v>
      </c>
      <c r="D235" s="39"/>
      <c r="E235" s="34"/>
      <c r="F235" s="41"/>
      <c r="G235" s="127" t="s">
        <v>26</v>
      </c>
      <c r="H235" s="127"/>
      <c r="I235" s="127"/>
      <c r="J235" s="34"/>
      <c r="K235" s="41"/>
      <c r="L235" s="34"/>
      <c r="O235" s="34"/>
      <c r="P235" s="34"/>
      <c r="Q235" s="34"/>
    </row>
    <row r="236" spans="1:17" ht="15.7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  <row r="243" spans="1:17" ht="15.75">
      <c r="A243" s="21" t="s">
        <v>0</v>
      </c>
      <c r="B243" s="22"/>
      <c r="C243" s="23"/>
      <c r="D243" s="23"/>
      <c r="E243" s="23"/>
      <c r="F243" s="24"/>
      <c r="G243" s="24"/>
      <c r="H243" s="24"/>
      <c r="I243" s="24"/>
      <c r="J243" s="24"/>
      <c r="K243" s="24"/>
      <c r="L243" s="25"/>
      <c r="O243" s="34"/>
      <c r="P243" s="34"/>
      <c r="Q243" s="34"/>
    </row>
    <row r="244" spans="1:17" ht="15.75">
      <c r="A244" s="26" t="s">
        <v>119</v>
      </c>
      <c r="B244" s="21"/>
      <c r="C244" s="21"/>
      <c r="D244" s="21"/>
      <c r="E244" s="21"/>
      <c r="F244" s="24"/>
      <c r="G244" s="24"/>
      <c r="H244" s="24"/>
      <c r="I244" s="24"/>
      <c r="J244" s="24"/>
      <c r="K244" s="24"/>
      <c r="L244" s="25"/>
      <c r="O244" s="34"/>
      <c r="P244" s="34"/>
      <c r="Q244" s="34"/>
    </row>
    <row r="245" spans="1:17" ht="15.75">
      <c r="A245" s="1"/>
      <c r="B245" s="1" t="s">
        <v>1</v>
      </c>
      <c r="C245" s="2" t="s">
        <v>2</v>
      </c>
      <c r="D245" s="71" t="s">
        <v>34</v>
      </c>
      <c r="E245" s="3" t="s">
        <v>3</v>
      </c>
      <c r="F245" s="2" t="s">
        <v>4</v>
      </c>
      <c r="G245" s="4" t="s">
        <v>18</v>
      </c>
      <c r="H245" s="4" t="s">
        <v>18</v>
      </c>
      <c r="I245" s="63" t="s">
        <v>7</v>
      </c>
      <c r="J245" s="65" t="s">
        <v>6</v>
      </c>
      <c r="K245" s="32" t="s">
        <v>29</v>
      </c>
      <c r="L245" s="32" t="s">
        <v>21</v>
      </c>
      <c r="M245" s="4" t="s">
        <v>8</v>
      </c>
      <c r="N245" s="30" t="s">
        <v>8</v>
      </c>
      <c r="O245" s="4" t="s">
        <v>9</v>
      </c>
      <c r="P245" s="62" t="s">
        <v>10</v>
      </c>
      <c r="Q245" s="54" t="s">
        <v>33</v>
      </c>
    </row>
    <row r="246" spans="1:17" ht="15.75">
      <c r="A246" s="5"/>
      <c r="B246" s="5"/>
      <c r="C246" s="6"/>
      <c r="D246" s="60"/>
      <c r="E246" s="7"/>
      <c r="F246" s="6"/>
      <c r="G246" s="8" t="s">
        <v>11</v>
      </c>
      <c r="H246" s="8" t="s">
        <v>11</v>
      </c>
      <c r="I246" s="31" t="s">
        <v>19</v>
      </c>
      <c r="J246" s="61" t="s">
        <v>35</v>
      </c>
      <c r="K246" s="33" t="s">
        <v>22</v>
      </c>
      <c r="L246" s="33" t="s">
        <v>15</v>
      </c>
      <c r="M246" s="8" t="s">
        <v>13</v>
      </c>
      <c r="N246" s="31" t="s">
        <v>14</v>
      </c>
      <c r="O246" s="8" t="s">
        <v>12</v>
      </c>
      <c r="P246" s="5"/>
      <c r="Q246" s="9"/>
    </row>
    <row r="247" spans="1:17" ht="15.75">
      <c r="A247" s="5"/>
      <c r="B247" s="5"/>
      <c r="C247" s="10"/>
      <c r="D247" s="60"/>
      <c r="E247" s="7"/>
      <c r="F247" s="6"/>
      <c r="G247" s="8" t="s">
        <v>81</v>
      </c>
      <c r="H247" s="8" t="s">
        <v>58</v>
      </c>
      <c r="I247" s="31" t="s">
        <v>5</v>
      </c>
      <c r="J247" s="8"/>
      <c r="K247" s="8"/>
      <c r="L247" s="8"/>
      <c r="M247" s="8"/>
      <c r="N247" s="8"/>
      <c r="O247" s="8"/>
      <c r="P247" s="5"/>
      <c r="Q247" s="9"/>
    </row>
    <row r="248" spans="1:17" ht="15.75">
      <c r="A248" s="11"/>
      <c r="B248" s="11"/>
      <c r="C248" s="12"/>
      <c r="D248" s="72"/>
      <c r="E248" s="13"/>
      <c r="F248" s="14"/>
      <c r="G248" s="15"/>
      <c r="H248" s="50"/>
      <c r="I248" s="15"/>
      <c r="J248" s="49"/>
      <c r="K248" s="53"/>
      <c r="L248" s="75"/>
      <c r="M248" s="15"/>
      <c r="N248" s="15"/>
      <c r="O248" s="15"/>
      <c r="P248" s="11"/>
      <c r="Q248" s="16"/>
    </row>
    <row r="249" spans="1:17" ht="15.75">
      <c r="A249" s="52"/>
      <c r="B249" s="47"/>
      <c r="C249" s="48"/>
      <c r="D249" s="73"/>
      <c r="E249" s="17"/>
      <c r="F249" s="48"/>
      <c r="G249" s="36"/>
      <c r="H249" s="36"/>
      <c r="I249" s="36"/>
      <c r="J249" s="36"/>
      <c r="K249" s="8"/>
      <c r="L249" s="34"/>
      <c r="M249" s="8"/>
      <c r="N249" s="8"/>
      <c r="O249" s="8"/>
      <c r="P249" s="35"/>
      <c r="Q249" s="37"/>
    </row>
    <row r="250" spans="1:17" ht="15.75">
      <c r="A250" s="52">
        <v>1</v>
      </c>
      <c r="B250" s="51" t="s">
        <v>125</v>
      </c>
      <c r="C250" s="48" t="s">
        <v>126</v>
      </c>
      <c r="D250" s="67" t="s">
        <v>127</v>
      </c>
      <c r="E250" s="17">
        <v>43130</v>
      </c>
      <c r="F250" s="20" t="s">
        <v>128</v>
      </c>
      <c r="G250" s="36">
        <v>0</v>
      </c>
      <c r="H250" s="36">
        <v>0</v>
      </c>
      <c r="I250" s="8">
        <v>0</v>
      </c>
      <c r="J250" s="8">
        <v>0</v>
      </c>
      <c r="K250" s="8">
        <v>25000</v>
      </c>
      <c r="L250" s="8">
        <v>0</v>
      </c>
      <c r="M250" s="8">
        <f>SUM(G250:L250)</f>
        <v>25000</v>
      </c>
      <c r="N250" s="8">
        <f>2500000-M250</f>
        <v>2475000</v>
      </c>
      <c r="O250" s="8">
        <f t="shared" ref="O250" si="37">+M250+N250</f>
        <v>2500000</v>
      </c>
      <c r="P250" s="59" t="s">
        <v>73</v>
      </c>
      <c r="Q250" s="60" t="s">
        <v>74</v>
      </c>
    </row>
    <row r="251" spans="1:17" ht="15.75">
      <c r="A251" s="52"/>
      <c r="B251" s="51"/>
      <c r="C251" s="48"/>
      <c r="D251" s="34"/>
      <c r="E251" s="17"/>
      <c r="F251" s="48"/>
      <c r="G251" s="36"/>
      <c r="H251" s="36"/>
      <c r="I251" s="36"/>
      <c r="J251" s="36"/>
      <c r="K251" s="36"/>
      <c r="L251" s="34"/>
      <c r="M251" s="8"/>
      <c r="N251" s="8"/>
      <c r="O251" s="8"/>
      <c r="P251" s="59"/>
      <c r="Q251" s="66"/>
    </row>
    <row r="252" spans="1:17" ht="16.5" thickBot="1">
      <c r="A252" s="18"/>
      <c r="B252" s="55"/>
      <c r="C252" s="56"/>
      <c r="D252" s="74"/>
      <c r="E252" s="56"/>
      <c r="F252" s="57"/>
      <c r="G252" s="19">
        <f t="shared" ref="G252:O252" si="38">SUM(G250:G251)</f>
        <v>0</v>
      </c>
      <c r="H252" s="19">
        <f t="shared" si="38"/>
        <v>0</v>
      </c>
      <c r="I252" s="19">
        <f t="shared" si="38"/>
        <v>0</v>
      </c>
      <c r="J252" s="19">
        <f t="shared" si="38"/>
        <v>0</v>
      </c>
      <c r="K252" s="19">
        <f t="shared" si="38"/>
        <v>25000</v>
      </c>
      <c r="L252" s="19">
        <f t="shared" si="38"/>
        <v>0</v>
      </c>
      <c r="M252" s="19">
        <f t="shared" si="38"/>
        <v>25000</v>
      </c>
      <c r="N252" s="19">
        <f t="shared" si="38"/>
        <v>2475000</v>
      </c>
      <c r="O252" s="19">
        <f t="shared" si="38"/>
        <v>2500000</v>
      </c>
      <c r="P252" s="68"/>
      <c r="Q252" s="70"/>
    </row>
    <row r="253" spans="1:17" ht="16.5" thickTop="1">
      <c r="A253" s="23"/>
      <c r="B253" s="22"/>
      <c r="C253" s="22"/>
      <c r="D253" s="23"/>
      <c r="E253" s="22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2"/>
      <c r="Q253" s="69"/>
    </row>
    <row r="254" spans="1:17" ht="15.75">
      <c r="A254" s="23"/>
      <c r="B254" s="28" t="s">
        <v>129</v>
      </c>
      <c r="C254" s="22"/>
      <c r="D254" s="39"/>
      <c r="E254" s="34"/>
      <c r="F254" s="27"/>
      <c r="G254" s="28"/>
      <c r="H254" s="28"/>
      <c r="I254" s="28"/>
      <c r="J254" s="28"/>
      <c r="K254" s="28"/>
      <c r="L254" s="28"/>
      <c r="O254" s="34"/>
      <c r="P254" s="34"/>
      <c r="Q254" s="51"/>
    </row>
    <row r="255" spans="1:17" ht="15.75">
      <c r="A255" s="38"/>
      <c r="B255" s="40" t="s">
        <v>32</v>
      </c>
      <c r="C255" s="28" t="s">
        <v>28</v>
      </c>
      <c r="D255" s="39"/>
      <c r="E255" s="34"/>
      <c r="F255" s="41"/>
      <c r="G255" s="127" t="s">
        <v>26</v>
      </c>
      <c r="H255" s="127"/>
      <c r="I255" s="127"/>
      <c r="J255" s="34"/>
      <c r="K255" s="41"/>
      <c r="L255" s="34"/>
      <c r="O255" s="34"/>
      <c r="P255" s="34"/>
      <c r="Q255" s="34"/>
    </row>
    <row r="256" spans="1:17" ht="15.75">
      <c r="A256" s="38"/>
      <c r="B256" s="40"/>
      <c r="C256" s="28"/>
      <c r="D256" s="39"/>
      <c r="E256" s="34"/>
      <c r="F256" s="28"/>
      <c r="G256" s="28"/>
      <c r="H256" s="28"/>
      <c r="I256" s="28"/>
      <c r="J256" s="28"/>
      <c r="K256" s="28"/>
      <c r="L256" s="28"/>
      <c r="O256" s="34"/>
      <c r="P256" s="34"/>
      <c r="Q256" s="34"/>
    </row>
    <row r="257" spans="1:17" ht="15.75">
      <c r="A257" s="38"/>
      <c r="B257" s="40"/>
      <c r="C257" s="28"/>
      <c r="D257" s="39"/>
      <c r="E257" s="34"/>
      <c r="F257" s="28"/>
      <c r="G257" s="28"/>
      <c r="H257" s="28"/>
      <c r="I257" s="28"/>
      <c r="J257" s="28"/>
      <c r="K257" s="28"/>
      <c r="L257" s="28"/>
      <c r="O257" s="34"/>
      <c r="P257" s="34"/>
      <c r="Q257" s="34"/>
    </row>
    <row r="258" spans="1:17" ht="15.75">
      <c r="A258" s="38"/>
      <c r="B258" s="40"/>
      <c r="C258" s="28"/>
      <c r="D258" s="39"/>
      <c r="E258" s="34"/>
      <c r="F258" s="28"/>
      <c r="G258" s="28"/>
      <c r="H258" s="28"/>
      <c r="I258" s="28"/>
      <c r="J258" s="28"/>
      <c r="K258" s="28"/>
      <c r="L258" s="34"/>
      <c r="O258" s="34"/>
      <c r="P258" s="34"/>
      <c r="Q258" s="34"/>
    </row>
    <row r="259" spans="1:17" ht="15.75">
      <c r="A259" s="38"/>
      <c r="B259" s="40"/>
      <c r="C259" s="28"/>
      <c r="D259" s="39"/>
      <c r="E259" s="34"/>
      <c r="F259" s="28"/>
      <c r="G259" s="28"/>
      <c r="H259" s="28"/>
      <c r="I259" s="28"/>
      <c r="J259" s="28"/>
      <c r="K259" s="28"/>
      <c r="L259" s="28"/>
      <c r="O259" s="34"/>
      <c r="P259" s="34"/>
      <c r="Q259" s="34"/>
    </row>
    <row r="260" spans="1:17" ht="15.75">
      <c r="A260" s="38" t="s">
        <v>23</v>
      </c>
      <c r="B260" s="42" t="s">
        <v>27</v>
      </c>
      <c r="C260" s="43" t="s">
        <v>24</v>
      </c>
      <c r="D260" s="39"/>
      <c r="E260" s="34"/>
      <c r="F260" s="29"/>
      <c r="G260" s="29" t="s">
        <v>16</v>
      </c>
      <c r="H260" s="29"/>
      <c r="I260" s="29" t="s">
        <v>30</v>
      </c>
      <c r="J260" s="34"/>
      <c r="K260" s="34"/>
      <c r="L260" s="34"/>
      <c r="O260" s="34"/>
      <c r="P260" s="34"/>
      <c r="Q260" s="34"/>
    </row>
    <row r="261" spans="1:17" ht="15.75">
      <c r="A261" s="38"/>
      <c r="B261" s="44" t="s">
        <v>31</v>
      </c>
      <c r="C261" s="45" t="s">
        <v>20</v>
      </c>
      <c r="D261" s="39"/>
      <c r="E261" s="34"/>
      <c r="F261" s="46"/>
      <c r="G261" s="46" t="s">
        <v>17</v>
      </c>
      <c r="H261" s="46"/>
      <c r="I261" s="46" t="s">
        <v>25</v>
      </c>
      <c r="J261" s="34"/>
      <c r="K261" s="34"/>
      <c r="L261" s="34"/>
      <c r="O261" s="34"/>
      <c r="P261" s="34"/>
      <c r="Q261" s="34"/>
    </row>
    <row r="263" spans="1:17" ht="15.75">
      <c r="A263" s="21" t="s">
        <v>0</v>
      </c>
      <c r="B263" s="22"/>
      <c r="C263" s="23"/>
      <c r="D263" s="23"/>
      <c r="E263" s="23"/>
      <c r="F263" s="24"/>
      <c r="G263" s="24"/>
      <c r="H263" s="24"/>
      <c r="I263" s="24"/>
      <c r="J263" s="24"/>
      <c r="K263" s="24"/>
      <c r="L263" s="25"/>
      <c r="O263" s="34"/>
      <c r="P263" s="34"/>
      <c r="Q263" s="34"/>
    </row>
    <row r="264" spans="1:17" ht="15.75">
      <c r="A264" s="26" t="s">
        <v>119</v>
      </c>
      <c r="B264" s="21"/>
      <c r="C264" s="21"/>
      <c r="D264" s="21"/>
      <c r="E264" s="21"/>
      <c r="F264" s="24"/>
      <c r="G264" s="24"/>
      <c r="H264" s="24"/>
      <c r="I264" s="24"/>
      <c r="J264" s="24"/>
      <c r="K264" s="24"/>
      <c r="L264" s="25"/>
      <c r="O264" s="34"/>
      <c r="P264" s="34"/>
      <c r="Q264" s="34"/>
    </row>
    <row r="265" spans="1:17" ht="15.75">
      <c r="A265" s="1"/>
      <c r="B265" s="1" t="s">
        <v>1</v>
      </c>
      <c r="C265" s="2" t="s">
        <v>2</v>
      </c>
      <c r="D265" s="71" t="s">
        <v>34</v>
      </c>
      <c r="E265" s="3" t="s">
        <v>3</v>
      </c>
      <c r="F265" s="2" t="s">
        <v>4</v>
      </c>
      <c r="G265" s="4" t="s">
        <v>18</v>
      </c>
      <c r="H265" s="4" t="s">
        <v>18</v>
      </c>
      <c r="I265" s="63" t="s">
        <v>7</v>
      </c>
      <c r="J265" s="65" t="s">
        <v>6</v>
      </c>
      <c r="K265" s="32" t="s">
        <v>29</v>
      </c>
      <c r="L265" s="32" t="s">
        <v>21</v>
      </c>
      <c r="M265" s="4" t="s">
        <v>8</v>
      </c>
      <c r="N265" s="30" t="s">
        <v>8</v>
      </c>
      <c r="O265" s="4" t="s">
        <v>9</v>
      </c>
      <c r="P265" s="62" t="s">
        <v>10</v>
      </c>
      <c r="Q265" s="54" t="s">
        <v>33</v>
      </c>
    </row>
    <row r="266" spans="1:17" ht="15.75">
      <c r="A266" s="5"/>
      <c r="B266" s="5"/>
      <c r="C266" s="6"/>
      <c r="D266" s="60"/>
      <c r="E266" s="7"/>
      <c r="F266" s="6"/>
      <c r="G266" s="8" t="s">
        <v>11</v>
      </c>
      <c r="H266" s="8" t="s">
        <v>11</v>
      </c>
      <c r="I266" s="31" t="s">
        <v>19</v>
      </c>
      <c r="J266" s="61" t="s">
        <v>35</v>
      </c>
      <c r="K266" s="33" t="s">
        <v>22</v>
      </c>
      <c r="L266" s="33" t="s">
        <v>15</v>
      </c>
      <c r="M266" s="8" t="s">
        <v>13</v>
      </c>
      <c r="N266" s="31" t="s">
        <v>14</v>
      </c>
      <c r="O266" s="8" t="s">
        <v>12</v>
      </c>
      <c r="P266" s="5"/>
      <c r="Q266" s="9"/>
    </row>
    <row r="267" spans="1:17" ht="15.75">
      <c r="A267" s="5"/>
      <c r="B267" s="5"/>
      <c r="C267" s="10"/>
      <c r="D267" s="60"/>
      <c r="E267" s="7"/>
      <c r="F267" s="6"/>
      <c r="G267" s="8" t="s">
        <v>81</v>
      </c>
      <c r="H267" s="8" t="s">
        <v>58</v>
      </c>
      <c r="I267" s="31" t="s">
        <v>5</v>
      </c>
      <c r="J267" s="8"/>
      <c r="K267" s="8"/>
      <c r="L267" s="8"/>
      <c r="M267" s="8"/>
      <c r="N267" s="8"/>
      <c r="O267" s="8"/>
      <c r="P267" s="5"/>
      <c r="Q267" s="9"/>
    </row>
    <row r="268" spans="1:17" ht="15.75">
      <c r="A268" s="11"/>
      <c r="B268" s="11"/>
      <c r="C268" s="12"/>
      <c r="D268" s="72"/>
      <c r="E268" s="13"/>
      <c r="F268" s="14"/>
      <c r="G268" s="15"/>
      <c r="H268" s="50"/>
      <c r="I268" s="15"/>
      <c r="J268" s="49"/>
      <c r="K268" s="53"/>
      <c r="L268" s="75"/>
      <c r="M268" s="15"/>
      <c r="N268" s="15"/>
      <c r="O268" s="15"/>
      <c r="P268" s="11"/>
      <c r="Q268" s="16"/>
    </row>
    <row r="269" spans="1:17" ht="15.75">
      <c r="A269" s="52"/>
      <c r="B269" s="47"/>
      <c r="C269" s="48"/>
      <c r="D269" s="73"/>
      <c r="E269" s="17"/>
      <c r="F269" s="48"/>
      <c r="G269" s="36"/>
      <c r="H269" s="36"/>
      <c r="I269" s="36"/>
      <c r="J269" s="36"/>
      <c r="K269" s="8"/>
      <c r="L269" s="34"/>
      <c r="M269" s="8"/>
      <c r="N269" s="8"/>
      <c r="O269" s="8"/>
      <c r="P269" s="35"/>
      <c r="Q269" s="37"/>
    </row>
    <row r="270" spans="1:17" ht="15.75">
      <c r="A270" s="52">
        <v>1</v>
      </c>
      <c r="B270" s="51" t="s">
        <v>130</v>
      </c>
      <c r="C270" s="48" t="s">
        <v>131</v>
      </c>
      <c r="D270" s="67" t="s">
        <v>132</v>
      </c>
      <c r="E270" s="17">
        <v>43130</v>
      </c>
      <c r="F270" s="20" t="s">
        <v>133</v>
      </c>
      <c r="G270" s="36">
        <v>1049840</v>
      </c>
      <c r="H270" s="36">
        <v>0</v>
      </c>
      <c r="I270" s="8">
        <v>26246</v>
      </c>
      <c r="J270" s="8">
        <v>0</v>
      </c>
      <c r="K270" s="8">
        <v>60000</v>
      </c>
      <c r="L270" s="8">
        <v>0</v>
      </c>
      <c r="M270" s="8">
        <f>SUM(G270:L270)</f>
        <v>1136086</v>
      </c>
      <c r="N270" s="8">
        <f>7136086-M270</f>
        <v>6000000</v>
      </c>
      <c r="O270" s="8">
        <f t="shared" ref="O270" si="39">+M270+N270</f>
        <v>7136086</v>
      </c>
      <c r="P270" s="59" t="s">
        <v>134</v>
      </c>
      <c r="Q270" s="60" t="s">
        <v>52</v>
      </c>
    </row>
    <row r="271" spans="1:17" ht="15.75">
      <c r="A271" s="52"/>
      <c r="B271" s="51"/>
      <c r="C271" s="48"/>
      <c r="D271" s="34"/>
      <c r="E271" s="17"/>
      <c r="F271" s="48"/>
      <c r="G271" s="36"/>
      <c r="H271" s="36"/>
      <c r="I271" s="36"/>
      <c r="J271" s="36"/>
      <c r="K271" s="36"/>
      <c r="L271" s="34"/>
      <c r="M271" s="8"/>
      <c r="N271" s="8"/>
      <c r="O271" s="8"/>
      <c r="P271" s="59"/>
      <c r="Q271" s="66"/>
    </row>
    <row r="272" spans="1:17" ht="16.5" thickBot="1">
      <c r="A272" s="18"/>
      <c r="B272" s="55"/>
      <c r="C272" s="56"/>
      <c r="D272" s="74"/>
      <c r="E272" s="56"/>
      <c r="F272" s="57"/>
      <c r="G272" s="19">
        <f t="shared" ref="G272:O272" si="40">SUM(G270:G271)</f>
        <v>1049840</v>
      </c>
      <c r="H272" s="19">
        <f t="shared" si="40"/>
        <v>0</v>
      </c>
      <c r="I272" s="19">
        <f t="shared" si="40"/>
        <v>26246</v>
      </c>
      <c r="J272" s="19">
        <f t="shared" si="40"/>
        <v>0</v>
      </c>
      <c r="K272" s="19">
        <f t="shared" si="40"/>
        <v>60000</v>
      </c>
      <c r="L272" s="19">
        <f t="shared" si="40"/>
        <v>0</v>
      </c>
      <c r="M272" s="19">
        <f t="shared" si="40"/>
        <v>1136086</v>
      </c>
      <c r="N272" s="19">
        <f t="shared" si="40"/>
        <v>6000000</v>
      </c>
      <c r="O272" s="19">
        <f t="shared" si="40"/>
        <v>7136086</v>
      </c>
      <c r="P272" s="68"/>
      <c r="Q272" s="70"/>
    </row>
    <row r="273" spans="1:17" ht="16.5" thickTop="1">
      <c r="A273" s="23"/>
      <c r="B273" s="22"/>
      <c r="C273" s="22"/>
      <c r="D273" s="23"/>
      <c r="E273" s="22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2"/>
      <c r="Q273" s="69"/>
    </row>
    <row r="274" spans="1:17" ht="15.75">
      <c r="A274" s="23"/>
      <c r="B274" s="28" t="s">
        <v>129</v>
      </c>
      <c r="C274" s="22"/>
      <c r="D274" s="39"/>
      <c r="E274" s="34"/>
      <c r="F274" s="27"/>
      <c r="G274" s="28"/>
      <c r="H274" s="28"/>
      <c r="I274" s="28"/>
      <c r="J274" s="28"/>
      <c r="K274" s="28"/>
      <c r="L274" s="28"/>
      <c r="O274" s="34"/>
      <c r="P274" s="34"/>
      <c r="Q274" s="51"/>
    </row>
    <row r="275" spans="1:17" ht="15.75">
      <c r="A275" s="38"/>
      <c r="B275" s="40" t="s">
        <v>32</v>
      </c>
      <c r="C275" s="28" t="s">
        <v>28</v>
      </c>
      <c r="D275" s="39"/>
      <c r="E275" s="34"/>
      <c r="F275" s="41"/>
      <c r="G275" s="127" t="s">
        <v>26</v>
      </c>
      <c r="H275" s="127"/>
      <c r="I275" s="127"/>
      <c r="J275" s="34"/>
      <c r="K275" s="41"/>
      <c r="L275" s="34"/>
      <c r="O275" s="34"/>
      <c r="P275" s="34"/>
      <c r="Q275" s="34"/>
    </row>
    <row r="276" spans="1:17" ht="15.75">
      <c r="A276" s="38"/>
      <c r="B276" s="40"/>
      <c r="C276" s="28"/>
      <c r="D276" s="39"/>
      <c r="E276" s="34"/>
      <c r="F276" s="28"/>
      <c r="G276" s="28"/>
      <c r="H276" s="28"/>
      <c r="I276" s="28"/>
      <c r="J276" s="28"/>
      <c r="K276" s="28"/>
      <c r="L276" s="28"/>
      <c r="O276" s="34"/>
      <c r="P276" s="34"/>
      <c r="Q276" s="34"/>
    </row>
    <row r="277" spans="1:17" ht="15.75">
      <c r="A277" s="38"/>
      <c r="B277" s="40"/>
      <c r="C277" s="28"/>
      <c r="D277" s="39"/>
      <c r="E277" s="34"/>
      <c r="F277" s="28"/>
      <c r="G277" s="28"/>
      <c r="H277" s="28"/>
      <c r="I277" s="28"/>
      <c r="J277" s="28"/>
      <c r="K277" s="28"/>
      <c r="L277" s="28"/>
      <c r="O277" s="34"/>
      <c r="P277" s="34"/>
      <c r="Q277" s="34"/>
    </row>
    <row r="278" spans="1:17" ht="15.75">
      <c r="A278" s="38"/>
      <c r="B278" s="40"/>
      <c r="C278" s="28"/>
      <c r="D278" s="39"/>
      <c r="E278" s="34"/>
      <c r="F278" s="28"/>
      <c r="G278" s="28"/>
      <c r="H278" s="28"/>
      <c r="I278" s="28"/>
      <c r="J278" s="28"/>
      <c r="K278" s="28"/>
      <c r="L278" s="34"/>
      <c r="O278" s="34"/>
      <c r="P278" s="34"/>
      <c r="Q278" s="34"/>
    </row>
    <row r="279" spans="1:17" ht="15.75">
      <c r="A279" s="38"/>
      <c r="B279" s="40"/>
      <c r="C279" s="28"/>
      <c r="D279" s="39"/>
      <c r="E279" s="34"/>
      <c r="F279" s="28"/>
      <c r="G279" s="28"/>
      <c r="H279" s="28"/>
      <c r="I279" s="28"/>
      <c r="J279" s="28"/>
      <c r="K279" s="28"/>
      <c r="L279" s="28"/>
      <c r="O279" s="34"/>
      <c r="P279" s="34"/>
      <c r="Q279" s="34"/>
    </row>
    <row r="280" spans="1:17" ht="15.75">
      <c r="A280" s="38" t="s">
        <v>23</v>
      </c>
      <c r="B280" s="42" t="s">
        <v>27</v>
      </c>
      <c r="C280" s="43" t="s">
        <v>24</v>
      </c>
      <c r="D280" s="39"/>
      <c r="E280" s="34"/>
      <c r="F280" s="29"/>
      <c r="G280" s="29" t="s">
        <v>16</v>
      </c>
      <c r="H280" s="29"/>
      <c r="I280" s="29" t="s">
        <v>30</v>
      </c>
      <c r="J280" s="34"/>
      <c r="K280" s="34"/>
      <c r="L280" s="34"/>
      <c r="O280" s="34"/>
      <c r="P280" s="34"/>
      <c r="Q280" s="34"/>
    </row>
    <row r="281" spans="1:17" ht="15.75">
      <c r="A281" s="38"/>
      <c r="B281" s="44" t="s">
        <v>31</v>
      </c>
      <c r="C281" s="45" t="s">
        <v>20</v>
      </c>
      <c r="D281" s="39"/>
      <c r="E281" s="34"/>
      <c r="F281" s="46"/>
      <c r="G281" s="46" t="s">
        <v>17</v>
      </c>
      <c r="H281" s="46"/>
      <c r="I281" s="46" t="s">
        <v>25</v>
      </c>
      <c r="J281" s="34"/>
      <c r="K281" s="34"/>
      <c r="L281" s="34"/>
      <c r="O281" s="34"/>
      <c r="P281" s="34"/>
      <c r="Q281" s="34"/>
    </row>
  </sheetData>
  <mergeCells count="14">
    <mergeCell ref="G13:I13"/>
    <mergeCell ref="G33:I33"/>
    <mergeCell ref="G53:I53"/>
    <mergeCell ref="G73:I73"/>
    <mergeCell ref="G93:I93"/>
    <mergeCell ref="G255:I255"/>
    <mergeCell ref="G275:I275"/>
    <mergeCell ref="G133:I133"/>
    <mergeCell ref="G113:I113"/>
    <mergeCell ref="G235:I235"/>
    <mergeCell ref="G214:I214"/>
    <mergeCell ref="G193:I193"/>
    <mergeCell ref="G173:I173"/>
    <mergeCell ref="G153:I153"/>
  </mergeCells>
  <printOptions horizontalCentered="1"/>
  <pageMargins left="7.874015748031496E-2" right="0.70866141732283472" top="0.74803149606299213" bottom="0.98425196850393704" header="0.31496062992125984" footer="0.31496062992125984"/>
  <pageSetup paperSize="5" scale="7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41"/>
  <sheetViews>
    <sheetView topLeftCell="D136" workbookViewId="0">
      <selection activeCell="J156" sqref="J156"/>
    </sheetView>
  </sheetViews>
  <sheetFormatPr defaultRowHeight="15"/>
  <cols>
    <col min="1" max="1" width="2.28515625" style="64" customWidth="1"/>
    <col min="2" max="2" width="16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5.85546875" style="64" customWidth="1"/>
    <col min="9" max="9" width="16.28515625" style="64" customWidth="1"/>
    <col min="10" max="10" width="9.28515625" style="64" customWidth="1"/>
    <col min="11" max="11" width="15" style="64" customWidth="1"/>
    <col min="12" max="12" width="12.42578125" style="64" bestFit="1" customWidth="1"/>
    <col min="13" max="13" width="16.42578125" style="34" customWidth="1"/>
    <col min="14" max="14" width="16.5703125" style="34" bestFit="1" customWidth="1"/>
    <col min="15" max="15" width="17.140625" style="64" customWidth="1"/>
    <col min="16" max="16" width="10" style="64" customWidth="1"/>
    <col min="17" max="17" width="6.140625" style="64" customWidth="1"/>
    <col min="18" max="18" width="5.85546875" style="64" customWidth="1"/>
    <col min="19" max="16384" width="9.140625" style="64"/>
  </cols>
  <sheetData>
    <row r="1" spans="1:17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  <c r="O1" s="34"/>
      <c r="P1" s="34"/>
      <c r="Q1" s="34"/>
    </row>
    <row r="2" spans="1:17" ht="15.75">
      <c r="A2" s="26" t="s">
        <v>135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>
      <c r="A5" s="5"/>
      <c r="B5" s="5"/>
      <c r="C5" s="10"/>
      <c r="D5" s="60"/>
      <c r="E5" s="7"/>
      <c r="F5" s="6"/>
      <c r="G5" s="8" t="s">
        <v>81</v>
      </c>
      <c r="H5" s="8" t="s">
        <v>58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>
      <c r="A8" s="52">
        <v>1</v>
      </c>
      <c r="B8" s="51" t="s">
        <v>136</v>
      </c>
      <c r="C8" s="48" t="s">
        <v>137</v>
      </c>
      <c r="D8" s="67" t="s">
        <v>138</v>
      </c>
      <c r="E8" s="17">
        <v>43132</v>
      </c>
      <c r="F8" s="20" t="s">
        <v>139</v>
      </c>
      <c r="G8" s="36">
        <v>0</v>
      </c>
      <c r="H8" s="36">
        <v>0</v>
      </c>
      <c r="I8" s="8">
        <v>0</v>
      </c>
      <c r="J8" s="8">
        <v>0</v>
      </c>
      <c r="K8" s="8">
        <v>62500</v>
      </c>
      <c r="L8" s="8">
        <v>0</v>
      </c>
      <c r="M8" s="8">
        <f>SUM(G8:L8)</f>
        <v>62500</v>
      </c>
      <c r="N8" s="8">
        <f>6250000-M8</f>
        <v>6187500</v>
      </c>
      <c r="O8" s="8">
        <f t="shared" ref="O8" si="0">+M8+N8</f>
        <v>6250000</v>
      </c>
      <c r="P8" s="59" t="s">
        <v>117</v>
      </c>
      <c r="Q8" s="60" t="s">
        <v>40</v>
      </c>
    </row>
    <row r="9" spans="1:17" ht="15.7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62500</v>
      </c>
      <c r="L10" s="19">
        <f t="shared" si="1"/>
        <v>0</v>
      </c>
      <c r="M10" s="19">
        <f t="shared" si="1"/>
        <v>62500</v>
      </c>
      <c r="N10" s="19">
        <f t="shared" si="1"/>
        <v>6187500</v>
      </c>
      <c r="O10" s="19">
        <f t="shared" si="1"/>
        <v>6250000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140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>
      <c r="A13" s="38"/>
      <c r="B13" s="40" t="s">
        <v>32</v>
      </c>
      <c r="C13" s="28" t="s">
        <v>28</v>
      </c>
      <c r="D13" s="39"/>
      <c r="E13" s="34"/>
      <c r="F13" s="41"/>
      <c r="G13" s="127" t="s">
        <v>26</v>
      </c>
      <c r="H13" s="127"/>
      <c r="I13" s="127"/>
      <c r="J13" s="34"/>
      <c r="K13" s="41"/>
      <c r="L13" s="34"/>
      <c r="O13" s="34"/>
      <c r="P13" s="34"/>
      <c r="Q13" s="34"/>
    </row>
    <row r="14" spans="1:17" ht="15.7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>
      <c r="A22" s="26" t="s">
        <v>141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>
      <c r="A25" s="5"/>
      <c r="B25" s="5"/>
      <c r="C25" s="10"/>
      <c r="D25" s="60"/>
      <c r="E25" s="7"/>
      <c r="F25" s="6"/>
      <c r="G25" s="8" t="s">
        <v>81</v>
      </c>
      <c r="H25" s="8" t="s">
        <v>58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>
      <c r="A28" s="52">
        <v>1</v>
      </c>
      <c r="B28" s="51" t="s">
        <v>142</v>
      </c>
      <c r="C28" s="48" t="s">
        <v>143</v>
      </c>
      <c r="D28" s="67" t="s">
        <v>144</v>
      </c>
      <c r="E28" s="17">
        <v>43133</v>
      </c>
      <c r="F28" s="20" t="s">
        <v>145</v>
      </c>
      <c r="G28" s="36">
        <v>0</v>
      </c>
      <c r="H28" s="36">
        <v>0</v>
      </c>
      <c r="I28" s="8">
        <v>0</v>
      </c>
      <c r="J28" s="8">
        <v>0</v>
      </c>
      <c r="K28" s="8">
        <v>200000</v>
      </c>
      <c r="L28" s="8">
        <v>200000</v>
      </c>
      <c r="M28" s="8">
        <f>SUM(G28:L28)</f>
        <v>400000</v>
      </c>
      <c r="N28" s="8">
        <f>50000000-M28</f>
        <v>49600000</v>
      </c>
      <c r="O28" s="8">
        <f t="shared" ref="O28" si="2">+M28+N28</f>
        <v>50000000</v>
      </c>
      <c r="P28" s="77" t="s">
        <v>146</v>
      </c>
      <c r="Q28" s="60" t="s">
        <v>58</v>
      </c>
    </row>
    <row r="29" spans="1:17" ht="15.7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:O30" si="3">SUM(G28:G29)</f>
        <v>0</v>
      </c>
      <c r="H30" s="19">
        <f t="shared" si="3"/>
        <v>0</v>
      </c>
      <c r="I30" s="19">
        <f t="shared" si="3"/>
        <v>0</v>
      </c>
      <c r="J30" s="19">
        <f t="shared" si="3"/>
        <v>0</v>
      </c>
      <c r="K30" s="19">
        <f t="shared" si="3"/>
        <v>200000</v>
      </c>
      <c r="L30" s="19">
        <f t="shared" si="3"/>
        <v>200000</v>
      </c>
      <c r="M30" s="19">
        <f t="shared" si="3"/>
        <v>400000</v>
      </c>
      <c r="N30" s="19">
        <f t="shared" si="3"/>
        <v>49600000</v>
      </c>
      <c r="O30" s="19">
        <f t="shared" si="3"/>
        <v>50000000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147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>
      <c r="A33" s="38"/>
      <c r="B33" s="40" t="s">
        <v>32</v>
      </c>
      <c r="C33" s="28" t="s">
        <v>28</v>
      </c>
      <c r="D33" s="39"/>
      <c r="E33" s="34"/>
      <c r="F33" s="41"/>
      <c r="G33" s="127" t="s">
        <v>26</v>
      </c>
      <c r="H33" s="127"/>
      <c r="I33" s="127"/>
      <c r="J33" s="34"/>
      <c r="K33" s="41"/>
      <c r="L33" s="34"/>
      <c r="O33" s="34"/>
      <c r="P33" s="34"/>
      <c r="Q33" s="34"/>
    </row>
    <row r="34" spans="1:17" ht="15.7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>
      <c r="A42" s="26" t="s">
        <v>148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>
      <c r="A45" s="5"/>
      <c r="B45" s="5"/>
      <c r="C45" s="10"/>
      <c r="D45" s="60"/>
      <c r="E45" s="7"/>
      <c r="F45" s="6"/>
      <c r="G45" s="8" t="s">
        <v>81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>
      <c r="A48" s="52">
        <v>1</v>
      </c>
      <c r="B48" s="51" t="s">
        <v>149</v>
      </c>
      <c r="C48" s="48" t="s">
        <v>150</v>
      </c>
      <c r="D48" s="67" t="s">
        <v>151</v>
      </c>
      <c r="E48" s="17">
        <v>43136</v>
      </c>
      <c r="F48" s="20" t="s">
        <v>152</v>
      </c>
      <c r="G48" s="36">
        <v>0</v>
      </c>
      <c r="H48" s="36">
        <v>0</v>
      </c>
      <c r="I48" s="8">
        <v>0</v>
      </c>
      <c r="J48" s="8">
        <v>0</v>
      </c>
      <c r="K48" s="8">
        <v>100000</v>
      </c>
      <c r="L48" s="8">
        <v>200000</v>
      </c>
      <c r="M48" s="8">
        <f>SUM(G48:L48)</f>
        <v>300000</v>
      </c>
      <c r="N48" s="8">
        <f>40000000-M48</f>
        <v>39700000</v>
      </c>
      <c r="O48" s="8">
        <f t="shared" ref="O48" si="4">+M48+N48</f>
        <v>40000000</v>
      </c>
      <c r="P48" s="77" t="s">
        <v>153</v>
      </c>
      <c r="Q48" s="60" t="s">
        <v>58</v>
      </c>
    </row>
    <row r="49" spans="1:17" ht="15.7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>
      <c r="A50" s="18"/>
      <c r="B50" s="55"/>
      <c r="C50" s="56"/>
      <c r="D50" s="74"/>
      <c r="E50" s="56"/>
      <c r="F50" s="57"/>
      <c r="G50" s="19">
        <f t="shared" ref="G50:O50" si="5">SUM(G48:G49)</f>
        <v>0</v>
      </c>
      <c r="H50" s="19">
        <f t="shared" si="5"/>
        <v>0</v>
      </c>
      <c r="I50" s="19">
        <f t="shared" si="5"/>
        <v>0</v>
      </c>
      <c r="J50" s="19">
        <f t="shared" si="5"/>
        <v>0</v>
      </c>
      <c r="K50" s="19">
        <f t="shared" si="5"/>
        <v>100000</v>
      </c>
      <c r="L50" s="19">
        <f t="shared" si="5"/>
        <v>200000</v>
      </c>
      <c r="M50" s="19">
        <f t="shared" si="5"/>
        <v>300000</v>
      </c>
      <c r="N50" s="19">
        <f t="shared" si="5"/>
        <v>39700000</v>
      </c>
      <c r="O50" s="19">
        <f t="shared" si="5"/>
        <v>40000000</v>
      </c>
      <c r="P50" s="68"/>
      <c r="Q50" s="70"/>
    </row>
    <row r="51" spans="1:17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>
      <c r="A52" s="23"/>
      <c r="B52" s="28" t="s">
        <v>154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>
      <c r="A53" s="38"/>
      <c r="B53" s="40" t="s">
        <v>32</v>
      </c>
      <c r="C53" s="28" t="s">
        <v>28</v>
      </c>
      <c r="D53" s="39"/>
      <c r="E53" s="34"/>
      <c r="F53" s="41"/>
      <c r="G53" s="127" t="s">
        <v>26</v>
      </c>
      <c r="H53" s="127"/>
      <c r="I53" s="127"/>
      <c r="J53" s="34"/>
      <c r="K53" s="41"/>
      <c r="L53" s="34"/>
      <c r="O53" s="34"/>
      <c r="P53" s="34"/>
      <c r="Q53" s="34"/>
    </row>
    <row r="54" spans="1:17" ht="15.7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>
      <c r="A62" s="26" t="s">
        <v>148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>
      <c r="A65" s="5"/>
      <c r="B65" s="5"/>
      <c r="C65" s="10"/>
      <c r="D65" s="60"/>
      <c r="E65" s="7"/>
      <c r="F65" s="6"/>
      <c r="G65" s="8" t="s">
        <v>41</v>
      </c>
      <c r="H65" s="8" t="s">
        <v>58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>
      <c r="A68" s="52">
        <v>1</v>
      </c>
      <c r="B68" s="51" t="s">
        <v>155</v>
      </c>
      <c r="C68" s="48" t="s">
        <v>156</v>
      </c>
      <c r="D68" s="67" t="s">
        <v>157</v>
      </c>
      <c r="E68" s="17">
        <v>43136</v>
      </c>
      <c r="F68" s="20" t="s">
        <v>158</v>
      </c>
      <c r="G68" s="36">
        <v>3493000</v>
      </c>
      <c r="H68" s="36">
        <v>0</v>
      </c>
      <c r="I68" s="8">
        <v>87325</v>
      </c>
      <c r="J68" s="8">
        <v>33968</v>
      </c>
      <c r="K68" s="8">
        <v>45070</v>
      </c>
      <c r="L68" s="8">
        <v>0</v>
      </c>
      <c r="M68" s="8">
        <f>SUM(G68:L68)</f>
        <v>3659363</v>
      </c>
      <c r="N68" s="8">
        <f>8000000-M68</f>
        <v>4340637</v>
      </c>
      <c r="O68" s="8">
        <f t="shared" ref="O68" si="6">+M68+N68</f>
        <v>8000000</v>
      </c>
      <c r="P68" s="77" t="s">
        <v>159</v>
      </c>
      <c r="Q68" s="60" t="s">
        <v>52</v>
      </c>
    </row>
    <row r="69" spans="1:17" ht="15.7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>
      <c r="A70" s="18"/>
      <c r="B70" s="55"/>
      <c r="C70" s="56"/>
      <c r="D70" s="74"/>
      <c r="E70" s="56"/>
      <c r="F70" s="57"/>
      <c r="G70" s="19">
        <f t="shared" ref="G70:O70" si="7">SUM(G68:G69)</f>
        <v>3493000</v>
      </c>
      <c r="H70" s="19">
        <f t="shared" si="7"/>
        <v>0</v>
      </c>
      <c r="I70" s="19">
        <f t="shared" si="7"/>
        <v>87325</v>
      </c>
      <c r="J70" s="19">
        <f t="shared" si="7"/>
        <v>33968</v>
      </c>
      <c r="K70" s="19">
        <f t="shared" si="7"/>
        <v>45070</v>
      </c>
      <c r="L70" s="19">
        <f t="shared" si="7"/>
        <v>0</v>
      </c>
      <c r="M70" s="19">
        <f t="shared" si="7"/>
        <v>3659363</v>
      </c>
      <c r="N70" s="19">
        <f t="shared" si="7"/>
        <v>4340637</v>
      </c>
      <c r="O70" s="19">
        <f t="shared" si="7"/>
        <v>8000000</v>
      </c>
      <c r="P70" s="68"/>
      <c r="Q70" s="70"/>
    </row>
    <row r="71" spans="1:17" ht="16.5" thickTop="1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>
      <c r="A72" s="23"/>
      <c r="B72" s="28" t="s">
        <v>154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>
      <c r="A73" s="38"/>
      <c r="B73" s="40" t="s">
        <v>32</v>
      </c>
      <c r="C73" s="28" t="s">
        <v>28</v>
      </c>
      <c r="D73" s="39"/>
      <c r="E73" s="34"/>
      <c r="F73" s="41"/>
      <c r="G73" s="127" t="s">
        <v>26</v>
      </c>
      <c r="H73" s="127"/>
      <c r="I73" s="127"/>
      <c r="J73" s="34"/>
      <c r="K73" s="41"/>
      <c r="L73" s="34"/>
      <c r="O73" s="34"/>
      <c r="P73" s="34"/>
      <c r="Q73" s="34"/>
    </row>
    <row r="74" spans="1:17" ht="15.7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>
      <c r="A82" s="26" t="s">
        <v>160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>
      <c r="A85" s="5"/>
      <c r="B85" s="5"/>
      <c r="C85" s="10"/>
      <c r="D85" s="60"/>
      <c r="E85" s="7"/>
      <c r="F85" s="6"/>
      <c r="G85" s="8" t="s">
        <v>165</v>
      </c>
      <c r="H85" s="8" t="s">
        <v>58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>
      <c r="A88" s="52">
        <v>1</v>
      </c>
      <c r="B88" s="51" t="s">
        <v>161</v>
      </c>
      <c r="C88" s="48" t="s">
        <v>162</v>
      </c>
      <c r="D88" s="67" t="s">
        <v>163</v>
      </c>
      <c r="E88" s="17">
        <v>43140</v>
      </c>
      <c r="F88" s="20" t="s">
        <v>164</v>
      </c>
      <c r="G88" s="36">
        <v>25000000</v>
      </c>
      <c r="H88" s="36">
        <v>0</v>
      </c>
      <c r="I88" s="8">
        <v>625000</v>
      </c>
      <c r="J88" s="8">
        <v>0</v>
      </c>
      <c r="K88" s="8">
        <v>150000</v>
      </c>
      <c r="L88" s="8">
        <v>0</v>
      </c>
      <c r="M88" s="8">
        <f>SUM(G88:L88)</f>
        <v>25775000</v>
      </c>
      <c r="N88" s="8">
        <f>40775000-M88</f>
        <v>15000000</v>
      </c>
      <c r="O88" s="8">
        <f t="shared" ref="O88" si="8">+M88+N88</f>
        <v>40775000</v>
      </c>
      <c r="P88" s="77" t="s">
        <v>166</v>
      </c>
      <c r="Q88" s="60" t="s">
        <v>52</v>
      </c>
    </row>
    <row r="89" spans="1:17" ht="15.7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>
      <c r="A90" s="18"/>
      <c r="B90" s="55"/>
      <c r="C90" s="56"/>
      <c r="D90" s="74"/>
      <c r="E90" s="56"/>
      <c r="F90" s="57"/>
      <c r="G90" s="19">
        <f t="shared" ref="G90:O90" si="9">SUM(G88:G89)</f>
        <v>25000000</v>
      </c>
      <c r="H90" s="19">
        <f t="shared" si="9"/>
        <v>0</v>
      </c>
      <c r="I90" s="19">
        <f t="shared" si="9"/>
        <v>625000</v>
      </c>
      <c r="J90" s="19">
        <f t="shared" si="9"/>
        <v>0</v>
      </c>
      <c r="K90" s="19">
        <f t="shared" si="9"/>
        <v>150000</v>
      </c>
      <c r="L90" s="19">
        <f t="shared" si="9"/>
        <v>0</v>
      </c>
      <c r="M90" s="19">
        <f t="shared" si="9"/>
        <v>25775000</v>
      </c>
      <c r="N90" s="19">
        <f t="shared" si="9"/>
        <v>15000000</v>
      </c>
      <c r="O90" s="19">
        <f t="shared" si="9"/>
        <v>40775000</v>
      </c>
      <c r="P90" s="68"/>
      <c r="Q90" s="70"/>
    </row>
    <row r="91" spans="1:17" ht="16.5" thickTop="1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>
      <c r="A92" s="23"/>
      <c r="B92" s="28" t="s">
        <v>167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>
      <c r="A93" s="38"/>
      <c r="B93" s="40" t="s">
        <v>32</v>
      </c>
      <c r="C93" s="28" t="s">
        <v>28</v>
      </c>
      <c r="D93" s="39"/>
      <c r="E93" s="34"/>
      <c r="F93" s="41"/>
      <c r="G93" s="127" t="s">
        <v>26</v>
      </c>
      <c r="H93" s="127"/>
      <c r="I93" s="127"/>
      <c r="J93" s="34"/>
      <c r="K93" s="41"/>
      <c r="L93" s="34"/>
      <c r="O93" s="34"/>
      <c r="P93" s="34"/>
      <c r="Q93" s="34"/>
    </row>
    <row r="94" spans="1:17" ht="15.7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>
      <c r="A102" s="26" t="s">
        <v>160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>
      <c r="A105" s="5"/>
      <c r="B105" s="5"/>
      <c r="C105" s="10"/>
      <c r="D105" s="60"/>
      <c r="E105" s="7"/>
      <c r="F105" s="6"/>
      <c r="G105" s="8" t="s">
        <v>41</v>
      </c>
      <c r="H105" s="8" t="s">
        <v>58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>
      <c r="A108" s="52">
        <v>1</v>
      </c>
      <c r="B108" s="51" t="s">
        <v>168</v>
      </c>
      <c r="C108" s="48" t="s">
        <v>169</v>
      </c>
      <c r="D108" s="67" t="s">
        <v>170</v>
      </c>
      <c r="E108" s="17">
        <v>43140</v>
      </c>
      <c r="F108" s="20" t="s">
        <v>171</v>
      </c>
      <c r="G108" s="36">
        <v>43750000</v>
      </c>
      <c r="H108" s="36">
        <v>0</v>
      </c>
      <c r="I108" s="8">
        <v>1093750</v>
      </c>
      <c r="J108" s="8">
        <v>706728</v>
      </c>
      <c r="K108" s="8">
        <v>462500</v>
      </c>
      <c r="L108" s="8">
        <v>200000</v>
      </c>
      <c r="M108" s="8">
        <f>SUM(G108:L108)</f>
        <v>46212978</v>
      </c>
      <c r="N108" s="8">
        <f>90000000-M108</f>
        <v>43787022</v>
      </c>
      <c r="O108" s="8">
        <f t="shared" ref="O108" si="10">+M108+N108</f>
        <v>90000000</v>
      </c>
      <c r="P108" s="77" t="s">
        <v>124</v>
      </c>
      <c r="Q108" s="60" t="s">
        <v>52</v>
      </c>
    </row>
    <row r="109" spans="1:17" ht="15.7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>
      <c r="A110" s="18"/>
      <c r="B110" s="55"/>
      <c r="C110" s="56"/>
      <c r="D110" s="74"/>
      <c r="E110" s="56"/>
      <c r="F110" s="57"/>
      <c r="G110" s="19">
        <f t="shared" ref="G110:O110" si="11">SUM(G108:G109)</f>
        <v>43750000</v>
      </c>
      <c r="H110" s="19">
        <f t="shared" si="11"/>
        <v>0</v>
      </c>
      <c r="I110" s="19">
        <f t="shared" si="11"/>
        <v>1093750</v>
      </c>
      <c r="J110" s="19">
        <f t="shared" si="11"/>
        <v>706728</v>
      </c>
      <c r="K110" s="19">
        <f t="shared" si="11"/>
        <v>462500</v>
      </c>
      <c r="L110" s="19">
        <f t="shared" si="11"/>
        <v>200000</v>
      </c>
      <c r="M110" s="19">
        <f t="shared" si="11"/>
        <v>46212978</v>
      </c>
      <c r="N110" s="19">
        <f t="shared" si="11"/>
        <v>43787022</v>
      </c>
      <c r="O110" s="19">
        <f t="shared" si="11"/>
        <v>90000000</v>
      </c>
      <c r="P110" s="68"/>
      <c r="Q110" s="70"/>
    </row>
    <row r="111" spans="1:17" ht="16.5" thickTop="1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>
      <c r="A112" s="23"/>
      <c r="B112" s="28" t="s">
        <v>167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>
      <c r="A113" s="38"/>
      <c r="B113" s="40" t="s">
        <v>32</v>
      </c>
      <c r="C113" s="28" t="s">
        <v>28</v>
      </c>
      <c r="D113" s="39"/>
      <c r="E113" s="34"/>
      <c r="F113" s="41"/>
      <c r="G113" s="127" t="s">
        <v>26</v>
      </c>
      <c r="H113" s="127"/>
      <c r="I113" s="127"/>
      <c r="J113" s="34"/>
      <c r="K113" s="41"/>
      <c r="L113" s="34"/>
      <c r="O113" s="34"/>
      <c r="P113" s="34"/>
      <c r="Q113" s="34"/>
    </row>
    <row r="114" spans="1:17" ht="15.7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>
      <c r="A122" s="26" t="s">
        <v>160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>
      <c r="A125" s="5"/>
      <c r="B125" s="5"/>
      <c r="C125" s="10"/>
      <c r="D125" s="60"/>
      <c r="E125" s="7"/>
      <c r="F125" s="6"/>
      <c r="G125" s="8" t="s">
        <v>41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>
      <c r="A128" s="52">
        <v>1</v>
      </c>
      <c r="B128" s="91" t="s">
        <v>172</v>
      </c>
      <c r="C128" s="48" t="s">
        <v>173</v>
      </c>
      <c r="D128" s="67" t="s">
        <v>174</v>
      </c>
      <c r="E128" s="17">
        <v>43140</v>
      </c>
      <c r="F128" s="20" t="s">
        <v>175</v>
      </c>
      <c r="G128" s="36">
        <v>48624767</v>
      </c>
      <c r="H128" s="36">
        <v>0</v>
      </c>
      <c r="I128" s="8">
        <v>1215619</v>
      </c>
      <c r="J128" s="8">
        <v>359287</v>
      </c>
      <c r="K128" s="8">
        <v>600000</v>
      </c>
      <c r="L128" s="8">
        <v>200000</v>
      </c>
      <c r="M128" s="8">
        <f>SUM(G128:L128)</f>
        <v>50999673</v>
      </c>
      <c r="N128" s="8">
        <f>110999673-M128</f>
        <v>60000000</v>
      </c>
      <c r="O128" s="8">
        <f t="shared" ref="O128" si="12">+M128+N128</f>
        <v>110999673</v>
      </c>
      <c r="P128" s="77" t="s">
        <v>176</v>
      </c>
      <c r="Q128" s="60" t="s">
        <v>52</v>
      </c>
    </row>
    <row r="129" spans="1:17" ht="15.7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>
      <c r="A130" s="18"/>
      <c r="B130" s="55"/>
      <c r="C130" s="56"/>
      <c r="D130" s="74"/>
      <c r="E130" s="56"/>
      <c r="F130" s="57"/>
      <c r="G130" s="19">
        <f t="shared" ref="G130:O130" si="13">SUM(G128:G129)</f>
        <v>48624767</v>
      </c>
      <c r="H130" s="19">
        <f t="shared" si="13"/>
        <v>0</v>
      </c>
      <c r="I130" s="19">
        <f t="shared" si="13"/>
        <v>1215619</v>
      </c>
      <c r="J130" s="19">
        <f t="shared" si="13"/>
        <v>359287</v>
      </c>
      <c r="K130" s="19">
        <f t="shared" si="13"/>
        <v>600000</v>
      </c>
      <c r="L130" s="19">
        <f t="shared" si="13"/>
        <v>200000</v>
      </c>
      <c r="M130" s="19">
        <f t="shared" si="13"/>
        <v>50999673</v>
      </c>
      <c r="N130" s="19">
        <f t="shared" si="13"/>
        <v>60000000</v>
      </c>
      <c r="O130" s="19">
        <f t="shared" si="13"/>
        <v>110999673</v>
      </c>
      <c r="P130" s="68"/>
      <c r="Q130" s="70"/>
    </row>
    <row r="131" spans="1:17" ht="16.5" thickTop="1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>
      <c r="A132" s="23"/>
      <c r="B132" s="28" t="s">
        <v>167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>
      <c r="A133" s="38"/>
      <c r="B133" s="40" t="s">
        <v>32</v>
      </c>
      <c r="C133" s="28" t="s">
        <v>28</v>
      </c>
      <c r="D133" s="39"/>
      <c r="E133" s="34"/>
      <c r="F133" s="41"/>
      <c r="G133" s="127" t="s">
        <v>26</v>
      </c>
      <c r="H133" s="127"/>
      <c r="I133" s="127"/>
      <c r="J133" s="34"/>
      <c r="K133" s="41"/>
      <c r="L133" s="34"/>
      <c r="O133" s="34"/>
      <c r="P133" s="34"/>
      <c r="Q133" s="34"/>
    </row>
    <row r="134" spans="1:17" ht="15.7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0" spans="1:17">
      <c r="A140" s="92" t="s">
        <v>106</v>
      </c>
    </row>
    <row r="141" spans="1:17" ht="15.7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>
      <c r="A142" s="26" t="s">
        <v>187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>
      <c r="A145" s="5"/>
      <c r="B145" s="5"/>
      <c r="C145" s="10"/>
      <c r="D145" s="60"/>
      <c r="E145" s="7"/>
      <c r="F145" s="6"/>
      <c r="G145" s="8" t="s">
        <v>41</v>
      </c>
      <c r="H145" s="8"/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>
      <c r="A148" s="52">
        <v>1</v>
      </c>
      <c r="B148" s="91" t="s">
        <v>177</v>
      </c>
      <c r="C148" s="48" t="s">
        <v>178</v>
      </c>
      <c r="D148" s="67" t="s">
        <v>179</v>
      </c>
      <c r="E148" s="17">
        <v>43154</v>
      </c>
      <c r="F148" s="20" t="s">
        <v>180</v>
      </c>
      <c r="G148" s="36">
        <v>37400000</v>
      </c>
      <c r="H148" s="36">
        <v>0</v>
      </c>
      <c r="I148" s="8">
        <v>935000</v>
      </c>
      <c r="J148" s="8">
        <v>0</v>
      </c>
      <c r="K148" s="8">
        <v>576000</v>
      </c>
      <c r="L148" s="8">
        <v>200000</v>
      </c>
      <c r="M148" s="8">
        <f>SUM(G148:L148)</f>
        <v>39111000</v>
      </c>
      <c r="N148" s="8">
        <f>95000000-M148</f>
        <v>55889000</v>
      </c>
      <c r="O148" s="8">
        <f t="shared" ref="O148" si="14">+M148+N148</f>
        <v>95000000</v>
      </c>
      <c r="P148" s="77" t="s">
        <v>181</v>
      </c>
      <c r="Q148" s="60" t="s">
        <v>52</v>
      </c>
    </row>
    <row r="149" spans="1:17" ht="15.75">
      <c r="A149" s="52">
        <v>2</v>
      </c>
      <c r="B149" s="91" t="s">
        <v>182</v>
      </c>
      <c r="C149" s="48" t="s">
        <v>183</v>
      </c>
      <c r="D149" s="67" t="s">
        <v>184</v>
      </c>
      <c r="E149" s="17">
        <v>43154</v>
      </c>
      <c r="F149" s="20" t="s">
        <v>185</v>
      </c>
      <c r="G149" s="36">
        <v>40273500</v>
      </c>
      <c r="H149" s="36">
        <v>0</v>
      </c>
      <c r="I149" s="8">
        <v>1006838</v>
      </c>
      <c r="J149" s="8">
        <v>0</v>
      </c>
      <c r="K149" s="8">
        <v>597265</v>
      </c>
      <c r="L149" s="8">
        <v>200000</v>
      </c>
      <c r="M149" s="8">
        <f>SUM(G149:L149)</f>
        <v>42077603</v>
      </c>
      <c r="N149" s="8">
        <f>100000000-M149</f>
        <v>57922397</v>
      </c>
      <c r="O149" s="8">
        <f t="shared" ref="O149" si="15">+M149+N149</f>
        <v>100000000</v>
      </c>
      <c r="P149" s="77" t="s">
        <v>181</v>
      </c>
      <c r="Q149" s="60" t="s">
        <v>52</v>
      </c>
    </row>
    <row r="150" spans="1:17" ht="15.75">
      <c r="A150" s="52"/>
      <c r="B150" s="51"/>
      <c r="C150" s="48"/>
      <c r="D150" s="34"/>
      <c r="E150" s="17"/>
      <c r="F150" s="48"/>
      <c r="G150" s="36"/>
      <c r="H150" s="36"/>
      <c r="I150" s="36"/>
      <c r="J150" s="36"/>
      <c r="K150" s="36"/>
      <c r="L150" s="34"/>
      <c r="M150" s="8"/>
      <c r="N150" s="8"/>
      <c r="O150" s="8"/>
      <c r="P150" s="59"/>
      <c r="Q150" s="66"/>
    </row>
    <row r="151" spans="1:17" ht="16.5" thickBot="1">
      <c r="A151" s="18"/>
      <c r="B151" s="55"/>
      <c r="C151" s="56"/>
      <c r="D151" s="74"/>
      <c r="E151" s="56"/>
      <c r="F151" s="57"/>
      <c r="G151" s="19">
        <f t="shared" ref="G151:O151" si="16">SUM(G148:G150)</f>
        <v>77673500</v>
      </c>
      <c r="H151" s="19">
        <f t="shared" si="16"/>
        <v>0</v>
      </c>
      <c r="I151" s="19">
        <f t="shared" si="16"/>
        <v>1941838</v>
      </c>
      <c r="J151" s="19">
        <f t="shared" si="16"/>
        <v>0</v>
      </c>
      <c r="K151" s="19">
        <f t="shared" si="16"/>
        <v>1173265</v>
      </c>
      <c r="L151" s="19">
        <f t="shared" si="16"/>
        <v>400000</v>
      </c>
      <c r="M151" s="19">
        <f t="shared" si="16"/>
        <v>81188603</v>
      </c>
      <c r="N151" s="19">
        <f t="shared" si="16"/>
        <v>113811397</v>
      </c>
      <c r="O151" s="19">
        <f t="shared" si="16"/>
        <v>195000000</v>
      </c>
      <c r="P151" s="68"/>
      <c r="Q151" s="70"/>
    </row>
    <row r="152" spans="1:17" ht="16.5" thickTop="1">
      <c r="A152" s="23"/>
      <c r="B152" s="22"/>
      <c r="C152" s="22"/>
      <c r="D152" s="23"/>
      <c r="E152" s="22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2"/>
      <c r="Q152" s="69"/>
    </row>
    <row r="153" spans="1:17" ht="15.75">
      <c r="A153" s="23"/>
      <c r="B153" s="28" t="s">
        <v>186</v>
      </c>
      <c r="C153" s="22"/>
      <c r="D153" s="39"/>
      <c r="E153" s="34"/>
      <c r="F153" s="27"/>
      <c r="G153" s="28"/>
      <c r="H153" s="28"/>
      <c r="I153" s="28"/>
      <c r="J153" s="28"/>
      <c r="K153" s="28"/>
      <c r="L153" s="28"/>
      <c r="O153" s="34"/>
      <c r="P153" s="34"/>
      <c r="Q153" s="51"/>
    </row>
    <row r="154" spans="1:17" ht="15.75">
      <c r="A154" s="38"/>
      <c r="B154" s="40" t="s">
        <v>32</v>
      </c>
      <c r="C154" s="28" t="s">
        <v>28</v>
      </c>
      <c r="D154" s="39"/>
      <c r="E154" s="34"/>
      <c r="F154" s="41"/>
      <c r="G154" s="127" t="s">
        <v>26</v>
      </c>
      <c r="H154" s="127"/>
      <c r="I154" s="127"/>
      <c r="J154" s="34"/>
      <c r="K154" s="41"/>
      <c r="L154" s="34"/>
      <c r="O154" s="34"/>
      <c r="P154" s="34"/>
      <c r="Q154" s="34"/>
    </row>
    <row r="155" spans="1:17" ht="15.7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28"/>
      <c r="O156" s="34"/>
      <c r="P156" s="34"/>
      <c r="Q156" s="34"/>
    </row>
    <row r="157" spans="1:17" ht="15.7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34"/>
      <c r="O157" s="34"/>
      <c r="P157" s="34"/>
      <c r="Q157" s="34"/>
    </row>
    <row r="158" spans="1:17" ht="15.75">
      <c r="A158" s="38"/>
      <c r="B158" s="40"/>
      <c r="C158" s="28"/>
      <c r="D158" s="39"/>
      <c r="E158" s="34"/>
      <c r="F158" s="28"/>
      <c r="G158" s="28"/>
      <c r="H158" s="28"/>
      <c r="I158" s="28"/>
      <c r="J158" s="28"/>
      <c r="K158" s="28"/>
      <c r="L158" s="28"/>
      <c r="O158" s="34"/>
      <c r="P158" s="34"/>
      <c r="Q158" s="34"/>
    </row>
    <row r="159" spans="1:17" ht="15.75">
      <c r="A159" s="38" t="s">
        <v>23</v>
      </c>
      <c r="B159" s="42" t="s">
        <v>27</v>
      </c>
      <c r="C159" s="43" t="s">
        <v>24</v>
      </c>
      <c r="D159" s="39"/>
      <c r="E159" s="34"/>
      <c r="F159" s="29"/>
      <c r="G159" s="29" t="s">
        <v>16</v>
      </c>
      <c r="H159" s="29"/>
      <c r="I159" s="29" t="s">
        <v>30</v>
      </c>
      <c r="J159" s="34"/>
      <c r="K159" s="34"/>
      <c r="L159" s="34"/>
      <c r="O159" s="34"/>
      <c r="P159" s="34"/>
      <c r="Q159" s="34"/>
    </row>
    <row r="160" spans="1:17" ht="15.75">
      <c r="A160" s="38"/>
      <c r="B160" s="44" t="s">
        <v>31</v>
      </c>
      <c r="C160" s="45" t="s">
        <v>20</v>
      </c>
      <c r="D160" s="39"/>
      <c r="E160" s="34"/>
      <c r="F160" s="46"/>
      <c r="G160" s="46" t="s">
        <v>17</v>
      </c>
      <c r="H160" s="46"/>
      <c r="I160" s="46" t="s">
        <v>25</v>
      </c>
      <c r="J160" s="34"/>
      <c r="K160" s="34"/>
      <c r="L160" s="34"/>
      <c r="O160" s="34"/>
      <c r="P160" s="34"/>
      <c r="Q160" s="34"/>
    </row>
    <row r="162" spans="1:17" ht="15.75">
      <c r="A162" s="21" t="s">
        <v>0</v>
      </c>
      <c r="B162" s="22"/>
      <c r="C162" s="23"/>
      <c r="D162" s="23"/>
      <c r="E162" s="23"/>
      <c r="F162" s="24"/>
      <c r="G162" s="24"/>
      <c r="H162" s="24"/>
      <c r="I162" s="24"/>
      <c r="J162" s="24"/>
      <c r="K162" s="24"/>
      <c r="L162" s="25"/>
      <c r="O162" s="34"/>
      <c r="P162" s="34"/>
      <c r="Q162" s="34"/>
    </row>
    <row r="163" spans="1:17" ht="15.75">
      <c r="A163" s="26" t="s">
        <v>188</v>
      </c>
      <c r="B163" s="21"/>
      <c r="C163" s="21"/>
      <c r="D163" s="21"/>
      <c r="E163" s="21"/>
      <c r="F163" s="24"/>
      <c r="G163" s="24"/>
      <c r="H163" s="24"/>
      <c r="I163" s="24"/>
      <c r="J163" s="24"/>
      <c r="K163" s="24"/>
      <c r="L163" s="25"/>
      <c r="O163" s="34"/>
      <c r="P163" s="34"/>
      <c r="Q163" s="34"/>
    </row>
    <row r="164" spans="1:17" ht="15.75">
      <c r="A164" s="1"/>
      <c r="B164" s="1" t="s">
        <v>1</v>
      </c>
      <c r="C164" s="2" t="s">
        <v>2</v>
      </c>
      <c r="D164" s="71" t="s">
        <v>34</v>
      </c>
      <c r="E164" s="3" t="s">
        <v>3</v>
      </c>
      <c r="F164" s="2" t="s">
        <v>4</v>
      </c>
      <c r="G164" s="4" t="s">
        <v>18</v>
      </c>
      <c r="H164" s="4" t="s">
        <v>18</v>
      </c>
      <c r="I164" s="63" t="s">
        <v>7</v>
      </c>
      <c r="J164" s="65" t="s">
        <v>6</v>
      </c>
      <c r="K164" s="32" t="s">
        <v>29</v>
      </c>
      <c r="L164" s="32" t="s">
        <v>21</v>
      </c>
      <c r="M164" s="4" t="s">
        <v>8</v>
      </c>
      <c r="N164" s="30" t="s">
        <v>8</v>
      </c>
      <c r="O164" s="4" t="s">
        <v>9</v>
      </c>
      <c r="P164" s="62" t="s">
        <v>10</v>
      </c>
      <c r="Q164" s="54" t="s">
        <v>33</v>
      </c>
    </row>
    <row r="165" spans="1:17" ht="15.75">
      <c r="A165" s="5"/>
      <c r="B165" s="5"/>
      <c r="C165" s="6"/>
      <c r="D165" s="60"/>
      <c r="E165" s="7"/>
      <c r="F165" s="6"/>
      <c r="G165" s="8" t="s">
        <v>11</v>
      </c>
      <c r="H165" s="8" t="s">
        <v>11</v>
      </c>
      <c r="I165" s="31" t="s">
        <v>19</v>
      </c>
      <c r="J165" s="61" t="s">
        <v>35</v>
      </c>
      <c r="K165" s="33" t="s">
        <v>22</v>
      </c>
      <c r="L165" s="33" t="s">
        <v>15</v>
      </c>
      <c r="M165" s="8" t="s">
        <v>13</v>
      </c>
      <c r="N165" s="31" t="s">
        <v>14</v>
      </c>
      <c r="O165" s="8" t="s">
        <v>12</v>
      </c>
      <c r="P165" s="5"/>
      <c r="Q165" s="9"/>
    </row>
    <row r="166" spans="1:17" ht="15.75">
      <c r="A166" s="5"/>
      <c r="B166" s="5"/>
      <c r="C166" s="10"/>
      <c r="D166" s="60"/>
      <c r="E166" s="7"/>
      <c r="F166" s="6"/>
      <c r="G166" s="8" t="s">
        <v>41</v>
      </c>
      <c r="H166" s="8"/>
      <c r="I166" s="31" t="s">
        <v>5</v>
      </c>
      <c r="J166" s="8"/>
      <c r="K166" s="8"/>
      <c r="L166" s="8"/>
      <c r="M166" s="8"/>
      <c r="N166" s="8"/>
      <c r="O166" s="8"/>
      <c r="P166" s="5"/>
      <c r="Q166" s="9"/>
    </row>
    <row r="167" spans="1:17" ht="15.75">
      <c r="A167" s="11"/>
      <c r="B167" s="11"/>
      <c r="C167" s="12"/>
      <c r="D167" s="72"/>
      <c r="E167" s="13"/>
      <c r="F167" s="14"/>
      <c r="G167" s="15"/>
      <c r="H167" s="50"/>
      <c r="I167" s="15"/>
      <c r="J167" s="49"/>
      <c r="K167" s="53"/>
      <c r="L167" s="75"/>
      <c r="M167" s="15"/>
      <c r="N167" s="15"/>
      <c r="O167" s="15"/>
      <c r="P167" s="11"/>
      <c r="Q167" s="16"/>
    </row>
    <row r="168" spans="1:17" ht="15.75">
      <c r="A168" s="52"/>
      <c r="B168" s="47"/>
      <c r="C168" s="48"/>
      <c r="D168" s="73"/>
      <c r="E168" s="17"/>
      <c r="F168" s="48"/>
      <c r="G168" s="36"/>
      <c r="H168" s="36"/>
      <c r="I168" s="36"/>
      <c r="J168" s="36"/>
      <c r="K168" s="8"/>
      <c r="L168" s="34"/>
      <c r="M168" s="8"/>
      <c r="N168" s="8"/>
      <c r="O168" s="8"/>
      <c r="P168" s="35"/>
      <c r="Q168" s="37"/>
    </row>
    <row r="169" spans="1:17" ht="15.75">
      <c r="A169" s="52">
        <v>1</v>
      </c>
      <c r="B169" s="51" t="s">
        <v>189</v>
      </c>
      <c r="C169" s="48" t="s">
        <v>190</v>
      </c>
      <c r="D169" s="67" t="s">
        <v>191</v>
      </c>
      <c r="E169" s="17">
        <v>43157</v>
      </c>
      <c r="F169" s="20" t="s">
        <v>193</v>
      </c>
      <c r="G169" s="36">
        <v>0</v>
      </c>
      <c r="H169" s="36">
        <v>0</v>
      </c>
      <c r="I169" s="8">
        <v>0</v>
      </c>
      <c r="J169" s="8">
        <v>0</v>
      </c>
      <c r="K169" s="8">
        <v>0</v>
      </c>
      <c r="L169" s="8">
        <v>0</v>
      </c>
      <c r="M169" s="8">
        <f>SUM(G169:L169)</f>
        <v>0</v>
      </c>
      <c r="N169" s="8">
        <f>5000000-M169</f>
        <v>5000000</v>
      </c>
      <c r="O169" s="8">
        <f t="shared" ref="O169" si="17">+M169+N169</f>
        <v>5000000</v>
      </c>
      <c r="P169" s="77" t="s">
        <v>192</v>
      </c>
      <c r="Q169" s="60" t="s">
        <v>74</v>
      </c>
    </row>
    <row r="170" spans="1:17" ht="15.75">
      <c r="A170" s="52"/>
      <c r="B170" s="51"/>
      <c r="C170" s="48"/>
      <c r="D170" s="34"/>
      <c r="E170" s="17"/>
      <c r="F170" s="48"/>
      <c r="G170" s="36"/>
      <c r="H170" s="36"/>
      <c r="I170" s="36"/>
      <c r="J170" s="36"/>
      <c r="K170" s="36"/>
      <c r="L170" s="34"/>
      <c r="M170" s="8"/>
      <c r="N170" s="8"/>
      <c r="O170" s="8"/>
      <c r="P170" s="59"/>
      <c r="Q170" s="66"/>
    </row>
    <row r="171" spans="1:17" ht="16.5" thickBot="1">
      <c r="A171" s="18"/>
      <c r="B171" s="55"/>
      <c r="C171" s="56"/>
      <c r="D171" s="74"/>
      <c r="E171" s="56"/>
      <c r="F171" s="57"/>
      <c r="G171" s="19">
        <f t="shared" ref="G171:O171" si="18">SUM(G169:G170)</f>
        <v>0</v>
      </c>
      <c r="H171" s="19">
        <f t="shared" si="18"/>
        <v>0</v>
      </c>
      <c r="I171" s="19">
        <f t="shared" si="18"/>
        <v>0</v>
      </c>
      <c r="J171" s="19">
        <f t="shared" si="18"/>
        <v>0</v>
      </c>
      <c r="K171" s="19">
        <f t="shared" si="18"/>
        <v>0</v>
      </c>
      <c r="L171" s="19">
        <f t="shared" si="18"/>
        <v>0</v>
      </c>
      <c r="M171" s="19">
        <f t="shared" si="18"/>
        <v>0</v>
      </c>
      <c r="N171" s="19">
        <f t="shared" si="18"/>
        <v>5000000</v>
      </c>
      <c r="O171" s="19">
        <f t="shared" si="18"/>
        <v>5000000</v>
      </c>
      <c r="P171" s="68"/>
      <c r="Q171" s="70"/>
    </row>
    <row r="172" spans="1:17" ht="16.5" thickTop="1">
      <c r="A172" s="23"/>
      <c r="B172" s="22"/>
      <c r="C172" s="22"/>
      <c r="D172" s="23"/>
      <c r="E172" s="22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2"/>
      <c r="Q172" s="69"/>
    </row>
    <row r="173" spans="1:17" ht="15.75">
      <c r="A173" s="23"/>
      <c r="B173" s="28" t="s">
        <v>194</v>
      </c>
      <c r="C173" s="22"/>
      <c r="D173" s="39"/>
      <c r="E173" s="34"/>
      <c r="F173" s="27"/>
      <c r="G173" s="28"/>
      <c r="H173" s="28"/>
      <c r="I173" s="28"/>
      <c r="J173" s="28"/>
      <c r="K173" s="28"/>
      <c r="L173" s="28"/>
      <c r="O173" s="34"/>
      <c r="P173" s="34"/>
      <c r="Q173" s="51"/>
    </row>
    <row r="174" spans="1:17" ht="15.75">
      <c r="A174" s="38"/>
      <c r="B174" s="40" t="s">
        <v>32</v>
      </c>
      <c r="C174" s="28" t="s">
        <v>28</v>
      </c>
      <c r="D174" s="39"/>
      <c r="E174" s="34"/>
      <c r="F174" s="41"/>
      <c r="G174" s="127" t="s">
        <v>26</v>
      </c>
      <c r="H174" s="127"/>
      <c r="I174" s="127"/>
      <c r="J174" s="34"/>
      <c r="K174" s="41"/>
      <c r="L174" s="34"/>
      <c r="O174" s="34"/>
      <c r="P174" s="34"/>
      <c r="Q174" s="34"/>
    </row>
    <row r="175" spans="1:17" ht="15.75">
      <c r="A175" s="38"/>
      <c r="B175" s="40"/>
      <c r="C175" s="28"/>
      <c r="D175" s="39"/>
      <c r="E175" s="34"/>
      <c r="F175" s="28"/>
      <c r="G175" s="28"/>
      <c r="H175" s="28"/>
      <c r="I175" s="28"/>
      <c r="J175" s="28"/>
      <c r="K175" s="28"/>
      <c r="L175" s="28"/>
      <c r="O175" s="34"/>
      <c r="P175" s="34"/>
      <c r="Q175" s="34"/>
    </row>
    <row r="176" spans="1:17" ht="15.75">
      <c r="A176" s="38"/>
      <c r="B176" s="40"/>
      <c r="C176" s="28"/>
      <c r="D176" s="39"/>
      <c r="E176" s="34"/>
      <c r="F176" s="28"/>
      <c r="G176" s="28"/>
      <c r="H176" s="28"/>
      <c r="I176" s="28"/>
      <c r="J176" s="28"/>
      <c r="K176" s="28"/>
      <c r="L176" s="28"/>
      <c r="O176" s="34"/>
      <c r="P176" s="34"/>
      <c r="Q176" s="34"/>
    </row>
    <row r="177" spans="1:17" ht="15.75">
      <c r="A177" s="38"/>
      <c r="B177" s="40"/>
      <c r="C177" s="28"/>
      <c r="D177" s="39"/>
      <c r="E177" s="34"/>
      <c r="F177" s="28"/>
      <c r="G177" s="28"/>
      <c r="H177" s="28"/>
      <c r="I177" s="28"/>
      <c r="J177" s="28"/>
      <c r="K177" s="28"/>
      <c r="L177" s="34"/>
      <c r="O177" s="34"/>
      <c r="P177" s="34"/>
      <c r="Q177" s="34"/>
    </row>
    <row r="178" spans="1:17" ht="15.75">
      <c r="A178" s="38"/>
      <c r="B178" s="40"/>
      <c r="C178" s="28"/>
      <c r="D178" s="39"/>
      <c r="E178" s="34"/>
      <c r="F178" s="28"/>
      <c r="G178" s="28"/>
      <c r="H178" s="28"/>
      <c r="I178" s="28"/>
      <c r="J178" s="28"/>
      <c r="K178" s="28"/>
      <c r="L178" s="28"/>
      <c r="O178" s="34"/>
      <c r="P178" s="34"/>
      <c r="Q178" s="34"/>
    </row>
    <row r="179" spans="1:17" ht="15.75">
      <c r="A179" s="38" t="s">
        <v>23</v>
      </c>
      <c r="B179" s="42" t="s">
        <v>27</v>
      </c>
      <c r="C179" s="43" t="s">
        <v>24</v>
      </c>
      <c r="D179" s="39"/>
      <c r="E179" s="34"/>
      <c r="F179" s="29"/>
      <c r="G179" s="29" t="s">
        <v>16</v>
      </c>
      <c r="H179" s="29"/>
      <c r="I179" s="29" t="s">
        <v>30</v>
      </c>
      <c r="J179" s="34"/>
      <c r="K179" s="34"/>
      <c r="L179" s="34"/>
      <c r="O179" s="34"/>
      <c r="P179" s="34"/>
      <c r="Q179" s="34"/>
    </row>
    <row r="180" spans="1:17" ht="15.75">
      <c r="A180" s="38"/>
      <c r="B180" s="44" t="s">
        <v>31</v>
      </c>
      <c r="C180" s="45" t="s">
        <v>20</v>
      </c>
      <c r="D180" s="39"/>
      <c r="E180" s="34"/>
      <c r="F180" s="46"/>
      <c r="G180" s="46" t="s">
        <v>17</v>
      </c>
      <c r="H180" s="46"/>
      <c r="I180" s="46" t="s">
        <v>25</v>
      </c>
      <c r="J180" s="34"/>
      <c r="K180" s="34"/>
      <c r="L180" s="34"/>
      <c r="O180" s="34"/>
      <c r="P180" s="34"/>
      <c r="Q180" s="34"/>
    </row>
    <row r="182" spans="1:17" ht="15.75">
      <c r="A182" s="21" t="s">
        <v>0</v>
      </c>
      <c r="B182" s="22"/>
      <c r="C182" s="23"/>
      <c r="D182" s="23"/>
      <c r="E182" s="23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>
      <c r="A183" s="26" t="s">
        <v>188</v>
      </c>
      <c r="B183" s="21"/>
      <c r="C183" s="21"/>
      <c r="D183" s="21"/>
      <c r="E183" s="21"/>
      <c r="F183" s="24"/>
      <c r="G183" s="24"/>
      <c r="H183" s="24"/>
      <c r="I183" s="24"/>
      <c r="J183" s="24"/>
      <c r="K183" s="24"/>
      <c r="L183" s="25"/>
      <c r="O183" s="34"/>
      <c r="P183" s="34"/>
      <c r="Q183" s="34"/>
    </row>
    <row r="184" spans="1:17" ht="15.75">
      <c r="A184" s="1"/>
      <c r="B184" s="1" t="s">
        <v>1</v>
      </c>
      <c r="C184" s="2" t="s">
        <v>2</v>
      </c>
      <c r="D184" s="71" t="s">
        <v>34</v>
      </c>
      <c r="E184" s="3" t="s">
        <v>3</v>
      </c>
      <c r="F184" s="2" t="s">
        <v>4</v>
      </c>
      <c r="G184" s="4" t="s">
        <v>18</v>
      </c>
      <c r="H184" s="4" t="s">
        <v>18</v>
      </c>
      <c r="I184" s="63" t="s">
        <v>7</v>
      </c>
      <c r="J184" s="65" t="s">
        <v>6</v>
      </c>
      <c r="K184" s="32" t="s">
        <v>29</v>
      </c>
      <c r="L184" s="32" t="s">
        <v>21</v>
      </c>
      <c r="M184" s="4" t="s">
        <v>8</v>
      </c>
      <c r="N184" s="30" t="s">
        <v>8</v>
      </c>
      <c r="O184" s="4" t="s">
        <v>9</v>
      </c>
      <c r="P184" s="62" t="s">
        <v>10</v>
      </c>
      <c r="Q184" s="54" t="s">
        <v>33</v>
      </c>
    </row>
    <row r="185" spans="1:17" ht="15.75">
      <c r="A185" s="5"/>
      <c r="B185" s="5"/>
      <c r="C185" s="6"/>
      <c r="D185" s="60"/>
      <c r="E185" s="7"/>
      <c r="F185" s="6"/>
      <c r="G185" s="8" t="s">
        <v>11</v>
      </c>
      <c r="H185" s="8" t="s">
        <v>11</v>
      </c>
      <c r="I185" s="31" t="s">
        <v>19</v>
      </c>
      <c r="J185" s="61" t="s">
        <v>35</v>
      </c>
      <c r="K185" s="33" t="s">
        <v>22</v>
      </c>
      <c r="L185" s="33" t="s">
        <v>15</v>
      </c>
      <c r="M185" s="8" t="s">
        <v>13</v>
      </c>
      <c r="N185" s="31" t="s">
        <v>14</v>
      </c>
      <c r="O185" s="8" t="s">
        <v>12</v>
      </c>
      <c r="P185" s="5"/>
      <c r="Q185" s="9"/>
    </row>
    <row r="186" spans="1:17" ht="15.75">
      <c r="A186" s="5"/>
      <c r="B186" s="5"/>
      <c r="C186" s="10"/>
      <c r="D186" s="60"/>
      <c r="E186" s="7"/>
      <c r="F186" s="6"/>
      <c r="G186" s="8" t="s">
        <v>41</v>
      </c>
      <c r="H186" s="8"/>
      <c r="I186" s="31" t="s">
        <v>5</v>
      </c>
      <c r="J186" s="8"/>
      <c r="K186" s="8"/>
      <c r="L186" s="8"/>
      <c r="M186" s="8"/>
      <c r="N186" s="8"/>
      <c r="O186" s="8"/>
      <c r="P186" s="5"/>
      <c r="Q186" s="9"/>
    </row>
    <row r="187" spans="1:17" ht="15.75">
      <c r="A187" s="11"/>
      <c r="B187" s="11"/>
      <c r="C187" s="12"/>
      <c r="D187" s="72"/>
      <c r="E187" s="13"/>
      <c r="F187" s="14"/>
      <c r="G187" s="15"/>
      <c r="H187" s="50"/>
      <c r="I187" s="15"/>
      <c r="J187" s="49"/>
      <c r="K187" s="53"/>
      <c r="L187" s="75"/>
      <c r="M187" s="15"/>
      <c r="N187" s="15"/>
      <c r="O187" s="15"/>
      <c r="P187" s="11"/>
      <c r="Q187" s="16"/>
    </row>
    <row r="188" spans="1:17" ht="15.75">
      <c r="A188" s="52"/>
      <c r="B188" s="47"/>
      <c r="C188" s="48"/>
      <c r="D188" s="73"/>
      <c r="E188" s="17"/>
      <c r="F188" s="48"/>
      <c r="G188" s="36"/>
      <c r="H188" s="36"/>
      <c r="I188" s="36"/>
      <c r="J188" s="36"/>
      <c r="K188" s="8"/>
      <c r="L188" s="34"/>
      <c r="M188" s="8"/>
      <c r="N188" s="8"/>
      <c r="O188" s="8"/>
      <c r="P188" s="35"/>
      <c r="Q188" s="37"/>
    </row>
    <row r="189" spans="1:17" ht="15.75">
      <c r="A189" s="52">
        <v>1</v>
      </c>
      <c r="B189" s="51" t="s">
        <v>195</v>
      </c>
      <c r="C189" s="48" t="s">
        <v>196</v>
      </c>
      <c r="D189" s="67" t="s">
        <v>197</v>
      </c>
      <c r="E189" s="17">
        <v>43157</v>
      </c>
      <c r="F189" s="20" t="s">
        <v>198</v>
      </c>
      <c r="G189" s="36">
        <v>0</v>
      </c>
      <c r="H189" s="36">
        <v>0</v>
      </c>
      <c r="I189" s="8">
        <v>0</v>
      </c>
      <c r="J189" s="8">
        <v>0</v>
      </c>
      <c r="K189" s="8">
        <v>0</v>
      </c>
      <c r="L189" s="8">
        <v>0</v>
      </c>
      <c r="M189" s="8">
        <f>SUM(G189:L189)</f>
        <v>0</v>
      </c>
      <c r="N189" s="8">
        <f>4000000-M189</f>
        <v>4000000</v>
      </c>
      <c r="O189" s="8">
        <f t="shared" ref="O189" si="19">+M189+N189</f>
        <v>4000000</v>
      </c>
      <c r="P189" s="77" t="s">
        <v>199</v>
      </c>
      <c r="Q189" s="60" t="s">
        <v>58</v>
      </c>
    </row>
    <row r="190" spans="1:17" ht="15.75">
      <c r="A190" s="52"/>
      <c r="B190" s="51"/>
      <c r="C190" s="48"/>
      <c r="D190" s="34"/>
      <c r="E190" s="17"/>
      <c r="F190" s="48"/>
      <c r="G190" s="36"/>
      <c r="H190" s="36"/>
      <c r="I190" s="36"/>
      <c r="J190" s="36"/>
      <c r="K190" s="36"/>
      <c r="L190" s="34"/>
      <c r="M190" s="8"/>
      <c r="N190" s="8"/>
      <c r="O190" s="8"/>
      <c r="P190" s="59"/>
      <c r="Q190" s="66"/>
    </row>
    <row r="191" spans="1:17" ht="16.5" thickBot="1">
      <c r="A191" s="18"/>
      <c r="B191" s="55"/>
      <c r="C191" s="56"/>
      <c r="D191" s="74"/>
      <c r="E191" s="56"/>
      <c r="F191" s="57"/>
      <c r="G191" s="19">
        <f t="shared" ref="G191:O191" si="20">SUM(G189:G190)</f>
        <v>0</v>
      </c>
      <c r="H191" s="19">
        <f t="shared" si="20"/>
        <v>0</v>
      </c>
      <c r="I191" s="19">
        <f t="shared" si="20"/>
        <v>0</v>
      </c>
      <c r="J191" s="19">
        <f t="shared" si="20"/>
        <v>0</v>
      </c>
      <c r="K191" s="19">
        <f t="shared" si="20"/>
        <v>0</v>
      </c>
      <c r="L191" s="19">
        <f t="shared" si="20"/>
        <v>0</v>
      </c>
      <c r="M191" s="19">
        <f t="shared" si="20"/>
        <v>0</v>
      </c>
      <c r="N191" s="19">
        <f t="shared" si="20"/>
        <v>4000000</v>
      </c>
      <c r="O191" s="19">
        <f t="shared" si="20"/>
        <v>4000000</v>
      </c>
      <c r="P191" s="68"/>
      <c r="Q191" s="70"/>
    </row>
    <row r="192" spans="1:17" ht="16.5" thickTop="1">
      <c r="A192" s="23"/>
      <c r="B192" s="22"/>
      <c r="C192" s="22"/>
      <c r="D192" s="23"/>
      <c r="E192" s="22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2"/>
      <c r="Q192" s="69"/>
    </row>
    <row r="193" spans="1:17" ht="15.75">
      <c r="A193" s="23"/>
      <c r="B193" s="28" t="s">
        <v>194</v>
      </c>
      <c r="C193" s="22"/>
      <c r="D193" s="39"/>
      <c r="E193" s="34"/>
      <c r="F193" s="27"/>
      <c r="G193" s="28"/>
      <c r="H193" s="28"/>
      <c r="I193" s="28"/>
      <c r="J193" s="28"/>
      <c r="K193" s="28"/>
      <c r="L193" s="28"/>
      <c r="O193" s="34"/>
      <c r="P193" s="34"/>
      <c r="Q193" s="51"/>
    </row>
    <row r="194" spans="1:17" ht="15.75">
      <c r="A194" s="38"/>
      <c r="B194" s="40" t="s">
        <v>32</v>
      </c>
      <c r="C194" s="28" t="s">
        <v>28</v>
      </c>
      <c r="D194" s="39"/>
      <c r="E194" s="34"/>
      <c r="F194" s="41"/>
      <c r="G194" s="127" t="s">
        <v>26</v>
      </c>
      <c r="H194" s="127"/>
      <c r="I194" s="127"/>
      <c r="J194" s="34"/>
      <c r="K194" s="41"/>
      <c r="L194" s="34"/>
      <c r="O194" s="34"/>
      <c r="P194" s="34"/>
      <c r="Q194" s="34"/>
    </row>
    <row r="195" spans="1:17" ht="15.7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28"/>
      <c r="O196" s="34"/>
      <c r="P196" s="34"/>
      <c r="Q196" s="34"/>
    </row>
    <row r="197" spans="1:17" ht="15.7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34"/>
      <c r="O197" s="34"/>
      <c r="P197" s="34"/>
      <c r="Q197" s="34"/>
    </row>
    <row r="198" spans="1:17" ht="15.75">
      <c r="A198" s="38"/>
      <c r="B198" s="40"/>
      <c r="C198" s="28"/>
      <c r="D198" s="39"/>
      <c r="E198" s="34"/>
      <c r="F198" s="28"/>
      <c r="G198" s="28"/>
      <c r="H198" s="28"/>
      <c r="I198" s="28"/>
      <c r="J198" s="28"/>
      <c r="K198" s="28"/>
      <c r="L198" s="28"/>
      <c r="O198" s="34"/>
      <c r="P198" s="34"/>
      <c r="Q198" s="34"/>
    </row>
    <row r="199" spans="1:17" ht="15.75">
      <c r="A199" s="38" t="s">
        <v>23</v>
      </c>
      <c r="B199" s="42" t="s">
        <v>27</v>
      </c>
      <c r="C199" s="43" t="s">
        <v>24</v>
      </c>
      <c r="D199" s="39"/>
      <c r="E199" s="34"/>
      <c r="F199" s="29"/>
      <c r="G199" s="29" t="s">
        <v>16</v>
      </c>
      <c r="H199" s="29"/>
      <c r="I199" s="29" t="s">
        <v>30</v>
      </c>
      <c r="J199" s="34"/>
      <c r="K199" s="34"/>
      <c r="L199" s="34"/>
      <c r="O199" s="34"/>
      <c r="P199" s="34"/>
      <c r="Q199" s="34"/>
    </row>
    <row r="200" spans="1:17" ht="15.75">
      <c r="A200" s="38"/>
      <c r="B200" s="44" t="s">
        <v>31</v>
      </c>
      <c r="C200" s="45" t="s">
        <v>20</v>
      </c>
      <c r="D200" s="39"/>
      <c r="E200" s="34"/>
      <c r="F200" s="46"/>
      <c r="G200" s="46" t="s">
        <v>17</v>
      </c>
      <c r="H200" s="46"/>
      <c r="I200" s="46" t="s">
        <v>25</v>
      </c>
      <c r="J200" s="34"/>
      <c r="K200" s="34"/>
      <c r="L200" s="34"/>
      <c r="O200" s="34"/>
      <c r="P200" s="34"/>
      <c r="Q200" s="34"/>
    </row>
    <row r="202" spans="1:17" ht="15.75">
      <c r="A202" s="21" t="s">
        <v>0</v>
      </c>
      <c r="B202" s="22"/>
      <c r="C202" s="23"/>
      <c r="D202" s="23"/>
      <c r="E202" s="23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>
      <c r="A203" s="26" t="s">
        <v>200</v>
      </c>
      <c r="B203" s="21"/>
      <c r="C203" s="21"/>
      <c r="D203" s="21"/>
      <c r="E203" s="21"/>
      <c r="F203" s="24"/>
      <c r="G203" s="24"/>
      <c r="H203" s="24"/>
      <c r="I203" s="24"/>
      <c r="J203" s="24"/>
      <c r="K203" s="24"/>
      <c r="L203" s="25"/>
      <c r="O203" s="34"/>
      <c r="P203" s="34"/>
      <c r="Q203" s="34"/>
    </row>
    <row r="204" spans="1:17" ht="15.75">
      <c r="A204" s="1"/>
      <c r="B204" s="1" t="s">
        <v>1</v>
      </c>
      <c r="C204" s="2" t="s">
        <v>2</v>
      </c>
      <c r="D204" s="71" t="s">
        <v>34</v>
      </c>
      <c r="E204" s="3" t="s">
        <v>3</v>
      </c>
      <c r="F204" s="2" t="s">
        <v>4</v>
      </c>
      <c r="G204" s="4" t="s">
        <v>18</v>
      </c>
      <c r="H204" s="4" t="s">
        <v>18</v>
      </c>
      <c r="I204" s="63" t="s">
        <v>7</v>
      </c>
      <c r="J204" s="65" t="s">
        <v>6</v>
      </c>
      <c r="K204" s="32" t="s">
        <v>29</v>
      </c>
      <c r="L204" s="32" t="s">
        <v>21</v>
      </c>
      <c r="M204" s="4" t="s">
        <v>8</v>
      </c>
      <c r="N204" s="30" t="s">
        <v>8</v>
      </c>
      <c r="O204" s="4" t="s">
        <v>9</v>
      </c>
      <c r="P204" s="62" t="s">
        <v>10</v>
      </c>
      <c r="Q204" s="54" t="s">
        <v>33</v>
      </c>
    </row>
    <row r="205" spans="1:17" ht="15.75">
      <c r="A205" s="5"/>
      <c r="B205" s="5"/>
      <c r="C205" s="6"/>
      <c r="D205" s="60"/>
      <c r="E205" s="7"/>
      <c r="F205" s="6"/>
      <c r="G205" s="8" t="s">
        <v>11</v>
      </c>
      <c r="H205" s="8" t="s">
        <v>11</v>
      </c>
      <c r="I205" s="31" t="s">
        <v>19</v>
      </c>
      <c r="J205" s="61" t="s">
        <v>35</v>
      </c>
      <c r="K205" s="33" t="s">
        <v>22</v>
      </c>
      <c r="L205" s="33" t="s">
        <v>15</v>
      </c>
      <c r="M205" s="8" t="s">
        <v>13</v>
      </c>
      <c r="N205" s="31" t="s">
        <v>14</v>
      </c>
      <c r="O205" s="8" t="s">
        <v>12</v>
      </c>
      <c r="P205" s="5"/>
      <c r="Q205" s="9"/>
    </row>
    <row r="206" spans="1:17" ht="15.75">
      <c r="A206" s="5"/>
      <c r="B206" s="5"/>
      <c r="C206" s="10"/>
      <c r="D206" s="60"/>
      <c r="E206" s="7"/>
      <c r="F206" s="6"/>
      <c r="G206" s="8" t="s">
        <v>41</v>
      </c>
      <c r="H206" s="8"/>
      <c r="I206" s="31" t="s">
        <v>5</v>
      </c>
      <c r="J206" s="8"/>
      <c r="K206" s="8"/>
      <c r="L206" s="8"/>
      <c r="M206" s="8"/>
      <c r="N206" s="8"/>
      <c r="O206" s="8"/>
      <c r="P206" s="5"/>
      <c r="Q206" s="9"/>
    </row>
    <row r="207" spans="1:17" ht="15.75">
      <c r="A207" s="11"/>
      <c r="B207" s="11"/>
      <c r="C207" s="12"/>
      <c r="D207" s="72"/>
      <c r="E207" s="13"/>
      <c r="F207" s="14"/>
      <c r="G207" s="15"/>
      <c r="H207" s="50"/>
      <c r="I207" s="15"/>
      <c r="J207" s="49"/>
      <c r="K207" s="53"/>
      <c r="L207" s="75"/>
      <c r="M207" s="15"/>
      <c r="N207" s="15"/>
      <c r="O207" s="15"/>
      <c r="P207" s="11"/>
      <c r="Q207" s="16"/>
    </row>
    <row r="208" spans="1:17" ht="15.75">
      <c r="A208" s="52"/>
      <c r="B208" s="47"/>
      <c r="C208" s="48"/>
      <c r="D208" s="73"/>
      <c r="E208" s="17"/>
      <c r="F208" s="48"/>
      <c r="G208" s="36"/>
      <c r="H208" s="36"/>
      <c r="I208" s="36"/>
      <c r="J208" s="36"/>
      <c r="K208" s="8"/>
      <c r="L208" s="34"/>
      <c r="M208" s="8"/>
      <c r="N208" s="8"/>
      <c r="O208" s="8"/>
      <c r="P208" s="35"/>
      <c r="Q208" s="37"/>
    </row>
    <row r="209" spans="1:17" ht="15.75">
      <c r="A209" s="52">
        <v>1</v>
      </c>
      <c r="B209" s="51" t="s">
        <v>201</v>
      </c>
      <c r="C209" s="48" t="s">
        <v>202</v>
      </c>
      <c r="D209" s="67" t="s">
        <v>203</v>
      </c>
      <c r="E209" s="17">
        <v>43158</v>
      </c>
      <c r="F209" s="20" t="s">
        <v>204</v>
      </c>
      <c r="G209" s="36">
        <v>0</v>
      </c>
      <c r="H209" s="36">
        <v>0</v>
      </c>
      <c r="I209" s="8">
        <v>0</v>
      </c>
      <c r="J209" s="8">
        <v>0</v>
      </c>
      <c r="K209" s="8">
        <v>50000</v>
      </c>
      <c r="L209" s="8">
        <v>0</v>
      </c>
      <c r="M209" s="8">
        <f>SUM(G209:L209)</f>
        <v>50000</v>
      </c>
      <c r="N209" s="8">
        <f>5000000-M209</f>
        <v>4950000</v>
      </c>
      <c r="O209" s="8">
        <f t="shared" ref="O209" si="21">+M209+N209</f>
        <v>5000000</v>
      </c>
      <c r="P209" s="77" t="s">
        <v>205</v>
      </c>
      <c r="Q209" s="60" t="s">
        <v>40</v>
      </c>
    </row>
    <row r="210" spans="1:17" ht="15.7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>
      <c r="A211" s="18"/>
      <c r="B211" s="55"/>
      <c r="C211" s="56"/>
      <c r="D211" s="74"/>
      <c r="E211" s="56"/>
      <c r="F211" s="57"/>
      <c r="G211" s="19">
        <f t="shared" ref="G211" si="22">SUM(G209:G210)</f>
        <v>0</v>
      </c>
      <c r="H211" s="19">
        <f t="shared" ref="H211" si="23">SUM(H209:H210)</f>
        <v>0</v>
      </c>
      <c r="I211" s="19">
        <f t="shared" ref="I211" si="24">SUM(I209:I210)</f>
        <v>0</v>
      </c>
      <c r="J211" s="19">
        <f t="shared" ref="J211" si="25">SUM(J209:J210)</f>
        <v>0</v>
      </c>
      <c r="K211" s="19">
        <f t="shared" ref="K211" si="26">SUM(K209:K210)</f>
        <v>50000</v>
      </c>
      <c r="L211" s="19">
        <f t="shared" ref="L211" si="27">SUM(L209:L210)</f>
        <v>0</v>
      </c>
      <c r="M211" s="19">
        <f t="shared" ref="M211" si="28">SUM(M209:M210)</f>
        <v>50000</v>
      </c>
      <c r="N211" s="19">
        <f t="shared" ref="N211" si="29">SUM(N209:N210)</f>
        <v>4950000</v>
      </c>
      <c r="O211" s="19">
        <f t="shared" ref="O211" si="30">SUM(O209:O210)</f>
        <v>5000000</v>
      </c>
      <c r="P211" s="68"/>
      <c r="Q211" s="70"/>
    </row>
    <row r="212" spans="1:17" ht="16.5" thickTop="1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>
      <c r="A213" s="23"/>
      <c r="B213" s="28" t="s">
        <v>206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>
      <c r="A214" s="38"/>
      <c r="B214" s="40" t="s">
        <v>32</v>
      </c>
      <c r="C214" s="28" t="s">
        <v>28</v>
      </c>
      <c r="D214" s="39"/>
      <c r="E214" s="34"/>
      <c r="F214" s="41"/>
      <c r="G214" s="127" t="s">
        <v>26</v>
      </c>
      <c r="H214" s="127"/>
      <c r="I214" s="127"/>
      <c r="J214" s="34"/>
      <c r="K214" s="41"/>
      <c r="L214" s="34"/>
      <c r="O214" s="34"/>
      <c r="P214" s="34"/>
      <c r="Q214" s="34"/>
    </row>
    <row r="215" spans="1:17" ht="15.7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2" spans="1:17" ht="15.7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>
      <c r="A223" s="26" t="s">
        <v>200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>
      <c r="A226" s="5"/>
      <c r="B226" s="5"/>
      <c r="C226" s="10"/>
      <c r="D226" s="60"/>
      <c r="E226" s="7"/>
      <c r="F226" s="6"/>
      <c r="G226" s="8" t="s">
        <v>90</v>
      </c>
      <c r="H226" s="8"/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>
      <c r="A229" s="52">
        <v>1</v>
      </c>
      <c r="B229" s="51" t="s">
        <v>207</v>
      </c>
      <c r="C229" s="48" t="s">
        <v>208</v>
      </c>
      <c r="D229" s="67" t="s">
        <v>209</v>
      </c>
      <c r="E229" s="17">
        <v>43158</v>
      </c>
      <c r="F229" s="20" t="s">
        <v>210</v>
      </c>
      <c r="G229" s="36">
        <v>23324000</v>
      </c>
      <c r="H229" s="36">
        <v>0</v>
      </c>
      <c r="I229" s="8">
        <v>583100</v>
      </c>
      <c r="J229" s="8">
        <v>0</v>
      </c>
      <c r="K229" s="8">
        <v>53240</v>
      </c>
      <c r="L229" s="8">
        <v>200000</v>
      </c>
      <c r="M229" s="8">
        <f>SUM(G229:L229)</f>
        <v>24160340</v>
      </c>
      <c r="N229" s="8">
        <f>36160340-M229</f>
        <v>12000000</v>
      </c>
      <c r="O229" s="8">
        <f t="shared" ref="O229" si="31">+M229+N229</f>
        <v>36160340</v>
      </c>
      <c r="P229" s="77" t="s">
        <v>159</v>
      </c>
      <c r="Q229" s="60" t="s">
        <v>52</v>
      </c>
    </row>
    <row r="230" spans="1:17" ht="15.75">
      <c r="A230" s="52">
        <v>2</v>
      </c>
      <c r="B230" s="51" t="s">
        <v>211</v>
      </c>
      <c r="C230" s="48" t="s">
        <v>212</v>
      </c>
      <c r="D230" s="67" t="s">
        <v>213</v>
      </c>
      <c r="E230" s="17">
        <v>43158</v>
      </c>
      <c r="F230" s="20" t="s">
        <v>214</v>
      </c>
      <c r="G230" s="36">
        <v>17500000</v>
      </c>
      <c r="H230" s="36">
        <v>0</v>
      </c>
      <c r="I230" s="8">
        <v>437500</v>
      </c>
      <c r="J230" s="8">
        <v>0</v>
      </c>
      <c r="K230" s="8">
        <v>200000</v>
      </c>
      <c r="L230" s="8">
        <v>200000</v>
      </c>
      <c r="M230" s="8">
        <f>SUM(G230:L230)</f>
        <v>18337500</v>
      </c>
      <c r="N230" s="8">
        <f>50000000-M230</f>
        <v>31662500</v>
      </c>
      <c r="O230" s="8">
        <f t="shared" ref="O230" si="32">+M230+N230</f>
        <v>50000000</v>
      </c>
      <c r="P230" s="77" t="s">
        <v>215</v>
      </c>
      <c r="Q230" s="60" t="s">
        <v>52</v>
      </c>
    </row>
    <row r="231" spans="1:17" ht="15.7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>
      <c r="A232" s="18"/>
      <c r="B232" s="55"/>
      <c r="C232" s="56"/>
      <c r="D232" s="74"/>
      <c r="E232" s="56"/>
      <c r="F232" s="57"/>
      <c r="G232" s="19">
        <f>SUM(G229:G231)</f>
        <v>40824000</v>
      </c>
      <c r="H232" s="19">
        <f t="shared" ref="H232:O232" si="33">SUM(H229:H231)</f>
        <v>0</v>
      </c>
      <c r="I232" s="19">
        <f t="shared" si="33"/>
        <v>1020600</v>
      </c>
      <c r="J232" s="19">
        <f t="shared" si="33"/>
        <v>0</v>
      </c>
      <c r="K232" s="19">
        <f t="shared" si="33"/>
        <v>253240</v>
      </c>
      <c r="L232" s="19">
        <f t="shared" si="33"/>
        <v>400000</v>
      </c>
      <c r="M232" s="19">
        <f t="shared" si="33"/>
        <v>42497840</v>
      </c>
      <c r="N232" s="19">
        <f t="shared" si="33"/>
        <v>43662500</v>
      </c>
      <c r="O232" s="19">
        <f t="shared" si="33"/>
        <v>86160340</v>
      </c>
      <c r="P232" s="68"/>
      <c r="Q232" s="70"/>
    </row>
    <row r="233" spans="1:17" ht="16.5" thickTop="1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>
      <c r="A234" s="23"/>
      <c r="B234" s="28" t="s">
        <v>206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>
      <c r="A235" s="38"/>
      <c r="B235" s="40" t="s">
        <v>32</v>
      </c>
      <c r="C235" s="28" t="s">
        <v>28</v>
      </c>
      <c r="D235" s="39"/>
      <c r="E235" s="34"/>
      <c r="F235" s="41"/>
      <c r="G235" s="127" t="s">
        <v>26</v>
      </c>
      <c r="H235" s="127"/>
      <c r="I235" s="127"/>
      <c r="J235" s="34"/>
      <c r="K235" s="41"/>
      <c r="L235" s="34"/>
      <c r="O235" s="34"/>
      <c r="P235" s="34"/>
      <c r="Q235" s="34"/>
    </row>
    <row r="236" spans="1:17" ht="15.7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</sheetData>
  <mergeCells count="12">
    <mergeCell ref="G214:I214"/>
    <mergeCell ref="G235:I235"/>
    <mergeCell ref="G13:I13"/>
    <mergeCell ref="G33:I33"/>
    <mergeCell ref="G53:I53"/>
    <mergeCell ref="G73:I73"/>
    <mergeCell ref="G93:I93"/>
    <mergeCell ref="G174:I174"/>
    <mergeCell ref="G194:I194"/>
    <mergeCell ref="G154:I154"/>
    <mergeCell ref="G113:I113"/>
    <mergeCell ref="G133:I133"/>
  </mergeCells>
  <pageMargins left="7.874015748031496E-2" right="0.70866141732283472" top="0.74803149606299213" bottom="0.98425196850393704" header="0.31496062992125984" footer="0.31496062992125984"/>
  <pageSetup paperSize="5" scale="7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25"/>
  <sheetViews>
    <sheetView topLeftCell="A202" workbookViewId="0">
      <selection activeCell="E206" sqref="E206"/>
    </sheetView>
  </sheetViews>
  <sheetFormatPr defaultRowHeight="15"/>
  <cols>
    <col min="1" max="1" width="2.28515625" style="34" customWidth="1"/>
    <col min="2" max="2" width="21" style="34" customWidth="1"/>
    <col min="3" max="3" width="9.140625" style="34"/>
    <col min="4" max="4" width="8.140625" style="34" customWidth="1"/>
    <col min="5" max="5" width="13.5703125" style="34" customWidth="1"/>
    <col min="6" max="6" width="14.42578125" style="34" customWidth="1"/>
    <col min="7" max="7" width="18.28515625" style="34" bestFit="1" customWidth="1"/>
    <col min="8" max="8" width="17" style="34" bestFit="1" customWidth="1"/>
    <col min="9" max="9" width="16.28515625" style="34" customWidth="1"/>
    <col min="10" max="10" width="14.42578125" style="34" customWidth="1"/>
    <col min="11" max="11" width="14.5703125" style="34" customWidth="1"/>
    <col min="12" max="12" width="13.28515625" style="34" customWidth="1"/>
    <col min="13" max="13" width="16.5703125" style="34" customWidth="1"/>
    <col min="14" max="14" width="16.5703125" style="34" bestFit="1" customWidth="1"/>
    <col min="15" max="15" width="16.28515625" style="34" customWidth="1"/>
    <col min="16" max="16" width="8" style="34" customWidth="1"/>
    <col min="17" max="17" width="6.140625" style="34" customWidth="1"/>
    <col min="18" max="18" width="5.85546875" style="34" customWidth="1"/>
    <col min="19" max="16384" width="9.140625" style="34"/>
  </cols>
  <sheetData>
    <row r="1" spans="1:17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7" ht="15.75">
      <c r="A2" s="26" t="s">
        <v>221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7" ht="15.7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>
      <c r="A5" s="5"/>
      <c r="B5" s="5"/>
      <c r="C5" s="10"/>
      <c r="D5" s="60"/>
      <c r="E5" s="7"/>
      <c r="F5" s="6"/>
      <c r="G5" s="8" t="s">
        <v>90</v>
      </c>
      <c r="H5" s="8"/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M7" s="8"/>
      <c r="N7" s="8"/>
      <c r="O7" s="8"/>
      <c r="P7" s="35"/>
      <c r="Q7" s="37"/>
    </row>
    <row r="8" spans="1:17" ht="15.75">
      <c r="A8" s="52">
        <v>1</v>
      </c>
      <c r="B8" s="51" t="s">
        <v>216</v>
      </c>
      <c r="C8" s="48" t="s">
        <v>217</v>
      </c>
      <c r="D8" s="67" t="s">
        <v>218</v>
      </c>
      <c r="E8" s="17">
        <v>43161</v>
      </c>
      <c r="F8" s="20" t="s">
        <v>219</v>
      </c>
      <c r="G8" s="36">
        <v>0</v>
      </c>
      <c r="H8" s="36">
        <v>0</v>
      </c>
      <c r="I8" s="8">
        <v>0</v>
      </c>
      <c r="J8" s="8">
        <v>0</v>
      </c>
      <c r="K8" s="8">
        <v>250000</v>
      </c>
      <c r="L8" s="8">
        <v>0</v>
      </c>
      <c r="M8" s="8">
        <f>SUM(G8:L8)</f>
        <v>250000</v>
      </c>
      <c r="N8" s="8">
        <f>25000000-M8</f>
        <v>24750000</v>
      </c>
      <c r="O8" s="8">
        <f t="shared" ref="O8" si="0">+M8+N8</f>
        <v>25000000</v>
      </c>
      <c r="P8" s="77" t="s">
        <v>220</v>
      </c>
      <c r="Q8" s="60" t="s">
        <v>40</v>
      </c>
    </row>
    <row r="9" spans="1:17" ht="15.75">
      <c r="A9" s="52"/>
      <c r="B9" s="51"/>
      <c r="C9" s="48"/>
      <c r="E9" s="17"/>
      <c r="F9" s="48"/>
      <c r="G9" s="36"/>
      <c r="H9" s="36"/>
      <c r="I9" s="36"/>
      <c r="J9" s="36"/>
      <c r="K9" s="36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250000</v>
      </c>
      <c r="L10" s="19">
        <f t="shared" si="1"/>
        <v>0</v>
      </c>
      <c r="M10" s="19">
        <f t="shared" si="1"/>
        <v>250000</v>
      </c>
      <c r="N10" s="19">
        <f t="shared" si="1"/>
        <v>24750000</v>
      </c>
      <c r="O10" s="19">
        <f t="shared" si="1"/>
        <v>25000000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222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7" ht="15.75">
      <c r="A13" s="38"/>
      <c r="B13" s="40" t="s">
        <v>32</v>
      </c>
      <c r="C13" s="28" t="s">
        <v>28</v>
      </c>
      <c r="D13" s="39"/>
      <c r="F13" s="41"/>
      <c r="G13" s="127" t="s">
        <v>26</v>
      </c>
      <c r="H13" s="127"/>
      <c r="I13" s="127"/>
      <c r="K13" s="41"/>
    </row>
    <row r="14" spans="1:17" ht="15.75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7" ht="15.7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7" ht="15.75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7" ht="15.75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7" ht="15.75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7" ht="15.75">
      <c r="A22" s="26" t="s">
        <v>221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</row>
    <row r="23" spans="1:17" ht="15.7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>
      <c r="A25" s="5"/>
      <c r="B25" s="5"/>
      <c r="C25" s="10"/>
      <c r="D25" s="60"/>
      <c r="E25" s="7"/>
      <c r="F25" s="6"/>
      <c r="G25" s="8" t="s">
        <v>90</v>
      </c>
      <c r="H25" s="8" t="s">
        <v>81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M27" s="8"/>
      <c r="N27" s="8"/>
      <c r="O27" s="8"/>
      <c r="P27" s="35"/>
      <c r="Q27" s="37"/>
    </row>
    <row r="28" spans="1:17" ht="15.75">
      <c r="A28" s="52">
        <v>1</v>
      </c>
      <c r="B28" s="91" t="s">
        <v>223</v>
      </c>
      <c r="C28" s="48" t="s">
        <v>224</v>
      </c>
      <c r="D28" s="67" t="s">
        <v>225</v>
      </c>
      <c r="E28" s="17">
        <v>43161</v>
      </c>
      <c r="F28" s="20" t="s">
        <v>226</v>
      </c>
      <c r="G28" s="36">
        <v>28332000</v>
      </c>
      <c r="H28" s="36">
        <v>270000</v>
      </c>
      <c r="I28" s="8">
        <v>715050</v>
      </c>
      <c r="J28" s="8">
        <v>150730</v>
      </c>
      <c r="K28" s="8">
        <v>100000</v>
      </c>
      <c r="L28" s="8">
        <v>200000</v>
      </c>
      <c r="M28" s="8">
        <f>SUM(G28:L28)</f>
        <v>29767780</v>
      </c>
      <c r="N28" s="8">
        <f>40000000-M28</f>
        <v>10232220</v>
      </c>
      <c r="O28" s="8">
        <f t="shared" ref="O28" si="2">+M28+N28</f>
        <v>40000000</v>
      </c>
      <c r="P28" s="77" t="s">
        <v>227</v>
      </c>
      <c r="Q28" s="60" t="s">
        <v>52</v>
      </c>
    </row>
    <row r="29" spans="1:17" ht="15.75">
      <c r="A29" s="52"/>
      <c r="B29" s="51"/>
      <c r="C29" s="48"/>
      <c r="E29" s="17"/>
      <c r="F29" s="48"/>
      <c r="G29" s="36"/>
      <c r="H29" s="36"/>
      <c r="I29" s="36"/>
      <c r="J29" s="36"/>
      <c r="K29" s="36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" si="3">SUM(G28:G29)</f>
        <v>28332000</v>
      </c>
      <c r="H30" s="19">
        <f t="shared" ref="H30" si="4">SUM(H28:H29)</f>
        <v>270000</v>
      </c>
      <c r="I30" s="19">
        <f t="shared" ref="I30" si="5">SUM(I28:I29)</f>
        <v>715050</v>
      </c>
      <c r="J30" s="19">
        <f t="shared" ref="J30" si="6">SUM(J28:J29)</f>
        <v>150730</v>
      </c>
      <c r="K30" s="19">
        <f t="shared" ref="K30" si="7">SUM(K28:K29)</f>
        <v>100000</v>
      </c>
      <c r="L30" s="19">
        <f t="shared" ref="L30" si="8">SUM(L28:L29)</f>
        <v>200000</v>
      </c>
      <c r="M30" s="19">
        <f t="shared" ref="M30" si="9">SUM(M28:M29)</f>
        <v>29767780</v>
      </c>
      <c r="N30" s="19">
        <f t="shared" ref="N30" si="10">SUM(N28:N29)</f>
        <v>10232220</v>
      </c>
      <c r="O30" s="19">
        <f t="shared" ref="O30" si="11">SUM(O28:O29)</f>
        <v>40000000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222</v>
      </c>
      <c r="C32" s="22"/>
      <c r="D32" s="39"/>
      <c r="F32" s="27"/>
      <c r="G32" s="28"/>
      <c r="H32" s="28"/>
      <c r="I32" s="28"/>
      <c r="J32" s="28"/>
      <c r="K32" s="28"/>
      <c r="L32" s="28"/>
      <c r="Q32" s="51"/>
    </row>
    <row r="33" spans="1:17" ht="15.75">
      <c r="A33" s="38"/>
      <c r="B33" s="40" t="s">
        <v>32</v>
      </c>
      <c r="C33" s="28" t="s">
        <v>28</v>
      </c>
      <c r="D33" s="39"/>
      <c r="F33" s="41"/>
      <c r="G33" s="127" t="s">
        <v>26</v>
      </c>
      <c r="H33" s="127"/>
      <c r="I33" s="127"/>
      <c r="K33" s="41"/>
    </row>
    <row r="34" spans="1:17" ht="15.75">
      <c r="A34" s="38"/>
      <c r="B34" s="40"/>
      <c r="C34" s="28"/>
      <c r="D34" s="39"/>
      <c r="F34" s="28"/>
      <c r="G34" s="28"/>
      <c r="H34" s="28"/>
      <c r="I34" s="28"/>
      <c r="J34" s="28"/>
      <c r="K34" s="28"/>
      <c r="L34" s="28"/>
    </row>
    <row r="35" spans="1:17" ht="15.7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>
      <c r="A36" s="38"/>
      <c r="B36" s="40"/>
      <c r="C36" s="28"/>
      <c r="D36" s="39"/>
      <c r="F36" s="28"/>
      <c r="G36" s="28"/>
      <c r="H36" s="28"/>
      <c r="I36" s="28"/>
      <c r="J36" s="28"/>
      <c r="K36" s="28"/>
    </row>
    <row r="37" spans="1:17" ht="15.75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7" ht="15.75">
      <c r="A38" s="38" t="s">
        <v>23</v>
      </c>
      <c r="B38" s="42" t="s">
        <v>27</v>
      </c>
      <c r="C38" s="43" t="s">
        <v>24</v>
      </c>
      <c r="D38" s="39"/>
      <c r="F38" s="29"/>
      <c r="G38" s="29" t="s">
        <v>16</v>
      </c>
      <c r="H38" s="29"/>
      <c r="I38" s="29" t="s">
        <v>30</v>
      </c>
    </row>
    <row r="39" spans="1:17" ht="15.75">
      <c r="A39" s="38"/>
      <c r="B39" s="44" t="s">
        <v>31</v>
      </c>
      <c r="C39" s="45" t="s">
        <v>20</v>
      </c>
      <c r="D39" s="39"/>
      <c r="F39" s="46"/>
      <c r="G39" s="46" t="s">
        <v>17</v>
      </c>
      <c r="H39" s="46"/>
      <c r="I39" s="46" t="s">
        <v>25</v>
      </c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</row>
    <row r="42" spans="1:17" ht="15.75">
      <c r="A42" s="26" t="s">
        <v>228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</row>
    <row r="43" spans="1:17" ht="15.7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>
      <c r="A45" s="5"/>
      <c r="B45" s="5"/>
      <c r="C45" s="10"/>
      <c r="D45" s="60"/>
      <c r="E45" s="7"/>
      <c r="F45" s="6"/>
      <c r="G45" s="8" t="s">
        <v>22</v>
      </c>
      <c r="H45" s="8" t="s">
        <v>81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M47" s="8"/>
      <c r="N47" s="8"/>
      <c r="O47" s="8"/>
      <c r="P47" s="35"/>
      <c r="Q47" s="37"/>
    </row>
    <row r="48" spans="1:17" ht="15.75">
      <c r="A48" s="52">
        <v>1</v>
      </c>
      <c r="B48" s="51" t="s">
        <v>36</v>
      </c>
      <c r="C48" s="48" t="s">
        <v>37</v>
      </c>
      <c r="D48" s="67" t="s">
        <v>229</v>
      </c>
      <c r="E48" s="17">
        <v>43165</v>
      </c>
      <c r="F48" s="20" t="s">
        <v>38</v>
      </c>
      <c r="G48" s="36">
        <v>34530826</v>
      </c>
      <c r="H48" s="36">
        <v>0</v>
      </c>
      <c r="I48" s="8">
        <v>863271</v>
      </c>
      <c r="J48" s="8">
        <v>222057</v>
      </c>
      <c r="K48" s="8">
        <v>154692</v>
      </c>
      <c r="L48" s="8">
        <v>200000</v>
      </c>
      <c r="M48" s="8">
        <f>SUM(G48:L48)</f>
        <v>35970846</v>
      </c>
      <c r="N48" s="8">
        <f>50000000-M48</f>
        <v>14029154</v>
      </c>
      <c r="O48" s="8">
        <f t="shared" ref="O48" si="12">+M48+N48</f>
        <v>50000000</v>
      </c>
      <c r="P48" s="77" t="s">
        <v>39</v>
      </c>
      <c r="Q48" s="60" t="s">
        <v>52</v>
      </c>
    </row>
    <row r="49" spans="1:17" ht="15.75">
      <c r="A49" s="52"/>
      <c r="B49" s="51"/>
      <c r="C49" s="48"/>
      <c r="E49" s="17"/>
      <c r="F49" s="48"/>
      <c r="G49" s="36"/>
      <c r="H49" s="36"/>
      <c r="I49" s="36"/>
      <c r="J49" s="36"/>
      <c r="K49" s="36"/>
      <c r="M49" s="8"/>
      <c r="N49" s="8"/>
      <c r="O49" s="8"/>
      <c r="P49" s="59"/>
      <c r="Q49" s="66"/>
    </row>
    <row r="50" spans="1:17" ht="16.5" thickBot="1">
      <c r="A50" s="18"/>
      <c r="B50" s="55"/>
      <c r="C50" s="56"/>
      <c r="D50" s="74"/>
      <c r="E50" s="56"/>
      <c r="F50" s="57"/>
      <c r="G50" s="19">
        <f t="shared" ref="G50" si="13">SUM(G48:G49)</f>
        <v>34530826</v>
      </c>
      <c r="H50" s="19">
        <f t="shared" ref="H50:O50" si="14">SUM(H48:H49)</f>
        <v>0</v>
      </c>
      <c r="I50" s="19">
        <f t="shared" si="14"/>
        <v>863271</v>
      </c>
      <c r="J50" s="19">
        <f t="shared" si="14"/>
        <v>222057</v>
      </c>
      <c r="K50" s="19">
        <f t="shared" si="14"/>
        <v>154692</v>
      </c>
      <c r="L50" s="19">
        <f t="shared" si="14"/>
        <v>200000</v>
      </c>
      <c r="M50" s="19">
        <f t="shared" si="14"/>
        <v>35970846</v>
      </c>
      <c r="N50" s="19">
        <f t="shared" si="14"/>
        <v>14029154</v>
      </c>
      <c r="O50" s="19">
        <f t="shared" si="14"/>
        <v>50000000</v>
      </c>
      <c r="P50" s="68"/>
      <c r="Q50" s="70"/>
    </row>
    <row r="51" spans="1:17" ht="16.5" thickTop="1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>
      <c r="A52" s="23"/>
      <c r="B52" s="28" t="s">
        <v>230</v>
      </c>
      <c r="C52" s="22"/>
      <c r="D52" s="39"/>
      <c r="F52" s="27"/>
      <c r="G52" s="28"/>
      <c r="H52" s="28"/>
      <c r="I52" s="28"/>
      <c r="J52" s="28"/>
      <c r="K52" s="28"/>
      <c r="L52" s="28"/>
      <c r="Q52" s="51"/>
    </row>
    <row r="53" spans="1:17" ht="15.75">
      <c r="A53" s="38"/>
      <c r="B53" s="40" t="s">
        <v>32</v>
      </c>
      <c r="C53" s="28" t="s">
        <v>28</v>
      </c>
      <c r="D53" s="39"/>
      <c r="F53" s="41"/>
      <c r="G53" s="127" t="s">
        <v>26</v>
      </c>
      <c r="H53" s="127"/>
      <c r="I53" s="127"/>
      <c r="K53" s="41"/>
    </row>
    <row r="54" spans="1:17" ht="15.75">
      <c r="A54" s="38"/>
      <c r="B54" s="40"/>
      <c r="C54" s="28"/>
      <c r="D54" s="39"/>
      <c r="F54" s="28"/>
      <c r="G54" s="28"/>
      <c r="H54" s="28"/>
      <c r="I54" s="28"/>
      <c r="J54" s="28"/>
      <c r="K54" s="28"/>
      <c r="L54" s="28"/>
    </row>
    <row r="55" spans="1:17" ht="15.75">
      <c r="A55" s="38"/>
      <c r="B55" s="40"/>
      <c r="C55" s="28"/>
      <c r="D55" s="39"/>
      <c r="F55" s="28"/>
      <c r="G55" s="28"/>
      <c r="H55" s="28"/>
      <c r="I55" s="28"/>
      <c r="J55" s="28"/>
      <c r="K55" s="28"/>
      <c r="L55" s="28"/>
    </row>
    <row r="56" spans="1:17" ht="15.75">
      <c r="A56" s="38"/>
      <c r="B56" s="40"/>
      <c r="C56" s="28"/>
      <c r="D56" s="39"/>
      <c r="F56" s="28"/>
      <c r="G56" s="28"/>
      <c r="H56" s="28"/>
      <c r="I56" s="28"/>
      <c r="J56" s="28"/>
      <c r="K56" s="28"/>
    </row>
    <row r="57" spans="1:17" ht="15.75">
      <c r="A57" s="38"/>
      <c r="B57" s="40"/>
      <c r="C57" s="28"/>
      <c r="D57" s="39"/>
      <c r="F57" s="28"/>
      <c r="G57" s="28"/>
      <c r="H57" s="28"/>
      <c r="I57" s="28"/>
      <c r="J57" s="28"/>
      <c r="K57" s="28"/>
      <c r="L57" s="28"/>
    </row>
    <row r="58" spans="1:17" ht="15.75">
      <c r="A58" s="38" t="s">
        <v>23</v>
      </c>
      <c r="B58" s="42" t="s">
        <v>27</v>
      </c>
      <c r="C58" s="43" t="s">
        <v>24</v>
      </c>
      <c r="D58" s="39"/>
      <c r="F58" s="29"/>
      <c r="G58" s="29" t="s">
        <v>16</v>
      </c>
      <c r="H58" s="29"/>
      <c r="I58" s="29" t="s">
        <v>30</v>
      </c>
    </row>
    <row r="59" spans="1:17" ht="15.75">
      <c r="A59" s="38"/>
      <c r="B59" s="44" t="s">
        <v>31</v>
      </c>
      <c r="C59" s="45" t="s">
        <v>20</v>
      </c>
      <c r="D59" s="39"/>
      <c r="F59" s="46"/>
      <c r="G59" s="46" t="s">
        <v>17</v>
      </c>
      <c r="H59" s="46"/>
      <c r="I59" s="46" t="s">
        <v>25</v>
      </c>
    </row>
    <row r="61" spans="1:17" ht="15.7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</row>
    <row r="62" spans="1:17" ht="15.75">
      <c r="A62" s="26" t="s">
        <v>228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</row>
    <row r="63" spans="1:17" ht="15.7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>
      <c r="A65" s="5"/>
      <c r="B65" s="5"/>
      <c r="C65" s="10"/>
      <c r="D65" s="60"/>
      <c r="E65" s="7"/>
      <c r="F65" s="6"/>
      <c r="G65" s="8" t="s">
        <v>22</v>
      </c>
      <c r="H65" s="8" t="s">
        <v>81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M67" s="8"/>
      <c r="N67" s="8"/>
      <c r="O67" s="8"/>
      <c r="P67" s="35"/>
      <c r="Q67" s="37"/>
    </row>
    <row r="68" spans="1:17" ht="15.75">
      <c r="A68" s="52">
        <v>1</v>
      </c>
      <c r="B68" s="51" t="s">
        <v>231</v>
      </c>
      <c r="C68" s="48" t="s">
        <v>232</v>
      </c>
      <c r="D68" s="67" t="s">
        <v>233</v>
      </c>
      <c r="E68" s="17">
        <v>43165</v>
      </c>
      <c r="F68" s="20" t="s">
        <v>234</v>
      </c>
      <c r="G68" s="36">
        <v>0</v>
      </c>
      <c r="H68" s="36">
        <v>0</v>
      </c>
      <c r="I68" s="8">
        <v>0</v>
      </c>
      <c r="J68" s="8">
        <v>0</v>
      </c>
      <c r="K68" s="8">
        <v>100000</v>
      </c>
      <c r="L68" s="8">
        <v>0</v>
      </c>
      <c r="M68" s="8">
        <f>SUM(G68:L68)</f>
        <v>100000</v>
      </c>
      <c r="N68" s="8">
        <f>10000000-M68</f>
        <v>9900000</v>
      </c>
      <c r="O68" s="8">
        <f t="shared" ref="O68" si="15">+M68+N68</f>
        <v>10000000</v>
      </c>
      <c r="P68" s="77" t="s">
        <v>235</v>
      </c>
      <c r="Q68" s="60" t="s">
        <v>40</v>
      </c>
    </row>
    <row r="69" spans="1:17" ht="15.75">
      <c r="A69" s="52">
        <v>2</v>
      </c>
      <c r="B69" s="51" t="s">
        <v>236</v>
      </c>
      <c r="C69" s="48" t="s">
        <v>237</v>
      </c>
      <c r="D69" s="67" t="s">
        <v>238</v>
      </c>
      <c r="E69" s="17">
        <v>43165</v>
      </c>
      <c r="F69" s="20" t="s">
        <v>239</v>
      </c>
      <c r="G69" s="36">
        <v>0</v>
      </c>
      <c r="H69" s="36">
        <v>0</v>
      </c>
      <c r="I69" s="8">
        <v>0</v>
      </c>
      <c r="J69" s="8">
        <v>0</v>
      </c>
      <c r="K69" s="8">
        <v>300000</v>
      </c>
      <c r="L69" s="8">
        <v>0</v>
      </c>
      <c r="M69" s="8">
        <f>SUM(G69:L69)</f>
        <v>300000</v>
      </c>
      <c r="N69" s="8">
        <f>30000000-M69</f>
        <v>29700000</v>
      </c>
      <c r="O69" s="8">
        <f t="shared" ref="O69" si="16">+M69+N69</f>
        <v>30000000</v>
      </c>
      <c r="P69" s="77" t="s">
        <v>240</v>
      </c>
      <c r="Q69" s="60" t="s">
        <v>40</v>
      </c>
    </row>
    <row r="70" spans="1:17" ht="15.75">
      <c r="A70" s="52"/>
      <c r="B70" s="51"/>
      <c r="C70" s="48"/>
      <c r="E70" s="17"/>
      <c r="F70" s="48"/>
      <c r="G70" s="36"/>
      <c r="H70" s="36"/>
      <c r="I70" s="36"/>
      <c r="J70" s="36"/>
      <c r="K70" s="36"/>
      <c r="M70" s="8"/>
      <c r="N70" s="8"/>
      <c r="O70" s="8"/>
      <c r="P70" s="59"/>
      <c r="Q70" s="66"/>
    </row>
    <row r="71" spans="1:17" ht="16.5" thickBot="1">
      <c r="A71" s="18"/>
      <c r="B71" s="55"/>
      <c r="C71" s="56"/>
      <c r="D71" s="74"/>
      <c r="E71" s="56"/>
      <c r="F71" s="57"/>
      <c r="G71" s="19">
        <f t="shared" ref="G71" si="17">SUM(G68:G70)</f>
        <v>0</v>
      </c>
      <c r="H71" s="19">
        <f t="shared" ref="H71:O71" si="18">SUM(H68:H70)</f>
        <v>0</v>
      </c>
      <c r="I71" s="19">
        <f t="shared" si="18"/>
        <v>0</v>
      </c>
      <c r="J71" s="19">
        <f t="shared" si="18"/>
        <v>0</v>
      </c>
      <c r="K71" s="19">
        <f t="shared" si="18"/>
        <v>400000</v>
      </c>
      <c r="L71" s="19">
        <f t="shared" si="18"/>
        <v>0</v>
      </c>
      <c r="M71" s="19">
        <f t="shared" si="18"/>
        <v>400000</v>
      </c>
      <c r="N71" s="19">
        <f t="shared" si="18"/>
        <v>39600000</v>
      </c>
      <c r="O71" s="19">
        <f t="shared" si="18"/>
        <v>40000000</v>
      </c>
      <c r="P71" s="68"/>
      <c r="Q71" s="70"/>
    </row>
    <row r="72" spans="1:17" ht="16.5" thickTop="1">
      <c r="A72" s="23"/>
      <c r="B72" s="22"/>
      <c r="C72" s="22"/>
      <c r="D72" s="23"/>
      <c r="E72" s="22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2"/>
      <c r="Q72" s="69"/>
    </row>
    <row r="73" spans="1:17" ht="15.75">
      <c r="A73" s="23"/>
      <c r="B73" s="28" t="s">
        <v>230</v>
      </c>
      <c r="C73" s="22"/>
      <c r="D73" s="39"/>
      <c r="F73" s="27"/>
      <c r="G73" s="28"/>
      <c r="H73" s="28"/>
      <c r="I73" s="28"/>
      <c r="J73" s="28"/>
      <c r="K73" s="28"/>
      <c r="L73" s="28"/>
      <c r="Q73" s="51"/>
    </row>
    <row r="74" spans="1:17" ht="15.75">
      <c r="A74" s="38"/>
      <c r="B74" s="40" t="s">
        <v>32</v>
      </c>
      <c r="C74" s="28" t="s">
        <v>28</v>
      </c>
      <c r="D74" s="39"/>
      <c r="F74" s="41"/>
      <c r="G74" s="127" t="s">
        <v>26</v>
      </c>
      <c r="H74" s="127"/>
      <c r="I74" s="127"/>
      <c r="K74" s="41"/>
    </row>
    <row r="75" spans="1:17" ht="15.75">
      <c r="A75" s="38"/>
      <c r="B75" s="40"/>
      <c r="C75" s="28"/>
      <c r="D75" s="39"/>
      <c r="F75" s="28"/>
      <c r="G75" s="28"/>
      <c r="H75" s="28"/>
      <c r="I75" s="28"/>
      <c r="J75" s="28"/>
      <c r="K75" s="28"/>
      <c r="L75" s="28"/>
    </row>
    <row r="76" spans="1:17" ht="15.75">
      <c r="A76" s="38"/>
      <c r="B76" s="40"/>
      <c r="C76" s="28"/>
      <c r="D76" s="39"/>
      <c r="F76" s="28"/>
      <c r="G76" s="28"/>
      <c r="H76" s="28"/>
      <c r="I76" s="28"/>
      <c r="J76" s="28"/>
      <c r="K76" s="28"/>
      <c r="L76" s="28"/>
    </row>
    <row r="77" spans="1:17" ht="15.75">
      <c r="A77" s="38"/>
      <c r="B77" s="40"/>
      <c r="C77" s="28"/>
      <c r="D77" s="39"/>
      <c r="F77" s="28"/>
      <c r="G77" s="28"/>
      <c r="H77" s="28"/>
      <c r="I77" s="28"/>
      <c r="J77" s="28"/>
      <c r="K77" s="28"/>
    </row>
    <row r="78" spans="1:17" ht="15.75">
      <c r="A78" s="38"/>
      <c r="B78" s="40"/>
      <c r="C78" s="28"/>
      <c r="D78" s="39"/>
      <c r="F78" s="28"/>
      <c r="G78" s="28"/>
      <c r="H78" s="28"/>
      <c r="I78" s="28"/>
      <c r="J78" s="28"/>
      <c r="K78" s="28"/>
      <c r="L78" s="28"/>
    </row>
    <row r="79" spans="1:17" ht="15.75">
      <c r="A79" s="38" t="s">
        <v>23</v>
      </c>
      <c r="B79" s="42" t="s">
        <v>27</v>
      </c>
      <c r="C79" s="43" t="s">
        <v>24</v>
      </c>
      <c r="D79" s="39"/>
      <c r="F79" s="29"/>
      <c r="G79" s="29" t="s">
        <v>16</v>
      </c>
      <c r="H79" s="29"/>
      <c r="I79" s="29" t="s">
        <v>30</v>
      </c>
    </row>
    <row r="80" spans="1:17" ht="15.75">
      <c r="A80" s="38"/>
      <c r="B80" s="44" t="s">
        <v>31</v>
      </c>
      <c r="C80" s="45" t="s">
        <v>20</v>
      </c>
      <c r="D80" s="39"/>
      <c r="F80" s="46"/>
      <c r="G80" s="46" t="s">
        <v>17</v>
      </c>
      <c r="H80" s="46"/>
      <c r="I80" s="46" t="s">
        <v>25</v>
      </c>
    </row>
    <row r="81" spans="1:17">
      <c r="A81" s="115" t="s">
        <v>106</v>
      </c>
    </row>
    <row r="82" spans="1:17" ht="15.75">
      <c r="A82" s="21" t="s">
        <v>0</v>
      </c>
      <c r="B82" s="22"/>
      <c r="C82" s="23"/>
      <c r="D82" s="23"/>
      <c r="E82" s="23"/>
      <c r="F82" s="24"/>
      <c r="G82" s="24"/>
      <c r="H82" s="24"/>
      <c r="I82" s="24"/>
      <c r="J82" s="24"/>
      <c r="K82" s="24"/>
      <c r="L82" s="25"/>
    </row>
    <row r="83" spans="1:17" ht="15.75">
      <c r="A83" s="26" t="s">
        <v>241</v>
      </c>
      <c r="B83" s="21"/>
      <c r="C83" s="21"/>
      <c r="D83" s="21"/>
      <c r="E83" s="21"/>
      <c r="F83" s="24"/>
      <c r="G83" s="24"/>
      <c r="H83" s="24"/>
      <c r="I83" s="24"/>
      <c r="J83" s="24"/>
      <c r="K83" s="24"/>
      <c r="L83" s="25"/>
    </row>
    <row r="84" spans="1:17" ht="15.75">
      <c r="A84" s="1"/>
      <c r="B84" s="1" t="s">
        <v>1</v>
      </c>
      <c r="C84" s="2" t="s">
        <v>2</v>
      </c>
      <c r="D84" s="71" t="s">
        <v>34</v>
      </c>
      <c r="E84" s="3" t="s">
        <v>3</v>
      </c>
      <c r="F84" s="2" t="s">
        <v>4</v>
      </c>
      <c r="G84" s="4" t="s">
        <v>18</v>
      </c>
      <c r="H84" s="4" t="s">
        <v>18</v>
      </c>
      <c r="I84" s="63" t="s">
        <v>7</v>
      </c>
      <c r="J84" s="65" t="s">
        <v>6</v>
      </c>
      <c r="K84" s="32" t="s">
        <v>29</v>
      </c>
      <c r="L84" s="32" t="s">
        <v>21</v>
      </c>
      <c r="M84" s="4" t="s">
        <v>8</v>
      </c>
      <c r="N84" s="30" t="s">
        <v>8</v>
      </c>
      <c r="O84" s="4" t="s">
        <v>9</v>
      </c>
      <c r="P84" s="62" t="s">
        <v>10</v>
      </c>
      <c r="Q84" s="54" t="s">
        <v>33</v>
      </c>
    </row>
    <row r="85" spans="1:17" ht="15.75">
      <c r="A85" s="5"/>
      <c r="B85" s="5"/>
      <c r="C85" s="6"/>
      <c r="D85" s="60"/>
      <c r="E85" s="7"/>
      <c r="F85" s="6"/>
      <c r="G85" s="8" t="s">
        <v>11</v>
      </c>
      <c r="H85" s="8" t="s">
        <v>11</v>
      </c>
      <c r="I85" s="31" t="s">
        <v>19</v>
      </c>
      <c r="J85" s="61" t="s">
        <v>35</v>
      </c>
      <c r="K85" s="33" t="s">
        <v>22</v>
      </c>
      <c r="L85" s="33" t="s">
        <v>15</v>
      </c>
      <c r="M85" s="8" t="s">
        <v>13</v>
      </c>
      <c r="N85" s="31" t="s">
        <v>14</v>
      </c>
      <c r="O85" s="8" t="s">
        <v>12</v>
      </c>
      <c r="P85" s="5"/>
      <c r="Q85" s="9"/>
    </row>
    <row r="86" spans="1:17" ht="15.75">
      <c r="A86" s="5"/>
      <c r="B86" s="5"/>
      <c r="C86" s="10"/>
      <c r="D86" s="60"/>
      <c r="E86" s="7"/>
      <c r="F86" s="6"/>
      <c r="G86" s="8" t="s">
        <v>81</v>
      </c>
      <c r="H86" s="8" t="s">
        <v>90</v>
      </c>
      <c r="I86" s="31" t="s">
        <v>5</v>
      </c>
      <c r="J86" s="8"/>
      <c r="K86" s="8"/>
      <c r="L86" s="8"/>
      <c r="M86" s="8"/>
      <c r="N86" s="8"/>
      <c r="O86" s="8"/>
      <c r="P86" s="5"/>
      <c r="Q86" s="9"/>
    </row>
    <row r="87" spans="1:17" ht="15.75">
      <c r="A87" s="11"/>
      <c r="B87" s="11"/>
      <c r="C87" s="12"/>
      <c r="D87" s="72"/>
      <c r="E87" s="13"/>
      <c r="F87" s="14"/>
      <c r="G87" s="15"/>
      <c r="H87" s="50"/>
      <c r="I87" s="15"/>
      <c r="J87" s="49"/>
      <c r="K87" s="53"/>
      <c r="L87" s="75"/>
      <c r="M87" s="15"/>
      <c r="N87" s="15"/>
      <c r="O87" s="15"/>
      <c r="P87" s="11"/>
      <c r="Q87" s="16"/>
    </row>
    <row r="88" spans="1:17" ht="15.75">
      <c r="A88" s="52"/>
      <c r="B88" s="47"/>
      <c r="C88" s="48"/>
      <c r="D88" s="73"/>
      <c r="E88" s="17"/>
      <c r="F88" s="48"/>
      <c r="G88" s="36"/>
      <c r="H88" s="36"/>
      <c r="I88" s="36"/>
      <c r="J88" s="36"/>
      <c r="K88" s="8"/>
      <c r="M88" s="8"/>
      <c r="N88" s="8"/>
      <c r="O88" s="8"/>
      <c r="P88" s="35"/>
      <c r="Q88" s="37"/>
    </row>
    <row r="89" spans="1:17" ht="15.75">
      <c r="A89" s="52">
        <v>1</v>
      </c>
      <c r="B89" s="51" t="s">
        <v>242</v>
      </c>
      <c r="C89" s="48" t="s">
        <v>243</v>
      </c>
      <c r="D89" s="67" t="s">
        <v>244</v>
      </c>
      <c r="E89" s="17">
        <v>43166</v>
      </c>
      <c r="F89" s="20" t="s">
        <v>245</v>
      </c>
      <c r="G89" s="36">
        <v>0</v>
      </c>
      <c r="H89" s="36">
        <v>24158500</v>
      </c>
      <c r="I89" s="8">
        <v>603963</v>
      </c>
      <c r="J89" s="8">
        <v>171290</v>
      </c>
      <c r="K89" s="8">
        <v>200000</v>
      </c>
      <c r="L89" s="8">
        <v>200000</v>
      </c>
      <c r="M89" s="8">
        <f>SUM(G89:L89)</f>
        <v>25333753</v>
      </c>
      <c r="N89" s="8">
        <f>50000000-M89</f>
        <v>24666247</v>
      </c>
      <c r="O89" s="8">
        <f t="shared" ref="O89" si="19">+M89+N89</f>
        <v>50000000</v>
      </c>
      <c r="P89" s="77" t="s">
        <v>246</v>
      </c>
      <c r="Q89" s="60" t="s">
        <v>52</v>
      </c>
    </row>
    <row r="90" spans="1:17" ht="15.75">
      <c r="A90" s="52"/>
      <c r="B90" s="51"/>
      <c r="C90" s="48"/>
      <c r="D90" s="67"/>
      <c r="E90" s="17"/>
      <c r="F90" s="20"/>
      <c r="G90" s="36"/>
      <c r="H90" s="36"/>
      <c r="I90" s="8"/>
      <c r="J90" s="8"/>
      <c r="K90" s="8"/>
      <c r="L90" s="8"/>
      <c r="M90" s="8"/>
      <c r="N90" s="8"/>
      <c r="O90" s="8"/>
      <c r="P90" s="77"/>
      <c r="Q90" s="60"/>
    </row>
    <row r="91" spans="1:17" ht="15.75">
      <c r="A91" s="52"/>
      <c r="B91" s="51"/>
      <c r="C91" s="48"/>
      <c r="E91" s="17"/>
      <c r="F91" s="48"/>
      <c r="G91" s="36"/>
      <c r="H91" s="36"/>
      <c r="I91" s="36"/>
      <c r="J91" s="36"/>
      <c r="K91" s="36"/>
      <c r="M91" s="8"/>
      <c r="N91" s="8"/>
      <c r="O91" s="8"/>
      <c r="P91" s="59"/>
      <c r="Q91" s="66"/>
    </row>
    <row r="92" spans="1:17" ht="16.5" thickBot="1">
      <c r="A92" s="18"/>
      <c r="B92" s="55"/>
      <c r="C92" s="56"/>
      <c r="D92" s="74"/>
      <c r="E92" s="56"/>
      <c r="F92" s="57"/>
      <c r="G92" s="19">
        <f t="shared" ref="G92" si="20">SUM(G89:G91)</f>
        <v>0</v>
      </c>
      <c r="H92" s="19">
        <f t="shared" ref="H92:O92" si="21">SUM(H89:H91)</f>
        <v>24158500</v>
      </c>
      <c r="I92" s="19">
        <f t="shared" si="21"/>
        <v>603963</v>
      </c>
      <c r="J92" s="19">
        <f t="shared" si="21"/>
        <v>171290</v>
      </c>
      <c r="K92" s="19">
        <f t="shared" si="21"/>
        <v>200000</v>
      </c>
      <c r="L92" s="19">
        <f t="shared" si="21"/>
        <v>200000</v>
      </c>
      <c r="M92" s="19">
        <f t="shared" si="21"/>
        <v>25333753</v>
      </c>
      <c r="N92" s="19">
        <f t="shared" si="21"/>
        <v>24666247</v>
      </c>
      <c r="O92" s="19">
        <f t="shared" si="21"/>
        <v>50000000</v>
      </c>
      <c r="P92" s="68"/>
      <c r="Q92" s="70"/>
    </row>
    <row r="93" spans="1:17" ht="16.5" thickTop="1">
      <c r="A93" s="23"/>
      <c r="B93" s="22"/>
      <c r="C93" s="22"/>
      <c r="D93" s="23"/>
      <c r="E93" s="22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2"/>
      <c r="Q93" s="69"/>
    </row>
    <row r="94" spans="1:17" ht="15.75">
      <c r="A94" s="23"/>
      <c r="B94" s="28" t="s">
        <v>251</v>
      </c>
      <c r="C94" s="22"/>
      <c r="D94" s="39"/>
      <c r="F94" s="27"/>
      <c r="G94" s="28"/>
      <c r="H94" s="28"/>
      <c r="I94" s="28"/>
      <c r="J94" s="28"/>
      <c r="K94" s="28"/>
      <c r="L94" s="28"/>
      <c r="Q94" s="51"/>
    </row>
    <row r="95" spans="1:17" ht="15.75">
      <c r="A95" s="38"/>
      <c r="B95" s="40" t="s">
        <v>32</v>
      </c>
      <c r="C95" s="28" t="s">
        <v>28</v>
      </c>
      <c r="D95" s="39"/>
      <c r="F95" s="41"/>
      <c r="G95" s="127" t="s">
        <v>26</v>
      </c>
      <c r="H95" s="127"/>
      <c r="I95" s="127"/>
      <c r="K95" s="41"/>
    </row>
    <row r="96" spans="1:17" ht="15.75">
      <c r="A96" s="38"/>
      <c r="B96" s="40"/>
      <c r="C96" s="28"/>
      <c r="D96" s="39"/>
      <c r="F96" s="28"/>
      <c r="G96" s="28"/>
      <c r="H96" s="28"/>
      <c r="I96" s="28"/>
      <c r="J96" s="28"/>
      <c r="K96" s="28"/>
      <c r="L96" s="28"/>
    </row>
    <row r="97" spans="1:17" ht="15.75">
      <c r="A97" s="38"/>
      <c r="B97" s="40"/>
      <c r="C97" s="28"/>
      <c r="D97" s="39"/>
      <c r="F97" s="28"/>
      <c r="G97" s="28"/>
      <c r="H97" s="28"/>
      <c r="I97" s="28"/>
      <c r="J97" s="28"/>
      <c r="K97" s="28"/>
      <c r="L97" s="28"/>
    </row>
    <row r="98" spans="1:17" ht="15.75">
      <c r="A98" s="38"/>
      <c r="B98" s="40"/>
      <c r="C98" s="28"/>
      <c r="D98" s="39"/>
      <c r="F98" s="28"/>
      <c r="G98" s="28"/>
      <c r="H98" s="28"/>
      <c r="I98" s="28"/>
      <c r="J98" s="28"/>
      <c r="K98" s="28"/>
    </row>
    <row r="99" spans="1:17" ht="15.75">
      <c r="A99" s="38"/>
      <c r="B99" s="40"/>
      <c r="C99" s="28"/>
      <c r="D99" s="39"/>
      <c r="F99" s="28"/>
      <c r="G99" s="28"/>
      <c r="H99" s="28"/>
      <c r="I99" s="28"/>
      <c r="J99" s="28"/>
      <c r="K99" s="28"/>
      <c r="L99" s="28"/>
    </row>
    <row r="100" spans="1:17" ht="15.75">
      <c r="A100" s="38" t="s">
        <v>23</v>
      </c>
      <c r="B100" s="42" t="s">
        <v>27</v>
      </c>
      <c r="C100" s="43" t="s">
        <v>24</v>
      </c>
      <c r="D100" s="39"/>
      <c r="F100" s="29"/>
      <c r="G100" s="29" t="s">
        <v>16</v>
      </c>
      <c r="H100" s="29"/>
      <c r="I100" s="29" t="s">
        <v>30</v>
      </c>
    </row>
    <row r="101" spans="1:17" ht="15.75">
      <c r="A101" s="38"/>
      <c r="B101" s="44" t="s">
        <v>31</v>
      </c>
      <c r="C101" s="45" t="s">
        <v>20</v>
      </c>
      <c r="D101" s="39"/>
      <c r="F101" s="46"/>
      <c r="G101" s="46" t="s">
        <v>17</v>
      </c>
      <c r="H101" s="46"/>
      <c r="I101" s="46" t="s">
        <v>25</v>
      </c>
    </row>
    <row r="103" spans="1:17" ht="15.75">
      <c r="A103" s="21" t="s">
        <v>0</v>
      </c>
      <c r="B103" s="22"/>
      <c r="C103" s="23"/>
      <c r="D103" s="23"/>
      <c r="E103" s="23"/>
      <c r="F103" s="24"/>
      <c r="G103" s="24"/>
      <c r="H103" s="24"/>
      <c r="I103" s="24"/>
      <c r="J103" s="24"/>
      <c r="K103" s="24"/>
      <c r="L103" s="25"/>
    </row>
    <row r="104" spans="1:17" ht="15.75">
      <c r="A104" s="26" t="s">
        <v>241</v>
      </c>
      <c r="B104" s="21"/>
      <c r="C104" s="21"/>
      <c r="D104" s="21"/>
      <c r="E104" s="21"/>
      <c r="F104" s="24"/>
      <c r="G104" s="24"/>
      <c r="H104" s="24"/>
      <c r="I104" s="24"/>
      <c r="J104" s="24"/>
      <c r="K104" s="24"/>
      <c r="L104" s="25"/>
    </row>
    <row r="105" spans="1:17" ht="15.75">
      <c r="A105" s="1"/>
      <c r="B105" s="1" t="s">
        <v>1</v>
      </c>
      <c r="C105" s="2" t="s">
        <v>2</v>
      </c>
      <c r="D105" s="71" t="s">
        <v>34</v>
      </c>
      <c r="E105" s="3" t="s">
        <v>3</v>
      </c>
      <c r="F105" s="2" t="s">
        <v>4</v>
      </c>
      <c r="G105" s="4" t="s">
        <v>18</v>
      </c>
      <c r="H105" s="4" t="s">
        <v>18</v>
      </c>
      <c r="I105" s="63" t="s">
        <v>7</v>
      </c>
      <c r="J105" s="65" t="s">
        <v>6</v>
      </c>
      <c r="K105" s="32" t="s">
        <v>29</v>
      </c>
      <c r="L105" s="32" t="s">
        <v>21</v>
      </c>
      <c r="M105" s="4" t="s">
        <v>8</v>
      </c>
      <c r="N105" s="30" t="s">
        <v>8</v>
      </c>
      <c r="O105" s="4" t="s">
        <v>9</v>
      </c>
      <c r="P105" s="62" t="s">
        <v>10</v>
      </c>
      <c r="Q105" s="54" t="s">
        <v>33</v>
      </c>
    </row>
    <row r="106" spans="1:17" ht="15.75">
      <c r="A106" s="5"/>
      <c r="B106" s="5"/>
      <c r="C106" s="6"/>
      <c r="D106" s="60"/>
      <c r="E106" s="7"/>
      <c r="F106" s="6"/>
      <c r="G106" s="8" t="s">
        <v>11</v>
      </c>
      <c r="H106" s="8" t="s">
        <v>11</v>
      </c>
      <c r="I106" s="31" t="s">
        <v>19</v>
      </c>
      <c r="J106" s="61" t="s">
        <v>35</v>
      </c>
      <c r="K106" s="33" t="s">
        <v>22</v>
      </c>
      <c r="L106" s="33" t="s">
        <v>15</v>
      </c>
      <c r="M106" s="8" t="s">
        <v>13</v>
      </c>
      <c r="N106" s="31" t="s">
        <v>14</v>
      </c>
      <c r="O106" s="8" t="s">
        <v>12</v>
      </c>
      <c r="P106" s="5"/>
      <c r="Q106" s="9"/>
    </row>
    <row r="107" spans="1:17" ht="15.75">
      <c r="A107" s="5"/>
      <c r="B107" s="5"/>
      <c r="C107" s="10"/>
      <c r="D107" s="60"/>
      <c r="E107" s="7"/>
      <c r="F107" s="6"/>
      <c r="G107" s="8" t="s">
        <v>81</v>
      </c>
      <c r="H107" s="8" t="s">
        <v>22</v>
      </c>
      <c r="I107" s="31" t="s">
        <v>5</v>
      </c>
      <c r="J107" s="8"/>
      <c r="K107" s="8"/>
      <c r="L107" s="8"/>
      <c r="M107" s="8"/>
      <c r="N107" s="8"/>
      <c r="O107" s="8"/>
      <c r="P107" s="5"/>
      <c r="Q107" s="9"/>
    </row>
    <row r="108" spans="1:17" ht="15.75">
      <c r="A108" s="11"/>
      <c r="B108" s="11"/>
      <c r="C108" s="12"/>
      <c r="D108" s="72"/>
      <c r="E108" s="13"/>
      <c r="F108" s="14"/>
      <c r="G108" s="15"/>
      <c r="H108" s="50"/>
      <c r="I108" s="15"/>
      <c r="J108" s="49"/>
      <c r="K108" s="53"/>
      <c r="L108" s="75"/>
      <c r="M108" s="15"/>
      <c r="N108" s="15"/>
      <c r="O108" s="15"/>
      <c r="P108" s="11"/>
      <c r="Q108" s="16"/>
    </row>
    <row r="109" spans="1:17" ht="15.75">
      <c r="A109" s="52"/>
      <c r="B109" s="47"/>
      <c r="C109" s="48"/>
      <c r="D109" s="73"/>
      <c r="E109" s="17"/>
      <c r="F109" s="48"/>
      <c r="G109" s="36"/>
      <c r="H109" s="36"/>
      <c r="I109" s="36"/>
      <c r="J109" s="36"/>
      <c r="K109" s="8"/>
      <c r="M109" s="8"/>
      <c r="N109" s="8"/>
      <c r="O109" s="8"/>
      <c r="P109" s="35"/>
      <c r="Q109" s="37"/>
    </row>
    <row r="110" spans="1:17" ht="15.75">
      <c r="A110" s="52"/>
      <c r="B110" s="51"/>
      <c r="C110" s="48"/>
      <c r="D110" s="67"/>
      <c r="E110" s="17"/>
      <c r="F110" s="20"/>
      <c r="G110" s="36"/>
      <c r="H110" s="36"/>
      <c r="I110" s="8"/>
      <c r="J110" s="8"/>
      <c r="K110" s="8"/>
      <c r="L110" s="8"/>
      <c r="M110" s="8"/>
      <c r="N110" s="8"/>
      <c r="O110" s="8"/>
      <c r="P110" s="77"/>
      <c r="Q110" s="60"/>
    </row>
    <row r="111" spans="1:17" ht="15.75">
      <c r="A111" s="52">
        <v>1</v>
      </c>
      <c r="B111" s="51" t="s">
        <v>247</v>
      </c>
      <c r="C111" s="48" t="s">
        <v>248</v>
      </c>
      <c r="D111" s="67" t="s">
        <v>249</v>
      </c>
      <c r="E111" s="17">
        <v>43166</v>
      </c>
      <c r="F111" s="20" t="s">
        <v>250</v>
      </c>
      <c r="G111" s="36">
        <v>1870880</v>
      </c>
      <c r="H111" s="36">
        <v>53887000</v>
      </c>
      <c r="I111" s="8">
        <v>1393947</v>
      </c>
      <c r="J111" s="8">
        <v>635767</v>
      </c>
      <c r="K111" s="8">
        <v>442421</v>
      </c>
      <c r="L111" s="8">
        <v>200000</v>
      </c>
      <c r="M111" s="8">
        <f>SUM(G111:L111)</f>
        <v>58430015</v>
      </c>
      <c r="N111" s="8">
        <f>100000000-M111</f>
        <v>41569985</v>
      </c>
      <c r="O111" s="8">
        <f t="shared" ref="O111" si="22">+M111+N111</f>
        <v>100000000</v>
      </c>
      <c r="P111" s="77" t="s">
        <v>124</v>
      </c>
      <c r="Q111" s="60" t="s">
        <v>52</v>
      </c>
    </row>
    <row r="112" spans="1:17" ht="15.75">
      <c r="A112" s="52"/>
      <c r="B112" s="51"/>
      <c r="C112" s="48"/>
      <c r="E112" s="17"/>
      <c r="F112" s="48"/>
      <c r="G112" s="36"/>
      <c r="H112" s="36"/>
      <c r="I112" s="36"/>
      <c r="J112" s="36"/>
      <c r="K112" s="36"/>
      <c r="M112" s="8"/>
      <c r="N112" s="8"/>
      <c r="O112" s="8"/>
      <c r="P112" s="59"/>
      <c r="Q112" s="66"/>
    </row>
    <row r="113" spans="1:17" ht="16.5" thickBot="1">
      <c r="A113" s="18"/>
      <c r="B113" s="55"/>
      <c r="C113" s="56"/>
      <c r="D113" s="74"/>
      <c r="E113" s="56"/>
      <c r="F113" s="57"/>
      <c r="G113" s="19">
        <f t="shared" ref="G113" si="23">SUM(G110:G112)</f>
        <v>1870880</v>
      </c>
      <c r="H113" s="19">
        <f t="shared" ref="H113:O113" si="24">SUM(H110:H112)</f>
        <v>53887000</v>
      </c>
      <c r="I113" s="19">
        <f t="shared" si="24"/>
        <v>1393947</v>
      </c>
      <c r="J113" s="19">
        <f t="shared" si="24"/>
        <v>635767</v>
      </c>
      <c r="K113" s="19">
        <f t="shared" si="24"/>
        <v>442421</v>
      </c>
      <c r="L113" s="19">
        <f t="shared" si="24"/>
        <v>200000</v>
      </c>
      <c r="M113" s="19">
        <f t="shared" si="24"/>
        <v>58430015</v>
      </c>
      <c r="N113" s="19">
        <f t="shared" si="24"/>
        <v>41569985</v>
      </c>
      <c r="O113" s="19">
        <f t="shared" si="24"/>
        <v>100000000</v>
      </c>
      <c r="P113" s="68"/>
      <c r="Q113" s="70"/>
    </row>
    <row r="114" spans="1:17" ht="16.5" thickTop="1">
      <c r="A114" s="23"/>
      <c r="B114" s="22"/>
      <c r="C114" s="22"/>
      <c r="D114" s="23"/>
      <c r="E114" s="22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2"/>
      <c r="Q114" s="69"/>
    </row>
    <row r="115" spans="1:17" ht="15.75">
      <c r="A115" s="23"/>
      <c r="B115" s="28" t="s">
        <v>251</v>
      </c>
      <c r="C115" s="22"/>
      <c r="D115" s="39"/>
      <c r="F115" s="27"/>
      <c r="G115" s="28"/>
      <c r="H115" s="28"/>
      <c r="I115" s="28"/>
      <c r="J115" s="28"/>
      <c r="K115" s="28"/>
      <c r="L115" s="28"/>
      <c r="Q115" s="51"/>
    </row>
    <row r="116" spans="1:17" ht="15.75">
      <c r="A116" s="38"/>
      <c r="B116" s="40" t="s">
        <v>32</v>
      </c>
      <c r="C116" s="28" t="s">
        <v>28</v>
      </c>
      <c r="D116" s="39"/>
      <c r="F116" s="41"/>
      <c r="G116" s="127" t="s">
        <v>26</v>
      </c>
      <c r="H116" s="127"/>
      <c r="I116" s="127"/>
      <c r="K116" s="41"/>
    </row>
    <row r="117" spans="1:17" ht="15.75">
      <c r="A117" s="38"/>
      <c r="B117" s="40"/>
      <c r="C117" s="28"/>
      <c r="D117" s="39"/>
      <c r="F117" s="28"/>
      <c r="G117" s="28"/>
      <c r="H117" s="28"/>
      <c r="I117" s="28"/>
      <c r="J117" s="28"/>
      <c r="K117" s="28"/>
      <c r="L117" s="28"/>
    </row>
    <row r="118" spans="1:17" ht="15.75">
      <c r="A118" s="38"/>
      <c r="B118" s="40"/>
      <c r="C118" s="28"/>
      <c r="D118" s="39"/>
      <c r="F118" s="28"/>
      <c r="G118" s="28"/>
      <c r="H118" s="28"/>
      <c r="I118" s="28"/>
      <c r="J118" s="28"/>
      <c r="K118" s="28"/>
      <c r="L118" s="28"/>
    </row>
    <row r="119" spans="1:17" ht="15.75">
      <c r="A119" s="38"/>
      <c r="B119" s="40"/>
      <c r="C119" s="28"/>
      <c r="D119" s="39"/>
      <c r="F119" s="28"/>
      <c r="G119" s="28"/>
      <c r="H119" s="28"/>
      <c r="I119" s="28"/>
      <c r="J119" s="28"/>
      <c r="K119" s="28"/>
    </row>
    <row r="120" spans="1:17" ht="15.75">
      <c r="A120" s="38"/>
      <c r="B120" s="40"/>
      <c r="C120" s="28"/>
      <c r="D120" s="39"/>
      <c r="F120" s="28"/>
      <c r="G120" s="28"/>
      <c r="H120" s="28"/>
      <c r="I120" s="28"/>
      <c r="J120" s="28"/>
      <c r="K120" s="28"/>
      <c r="L120" s="28"/>
    </row>
    <row r="121" spans="1:17" ht="15.75">
      <c r="A121" s="38" t="s">
        <v>23</v>
      </c>
      <c r="B121" s="42" t="s">
        <v>27</v>
      </c>
      <c r="C121" s="43" t="s">
        <v>24</v>
      </c>
      <c r="D121" s="39"/>
      <c r="F121" s="29"/>
      <c r="G121" s="29" t="s">
        <v>16</v>
      </c>
      <c r="H121" s="29"/>
      <c r="I121" s="29" t="s">
        <v>30</v>
      </c>
    </row>
    <row r="122" spans="1:17" ht="15.75">
      <c r="A122" s="38"/>
      <c r="B122" s="44" t="s">
        <v>31</v>
      </c>
      <c r="C122" s="45" t="s">
        <v>20</v>
      </c>
      <c r="D122" s="39"/>
      <c r="F122" s="46"/>
      <c r="G122" s="46" t="s">
        <v>17</v>
      </c>
      <c r="H122" s="46"/>
      <c r="I122" s="46" t="s">
        <v>25</v>
      </c>
    </row>
    <row r="124" spans="1:17" ht="15.75">
      <c r="A124" s="21" t="s">
        <v>0</v>
      </c>
      <c r="B124" s="22"/>
      <c r="C124" s="23"/>
      <c r="D124" s="23"/>
      <c r="E124" s="23"/>
      <c r="F124" s="24"/>
      <c r="G124" s="24"/>
      <c r="H124" s="24"/>
      <c r="I124" s="24"/>
      <c r="J124" s="24"/>
      <c r="K124" s="24"/>
      <c r="L124" s="25"/>
    </row>
    <row r="125" spans="1:17" ht="15.75">
      <c r="A125" s="26" t="s">
        <v>252</v>
      </c>
      <c r="B125" s="21"/>
      <c r="C125" s="21"/>
      <c r="D125" s="21"/>
      <c r="E125" s="21"/>
      <c r="F125" s="24"/>
      <c r="G125" s="24"/>
      <c r="H125" s="24"/>
      <c r="I125" s="24"/>
      <c r="J125" s="24"/>
      <c r="K125" s="24"/>
      <c r="L125" s="25"/>
    </row>
    <row r="126" spans="1:17" ht="15.75">
      <c r="A126" s="1"/>
      <c r="B126" s="1" t="s">
        <v>1</v>
      </c>
      <c r="C126" s="2" t="s">
        <v>2</v>
      </c>
      <c r="D126" s="71" t="s">
        <v>34</v>
      </c>
      <c r="E126" s="3" t="s">
        <v>3</v>
      </c>
      <c r="F126" s="2" t="s">
        <v>4</v>
      </c>
      <c r="G126" s="4" t="s">
        <v>18</v>
      </c>
      <c r="H126" s="4" t="s">
        <v>18</v>
      </c>
      <c r="I126" s="63" t="s">
        <v>7</v>
      </c>
      <c r="J126" s="65" t="s">
        <v>6</v>
      </c>
      <c r="K126" s="32" t="s">
        <v>29</v>
      </c>
      <c r="L126" s="32" t="s">
        <v>21</v>
      </c>
      <c r="M126" s="4" t="s">
        <v>8</v>
      </c>
      <c r="N126" s="30" t="s">
        <v>8</v>
      </c>
      <c r="O126" s="4" t="s">
        <v>9</v>
      </c>
      <c r="P126" s="62" t="s">
        <v>10</v>
      </c>
      <c r="Q126" s="54" t="s">
        <v>33</v>
      </c>
    </row>
    <row r="127" spans="1:17" ht="15.75">
      <c r="A127" s="5"/>
      <c r="B127" s="5"/>
      <c r="C127" s="6"/>
      <c r="D127" s="60"/>
      <c r="E127" s="7"/>
      <c r="F127" s="6"/>
      <c r="G127" s="8" t="s">
        <v>11</v>
      </c>
      <c r="H127" s="8" t="s">
        <v>11</v>
      </c>
      <c r="I127" s="31" t="s">
        <v>19</v>
      </c>
      <c r="J127" s="61" t="s">
        <v>35</v>
      </c>
      <c r="K127" s="33" t="s">
        <v>22</v>
      </c>
      <c r="L127" s="33" t="s">
        <v>15</v>
      </c>
      <c r="M127" s="8" t="s">
        <v>13</v>
      </c>
      <c r="N127" s="31" t="s">
        <v>14</v>
      </c>
      <c r="O127" s="8" t="s">
        <v>12</v>
      </c>
      <c r="P127" s="5"/>
      <c r="Q127" s="9"/>
    </row>
    <row r="128" spans="1:17" ht="15.75">
      <c r="A128" s="5"/>
      <c r="B128" s="5"/>
      <c r="C128" s="10"/>
      <c r="D128" s="60"/>
      <c r="E128" s="7"/>
      <c r="F128" s="6"/>
      <c r="G128" s="8" t="s">
        <v>81</v>
      </c>
      <c r="H128" s="8" t="s">
        <v>22</v>
      </c>
      <c r="I128" s="31" t="s">
        <v>5</v>
      </c>
      <c r="J128" s="8"/>
      <c r="K128" s="8"/>
      <c r="L128" s="8"/>
      <c r="M128" s="8"/>
      <c r="N128" s="8"/>
      <c r="O128" s="8"/>
      <c r="P128" s="5"/>
      <c r="Q128" s="9"/>
    </row>
    <row r="129" spans="1:17" ht="15.75">
      <c r="A129" s="11"/>
      <c r="B129" s="11"/>
      <c r="C129" s="12"/>
      <c r="D129" s="72"/>
      <c r="E129" s="13"/>
      <c r="F129" s="14"/>
      <c r="G129" s="15"/>
      <c r="H129" s="50"/>
      <c r="I129" s="15"/>
      <c r="J129" s="49"/>
      <c r="K129" s="53"/>
      <c r="L129" s="75"/>
      <c r="M129" s="15"/>
      <c r="N129" s="15"/>
      <c r="O129" s="15"/>
      <c r="P129" s="11"/>
      <c r="Q129" s="16"/>
    </row>
    <row r="130" spans="1:17" ht="15.75">
      <c r="A130" s="52"/>
      <c r="B130" s="47"/>
      <c r="C130" s="48"/>
      <c r="D130" s="73"/>
      <c r="E130" s="17"/>
      <c r="F130" s="48"/>
      <c r="G130" s="36"/>
      <c r="H130" s="36"/>
      <c r="I130" s="36"/>
      <c r="J130" s="36"/>
      <c r="K130" s="8"/>
      <c r="M130" s="8"/>
      <c r="N130" s="8"/>
      <c r="O130" s="8"/>
      <c r="P130" s="35"/>
      <c r="Q130" s="37"/>
    </row>
    <row r="131" spans="1:17" ht="15.75">
      <c r="A131" s="52">
        <v>1</v>
      </c>
      <c r="B131" s="51" t="s">
        <v>253</v>
      </c>
      <c r="C131" s="48" t="s">
        <v>254</v>
      </c>
      <c r="D131" s="67" t="s">
        <v>255</v>
      </c>
      <c r="E131" s="17">
        <v>43167</v>
      </c>
      <c r="F131" s="20" t="s">
        <v>256</v>
      </c>
      <c r="G131" s="36">
        <v>0</v>
      </c>
      <c r="H131" s="36">
        <v>97881212</v>
      </c>
      <c r="I131" s="8">
        <v>2447030</v>
      </c>
      <c r="J131" s="8">
        <v>2577317</v>
      </c>
      <c r="K131" s="8">
        <v>300000</v>
      </c>
      <c r="L131" s="8">
        <v>200000</v>
      </c>
      <c r="M131" s="8">
        <f>SUM(G131:L131)</f>
        <v>103405559</v>
      </c>
      <c r="N131" s="8">
        <f>133405559-M131</f>
        <v>30000000</v>
      </c>
      <c r="O131" s="8">
        <f t="shared" ref="O131" si="25">+M131+N131</f>
        <v>133405559</v>
      </c>
      <c r="P131" s="77" t="s">
        <v>134</v>
      </c>
      <c r="Q131" s="60" t="s">
        <v>52</v>
      </c>
    </row>
    <row r="132" spans="1:17" ht="15.75">
      <c r="A132" s="52"/>
      <c r="B132" s="51"/>
      <c r="C132" s="48"/>
      <c r="E132" s="17"/>
      <c r="F132" s="48"/>
      <c r="G132" s="36"/>
      <c r="H132" s="36"/>
      <c r="I132" s="36"/>
      <c r="J132" s="36"/>
      <c r="K132" s="36"/>
      <c r="M132" s="8"/>
      <c r="N132" s="8"/>
      <c r="O132" s="8"/>
      <c r="P132" s="59"/>
      <c r="Q132" s="66"/>
    </row>
    <row r="133" spans="1:17" ht="16.5" thickBot="1">
      <c r="A133" s="18"/>
      <c r="B133" s="55"/>
      <c r="C133" s="56"/>
      <c r="D133" s="74"/>
      <c r="E133" s="56"/>
      <c r="F133" s="57"/>
      <c r="G133" s="19">
        <f t="shared" ref="G133:O133" si="26">SUM(G131:G132)</f>
        <v>0</v>
      </c>
      <c r="H133" s="19">
        <f t="shared" si="26"/>
        <v>97881212</v>
      </c>
      <c r="I133" s="19">
        <f t="shared" si="26"/>
        <v>2447030</v>
      </c>
      <c r="J133" s="19">
        <f t="shared" si="26"/>
        <v>2577317</v>
      </c>
      <c r="K133" s="19">
        <f t="shared" si="26"/>
        <v>300000</v>
      </c>
      <c r="L133" s="19">
        <f t="shared" si="26"/>
        <v>200000</v>
      </c>
      <c r="M133" s="19">
        <f t="shared" si="26"/>
        <v>103405559</v>
      </c>
      <c r="N133" s="19">
        <f t="shared" si="26"/>
        <v>30000000</v>
      </c>
      <c r="O133" s="19">
        <f t="shared" si="26"/>
        <v>133405559</v>
      </c>
      <c r="P133" s="68"/>
      <c r="Q133" s="70"/>
    </row>
    <row r="134" spans="1:17" ht="16.5" thickTop="1">
      <c r="A134" s="23"/>
      <c r="B134" s="22"/>
      <c r="C134" s="22"/>
      <c r="D134" s="23"/>
      <c r="E134" s="22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2"/>
      <c r="Q134" s="69"/>
    </row>
    <row r="135" spans="1:17" ht="15.75">
      <c r="A135" s="23"/>
      <c r="B135" s="28" t="s">
        <v>257</v>
      </c>
      <c r="C135" s="22"/>
      <c r="D135" s="39"/>
      <c r="F135" s="27"/>
      <c r="G135" s="28"/>
      <c r="H135" s="28"/>
      <c r="I135" s="28"/>
      <c r="J135" s="28"/>
      <c r="K135" s="28"/>
      <c r="L135" s="28"/>
      <c r="Q135" s="51"/>
    </row>
    <row r="136" spans="1:17" ht="15.75">
      <c r="A136" s="38"/>
      <c r="B136" s="40" t="s">
        <v>32</v>
      </c>
      <c r="C136" s="28" t="s">
        <v>28</v>
      </c>
      <c r="D136" s="39"/>
      <c r="F136" s="41"/>
      <c r="G136" s="127" t="s">
        <v>26</v>
      </c>
      <c r="H136" s="127"/>
      <c r="I136" s="127"/>
      <c r="K136" s="41"/>
    </row>
    <row r="137" spans="1:17" ht="15.75">
      <c r="A137" s="38"/>
      <c r="B137" s="40"/>
      <c r="C137" s="28"/>
      <c r="D137" s="39"/>
      <c r="F137" s="28"/>
      <c r="G137" s="28"/>
      <c r="H137" s="28"/>
      <c r="I137" s="28"/>
      <c r="J137" s="28"/>
      <c r="K137" s="28"/>
      <c r="L137" s="28"/>
    </row>
    <row r="138" spans="1:17" ht="15.75">
      <c r="A138" s="38"/>
      <c r="B138" s="40"/>
      <c r="C138" s="28"/>
      <c r="D138" s="39"/>
      <c r="F138" s="28"/>
      <c r="G138" s="28"/>
      <c r="H138" s="28"/>
      <c r="I138" s="28"/>
      <c r="J138" s="28"/>
      <c r="K138" s="28"/>
      <c r="L138" s="28"/>
    </row>
    <row r="139" spans="1:17" ht="15.75">
      <c r="A139" s="38"/>
      <c r="B139" s="40"/>
      <c r="C139" s="28"/>
      <c r="D139" s="39"/>
      <c r="F139" s="28"/>
      <c r="G139" s="28"/>
      <c r="H139" s="28"/>
      <c r="I139" s="28"/>
      <c r="J139" s="28"/>
      <c r="K139" s="28"/>
    </row>
    <row r="140" spans="1:17" ht="15.75">
      <c r="A140" s="38"/>
      <c r="B140" s="40"/>
      <c r="C140" s="28"/>
      <c r="D140" s="39"/>
      <c r="F140" s="28"/>
      <c r="G140" s="28"/>
      <c r="H140" s="28"/>
      <c r="I140" s="28"/>
      <c r="J140" s="28"/>
      <c r="K140" s="28"/>
      <c r="L140" s="28"/>
    </row>
    <row r="141" spans="1:17" ht="15.75">
      <c r="A141" s="38" t="s">
        <v>23</v>
      </c>
      <c r="B141" s="42" t="s">
        <v>27</v>
      </c>
      <c r="C141" s="43" t="s">
        <v>24</v>
      </c>
      <c r="D141" s="39"/>
      <c r="F141" s="29"/>
      <c r="G141" s="29" t="s">
        <v>16</v>
      </c>
      <c r="H141" s="29"/>
      <c r="I141" s="29" t="s">
        <v>30</v>
      </c>
    </row>
    <row r="142" spans="1:17" ht="15.75">
      <c r="A142" s="38"/>
      <c r="B142" s="44" t="s">
        <v>31</v>
      </c>
      <c r="C142" s="45" t="s">
        <v>20</v>
      </c>
      <c r="D142" s="39"/>
      <c r="F142" s="46"/>
      <c r="G142" s="46" t="s">
        <v>17</v>
      </c>
      <c r="H142" s="46"/>
      <c r="I142" s="46" t="s">
        <v>25</v>
      </c>
    </row>
    <row r="144" spans="1:17" ht="15.75">
      <c r="A144" s="21" t="s">
        <v>0</v>
      </c>
      <c r="B144" s="22"/>
      <c r="C144" s="23"/>
      <c r="D144" s="23"/>
      <c r="E144" s="23"/>
      <c r="F144" s="24"/>
      <c r="G144" s="24"/>
      <c r="H144" s="24"/>
      <c r="I144" s="24"/>
      <c r="J144" s="24"/>
      <c r="K144" s="24"/>
      <c r="L144" s="25"/>
    </row>
    <row r="145" spans="1:17" ht="15.75">
      <c r="A145" s="26" t="s">
        <v>258</v>
      </c>
      <c r="B145" s="21"/>
      <c r="C145" s="21"/>
      <c r="D145" s="21"/>
      <c r="E145" s="21"/>
      <c r="F145" s="24"/>
      <c r="G145" s="24"/>
      <c r="H145" s="24"/>
      <c r="I145" s="24"/>
      <c r="J145" s="24"/>
      <c r="K145" s="24"/>
      <c r="L145" s="25"/>
    </row>
    <row r="146" spans="1:17" ht="15.75">
      <c r="A146" s="62"/>
      <c r="B146" s="62" t="s">
        <v>1</v>
      </c>
      <c r="C146" s="93" t="s">
        <v>2</v>
      </c>
      <c r="D146" s="94" t="s">
        <v>34</v>
      </c>
      <c r="E146" s="95" t="s">
        <v>3</v>
      </c>
      <c r="F146" s="93" t="s">
        <v>4</v>
      </c>
      <c r="G146" s="96" t="s">
        <v>18</v>
      </c>
      <c r="H146" s="96" t="s">
        <v>18</v>
      </c>
      <c r="I146" s="97" t="s">
        <v>7</v>
      </c>
      <c r="J146" s="96" t="s">
        <v>6</v>
      </c>
      <c r="K146" s="96" t="s">
        <v>29</v>
      </c>
      <c r="L146" s="96" t="s">
        <v>21</v>
      </c>
      <c r="M146" s="96" t="s">
        <v>8</v>
      </c>
      <c r="N146" s="96" t="s">
        <v>8</v>
      </c>
      <c r="O146" s="96" t="s">
        <v>9</v>
      </c>
      <c r="P146" s="62" t="s">
        <v>10</v>
      </c>
      <c r="Q146" s="98" t="s">
        <v>33</v>
      </c>
    </row>
    <row r="147" spans="1:17">
      <c r="A147" s="99"/>
      <c r="B147" s="99"/>
      <c r="C147" s="100"/>
      <c r="D147" s="101"/>
      <c r="E147" s="102"/>
      <c r="F147" s="100"/>
      <c r="G147" s="103" t="s">
        <v>11</v>
      </c>
      <c r="H147" s="103" t="s">
        <v>11</v>
      </c>
      <c r="I147" s="103" t="s">
        <v>19</v>
      </c>
      <c r="J147" s="103" t="s">
        <v>35</v>
      </c>
      <c r="K147" s="103" t="s">
        <v>22</v>
      </c>
      <c r="L147" s="103" t="s">
        <v>15</v>
      </c>
      <c r="M147" s="103" t="s">
        <v>13</v>
      </c>
      <c r="N147" s="103" t="s">
        <v>14</v>
      </c>
      <c r="O147" s="103" t="s">
        <v>12</v>
      </c>
      <c r="P147" s="99"/>
      <c r="Q147" s="104"/>
    </row>
    <row r="148" spans="1:17">
      <c r="A148" s="99"/>
      <c r="B148" s="99"/>
      <c r="C148" s="105"/>
      <c r="D148" s="101"/>
      <c r="E148" s="102"/>
      <c r="F148" s="100"/>
      <c r="G148" s="103" t="s">
        <v>41</v>
      </c>
      <c r="H148" s="103" t="s">
        <v>81</v>
      </c>
      <c r="I148" s="103" t="s">
        <v>5</v>
      </c>
      <c r="J148" s="103"/>
      <c r="K148" s="103"/>
      <c r="L148" s="103"/>
      <c r="M148" s="103"/>
      <c r="N148" s="103"/>
      <c r="O148" s="103"/>
      <c r="P148" s="99"/>
      <c r="Q148" s="104"/>
    </row>
    <row r="149" spans="1:17">
      <c r="A149" s="106"/>
      <c r="B149" s="106"/>
      <c r="C149" s="107"/>
      <c r="D149" s="108"/>
      <c r="E149" s="109"/>
      <c r="F149" s="110"/>
      <c r="G149" s="111"/>
      <c r="H149" s="112"/>
      <c r="I149" s="111"/>
      <c r="J149" s="111"/>
      <c r="K149" s="113"/>
      <c r="L149" s="108"/>
      <c r="M149" s="111"/>
      <c r="N149" s="111"/>
      <c r="O149" s="111"/>
      <c r="P149" s="106"/>
      <c r="Q149" s="114"/>
    </row>
    <row r="150" spans="1:17" ht="15.75">
      <c r="A150" s="52"/>
      <c r="B150" s="47"/>
      <c r="C150" s="48"/>
      <c r="D150" s="73"/>
      <c r="E150" s="17"/>
      <c r="F150" s="48"/>
      <c r="G150" s="36"/>
      <c r="H150" s="36"/>
      <c r="I150" s="36"/>
      <c r="J150" s="36"/>
      <c r="K150" s="8"/>
      <c r="M150" s="8"/>
      <c r="N150" s="8"/>
      <c r="O150" s="8"/>
      <c r="P150" s="35"/>
      <c r="Q150" s="37"/>
    </row>
    <row r="151" spans="1:17" ht="15.75">
      <c r="A151" s="52">
        <v>1</v>
      </c>
      <c r="B151" s="91" t="s">
        <v>259</v>
      </c>
      <c r="C151" s="48" t="s">
        <v>260</v>
      </c>
      <c r="D151" s="67" t="s">
        <v>261</v>
      </c>
      <c r="E151" s="17">
        <v>43171</v>
      </c>
      <c r="F151" s="20" t="s">
        <v>262</v>
      </c>
      <c r="G151" s="36">
        <f>21249500</f>
        <v>21249500</v>
      </c>
      <c r="H151" s="36">
        <v>0</v>
      </c>
      <c r="I151" s="8">
        <f>531238</f>
        <v>531238</v>
      </c>
      <c r="J151" s="8">
        <v>953917</v>
      </c>
      <c r="K151" s="8">
        <v>500000</v>
      </c>
      <c r="L151" s="8">
        <v>200000</v>
      </c>
      <c r="M151" s="8">
        <f>SUM(G151:L151)</f>
        <v>23434655</v>
      </c>
      <c r="N151" s="8">
        <f>80000000-M151</f>
        <v>56565345</v>
      </c>
      <c r="O151" s="8">
        <f t="shared" ref="O151" si="27">+M151+N151</f>
        <v>80000000</v>
      </c>
      <c r="P151" s="77" t="s">
        <v>263</v>
      </c>
      <c r="Q151" s="60" t="s">
        <v>52</v>
      </c>
    </row>
    <row r="152" spans="1:17" ht="15.75">
      <c r="A152" s="52"/>
      <c r="B152" s="51"/>
      <c r="C152" s="48"/>
      <c r="E152" s="17"/>
      <c r="F152" s="48"/>
      <c r="G152" s="36"/>
      <c r="H152" s="36"/>
      <c r="I152" s="36"/>
      <c r="J152" s="36"/>
      <c r="K152" s="36"/>
      <c r="M152" s="8"/>
      <c r="N152" s="8"/>
      <c r="O152" s="8"/>
      <c r="P152" s="59"/>
      <c r="Q152" s="66"/>
    </row>
    <row r="153" spans="1:17" ht="16.5" thickBot="1">
      <c r="A153" s="18"/>
      <c r="B153" s="55"/>
      <c r="C153" s="56"/>
      <c r="D153" s="74"/>
      <c r="E153" s="56"/>
      <c r="F153" s="57"/>
      <c r="G153" s="19">
        <f t="shared" ref="G153" si="28">SUM(G151:G152)</f>
        <v>21249500</v>
      </c>
      <c r="H153" s="19">
        <f t="shared" ref="H153:O153" si="29">SUM(H151:H152)</f>
        <v>0</v>
      </c>
      <c r="I153" s="19">
        <f t="shared" si="29"/>
        <v>531238</v>
      </c>
      <c r="J153" s="19">
        <f t="shared" si="29"/>
        <v>953917</v>
      </c>
      <c r="K153" s="19">
        <f t="shared" si="29"/>
        <v>500000</v>
      </c>
      <c r="L153" s="19">
        <f t="shared" si="29"/>
        <v>200000</v>
      </c>
      <c r="M153" s="19">
        <f t="shared" si="29"/>
        <v>23434655</v>
      </c>
      <c r="N153" s="19">
        <f t="shared" si="29"/>
        <v>56565345</v>
      </c>
      <c r="O153" s="19">
        <f t="shared" si="29"/>
        <v>80000000</v>
      </c>
      <c r="P153" s="68"/>
      <c r="Q153" s="70"/>
    </row>
    <row r="154" spans="1:17" ht="16.5" thickTop="1">
      <c r="A154" s="23"/>
      <c r="B154" s="22"/>
      <c r="C154" s="22"/>
      <c r="D154" s="23"/>
      <c r="E154" s="22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2"/>
      <c r="Q154" s="69"/>
    </row>
    <row r="155" spans="1:17" ht="15.75">
      <c r="A155" s="23"/>
      <c r="B155" s="28" t="s">
        <v>264</v>
      </c>
      <c r="C155" s="22"/>
      <c r="D155" s="39"/>
      <c r="F155" s="27"/>
      <c r="G155" s="28"/>
      <c r="H155" s="28"/>
      <c r="I155" s="28"/>
      <c r="J155" s="28"/>
      <c r="K155" s="28"/>
      <c r="L155" s="28"/>
      <c r="Q155" s="51"/>
    </row>
    <row r="156" spans="1:17" ht="15.75">
      <c r="A156" s="38"/>
      <c r="B156" s="40" t="s">
        <v>32</v>
      </c>
      <c r="C156" s="28" t="s">
        <v>28</v>
      </c>
      <c r="D156" s="39"/>
      <c r="F156" s="41"/>
      <c r="G156" s="127" t="s">
        <v>26</v>
      </c>
      <c r="H156" s="127"/>
      <c r="I156" s="127"/>
      <c r="K156" s="41"/>
    </row>
    <row r="157" spans="1:17" ht="15.75">
      <c r="A157" s="38"/>
      <c r="B157" s="40"/>
      <c r="C157" s="28"/>
      <c r="D157" s="39"/>
      <c r="F157" s="28"/>
      <c r="G157" s="28"/>
      <c r="H157" s="28"/>
      <c r="I157" s="28"/>
      <c r="J157" s="28"/>
      <c r="K157" s="28"/>
      <c r="L157" s="28"/>
    </row>
    <row r="158" spans="1:17" ht="15.75">
      <c r="A158" s="38"/>
      <c r="B158" s="40"/>
      <c r="C158" s="28"/>
      <c r="D158" s="39"/>
      <c r="F158" s="28"/>
      <c r="G158" s="28"/>
      <c r="H158" s="28"/>
      <c r="I158" s="28"/>
      <c r="J158" s="28"/>
      <c r="K158" s="28"/>
      <c r="L158" s="28"/>
    </row>
    <row r="159" spans="1:17" ht="15.75">
      <c r="A159" s="38"/>
      <c r="B159" s="40"/>
      <c r="C159" s="28"/>
      <c r="D159" s="39"/>
      <c r="F159" s="28"/>
      <c r="G159" s="28"/>
      <c r="H159" s="28"/>
      <c r="I159" s="28"/>
      <c r="J159" s="28"/>
      <c r="K159" s="28"/>
    </row>
    <row r="160" spans="1:17" ht="15.75">
      <c r="A160" s="38"/>
      <c r="B160" s="40"/>
      <c r="C160" s="28"/>
      <c r="D160" s="39"/>
      <c r="F160" s="28"/>
      <c r="G160" s="28"/>
      <c r="H160" s="28"/>
      <c r="I160" s="28"/>
      <c r="J160" s="28"/>
      <c r="K160" s="28"/>
      <c r="L160" s="28"/>
    </row>
    <row r="161" spans="1:17" ht="15.75">
      <c r="A161" s="38" t="s">
        <v>23</v>
      </c>
      <c r="B161" s="42" t="s">
        <v>27</v>
      </c>
      <c r="C161" s="43" t="s">
        <v>24</v>
      </c>
      <c r="D161" s="39"/>
      <c r="F161" s="29"/>
      <c r="G161" s="29" t="s">
        <v>16</v>
      </c>
      <c r="H161" s="29"/>
      <c r="I161" s="29" t="s">
        <v>30</v>
      </c>
    </row>
    <row r="162" spans="1:17" ht="15.75">
      <c r="A162" s="38"/>
      <c r="B162" s="44" t="s">
        <v>31</v>
      </c>
      <c r="C162" s="45" t="s">
        <v>20</v>
      </c>
      <c r="D162" s="39"/>
      <c r="F162" s="46"/>
      <c r="G162" s="46" t="s">
        <v>17</v>
      </c>
      <c r="H162" s="46"/>
      <c r="I162" s="46" t="s">
        <v>25</v>
      </c>
    </row>
    <row r="164" spans="1:17" ht="15.75">
      <c r="A164" s="21" t="s">
        <v>0</v>
      </c>
      <c r="B164" s="22"/>
      <c r="C164" s="23"/>
      <c r="D164" s="23"/>
      <c r="E164" s="23"/>
      <c r="F164" s="24"/>
      <c r="G164" s="24"/>
      <c r="H164" s="24"/>
      <c r="I164" s="24"/>
      <c r="J164" s="24"/>
      <c r="K164" s="24"/>
      <c r="L164" s="25"/>
    </row>
    <row r="165" spans="1:17" ht="15.75">
      <c r="A165" s="26" t="s">
        <v>265</v>
      </c>
      <c r="B165" s="21"/>
      <c r="C165" s="21"/>
      <c r="D165" s="21"/>
      <c r="E165" s="21"/>
      <c r="F165" s="24"/>
      <c r="G165" s="24"/>
      <c r="H165" s="24"/>
      <c r="I165" s="24"/>
      <c r="J165" s="24"/>
      <c r="K165" s="24"/>
      <c r="L165" s="25"/>
    </row>
    <row r="166" spans="1:17" ht="15.75">
      <c r="A166" s="62"/>
      <c r="B166" s="62" t="s">
        <v>1</v>
      </c>
      <c r="C166" s="93" t="s">
        <v>2</v>
      </c>
      <c r="D166" s="94" t="s">
        <v>34</v>
      </c>
      <c r="E166" s="95" t="s">
        <v>3</v>
      </c>
      <c r="F166" s="93" t="s">
        <v>4</v>
      </c>
      <c r="G166" s="96" t="s">
        <v>18</v>
      </c>
      <c r="H166" s="96" t="s">
        <v>18</v>
      </c>
      <c r="I166" s="97" t="s">
        <v>7</v>
      </c>
      <c r="J166" s="96" t="s">
        <v>6</v>
      </c>
      <c r="K166" s="96" t="s">
        <v>29</v>
      </c>
      <c r="L166" s="96" t="s">
        <v>21</v>
      </c>
      <c r="M166" s="96" t="s">
        <v>8</v>
      </c>
      <c r="N166" s="96" t="s">
        <v>8</v>
      </c>
      <c r="O166" s="96" t="s">
        <v>9</v>
      </c>
      <c r="P166" s="62" t="s">
        <v>10</v>
      </c>
      <c r="Q166" s="98" t="s">
        <v>33</v>
      </c>
    </row>
    <row r="167" spans="1:17">
      <c r="A167" s="99"/>
      <c r="B167" s="99"/>
      <c r="C167" s="100"/>
      <c r="D167" s="101"/>
      <c r="E167" s="102"/>
      <c r="F167" s="100"/>
      <c r="G167" s="103" t="s">
        <v>11</v>
      </c>
      <c r="H167" s="103" t="s">
        <v>11</v>
      </c>
      <c r="I167" s="103" t="s">
        <v>19</v>
      </c>
      <c r="J167" s="103" t="s">
        <v>35</v>
      </c>
      <c r="K167" s="103" t="s">
        <v>22</v>
      </c>
      <c r="L167" s="103" t="s">
        <v>15</v>
      </c>
      <c r="M167" s="103" t="s">
        <v>13</v>
      </c>
      <c r="N167" s="103" t="s">
        <v>14</v>
      </c>
      <c r="O167" s="103" t="s">
        <v>12</v>
      </c>
      <c r="P167" s="99"/>
      <c r="Q167" s="104"/>
    </row>
    <row r="168" spans="1:17">
      <c r="A168" s="99"/>
      <c r="B168" s="99"/>
      <c r="C168" s="105"/>
      <c r="D168" s="101"/>
      <c r="E168" s="102"/>
      <c r="F168" s="100"/>
      <c r="G168" s="103" t="s">
        <v>41</v>
      </c>
      <c r="H168" s="103" t="s">
        <v>81</v>
      </c>
      <c r="I168" s="103" t="s">
        <v>5</v>
      </c>
      <c r="J168" s="103"/>
      <c r="K168" s="103"/>
      <c r="L168" s="103"/>
      <c r="M168" s="103"/>
      <c r="N168" s="103"/>
      <c r="O168" s="103"/>
      <c r="P168" s="99"/>
      <c r="Q168" s="104"/>
    </row>
    <row r="169" spans="1:17">
      <c r="A169" s="106"/>
      <c r="B169" s="106"/>
      <c r="C169" s="107"/>
      <c r="D169" s="108"/>
      <c r="E169" s="109"/>
      <c r="F169" s="110"/>
      <c r="G169" s="111"/>
      <c r="H169" s="112"/>
      <c r="I169" s="111"/>
      <c r="J169" s="111"/>
      <c r="K169" s="113"/>
      <c r="L169" s="108"/>
      <c r="M169" s="111"/>
      <c r="N169" s="111"/>
      <c r="O169" s="111"/>
      <c r="P169" s="106"/>
      <c r="Q169" s="114"/>
    </row>
    <row r="170" spans="1:17" ht="15.75">
      <c r="A170" s="52"/>
      <c r="B170" s="47"/>
      <c r="C170" s="48"/>
      <c r="D170" s="73"/>
      <c r="E170" s="17"/>
      <c r="F170" s="48"/>
      <c r="G170" s="36"/>
      <c r="H170" s="36"/>
      <c r="I170" s="36"/>
      <c r="J170" s="36"/>
      <c r="K170" s="8"/>
      <c r="M170" s="8"/>
      <c r="N170" s="8"/>
      <c r="O170" s="8"/>
      <c r="P170" s="35"/>
      <c r="Q170" s="37"/>
    </row>
    <row r="171" spans="1:17" ht="15.75">
      <c r="A171" s="52">
        <v>1</v>
      </c>
      <c r="B171" s="116" t="s">
        <v>266</v>
      </c>
      <c r="C171" s="48" t="s">
        <v>267</v>
      </c>
      <c r="D171" s="67" t="s">
        <v>268</v>
      </c>
      <c r="E171" s="17">
        <v>43173</v>
      </c>
      <c r="F171" s="20" t="s">
        <v>269</v>
      </c>
      <c r="G171" s="36">
        <v>31943000</v>
      </c>
      <c r="H171" s="36">
        <v>0</v>
      </c>
      <c r="I171" s="8">
        <v>798575</v>
      </c>
      <c r="J171" s="8">
        <v>459677</v>
      </c>
      <c r="K171" s="8">
        <v>180570</v>
      </c>
      <c r="L171" s="8">
        <v>200000</v>
      </c>
      <c r="M171" s="8">
        <f>SUM(G171:L171)</f>
        <v>33581822</v>
      </c>
      <c r="N171" s="8">
        <f>50000000-M171</f>
        <v>16418178</v>
      </c>
      <c r="O171" s="8">
        <f t="shared" ref="O171" si="30">+M171+N171</f>
        <v>50000000</v>
      </c>
      <c r="P171" s="77" t="s">
        <v>270</v>
      </c>
      <c r="Q171" s="60" t="s">
        <v>52</v>
      </c>
    </row>
    <row r="172" spans="1:17" ht="15.75">
      <c r="A172" s="52">
        <v>2</v>
      </c>
      <c r="B172" s="116" t="s">
        <v>272</v>
      </c>
      <c r="C172" s="48" t="s">
        <v>273</v>
      </c>
      <c r="D172" s="67" t="s">
        <v>274</v>
      </c>
      <c r="E172" s="17">
        <v>43173</v>
      </c>
      <c r="F172" s="20" t="s">
        <v>275</v>
      </c>
      <c r="G172" s="36">
        <v>21333000</v>
      </c>
      <c r="H172" s="36">
        <v>0</v>
      </c>
      <c r="I172" s="8">
        <v>533325</v>
      </c>
      <c r="J172" s="8">
        <v>752074</v>
      </c>
      <c r="K172" s="8">
        <v>200000</v>
      </c>
      <c r="L172" s="8">
        <v>200000</v>
      </c>
      <c r="M172" s="8">
        <f>SUM(G172:L172)</f>
        <v>23018399</v>
      </c>
      <c r="N172" s="8">
        <f>50000000-M172</f>
        <v>26981601</v>
      </c>
      <c r="O172" s="8">
        <f t="shared" ref="O172" si="31">+M172+N172</f>
        <v>50000000</v>
      </c>
      <c r="P172" s="77" t="s">
        <v>124</v>
      </c>
      <c r="Q172" s="60" t="s">
        <v>52</v>
      </c>
    </row>
    <row r="173" spans="1:17" ht="15.75">
      <c r="A173" s="52"/>
      <c r="B173" s="51"/>
      <c r="C173" s="48"/>
      <c r="E173" s="17"/>
      <c r="F173" s="48"/>
      <c r="G173" s="36"/>
      <c r="H173" s="36"/>
      <c r="I173" s="36"/>
      <c r="J173" s="36"/>
      <c r="K173" s="36"/>
      <c r="M173" s="8"/>
      <c r="N173" s="8"/>
      <c r="O173" s="8"/>
      <c r="P173" s="59"/>
      <c r="Q173" s="66"/>
    </row>
    <row r="174" spans="1:17" ht="16.5" thickBot="1">
      <c r="A174" s="18"/>
      <c r="B174" s="55"/>
      <c r="C174" s="56"/>
      <c r="D174" s="74"/>
      <c r="E174" s="56"/>
      <c r="F174" s="57"/>
      <c r="G174" s="19">
        <f t="shared" ref="G174" si="32">SUM(G171:G173)</f>
        <v>53276000</v>
      </c>
      <c r="H174" s="19">
        <f t="shared" ref="H174:O174" si="33">SUM(H171:H173)</f>
        <v>0</v>
      </c>
      <c r="I174" s="19">
        <f t="shared" si="33"/>
        <v>1331900</v>
      </c>
      <c r="J174" s="19">
        <f t="shared" si="33"/>
        <v>1211751</v>
      </c>
      <c r="K174" s="19">
        <f t="shared" si="33"/>
        <v>380570</v>
      </c>
      <c r="L174" s="19">
        <f t="shared" si="33"/>
        <v>400000</v>
      </c>
      <c r="M174" s="19">
        <f t="shared" si="33"/>
        <v>56600221</v>
      </c>
      <c r="N174" s="19">
        <f t="shared" si="33"/>
        <v>43399779</v>
      </c>
      <c r="O174" s="19">
        <f t="shared" si="33"/>
        <v>100000000</v>
      </c>
      <c r="P174" s="68"/>
      <c r="Q174" s="70"/>
    </row>
    <row r="175" spans="1:17" ht="16.5" thickTop="1">
      <c r="A175" s="23"/>
      <c r="B175" s="22"/>
      <c r="C175" s="22"/>
      <c r="D175" s="23"/>
      <c r="E175" s="22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2"/>
      <c r="Q175" s="69"/>
    </row>
    <row r="176" spans="1:17" ht="15.75">
      <c r="A176" s="23"/>
      <c r="B176" s="28" t="s">
        <v>271</v>
      </c>
      <c r="C176" s="22"/>
      <c r="D176" s="39"/>
      <c r="F176" s="27"/>
      <c r="G176" s="28"/>
      <c r="H176" s="28"/>
      <c r="I176" s="28"/>
      <c r="J176" s="28"/>
      <c r="K176" s="28"/>
      <c r="L176" s="28"/>
      <c r="Q176" s="51"/>
    </row>
    <row r="177" spans="1:17" ht="15.75">
      <c r="A177" s="38"/>
      <c r="B177" s="40" t="s">
        <v>32</v>
      </c>
      <c r="C177" s="28" t="s">
        <v>28</v>
      </c>
      <c r="D177" s="39"/>
      <c r="F177" s="41"/>
      <c r="G177" s="127" t="s">
        <v>26</v>
      </c>
      <c r="H177" s="127"/>
      <c r="I177" s="127"/>
      <c r="K177" s="41"/>
    </row>
    <row r="178" spans="1:17" ht="15.75">
      <c r="A178" s="38"/>
      <c r="B178" s="40"/>
      <c r="C178" s="28"/>
      <c r="D178" s="39"/>
      <c r="F178" s="28"/>
      <c r="G178" s="28"/>
      <c r="H178" s="28"/>
      <c r="I178" s="28"/>
      <c r="J178" s="28"/>
      <c r="K178" s="28"/>
      <c r="L178" s="28"/>
    </row>
    <row r="179" spans="1:17" ht="15.75">
      <c r="A179" s="38"/>
      <c r="B179" s="40"/>
      <c r="C179" s="28"/>
      <c r="D179" s="39"/>
      <c r="F179" s="28"/>
      <c r="G179" s="28"/>
      <c r="H179" s="28"/>
      <c r="I179" s="28"/>
      <c r="J179" s="28"/>
      <c r="K179" s="28"/>
      <c r="L179" s="28"/>
    </row>
    <row r="180" spans="1:17" ht="15.75">
      <c r="A180" s="38"/>
      <c r="B180" s="40"/>
      <c r="C180" s="28"/>
      <c r="D180" s="39"/>
      <c r="F180" s="28"/>
      <c r="G180" s="28"/>
      <c r="H180" s="28"/>
      <c r="I180" s="28"/>
      <c r="J180" s="28"/>
      <c r="K180" s="28"/>
    </row>
    <row r="181" spans="1:17" ht="15.75">
      <c r="A181" s="38"/>
      <c r="B181" s="40"/>
      <c r="C181" s="28"/>
      <c r="D181" s="39"/>
      <c r="F181" s="28"/>
      <c r="G181" s="28"/>
      <c r="H181" s="28"/>
      <c r="I181" s="28"/>
      <c r="J181" s="28"/>
      <c r="K181" s="28"/>
      <c r="L181" s="28"/>
    </row>
    <row r="182" spans="1:17" ht="15.75">
      <c r="A182" s="38" t="s">
        <v>23</v>
      </c>
      <c r="B182" s="42" t="s">
        <v>27</v>
      </c>
      <c r="C182" s="43" t="s">
        <v>24</v>
      </c>
      <c r="D182" s="39"/>
      <c r="F182" s="29"/>
      <c r="G182" s="29" t="s">
        <v>16</v>
      </c>
      <c r="H182" s="29"/>
      <c r="I182" s="29" t="s">
        <v>30</v>
      </c>
    </row>
    <row r="183" spans="1:17" ht="15.75">
      <c r="A183" s="38"/>
      <c r="B183" s="44" t="s">
        <v>31</v>
      </c>
      <c r="C183" s="45" t="s">
        <v>20</v>
      </c>
      <c r="D183" s="39"/>
      <c r="F183" s="46"/>
      <c r="G183" s="46" t="s">
        <v>17</v>
      </c>
      <c r="H183" s="46"/>
      <c r="I183" s="46" t="s">
        <v>25</v>
      </c>
    </row>
    <row r="184" spans="1:17">
      <c r="A184" s="118" t="s">
        <v>106</v>
      </c>
    </row>
    <row r="185" spans="1:17" ht="15.75">
      <c r="A185" s="21" t="s">
        <v>0</v>
      </c>
      <c r="B185" s="22"/>
      <c r="C185" s="23"/>
      <c r="D185" s="23"/>
      <c r="E185" s="23"/>
      <c r="F185" s="24"/>
      <c r="G185" s="24"/>
      <c r="H185" s="24"/>
      <c r="I185" s="24"/>
      <c r="J185" s="24"/>
      <c r="K185" s="24"/>
      <c r="L185" s="25"/>
    </row>
    <row r="186" spans="1:17" ht="15.75">
      <c r="A186" s="26" t="s">
        <v>276</v>
      </c>
      <c r="B186" s="21"/>
      <c r="C186" s="21"/>
      <c r="D186" s="21"/>
      <c r="E186" s="21"/>
      <c r="F186" s="24"/>
      <c r="G186" s="24"/>
      <c r="H186" s="24"/>
      <c r="I186" s="24"/>
      <c r="J186" s="24"/>
      <c r="K186" s="24"/>
      <c r="L186" s="25"/>
    </row>
    <row r="187" spans="1:17">
      <c r="A187" s="62"/>
      <c r="B187" s="62" t="s">
        <v>1</v>
      </c>
      <c r="C187" s="93" t="s">
        <v>2</v>
      </c>
      <c r="D187" s="117" t="s">
        <v>34</v>
      </c>
      <c r="E187" s="95" t="s">
        <v>3</v>
      </c>
      <c r="F187" s="93" t="s">
        <v>4</v>
      </c>
      <c r="G187" s="96" t="s">
        <v>18</v>
      </c>
      <c r="H187" s="96" t="s">
        <v>18</v>
      </c>
      <c r="I187" s="97" t="s">
        <v>7</v>
      </c>
      <c r="J187" s="96" t="s">
        <v>6</v>
      </c>
      <c r="K187" s="96" t="s">
        <v>29</v>
      </c>
      <c r="L187" s="96" t="s">
        <v>21</v>
      </c>
      <c r="M187" s="96" t="s">
        <v>8</v>
      </c>
      <c r="N187" s="96" t="s">
        <v>8</v>
      </c>
      <c r="O187" s="96" t="s">
        <v>9</v>
      </c>
      <c r="P187" s="62" t="s">
        <v>10</v>
      </c>
      <c r="Q187" s="98" t="s">
        <v>33</v>
      </c>
    </row>
    <row r="188" spans="1:17">
      <c r="A188" s="99"/>
      <c r="B188" s="99"/>
      <c r="C188" s="100"/>
      <c r="D188" s="101"/>
      <c r="E188" s="102"/>
      <c r="F188" s="100"/>
      <c r="G188" s="103" t="s">
        <v>11</v>
      </c>
      <c r="H188" s="103" t="s">
        <v>11</v>
      </c>
      <c r="I188" s="103" t="s">
        <v>19</v>
      </c>
      <c r="J188" s="103" t="s">
        <v>35</v>
      </c>
      <c r="K188" s="103" t="s">
        <v>22</v>
      </c>
      <c r="L188" s="103" t="s">
        <v>15</v>
      </c>
      <c r="M188" s="103" t="s">
        <v>13</v>
      </c>
      <c r="N188" s="103" t="s">
        <v>14</v>
      </c>
      <c r="O188" s="103" t="s">
        <v>12</v>
      </c>
      <c r="P188" s="99"/>
      <c r="Q188" s="104"/>
    </row>
    <row r="189" spans="1:17">
      <c r="A189" s="99"/>
      <c r="B189" s="99"/>
      <c r="C189" s="105"/>
      <c r="D189" s="101"/>
      <c r="E189" s="102"/>
      <c r="F189" s="100"/>
      <c r="G189" s="103" t="s">
        <v>41</v>
      </c>
      <c r="H189" s="103" t="s">
        <v>81</v>
      </c>
      <c r="I189" s="103" t="s">
        <v>5</v>
      </c>
      <c r="J189" s="103"/>
      <c r="K189" s="103"/>
      <c r="L189" s="103"/>
      <c r="M189" s="103"/>
      <c r="N189" s="103"/>
      <c r="O189" s="103"/>
      <c r="P189" s="99"/>
      <c r="Q189" s="104"/>
    </row>
    <row r="190" spans="1:17">
      <c r="A190" s="106"/>
      <c r="B190" s="106"/>
      <c r="C190" s="107"/>
      <c r="D190" s="108"/>
      <c r="E190" s="109"/>
      <c r="F190" s="110"/>
      <c r="G190" s="111"/>
      <c r="H190" s="112"/>
      <c r="I190" s="111"/>
      <c r="J190" s="111"/>
      <c r="K190" s="113"/>
      <c r="L190" s="108"/>
      <c r="M190" s="111"/>
      <c r="N190" s="111"/>
      <c r="O190" s="111"/>
      <c r="P190" s="106"/>
      <c r="Q190" s="114"/>
    </row>
    <row r="191" spans="1:17" ht="15.75">
      <c r="A191" s="52"/>
      <c r="B191" s="47"/>
      <c r="C191" s="48"/>
      <c r="D191" s="73"/>
      <c r="E191" s="17"/>
      <c r="F191" s="48"/>
      <c r="G191" s="36"/>
      <c r="H191" s="36"/>
      <c r="I191" s="36"/>
      <c r="J191" s="36"/>
      <c r="K191" s="8"/>
      <c r="M191" s="8"/>
      <c r="N191" s="8"/>
      <c r="O191" s="8"/>
      <c r="P191" s="35"/>
      <c r="Q191" s="37"/>
    </row>
    <row r="192" spans="1:17" ht="15.75">
      <c r="A192" s="52">
        <v>1</v>
      </c>
      <c r="B192" s="51" t="s">
        <v>277</v>
      </c>
      <c r="C192" s="48" t="s">
        <v>278</v>
      </c>
      <c r="D192" s="67" t="s">
        <v>279</v>
      </c>
      <c r="E192" s="17">
        <v>43182</v>
      </c>
      <c r="F192" s="20" t="s">
        <v>280</v>
      </c>
      <c r="G192" s="36">
        <v>29011219</v>
      </c>
      <c r="H192" s="36">
        <v>0</v>
      </c>
      <c r="I192" s="8">
        <v>725280</v>
      </c>
      <c r="J192" s="8">
        <v>0</v>
      </c>
      <c r="K192" s="8">
        <v>490112</v>
      </c>
      <c r="L192" s="8">
        <v>200000</v>
      </c>
      <c r="M192" s="8">
        <f>SUM(G192:L192)</f>
        <v>30426611</v>
      </c>
      <c r="N192" s="8">
        <f>80426611-M192</f>
        <v>50000000</v>
      </c>
      <c r="O192" s="8">
        <f t="shared" ref="O192" si="34">+M192+N192</f>
        <v>80426611</v>
      </c>
      <c r="P192" s="35" t="s">
        <v>73</v>
      </c>
      <c r="Q192" s="60" t="s">
        <v>52</v>
      </c>
    </row>
    <row r="193" spans="1:17" ht="15.75">
      <c r="A193" s="52"/>
      <c r="B193" s="51"/>
      <c r="C193" s="48"/>
      <c r="E193" s="17"/>
      <c r="F193" s="48"/>
      <c r="G193" s="36"/>
      <c r="H193" s="36"/>
      <c r="I193" s="36"/>
      <c r="J193" s="36"/>
      <c r="K193" s="36"/>
      <c r="M193" s="8"/>
      <c r="N193" s="8"/>
      <c r="O193" s="8"/>
      <c r="P193" s="59"/>
      <c r="Q193" s="66"/>
    </row>
    <row r="194" spans="1:17" ht="16.5" thickBot="1">
      <c r="A194" s="18"/>
      <c r="B194" s="55"/>
      <c r="C194" s="56"/>
      <c r="D194" s="74"/>
      <c r="E194" s="56"/>
      <c r="F194" s="57"/>
      <c r="G194" s="19">
        <f t="shared" ref="G194:O194" si="35">SUM(G192:G193)</f>
        <v>29011219</v>
      </c>
      <c r="H194" s="19">
        <f t="shared" si="35"/>
        <v>0</v>
      </c>
      <c r="I194" s="19">
        <f t="shared" si="35"/>
        <v>725280</v>
      </c>
      <c r="J194" s="19">
        <f t="shared" si="35"/>
        <v>0</v>
      </c>
      <c r="K194" s="19">
        <f t="shared" si="35"/>
        <v>490112</v>
      </c>
      <c r="L194" s="19">
        <f t="shared" si="35"/>
        <v>200000</v>
      </c>
      <c r="M194" s="19">
        <f t="shared" si="35"/>
        <v>30426611</v>
      </c>
      <c r="N194" s="19">
        <f t="shared" si="35"/>
        <v>50000000</v>
      </c>
      <c r="O194" s="19">
        <f t="shared" si="35"/>
        <v>80426611</v>
      </c>
      <c r="P194" s="68"/>
      <c r="Q194" s="70"/>
    </row>
    <row r="195" spans="1:17" ht="16.5" thickTop="1">
      <c r="A195" s="23"/>
      <c r="B195" s="22"/>
      <c r="C195" s="22"/>
      <c r="D195" s="23"/>
      <c r="E195" s="22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2"/>
      <c r="Q195" s="69"/>
    </row>
    <row r="196" spans="1:17" ht="15.75">
      <c r="A196" s="23"/>
      <c r="B196" s="28" t="s">
        <v>281</v>
      </c>
      <c r="C196" s="22"/>
      <c r="D196" s="39"/>
      <c r="F196" s="27"/>
      <c r="G196" s="28"/>
      <c r="H196" s="28"/>
      <c r="I196" s="28"/>
      <c r="J196" s="28"/>
      <c r="K196" s="28"/>
      <c r="L196" s="28"/>
      <c r="Q196" s="51"/>
    </row>
    <row r="197" spans="1:17" ht="15.75">
      <c r="A197" s="38"/>
      <c r="B197" s="40" t="s">
        <v>32</v>
      </c>
      <c r="C197" s="28" t="s">
        <v>28</v>
      </c>
      <c r="D197" s="39"/>
      <c r="F197" s="41"/>
      <c r="G197" s="127" t="s">
        <v>26</v>
      </c>
      <c r="H197" s="127"/>
      <c r="I197" s="127"/>
      <c r="K197" s="41"/>
    </row>
    <row r="198" spans="1:17" ht="15.75">
      <c r="A198" s="38"/>
      <c r="B198" s="40"/>
      <c r="C198" s="28"/>
      <c r="D198" s="39"/>
      <c r="F198" s="28"/>
      <c r="G198" s="28"/>
      <c r="H198" s="28"/>
      <c r="I198" s="28"/>
      <c r="J198" s="28"/>
      <c r="K198" s="28"/>
      <c r="L198" s="28"/>
    </row>
    <row r="199" spans="1:17" ht="15.75">
      <c r="A199" s="38"/>
      <c r="B199" s="40"/>
      <c r="C199" s="28"/>
      <c r="D199" s="39"/>
      <c r="F199" s="28"/>
      <c r="G199" s="28"/>
      <c r="H199" s="28"/>
      <c r="I199" s="28"/>
      <c r="J199" s="28"/>
      <c r="K199" s="28"/>
      <c r="L199" s="28"/>
    </row>
    <row r="200" spans="1:17" ht="15.75">
      <c r="A200" s="38"/>
      <c r="B200" s="40"/>
      <c r="C200" s="28"/>
      <c r="D200" s="39"/>
      <c r="F200" s="28"/>
      <c r="G200" s="28"/>
      <c r="H200" s="28"/>
      <c r="I200" s="28"/>
      <c r="J200" s="28"/>
      <c r="K200" s="28"/>
    </row>
    <row r="201" spans="1:17" ht="15.75">
      <c r="A201" s="38"/>
      <c r="B201" s="40"/>
      <c r="C201" s="28"/>
      <c r="D201" s="39"/>
      <c r="F201" s="28"/>
      <c r="G201" s="28"/>
      <c r="H201" s="28"/>
      <c r="I201" s="28"/>
      <c r="J201" s="28"/>
      <c r="K201" s="28"/>
      <c r="L201" s="28"/>
    </row>
    <row r="202" spans="1:17" ht="15.75">
      <c r="A202" s="38" t="s">
        <v>23</v>
      </c>
      <c r="B202" s="42" t="s">
        <v>27</v>
      </c>
      <c r="C202" s="43" t="s">
        <v>24</v>
      </c>
      <c r="D202" s="39"/>
      <c r="F202" s="29"/>
      <c r="G202" s="29" t="s">
        <v>16</v>
      </c>
      <c r="H202" s="29"/>
      <c r="I202" s="29" t="s">
        <v>30</v>
      </c>
    </row>
    <row r="203" spans="1:17" ht="15.75">
      <c r="A203" s="38"/>
      <c r="B203" s="44" t="s">
        <v>31</v>
      </c>
      <c r="C203" s="45" t="s">
        <v>20</v>
      </c>
      <c r="D203" s="39"/>
      <c r="F203" s="46"/>
      <c r="G203" s="46" t="s">
        <v>17</v>
      </c>
      <c r="H203" s="46"/>
      <c r="I203" s="46" t="s">
        <v>25</v>
      </c>
    </row>
    <row r="205" spans="1:17" ht="15.75">
      <c r="A205" s="21" t="s">
        <v>0</v>
      </c>
      <c r="B205" s="22"/>
      <c r="C205" s="23"/>
      <c r="D205" s="23"/>
      <c r="E205" s="23"/>
      <c r="F205" s="24"/>
      <c r="G205" s="24"/>
      <c r="H205" s="24"/>
      <c r="I205" s="24"/>
      <c r="J205" s="24"/>
      <c r="K205" s="24"/>
      <c r="L205" s="25"/>
    </row>
    <row r="206" spans="1:17" ht="15.75">
      <c r="A206" s="26" t="s">
        <v>276</v>
      </c>
      <c r="B206" s="21"/>
      <c r="C206" s="21"/>
      <c r="D206" s="21"/>
      <c r="E206" s="21"/>
      <c r="F206" s="24"/>
      <c r="G206" s="24"/>
      <c r="H206" s="24"/>
      <c r="I206" s="24"/>
      <c r="J206" s="24"/>
      <c r="K206" s="24"/>
      <c r="L206" s="25"/>
    </row>
    <row r="207" spans="1:17">
      <c r="A207" s="62"/>
      <c r="B207" s="62" t="s">
        <v>1</v>
      </c>
      <c r="C207" s="93" t="s">
        <v>2</v>
      </c>
      <c r="D207" s="117" t="s">
        <v>34</v>
      </c>
      <c r="E207" s="95" t="s">
        <v>3</v>
      </c>
      <c r="F207" s="93" t="s">
        <v>4</v>
      </c>
      <c r="G207" s="96" t="s">
        <v>18</v>
      </c>
      <c r="H207" s="96" t="s">
        <v>18</v>
      </c>
      <c r="I207" s="97" t="s">
        <v>7</v>
      </c>
      <c r="J207" s="96" t="s">
        <v>6</v>
      </c>
      <c r="K207" s="96" t="s">
        <v>29</v>
      </c>
      <c r="L207" s="96" t="s">
        <v>21</v>
      </c>
      <c r="M207" s="96" t="s">
        <v>8</v>
      </c>
      <c r="N207" s="96" t="s">
        <v>8</v>
      </c>
      <c r="O207" s="96" t="s">
        <v>9</v>
      </c>
      <c r="P207" s="62" t="s">
        <v>10</v>
      </c>
      <c r="Q207" s="98" t="s">
        <v>33</v>
      </c>
    </row>
    <row r="208" spans="1:17">
      <c r="A208" s="99"/>
      <c r="B208" s="99"/>
      <c r="C208" s="100"/>
      <c r="D208" s="101"/>
      <c r="E208" s="102"/>
      <c r="F208" s="100"/>
      <c r="G208" s="103" t="s">
        <v>11</v>
      </c>
      <c r="H208" s="103" t="s">
        <v>11</v>
      </c>
      <c r="I208" s="103" t="s">
        <v>19</v>
      </c>
      <c r="J208" s="103" t="s">
        <v>35</v>
      </c>
      <c r="K208" s="103" t="s">
        <v>22</v>
      </c>
      <c r="L208" s="103" t="s">
        <v>15</v>
      </c>
      <c r="M208" s="103" t="s">
        <v>13</v>
      </c>
      <c r="N208" s="103" t="s">
        <v>14</v>
      </c>
      <c r="O208" s="103" t="s">
        <v>12</v>
      </c>
      <c r="P208" s="99"/>
      <c r="Q208" s="104"/>
    </row>
    <row r="209" spans="1:17">
      <c r="A209" s="99"/>
      <c r="B209" s="99"/>
      <c r="C209" s="105"/>
      <c r="D209" s="101"/>
      <c r="E209" s="102"/>
      <c r="F209" s="100"/>
      <c r="G209" s="103" t="s">
        <v>22</v>
      </c>
      <c r="H209" s="103" t="s">
        <v>81</v>
      </c>
      <c r="I209" s="103" t="s">
        <v>5</v>
      </c>
      <c r="J209" s="103"/>
      <c r="K209" s="103"/>
      <c r="L209" s="103"/>
      <c r="M209" s="103"/>
      <c r="N209" s="103"/>
      <c r="O209" s="103"/>
      <c r="P209" s="99"/>
      <c r="Q209" s="104"/>
    </row>
    <row r="210" spans="1:17">
      <c r="A210" s="106"/>
      <c r="B210" s="106"/>
      <c r="C210" s="107"/>
      <c r="D210" s="108"/>
      <c r="E210" s="109"/>
      <c r="F210" s="110"/>
      <c r="G210" s="111"/>
      <c r="H210" s="112"/>
      <c r="I210" s="111"/>
      <c r="J210" s="111"/>
      <c r="K210" s="113"/>
      <c r="L210" s="108"/>
      <c r="M210" s="111"/>
      <c r="N210" s="111"/>
      <c r="O210" s="111"/>
      <c r="P210" s="106"/>
      <c r="Q210" s="114"/>
    </row>
    <row r="211" spans="1:17" ht="15.75">
      <c r="A211" s="52"/>
      <c r="B211" s="47"/>
      <c r="C211" s="48"/>
      <c r="D211" s="73"/>
      <c r="E211" s="17"/>
      <c r="F211" s="48"/>
      <c r="G211" s="36"/>
      <c r="H211" s="36"/>
      <c r="I211" s="36"/>
      <c r="J211" s="36"/>
      <c r="K211" s="8"/>
      <c r="M211" s="8"/>
      <c r="N211" s="8"/>
      <c r="O211" s="8"/>
      <c r="P211" s="35"/>
      <c r="Q211" s="37"/>
    </row>
    <row r="212" spans="1:17" ht="15.75">
      <c r="A212" s="52">
        <v>1</v>
      </c>
      <c r="B212" s="51" t="s">
        <v>288</v>
      </c>
      <c r="C212" s="48" t="s">
        <v>289</v>
      </c>
      <c r="D212" s="67" t="s">
        <v>290</v>
      </c>
      <c r="E212" s="17">
        <v>43182</v>
      </c>
      <c r="F212" s="20" t="s">
        <v>291</v>
      </c>
      <c r="G212" s="36">
        <v>77600000</v>
      </c>
      <c r="H212" s="36">
        <v>0</v>
      </c>
      <c r="I212" s="8">
        <v>1940000</v>
      </c>
      <c r="J212" s="8">
        <v>0</v>
      </c>
      <c r="K212" s="8">
        <v>2224000</v>
      </c>
      <c r="L212" s="8">
        <v>200000</v>
      </c>
      <c r="M212" s="8">
        <f>SUM(G212:L212)</f>
        <v>81964000</v>
      </c>
      <c r="N212" s="8">
        <f>300000000-M212</f>
        <v>218036000</v>
      </c>
      <c r="O212" s="8">
        <f t="shared" ref="O212" si="36">+M212+N212</f>
        <v>300000000</v>
      </c>
      <c r="P212" s="77" t="s">
        <v>292</v>
      </c>
      <c r="Q212" s="60" t="s">
        <v>52</v>
      </c>
    </row>
    <row r="213" spans="1:17" ht="15.75">
      <c r="A213" s="52"/>
      <c r="B213" s="51"/>
      <c r="C213" s="48"/>
      <c r="E213" s="17"/>
      <c r="F213" s="48"/>
      <c r="G213" s="36"/>
      <c r="H213" s="36"/>
      <c r="I213" s="36"/>
      <c r="J213" s="36"/>
      <c r="K213" s="36"/>
      <c r="M213" s="8"/>
      <c r="N213" s="8"/>
      <c r="O213" s="8"/>
      <c r="P213" s="59"/>
      <c r="Q213" s="66"/>
    </row>
    <row r="214" spans="1:17" ht="16.5" thickBot="1">
      <c r="A214" s="18"/>
      <c r="B214" s="55"/>
      <c r="C214" s="56"/>
      <c r="D214" s="74"/>
      <c r="E214" s="56"/>
      <c r="F214" s="57"/>
      <c r="G214" s="19">
        <f t="shared" ref="G214:O214" si="37">SUM(G212:G213)</f>
        <v>77600000</v>
      </c>
      <c r="H214" s="19">
        <f t="shared" si="37"/>
        <v>0</v>
      </c>
      <c r="I214" s="19">
        <f t="shared" si="37"/>
        <v>1940000</v>
      </c>
      <c r="J214" s="19">
        <f t="shared" si="37"/>
        <v>0</v>
      </c>
      <c r="K214" s="19">
        <f t="shared" si="37"/>
        <v>2224000</v>
      </c>
      <c r="L214" s="19">
        <f t="shared" si="37"/>
        <v>200000</v>
      </c>
      <c r="M214" s="19">
        <f t="shared" si="37"/>
        <v>81964000</v>
      </c>
      <c r="N214" s="19">
        <f t="shared" si="37"/>
        <v>218036000</v>
      </c>
      <c r="O214" s="19">
        <f t="shared" si="37"/>
        <v>300000000</v>
      </c>
      <c r="P214" s="68"/>
      <c r="Q214" s="70"/>
    </row>
    <row r="215" spans="1:17" ht="16.5" thickTop="1">
      <c r="A215" s="23"/>
      <c r="B215" s="22"/>
      <c r="C215" s="22"/>
      <c r="D215" s="23"/>
      <c r="E215" s="22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2"/>
      <c r="Q215" s="69"/>
    </row>
    <row r="216" spans="1:17" ht="15.75">
      <c r="A216" s="23"/>
      <c r="B216" s="28" t="s">
        <v>281</v>
      </c>
      <c r="C216" s="22"/>
      <c r="D216" s="39"/>
      <c r="F216" s="27"/>
      <c r="G216" s="28"/>
      <c r="H216" s="28"/>
      <c r="I216" s="28"/>
      <c r="J216" s="28"/>
      <c r="K216" s="28"/>
      <c r="L216" s="28"/>
      <c r="Q216" s="51"/>
    </row>
    <row r="217" spans="1:17" ht="15.75">
      <c r="A217" s="38"/>
      <c r="B217" s="40" t="s">
        <v>32</v>
      </c>
      <c r="C217" s="28" t="s">
        <v>28</v>
      </c>
      <c r="D217" s="39"/>
      <c r="F217" s="41"/>
      <c r="G217" s="127" t="s">
        <v>26</v>
      </c>
      <c r="H217" s="127"/>
      <c r="I217" s="127"/>
      <c r="K217" s="41"/>
    </row>
    <row r="218" spans="1:17" ht="15.75">
      <c r="A218" s="38"/>
      <c r="B218" s="40"/>
      <c r="C218" s="28"/>
      <c r="D218" s="39"/>
      <c r="F218" s="28"/>
      <c r="G218" s="28"/>
      <c r="H218" s="28"/>
      <c r="I218" s="28"/>
      <c r="J218" s="28"/>
      <c r="K218" s="28"/>
      <c r="L218" s="28"/>
    </row>
    <row r="219" spans="1:17" ht="15.75">
      <c r="A219" s="38"/>
      <c r="B219" s="40"/>
      <c r="C219" s="28"/>
      <c r="D219" s="39"/>
      <c r="F219" s="28"/>
      <c r="G219" s="28"/>
      <c r="H219" s="28"/>
      <c r="I219" s="28"/>
      <c r="J219" s="28"/>
      <c r="K219" s="28"/>
      <c r="L219" s="28"/>
    </row>
    <row r="220" spans="1:17" ht="15.75">
      <c r="A220" s="38"/>
      <c r="B220" s="40"/>
      <c r="C220" s="28"/>
      <c r="D220" s="39"/>
      <c r="F220" s="28"/>
      <c r="G220" s="28"/>
      <c r="H220" s="28"/>
      <c r="I220" s="28"/>
      <c r="J220" s="28"/>
      <c r="K220" s="28"/>
    </row>
    <row r="221" spans="1:17" ht="15.75">
      <c r="A221" s="38"/>
      <c r="B221" s="40"/>
      <c r="C221" s="28"/>
      <c r="D221" s="39"/>
      <c r="F221" s="28"/>
      <c r="G221" s="28"/>
      <c r="H221" s="28"/>
      <c r="I221" s="28"/>
      <c r="J221" s="28"/>
      <c r="K221" s="28"/>
      <c r="L221" s="28"/>
    </row>
    <row r="222" spans="1:17" ht="15.75">
      <c r="A222" s="38" t="s">
        <v>23</v>
      </c>
      <c r="B222" s="42" t="s">
        <v>27</v>
      </c>
      <c r="C222" s="43" t="s">
        <v>24</v>
      </c>
      <c r="D222" s="39"/>
      <c r="F222" s="29"/>
      <c r="G222" s="29" t="s">
        <v>16</v>
      </c>
      <c r="H222" s="29"/>
      <c r="I222" s="29" t="s">
        <v>30</v>
      </c>
    </row>
    <row r="223" spans="1:17" ht="15.75">
      <c r="A223" s="38"/>
      <c r="B223" s="44" t="s">
        <v>31</v>
      </c>
      <c r="C223" s="45" t="s">
        <v>20</v>
      </c>
      <c r="D223" s="39"/>
      <c r="F223" s="46"/>
      <c r="G223" s="46" t="s">
        <v>17</v>
      </c>
      <c r="H223" s="46"/>
      <c r="I223" s="46" t="s">
        <v>25</v>
      </c>
    </row>
    <row r="224" spans="1:17" ht="15.75">
      <c r="A224" s="38"/>
      <c r="B224" s="44"/>
      <c r="C224" s="45"/>
      <c r="D224" s="39"/>
      <c r="F224" s="46"/>
      <c r="G224" s="46"/>
      <c r="H224" s="46"/>
      <c r="I224" s="46"/>
    </row>
    <row r="225" spans="1:17" ht="15.75">
      <c r="A225" s="21" t="s">
        <v>0</v>
      </c>
      <c r="B225" s="22"/>
      <c r="C225" s="23"/>
      <c r="D225" s="23"/>
      <c r="E225" s="23"/>
      <c r="F225" s="24"/>
      <c r="G225" s="24"/>
      <c r="H225" s="24"/>
      <c r="I225" s="24"/>
      <c r="J225" s="24"/>
      <c r="K225" s="24"/>
      <c r="L225" s="25"/>
    </row>
    <row r="226" spans="1:17" ht="15.75">
      <c r="A226" s="26" t="s">
        <v>293</v>
      </c>
      <c r="B226" s="21"/>
      <c r="C226" s="21"/>
      <c r="D226" s="21"/>
      <c r="E226" s="21"/>
      <c r="F226" s="24"/>
      <c r="G226" s="24"/>
      <c r="H226" s="24"/>
      <c r="I226" s="24"/>
      <c r="J226" s="24"/>
      <c r="K226" s="24"/>
      <c r="L226" s="25"/>
    </row>
    <row r="227" spans="1:17">
      <c r="A227" s="62"/>
      <c r="B227" s="62" t="s">
        <v>1</v>
      </c>
      <c r="C227" s="93" t="s">
        <v>2</v>
      </c>
      <c r="D227" s="117" t="s">
        <v>34</v>
      </c>
      <c r="E227" s="95" t="s">
        <v>3</v>
      </c>
      <c r="F227" s="93" t="s">
        <v>4</v>
      </c>
      <c r="G227" s="96" t="s">
        <v>18</v>
      </c>
      <c r="H227" s="96" t="s">
        <v>18</v>
      </c>
      <c r="I227" s="97" t="s">
        <v>7</v>
      </c>
      <c r="J227" s="96" t="s">
        <v>6</v>
      </c>
      <c r="K227" s="96" t="s">
        <v>29</v>
      </c>
      <c r="L227" s="96" t="s">
        <v>21</v>
      </c>
      <c r="M227" s="96" t="s">
        <v>8</v>
      </c>
      <c r="N227" s="96" t="s">
        <v>8</v>
      </c>
      <c r="O227" s="96" t="s">
        <v>9</v>
      </c>
      <c r="P227" s="62" t="s">
        <v>10</v>
      </c>
      <c r="Q227" s="98" t="s">
        <v>33</v>
      </c>
    </row>
    <row r="228" spans="1:17">
      <c r="A228" s="99"/>
      <c r="B228" s="99"/>
      <c r="C228" s="100"/>
      <c r="D228" s="101"/>
      <c r="E228" s="102"/>
      <c r="F228" s="100"/>
      <c r="G228" s="103" t="s">
        <v>11</v>
      </c>
      <c r="H228" s="103" t="s">
        <v>11</v>
      </c>
      <c r="I228" s="103" t="s">
        <v>19</v>
      </c>
      <c r="J228" s="103" t="s">
        <v>35</v>
      </c>
      <c r="K228" s="103" t="s">
        <v>22</v>
      </c>
      <c r="L228" s="103" t="s">
        <v>15</v>
      </c>
      <c r="M228" s="103" t="s">
        <v>13</v>
      </c>
      <c r="N228" s="103" t="s">
        <v>14</v>
      </c>
      <c r="O228" s="103" t="s">
        <v>12</v>
      </c>
      <c r="P228" s="99"/>
      <c r="Q228" s="104"/>
    </row>
    <row r="229" spans="1:17">
      <c r="A229" s="99"/>
      <c r="B229" s="99"/>
      <c r="C229" s="105"/>
      <c r="D229" s="101"/>
      <c r="E229" s="102"/>
      <c r="F229" s="100"/>
      <c r="G229" s="103" t="s">
        <v>41</v>
      </c>
      <c r="H229" s="103" t="s">
        <v>81</v>
      </c>
      <c r="I229" s="103" t="s">
        <v>5</v>
      </c>
      <c r="J229" s="103"/>
      <c r="K229" s="103"/>
      <c r="L229" s="103"/>
      <c r="M229" s="103"/>
      <c r="N229" s="103"/>
      <c r="O229" s="103"/>
      <c r="P229" s="99"/>
      <c r="Q229" s="104"/>
    </row>
    <row r="230" spans="1:17">
      <c r="A230" s="106"/>
      <c r="B230" s="106"/>
      <c r="C230" s="107"/>
      <c r="D230" s="108"/>
      <c r="E230" s="109"/>
      <c r="F230" s="110"/>
      <c r="G230" s="111"/>
      <c r="H230" s="112"/>
      <c r="I230" s="111"/>
      <c r="J230" s="111"/>
      <c r="K230" s="113"/>
      <c r="L230" s="108"/>
      <c r="M230" s="111"/>
      <c r="N230" s="111"/>
      <c r="O230" s="111"/>
      <c r="P230" s="106"/>
      <c r="Q230" s="114"/>
    </row>
    <row r="231" spans="1:17" ht="15.75">
      <c r="A231" s="52"/>
      <c r="B231" s="47"/>
      <c r="C231" s="48"/>
      <c r="D231" s="73"/>
      <c r="E231" s="17"/>
      <c r="F231" s="48"/>
      <c r="G231" s="36"/>
      <c r="H231" s="36"/>
      <c r="I231" s="36"/>
      <c r="J231" s="36"/>
      <c r="K231" s="8"/>
      <c r="M231" s="8"/>
      <c r="N231" s="8"/>
      <c r="O231" s="8"/>
      <c r="P231" s="35"/>
      <c r="Q231" s="37"/>
    </row>
    <row r="232" spans="1:17" ht="15.75">
      <c r="A232" s="52">
        <v>1</v>
      </c>
      <c r="B232" s="51" t="s">
        <v>282</v>
      </c>
      <c r="C232" s="48" t="s">
        <v>283</v>
      </c>
      <c r="D232" s="67" t="s">
        <v>284</v>
      </c>
      <c r="E232" s="17">
        <v>43185</v>
      </c>
      <c r="F232" s="20" t="s">
        <v>285</v>
      </c>
      <c r="G232" s="36">
        <v>0</v>
      </c>
      <c r="H232" s="36">
        <v>0</v>
      </c>
      <c r="I232" s="8">
        <v>0</v>
      </c>
      <c r="J232" s="8">
        <v>0</v>
      </c>
      <c r="K232" s="8">
        <v>200000</v>
      </c>
      <c r="L232" s="8">
        <v>200000</v>
      </c>
      <c r="M232" s="8">
        <f>SUM(G232:L232)</f>
        <v>400000</v>
      </c>
      <c r="N232" s="8">
        <f>50000000-M232</f>
        <v>49600000</v>
      </c>
      <c r="O232" s="8">
        <f t="shared" ref="O232" si="38">+M232+N232</f>
        <v>50000000</v>
      </c>
      <c r="P232" s="77" t="s">
        <v>286</v>
      </c>
      <c r="Q232" s="60" t="s">
        <v>58</v>
      </c>
    </row>
    <row r="233" spans="1:17" ht="15.75">
      <c r="A233" s="52"/>
      <c r="B233" s="51"/>
      <c r="C233" s="48"/>
      <c r="E233" s="17"/>
      <c r="F233" s="48"/>
      <c r="G233" s="36"/>
      <c r="H233" s="36"/>
      <c r="I233" s="36"/>
      <c r="J233" s="36"/>
      <c r="K233" s="36"/>
      <c r="M233" s="8"/>
      <c r="N233" s="8"/>
      <c r="O233" s="8"/>
      <c r="P233" s="59"/>
      <c r="Q233" s="66"/>
    </row>
    <row r="234" spans="1:17" ht="16.5" thickBot="1">
      <c r="A234" s="18"/>
      <c r="B234" s="55"/>
      <c r="C234" s="56"/>
      <c r="D234" s="74"/>
      <c r="E234" s="56"/>
      <c r="F234" s="57"/>
      <c r="G234" s="19">
        <f t="shared" ref="G234:O234" si="39">SUM(G232:G233)</f>
        <v>0</v>
      </c>
      <c r="H234" s="19">
        <f t="shared" si="39"/>
        <v>0</v>
      </c>
      <c r="I234" s="19">
        <f t="shared" si="39"/>
        <v>0</v>
      </c>
      <c r="J234" s="19">
        <f t="shared" si="39"/>
        <v>0</v>
      </c>
      <c r="K234" s="19">
        <f t="shared" si="39"/>
        <v>200000</v>
      </c>
      <c r="L234" s="19">
        <f t="shared" si="39"/>
        <v>200000</v>
      </c>
      <c r="M234" s="19">
        <f t="shared" si="39"/>
        <v>400000</v>
      </c>
      <c r="N234" s="19">
        <f t="shared" si="39"/>
        <v>49600000</v>
      </c>
      <c r="O234" s="19">
        <f t="shared" si="39"/>
        <v>50000000</v>
      </c>
      <c r="P234" s="68"/>
      <c r="Q234" s="70"/>
    </row>
    <row r="235" spans="1:17" ht="16.5" thickTop="1">
      <c r="A235" s="23"/>
      <c r="B235" s="22"/>
      <c r="C235" s="22"/>
      <c r="D235" s="23"/>
      <c r="E235" s="22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2"/>
      <c r="Q235" s="69"/>
    </row>
    <row r="236" spans="1:17" ht="15.75">
      <c r="A236" s="23"/>
      <c r="B236" s="28" t="s">
        <v>294</v>
      </c>
      <c r="C236" s="22"/>
      <c r="D236" s="39"/>
      <c r="F236" s="27"/>
      <c r="G236" s="28"/>
      <c r="H236" s="28"/>
      <c r="I236" s="28"/>
      <c r="J236" s="28"/>
      <c r="K236" s="28"/>
      <c r="L236" s="28"/>
      <c r="Q236" s="51"/>
    </row>
    <row r="237" spans="1:17" ht="15.75">
      <c r="A237" s="38"/>
      <c r="B237" s="40" t="s">
        <v>32</v>
      </c>
      <c r="C237" s="28" t="s">
        <v>28</v>
      </c>
      <c r="D237" s="39"/>
      <c r="F237" s="41"/>
      <c r="G237" s="127" t="s">
        <v>26</v>
      </c>
      <c r="H237" s="127"/>
      <c r="I237" s="127"/>
      <c r="K237" s="41"/>
    </row>
    <row r="238" spans="1:17" ht="15.75">
      <c r="A238" s="38"/>
      <c r="B238" s="40"/>
      <c r="C238" s="28"/>
      <c r="D238" s="39"/>
      <c r="F238" s="28"/>
      <c r="G238" s="28"/>
      <c r="H238" s="28"/>
      <c r="I238" s="28"/>
      <c r="J238" s="28"/>
      <c r="K238" s="28"/>
      <c r="L238" s="28"/>
    </row>
    <row r="239" spans="1:17" ht="15.75">
      <c r="A239" s="38"/>
      <c r="B239" s="40"/>
      <c r="C239" s="28"/>
      <c r="D239" s="39"/>
      <c r="F239" s="28"/>
      <c r="G239" s="28"/>
      <c r="H239" s="28"/>
      <c r="I239" s="28"/>
      <c r="J239" s="28"/>
      <c r="K239" s="28"/>
      <c r="L239" s="28"/>
    </row>
    <row r="240" spans="1:17" ht="15.75">
      <c r="A240" s="38"/>
      <c r="B240" s="40"/>
      <c r="C240" s="28"/>
      <c r="D240" s="39"/>
      <c r="F240" s="28"/>
      <c r="G240" s="28"/>
      <c r="H240" s="28"/>
      <c r="I240" s="28"/>
      <c r="J240" s="28"/>
      <c r="K240" s="28"/>
    </row>
    <row r="241" spans="1:17" ht="15.75">
      <c r="A241" s="38"/>
      <c r="B241" s="40"/>
      <c r="C241" s="28"/>
      <c r="D241" s="39"/>
      <c r="F241" s="28"/>
      <c r="G241" s="28"/>
      <c r="H241" s="28"/>
      <c r="I241" s="28"/>
      <c r="J241" s="28"/>
      <c r="K241" s="28"/>
      <c r="L241" s="28"/>
    </row>
    <row r="242" spans="1:17" ht="15.75">
      <c r="A242" s="38" t="s">
        <v>23</v>
      </c>
      <c r="B242" s="42" t="s">
        <v>27</v>
      </c>
      <c r="C242" s="43" t="s">
        <v>24</v>
      </c>
      <c r="D242" s="39"/>
      <c r="F242" s="29"/>
      <c r="G242" s="29" t="s">
        <v>16</v>
      </c>
      <c r="H242" s="29"/>
      <c r="I242" s="29" t="s">
        <v>30</v>
      </c>
    </row>
    <row r="243" spans="1:17" ht="15.75">
      <c r="A243" s="38"/>
      <c r="B243" s="44" t="s">
        <v>31</v>
      </c>
      <c r="C243" s="45" t="s">
        <v>20</v>
      </c>
      <c r="D243" s="39"/>
      <c r="F243" s="46"/>
      <c r="G243" s="46" t="s">
        <v>17</v>
      </c>
      <c r="H243" s="46"/>
      <c r="I243" s="46" t="s">
        <v>25</v>
      </c>
    </row>
    <row r="245" spans="1:17" ht="15.75">
      <c r="A245" s="21" t="s">
        <v>0</v>
      </c>
      <c r="B245" s="22"/>
      <c r="C245" s="23"/>
      <c r="D245" s="23"/>
      <c r="E245" s="23"/>
      <c r="F245" s="24"/>
      <c r="G245" s="24"/>
      <c r="H245" s="24"/>
      <c r="I245" s="24"/>
      <c r="J245" s="24"/>
      <c r="K245" s="24"/>
      <c r="L245" s="25"/>
    </row>
    <row r="246" spans="1:17" ht="15.75">
      <c r="A246" s="26" t="s">
        <v>293</v>
      </c>
      <c r="B246" s="21"/>
      <c r="C246" s="21"/>
      <c r="D246" s="21"/>
      <c r="E246" s="21"/>
      <c r="F246" s="24"/>
      <c r="G246" s="24"/>
      <c r="H246" s="24"/>
      <c r="I246" s="24"/>
      <c r="J246" s="24"/>
      <c r="K246" s="24"/>
      <c r="L246" s="25"/>
    </row>
    <row r="247" spans="1:17">
      <c r="A247" s="62"/>
      <c r="B247" s="62" t="s">
        <v>1</v>
      </c>
      <c r="C247" s="93" t="s">
        <v>2</v>
      </c>
      <c r="D247" s="117" t="s">
        <v>34</v>
      </c>
      <c r="E247" s="95" t="s">
        <v>3</v>
      </c>
      <c r="F247" s="93" t="s">
        <v>4</v>
      </c>
      <c r="G247" s="96" t="s">
        <v>18</v>
      </c>
      <c r="H247" s="96" t="s">
        <v>18</v>
      </c>
      <c r="I247" s="97" t="s">
        <v>7</v>
      </c>
      <c r="J247" s="96" t="s">
        <v>6</v>
      </c>
      <c r="K247" s="96" t="s">
        <v>29</v>
      </c>
      <c r="L247" s="96" t="s">
        <v>21</v>
      </c>
      <c r="M247" s="96" t="s">
        <v>8</v>
      </c>
      <c r="N247" s="96" t="s">
        <v>8</v>
      </c>
      <c r="O247" s="96" t="s">
        <v>9</v>
      </c>
      <c r="P247" s="62" t="s">
        <v>10</v>
      </c>
      <c r="Q247" s="98" t="s">
        <v>33</v>
      </c>
    </row>
    <row r="248" spans="1:17">
      <c r="A248" s="99"/>
      <c r="B248" s="99"/>
      <c r="C248" s="100"/>
      <c r="D248" s="101"/>
      <c r="E248" s="102"/>
      <c r="F248" s="100"/>
      <c r="G248" s="103" t="s">
        <v>11</v>
      </c>
      <c r="H248" s="103" t="s">
        <v>11</v>
      </c>
      <c r="I248" s="103" t="s">
        <v>19</v>
      </c>
      <c r="J248" s="103" t="s">
        <v>35</v>
      </c>
      <c r="K248" s="103" t="s">
        <v>22</v>
      </c>
      <c r="L248" s="103" t="s">
        <v>15</v>
      </c>
      <c r="M248" s="103" t="s">
        <v>13</v>
      </c>
      <c r="N248" s="103" t="s">
        <v>14</v>
      </c>
      <c r="O248" s="103" t="s">
        <v>12</v>
      </c>
      <c r="P248" s="99"/>
      <c r="Q248" s="104"/>
    </row>
    <row r="249" spans="1:17">
      <c r="A249" s="99"/>
      <c r="B249" s="99"/>
      <c r="C249" s="105"/>
      <c r="D249" s="101"/>
      <c r="E249" s="102"/>
      <c r="F249" s="100"/>
      <c r="G249" s="103" t="s">
        <v>22</v>
      </c>
      <c r="H249" s="103" t="s">
        <v>81</v>
      </c>
      <c r="I249" s="103" t="s">
        <v>5</v>
      </c>
      <c r="J249" s="103"/>
      <c r="K249" s="103"/>
      <c r="L249" s="103"/>
      <c r="M249" s="103"/>
      <c r="N249" s="103"/>
      <c r="O249" s="103"/>
      <c r="P249" s="99"/>
      <c r="Q249" s="104"/>
    </row>
    <row r="250" spans="1:17">
      <c r="A250" s="106"/>
      <c r="B250" s="106"/>
      <c r="C250" s="107"/>
      <c r="D250" s="108"/>
      <c r="E250" s="109"/>
      <c r="F250" s="110"/>
      <c r="G250" s="111"/>
      <c r="H250" s="112"/>
      <c r="I250" s="111"/>
      <c r="J250" s="111"/>
      <c r="K250" s="113"/>
      <c r="L250" s="108"/>
      <c r="M250" s="111"/>
      <c r="N250" s="111"/>
      <c r="O250" s="111"/>
      <c r="P250" s="106"/>
      <c r="Q250" s="114"/>
    </row>
    <row r="251" spans="1:17" ht="15.75">
      <c r="A251" s="52"/>
      <c r="B251" s="47"/>
      <c r="C251" s="48"/>
      <c r="D251" s="73"/>
      <c r="E251" s="17"/>
      <c r="F251" s="48"/>
      <c r="G251" s="36"/>
      <c r="H251" s="36"/>
      <c r="I251" s="36"/>
      <c r="J251" s="36"/>
      <c r="K251" s="8"/>
      <c r="M251" s="8"/>
      <c r="N251" s="8"/>
      <c r="O251" s="8"/>
      <c r="P251" s="35"/>
      <c r="Q251" s="37"/>
    </row>
    <row r="252" spans="1:17" ht="15.75">
      <c r="A252" s="52">
        <v>1</v>
      </c>
      <c r="B252" s="51" t="s">
        <v>295</v>
      </c>
      <c r="C252" s="48" t="s">
        <v>296</v>
      </c>
      <c r="D252" s="67" t="s">
        <v>297</v>
      </c>
      <c r="E252" s="17">
        <v>43185</v>
      </c>
      <c r="F252" s="20" t="s">
        <v>298</v>
      </c>
      <c r="G252" s="36">
        <v>50850000</v>
      </c>
      <c r="H252" s="36">
        <v>0</v>
      </c>
      <c r="I252" s="8">
        <v>1271250</v>
      </c>
      <c r="J252" s="8">
        <v>0</v>
      </c>
      <c r="K252" s="8">
        <v>391500</v>
      </c>
      <c r="L252" s="8">
        <v>200000</v>
      </c>
      <c r="M252" s="8">
        <f>SUM(G252:L252)</f>
        <v>52712750</v>
      </c>
      <c r="N252" s="8">
        <f>90000000-M252</f>
        <v>37287250</v>
      </c>
      <c r="O252" s="8">
        <f t="shared" ref="O252" si="40">+M252+N252</f>
        <v>90000000</v>
      </c>
      <c r="P252" s="77" t="s">
        <v>292</v>
      </c>
      <c r="Q252" s="60" t="s">
        <v>52</v>
      </c>
    </row>
    <row r="253" spans="1:17" ht="15.75">
      <c r="A253" s="52">
        <v>2</v>
      </c>
      <c r="B253" s="51" t="s">
        <v>299</v>
      </c>
      <c r="C253" s="48" t="s">
        <v>300</v>
      </c>
      <c r="D253" s="67" t="s">
        <v>301</v>
      </c>
      <c r="E253" s="17">
        <v>43185</v>
      </c>
      <c r="F253" s="20" t="s">
        <v>302</v>
      </c>
      <c r="G253" s="36">
        <v>42355000</v>
      </c>
      <c r="H253" s="36">
        <v>0</v>
      </c>
      <c r="I253" s="8">
        <v>1058875</v>
      </c>
      <c r="J253" s="8">
        <v>0</v>
      </c>
      <c r="K253" s="8">
        <v>576450</v>
      </c>
      <c r="L253" s="8">
        <v>200000</v>
      </c>
      <c r="M253" s="8">
        <f>SUM(G253:L253)</f>
        <v>44190325</v>
      </c>
      <c r="N253" s="8">
        <f>100000000-M253</f>
        <v>55809675</v>
      </c>
      <c r="O253" s="8">
        <f t="shared" ref="O253" si="41">+M253+N253</f>
        <v>100000000</v>
      </c>
      <c r="P253" s="77" t="s">
        <v>287</v>
      </c>
      <c r="Q253" s="60" t="s">
        <v>52</v>
      </c>
    </row>
    <row r="254" spans="1:17" ht="15.75">
      <c r="A254" s="52">
        <v>3</v>
      </c>
      <c r="B254" s="51" t="s">
        <v>303</v>
      </c>
      <c r="C254" s="48" t="s">
        <v>304</v>
      </c>
      <c r="D254" s="67" t="s">
        <v>305</v>
      </c>
      <c r="E254" s="17">
        <v>43185</v>
      </c>
      <c r="F254" s="20" t="s">
        <v>306</v>
      </c>
      <c r="G254" s="36">
        <v>58000000</v>
      </c>
      <c r="H254" s="36">
        <v>0</v>
      </c>
      <c r="I254" s="8">
        <v>1450000</v>
      </c>
      <c r="J254" s="8">
        <v>0</v>
      </c>
      <c r="K254" s="8">
        <v>420000</v>
      </c>
      <c r="L254" s="8">
        <v>200000</v>
      </c>
      <c r="M254" s="8">
        <f>SUM(G254:L254)</f>
        <v>60070000</v>
      </c>
      <c r="N254" s="8">
        <f>100000000-M254</f>
        <v>39930000</v>
      </c>
      <c r="O254" s="8">
        <f t="shared" ref="O254" si="42">+M254+N254</f>
        <v>100000000</v>
      </c>
      <c r="P254" s="77" t="s">
        <v>292</v>
      </c>
      <c r="Q254" s="60" t="s">
        <v>52</v>
      </c>
    </row>
    <row r="255" spans="1:17" ht="15.75">
      <c r="A255" s="52"/>
      <c r="B255" s="51"/>
      <c r="C255" s="48"/>
      <c r="E255" s="17"/>
      <c r="F255" s="48"/>
      <c r="G255" s="36"/>
      <c r="H255" s="36"/>
      <c r="I255" s="36"/>
      <c r="J255" s="36"/>
      <c r="K255" s="36"/>
      <c r="M255" s="8"/>
      <c r="N255" s="8"/>
      <c r="O255" s="8"/>
      <c r="P255" s="59"/>
      <c r="Q255" s="66"/>
    </row>
    <row r="256" spans="1:17" ht="16.5" thickBot="1">
      <c r="A256" s="18"/>
      <c r="B256" s="55"/>
      <c r="C256" s="56"/>
      <c r="D256" s="74"/>
      <c r="E256" s="56"/>
      <c r="F256" s="57"/>
      <c r="G256" s="19">
        <f>SUM(G252:G255)</f>
        <v>151205000</v>
      </c>
      <c r="H256" s="19">
        <f t="shared" ref="H256:O256" si="43">SUM(H252:H255)</f>
        <v>0</v>
      </c>
      <c r="I256" s="19">
        <f t="shared" si="43"/>
        <v>3780125</v>
      </c>
      <c r="J256" s="19">
        <f t="shared" si="43"/>
        <v>0</v>
      </c>
      <c r="K256" s="19">
        <f t="shared" si="43"/>
        <v>1387950</v>
      </c>
      <c r="L256" s="19">
        <f t="shared" si="43"/>
        <v>600000</v>
      </c>
      <c r="M256" s="19">
        <f t="shared" si="43"/>
        <v>156973075</v>
      </c>
      <c r="N256" s="19">
        <f t="shared" si="43"/>
        <v>133026925</v>
      </c>
      <c r="O256" s="19">
        <f t="shared" si="43"/>
        <v>290000000</v>
      </c>
      <c r="P256" s="68"/>
      <c r="Q256" s="70"/>
    </row>
    <row r="257" spans="1:17" ht="16.5" thickTop="1">
      <c r="A257" s="23"/>
      <c r="B257" s="22"/>
      <c r="C257" s="22"/>
      <c r="D257" s="23"/>
      <c r="E257" s="22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2"/>
      <c r="Q257" s="69"/>
    </row>
    <row r="258" spans="1:17" ht="15.75">
      <c r="A258" s="23"/>
      <c r="B258" s="28" t="s">
        <v>294</v>
      </c>
      <c r="C258" s="22"/>
      <c r="D258" s="39"/>
      <c r="F258" s="27"/>
      <c r="G258" s="28"/>
      <c r="H258" s="28"/>
      <c r="I258" s="28"/>
      <c r="J258" s="28"/>
      <c r="K258" s="28"/>
      <c r="L258" s="28"/>
      <c r="Q258" s="51"/>
    </row>
    <row r="259" spans="1:17" ht="15.75">
      <c r="A259" s="38"/>
      <c r="B259" s="40" t="s">
        <v>32</v>
      </c>
      <c r="C259" s="28" t="s">
        <v>28</v>
      </c>
      <c r="D259" s="39"/>
      <c r="F259" s="41"/>
      <c r="G259" s="127" t="s">
        <v>26</v>
      </c>
      <c r="H259" s="127"/>
      <c r="I259" s="127"/>
      <c r="K259" s="41"/>
    </row>
    <row r="260" spans="1:17" ht="15.75">
      <c r="A260" s="38"/>
      <c r="B260" s="40"/>
      <c r="C260" s="28"/>
      <c r="D260" s="39"/>
      <c r="F260" s="28"/>
      <c r="G260" s="28"/>
      <c r="H260" s="28"/>
      <c r="I260" s="28"/>
      <c r="J260" s="28"/>
      <c r="K260" s="28"/>
      <c r="L260" s="28"/>
    </row>
    <row r="261" spans="1:17" ht="15.75">
      <c r="A261" s="38"/>
      <c r="B261" s="40"/>
      <c r="C261" s="28"/>
      <c r="D261" s="39"/>
      <c r="F261" s="28"/>
      <c r="G261" s="28"/>
      <c r="H261" s="28"/>
      <c r="I261" s="28"/>
      <c r="J261" s="28"/>
      <c r="K261" s="28"/>
      <c r="L261" s="28"/>
    </row>
    <row r="262" spans="1:17" ht="15.75">
      <c r="A262" s="38"/>
      <c r="B262" s="40"/>
      <c r="C262" s="28"/>
      <c r="D262" s="39"/>
      <c r="F262" s="28"/>
      <c r="G262" s="28"/>
      <c r="H262" s="28"/>
      <c r="I262" s="28"/>
      <c r="J262" s="28"/>
      <c r="K262" s="28"/>
    </row>
    <row r="263" spans="1:17" ht="15.75">
      <c r="A263" s="38"/>
      <c r="B263" s="40"/>
      <c r="C263" s="28"/>
      <c r="D263" s="39"/>
      <c r="F263" s="28"/>
      <c r="G263" s="28"/>
      <c r="H263" s="28"/>
      <c r="I263" s="28"/>
      <c r="J263" s="28"/>
      <c r="K263" s="28"/>
      <c r="L263" s="28"/>
    </row>
    <row r="264" spans="1:17" ht="15.75">
      <c r="A264" s="38" t="s">
        <v>23</v>
      </c>
      <c r="B264" s="42" t="s">
        <v>27</v>
      </c>
      <c r="C264" s="43" t="s">
        <v>24</v>
      </c>
      <c r="D264" s="39"/>
      <c r="F264" s="29"/>
      <c r="G264" s="29" t="s">
        <v>16</v>
      </c>
      <c r="H264" s="29"/>
      <c r="I264" s="29" t="s">
        <v>30</v>
      </c>
    </row>
    <row r="265" spans="1:17" ht="15.75">
      <c r="A265" s="38"/>
      <c r="B265" s="44" t="s">
        <v>31</v>
      </c>
      <c r="C265" s="45" t="s">
        <v>20</v>
      </c>
      <c r="D265" s="39"/>
      <c r="F265" s="46"/>
      <c r="G265" s="46" t="s">
        <v>17</v>
      </c>
      <c r="H265" s="46"/>
      <c r="I265" s="46" t="s">
        <v>25</v>
      </c>
    </row>
    <row r="267" spans="1:17" ht="15.75">
      <c r="A267" s="21" t="s">
        <v>0</v>
      </c>
      <c r="B267" s="22"/>
      <c r="C267" s="23"/>
      <c r="D267" s="23"/>
      <c r="E267" s="23"/>
      <c r="F267" s="24"/>
      <c r="G267" s="24"/>
      <c r="H267" s="24"/>
      <c r="I267" s="24"/>
      <c r="J267" s="24"/>
      <c r="K267" s="24"/>
      <c r="L267" s="25"/>
    </row>
    <row r="268" spans="1:17" ht="15.75">
      <c r="A268" s="26" t="s">
        <v>293</v>
      </c>
      <c r="B268" s="21"/>
      <c r="C268" s="21"/>
      <c r="D268" s="21"/>
      <c r="E268" s="21"/>
      <c r="F268" s="24"/>
      <c r="G268" s="24"/>
      <c r="H268" s="24"/>
      <c r="I268" s="24"/>
      <c r="J268" s="24"/>
      <c r="K268" s="24"/>
      <c r="L268" s="25"/>
    </row>
    <row r="269" spans="1:17">
      <c r="A269" s="62"/>
      <c r="B269" s="62" t="s">
        <v>1</v>
      </c>
      <c r="C269" s="93" t="s">
        <v>2</v>
      </c>
      <c r="D269" s="117" t="s">
        <v>34</v>
      </c>
      <c r="E269" s="95" t="s">
        <v>3</v>
      </c>
      <c r="F269" s="93" t="s">
        <v>4</v>
      </c>
      <c r="G269" s="96" t="s">
        <v>18</v>
      </c>
      <c r="H269" s="96" t="s">
        <v>18</v>
      </c>
      <c r="I269" s="97" t="s">
        <v>7</v>
      </c>
      <c r="J269" s="96" t="s">
        <v>6</v>
      </c>
      <c r="K269" s="96" t="s">
        <v>29</v>
      </c>
      <c r="L269" s="96" t="s">
        <v>21</v>
      </c>
      <c r="M269" s="96" t="s">
        <v>8</v>
      </c>
      <c r="N269" s="96" t="s">
        <v>8</v>
      </c>
      <c r="O269" s="96" t="s">
        <v>9</v>
      </c>
      <c r="P269" s="62" t="s">
        <v>10</v>
      </c>
      <c r="Q269" s="98" t="s">
        <v>33</v>
      </c>
    </row>
    <row r="270" spans="1:17">
      <c r="A270" s="99"/>
      <c r="B270" s="99"/>
      <c r="C270" s="100"/>
      <c r="D270" s="101"/>
      <c r="E270" s="102"/>
      <c r="F270" s="100"/>
      <c r="G270" s="103" t="s">
        <v>11</v>
      </c>
      <c r="H270" s="103" t="s">
        <v>11</v>
      </c>
      <c r="I270" s="103" t="s">
        <v>19</v>
      </c>
      <c r="J270" s="103" t="s">
        <v>35</v>
      </c>
      <c r="K270" s="103" t="s">
        <v>22</v>
      </c>
      <c r="L270" s="103" t="s">
        <v>15</v>
      </c>
      <c r="M270" s="103" t="s">
        <v>13</v>
      </c>
      <c r="N270" s="103" t="s">
        <v>14</v>
      </c>
      <c r="O270" s="103" t="s">
        <v>12</v>
      </c>
      <c r="P270" s="99"/>
      <c r="Q270" s="104"/>
    </row>
    <row r="271" spans="1:17">
      <c r="A271" s="99"/>
      <c r="B271" s="99"/>
      <c r="C271" s="105"/>
      <c r="D271" s="101"/>
      <c r="E271" s="102"/>
      <c r="F271" s="100"/>
      <c r="G271" s="103" t="s">
        <v>90</v>
      </c>
      <c r="H271" s="103" t="s">
        <v>311</v>
      </c>
      <c r="I271" s="103" t="s">
        <v>5</v>
      </c>
      <c r="J271" s="103"/>
      <c r="K271" s="103"/>
      <c r="L271" s="103"/>
      <c r="M271" s="103"/>
      <c r="N271" s="103"/>
      <c r="O271" s="103"/>
      <c r="P271" s="99"/>
      <c r="Q271" s="104"/>
    </row>
    <row r="272" spans="1:17">
      <c r="A272" s="106"/>
      <c r="B272" s="106"/>
      <c r="C272" s="107"/>
      <c r="D272" s="108"/>
      <c r="E272" s="109"/>
      <c r="F272" s="110"/>
      <c r="G272" s="111"/>
      <c r="H272" s="112"/>
      <c r="I272" s="111"/>
      <c r="J272" s="111"/>
      <c r="K272" s="113"/>
      <c r="L272" s="108"/>
      <c r="M272" s="111"/>
      <c r="N272" s="111"/>
      <c r="O272" s="111"/>
      <c r="P272" s="106"/>
      <c r="Q272" s="114"/>
    </row>
    <row r="273" spans="1:17" ht="15.75">
      <c r="A273" s="52"/>
      <c r="B273" s="47"/>
      <c r="C273" s="48"/>
      <c r="D273" s="73"/>
      <c r="E273" s="17"/>
      <c r="F273" s="48"/>
      <c r="G273" s="36"/>
      <c r="H273" s="36"/>
      <c r="I273" s="36"/>
      <c r="J273" s="36"/>
      <c r="K273" s="8"/>
      <c r="M273" s="8"/>
      <c r="N273" s="8"/>
      <c r="O273" s="8"/>
      <c r="P273" s="35"/>
      <c r="Q273" s="37"/>
    </row>
    <row r="274" spans="1:17" ht="15.75">
      <c r="A274" s="52">
        <v>1</v>
      </c>
      <c r="B274" s="51" t="s">
        <v>307</v>
      </c>
      <c r="C274" s="48" t="s">
        <v>308</v>
      </c>
      <c r="D274" s="67" t="s">
        <v>309</v>
      </c>
      <c r="E274" s="17">
        <v>43185</v>
      </c>
      <c r="F274" s="20" t="s">
        <v>310</v>
      </c>
      <c r="G274" s="36">
        <v>411500</v>
      </c>
      <c r="H274" s="36">
        <v>113200</v>
      </c>
      <c r="I274" s="8">
        <v>13118</v>
      </c>
      <c r="J274" s="8">
        <v>0</v>
      </c>
      <c r="K274" s="8">
        <v>0</v>
      </c>
      <c r="L274" s="8">
        <v>200000</v>
      </c>
      <c r="M274" s="8">
        <f>SUM(G274:L274)</f>
        <v>737818</v>
      </c>
      <c r="N274" s="8">
        <f>15737818-M274</f>
        <v>15000000</v>
      </c>
      <c r="O274" s="8">
        <f t="shared" ref="O274" si="44">+M274+N274</f>
        <v>15737818</v>
      </c>
      <c r="P274" s="77" t="s">
        <v>312</v>
      </c>
      <c r="Q274" s="60" t="s">
        <v>52</v>
      </c>
    </row>
    <row r="275" spans="1:17" ht="15.75">
      <c r="A275" s="52"/>
      <c r="B275" s="51"/>
      <c r="C275" s="48"/>
      <c r="E275" s="17"/>
      <c r="F275" s="48"/>
      <c r="G275" s="36"/>
      <c r="H275" s="36"/>
      <c r="I275" s="36"/>
      <c r="J275" s="36"/>
      <c r="K275" s="36"/>
      <c r="M275" s="8"/>
      <c r="N275" s="8"/>
      <c r="O275" s="8"/>
      <c r="P275" s="59"/>
      <c r="Q275" s="66"/>
    </row>
    <row r="276" spans="1:17" ht="16.5" thickBot="1">
      <c r="A276" s="18"/>
      <c r="B276" s="55"/>
      <c r="C276" s="56"/>
      <c r="D276" s="74"/>
      <c r="E276" s="56"/>
      <c r="F276" s="57"/>
      <c r="G276" s="19">
        <f t="shared" ref="G276:O276" si="45">SUM(G274:G275)</f>
        <v>411500</v>
      </c>
      <c r="H276" s="19">
        <f t="shared" si="45"/>
        <v>113200</v>
      </c>
      <c r="I276" s="19">
        <f t="shared" si="45"/>
        <v>13118</v>
      </c>
      <c r="J276" s="19">
        <f t="shared" si="45"/>
        <v>0</v>
      </c>
      <c r="K276" s="19">
        <f t="shared" si="45"/>
        <v>0</v>
      </c>
      <c r="L276" s="19">
        <f t="shared" si="45"/>
        <v>200000</v>
      </c>
      <c r="M276" s="19">
        <f t="shared" si="45"/>
        <v>737818</v>
      </c>
      <c r="N276" s="19">
        <f t="shared" si="45"/>
        <v>15000000</v>
      </c>
      <c r="O276" s="19">
        <f t="shared" si="45"/>
        <v>15737818</v>
      </c>
      <c r="P276" s="68"/>
      <c r="Q276" s="70"/>
    </row>
    <row r="277" spans="1:17" ht="16.5" thickTop="1">
      <c r="A277" s="23"/>
      <c r="B277" s="22"/>
      <c r="C277" s="22"/>
      <c r="D277" s="23"/>
      <c r="E277" s="22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2"/>
      <c r="Q277" s="69"/>
    </row>
    <row r="278" spans="1:17" ht="15.75">
      <c r="A278" s="23"/>
      <c r="B278" s="28" t="s">
        <v>294</v>
      </c>
      <c r="C278" s="22"/>
      <c r="D278" s="39"/>
      <c r="F278" s="27"/>
      <c r="G278" s="28"/>
      <c r="H278" s="28"/>
      <c r="I278" s="28"/>
      <c r="J278" s="28"/>
      <c r="K278" s="28"/>
      <c r="L278" s="28"/>
      <c r="Q278" s="51"/>
    </row>
    <row r="279" spans="1:17" ht="15.75">
      <c r="A279" s="38"/>
      <c r="B279" s="40" t="s">
        <v>32</v>
      </c>
      <c r="C279" s="28" t="s">
        <v>28</v>
      </c>
      <c r="D279" s="39"/>
      <c r="F279" s="41"/>
      <c r="G279" s="127" t="s">
        <v>26</v>
      </c>
      <c r="H279" s="127"/>
      <c r="I279" s="127"/>
      <c r="K279" s="41"/>
    </row>
    <row r="280" spans="1:17" ht="15.75">
      <c r="A280" s="38"/>
      <c r="B280" s="40"/>
      <c r="C280" s="28"/>
      <c r="D280" s="39"/>
      <c r="F280" s="28"/>
      <c r="G280" s="28"/>
      <c r="H280" s="28"/>
      <c r="I280" s="28"/>
      <c r="J280" s="28"/>
      <c r="K280" s="28"/>
      <c r="L280" s="28"/>
    </row>
    <row r="281" spans="1:17" ht="15.75">
      <c r="A281" s="38"/>
      <c r="B281" s="40"/>
      <c r="C281" s="28"/>
      <c r="D281" s="39"/>
      <c r="F281" s="28"/>
      <c r="G281" s="28"/>
      <c r="H281" s="28"/>
      <c r="I281" s="28"/>
      <c r="J281" s="28"/>
      <c r="K281" s="28"/>
      <c r="L281" s="28"/>
    </row>
    <row r="282" spans="1:17" ht="15.75">
      <c r="A282" s="38"/>
      <c r="B282" s="40"/>
      <c r="C282" s="28"/>
      <c r="D282" s="39"/>
      <c r="F282" s="28"/>
      <c r="G282" s="28"/>
      <c r="H282" s="28"/>
      <c r="I282" s="28"/>
      <c r="J282" s="28"/>
      <c r="K282" s="28"/>
    </row>
    <row r="283" spans="1:17" ht="15.75">
      <c r="A283" s="38"/>
      <c r="B283" s="40"/>
      <c r="C283" s="28"/>
      <c r="D283" s="39"/>
      <c r="F283" s="28"/>
      <c r="G283" s="28"/>
      <c r="H283" s="28"/>
      <c r="I283" s="28"/>
      <c r="J283" s="28"/>
      <c r="K283" s="28"/>
      <c r="L283" s="28"/>
    </row>
    <row r="284" spans="1:17" ht="15.75">
      <c r="A284" s="38" t="s">
        <v>23</v>
      </c>
      <c r="B284" s="42" t="s">
        <v>27</v>
      </c>
      <c r="C284" s="43" t="s">
        <v>24</v>
      </c>
      <c r="D284" s="39"/>
      <c r="F284" s="29"/>
      <c r="G284" s="29" t="s">
        <v>16</v>
      </c>
      <c r="H284" s="29"/>
      <c r="I284" s="29" t="s">
        <v>30</v>
      </c>
    </row>
    <row r="285" spans="1:17" ht="15.75">
      <c r="A285" s="38"/>
      <c r="B285" s="44" t="s">
        <v>31</v>
      </c>
      <c r="C285" s="45" t="s">
        <v>20</v>
      </c>
      <c r="D285" s="39"/>
      <c r="F285" s="46"/>
      <c r="G285" s="46" t="s">
        <v>17</v>
      </c>
      <c r="H285" s="46"/>
      <c r="I285" s="46" t="s">
        <v>25</v>
      </c>
    </row>
    <row r="287" spans="1:17" ht="15.75">
      <c r="A287" s="21" t="s">
        <v>0</v>
      </c>
      <c r="B287" s="22"/>
      <c r="C287" s="23"/>
      <c r="D287" s="23"/>
      <c r="E287" s="23"/>
      <c r="F287" s="24"/>
      <c r="G287" s="24"/>
      <c r="H287" s="24"/>
      <c r="I287" s="24"/>
      <c r="J287" s="24"/>
      <c r="K287" s="24"/>
      <c r="L287" s="25"/>
    </row>
    <row r="288" spans="1:17" ht="15.75">
      <c r="A288" s="26" t="s">
        <v>313</v>
      </c>
      <c r="B288" s="21"/>
      <c r="C288" s="21"/>
      <c r="D288" s="21"/>
      <c r="E288" s="21"/>
      <c r="F288" s="24"/>
      <c r="G288" s="24"/>
      <c r="H288" s="24"/>
      <c r="I288" s="24"/>
      <c r="J288" s="24"/>
      <c r="K288" s="24"/>
      <c r="L288" s="25"/>
    </row>
    <row r="289" spans="1:17">
      <c r="A289" s="62"/>
      <c r="B289" s="62" t="s">
        <v>1</v>
      </c>
      <c r="C289" s="93" t="s">
        <v>2</v>
      </c>
      <c r="D289" s="117" t="s">
        <v>34</v>
      </c>
      <c r="E289" s="95" t="s">
        <v>3</v>
      </c>
      <c r="F289" s="93" t="s">
        <v>4</v>
      </c>
      <c r="G289" s="96" t="s">
        <v>18</v>
      </c>
      <c r="H289" s="96" t="s">
        <v>18</v>
      </c>
      <c r="I289" s="97" t="s">
        <v>7</v>
      </c>
      <c r="J289" s="96" t="s">
        <v>6</v>
      </c>
      <c r="K289" s="96" t="s">
        <v>29</v>
      </c>
      <c r="L289" s="96" t="s">
        <v>21</v>
      </c>
      <c r="M289" s="96" t="s">
        <v>8</v>
      </c>
      <c r="N289" s="96" t="s">
        <v>8</v>
      </c>
      <c r="O289" s="96" t="s">
        <v>9</v>
      </c>
      <c r="P289" s="62" t="s">
        <v>10</v>
      </c>
      <c r="Q289" s="98" t="s">
        <v>33</v>
      </c>
    </row>
    <row r="290" spans="1:17">
      <c r="A290" s="99"/>
      <c r="B290" s="99"/>
      <c r="C290" s="100"/>
      <c r="D290" s="101"/>
      <c r="E290" s="102"/>
      <c r="F290" s="100"/>
      <c r="G290" s="103" t="s">
        <v>11</v>
      </c>
      <c r="H290" s="103" t="s">
        <v>11</v>
      </c>
      <c r="I290" s="103" t="s">
        <v>19</v>
      </c>
      <c r="J290" s="103" t="s">
        <v>35</v>
      </c>
      <c r="K290" s="103" t="s">
        <v>22</v>
      </c>
      <c r="L290" s="103" t="s">
        <v>15</v>
      </c>
      <c r="M290" s="103" t="s">
        <v>13</v>
      </c>
      <c r="N290" s="103" t="s">
        <v>14</v>
      </c>
      <c r="O290" s="103" t="s">
        <v>12</v>
      </c>
      <c r="P290" s="99"/>
      <c r="Q290" s="104"/>
    </row>
    <row r="291" spans="1:17">
      <c r="A291" s="99"/>
      <c r="B291" s="99"/>
      <c r="C291" s="105"/>
      <c r="D291" s="101"/>
      <c r="E291" s="102"/>
      <c r="F291" s="100"/>
      <c r="G291" s="103" t="s">
        <v>90</v>
      </c>
      <c r="H291" s="103" t="s">
        <v>311</v>
      </c>
      <c r="I291" s="103" t="s">
        <v>5</v>
      </c>
      <c r="J291" s="103"/>
      <c r="K291" s="103"/>
      <c r="L291" s="103"/>
      <c r="M291" s="103"/>
      <c r="N291" s="103"/>
      <c r="O291" s="103"/>
      <c r="P291" s="99"/>
      <c r="Q291" s="104"/>
    </row>
    <row r="292" spans="1:17">
      <c r="A292" s="106"/>
      <c r="B292" s="106"/>
      <c r="C292" s="107"/>
      <c r="D292" s="108"/>
      <c r="E292" s="109"/>
      <c r="F292" s="110"/>
      <c r="G292" s="111"/>
      <c r="H292" s="112"/>
      <c r="I292" s="111"/>
      <c r="J292" s="111"/>
      <c r="K292" s="113"/>
      <c r="L292" s="108"/>
      <c r="M292" s="111"/>
      <c r="N292" s="111"/>
      <c r="O292" s="111"/>
      <c r="P292" s="106"/>
      <c r="Q292" s="114"/>
    </row>
    <row r="293" spans="1:17" ht="15.75">
      <c r="A293" s="52"/>
      <c r="B293" s="47"/>
      <c r="C293" s="48"/>
      <c r="D293" s="73"/>
      <c r="E293" s="17"/>
      <c r="F293" s="48"/>
      <c r="G293" s="36"/>
      <c r="H293" s="36"/>
      <c r="I293" s="36"/>
      <c r="J293" s="36"/>
      <c r="K293" s="8"/>
      <c r="M293" s="8"/>
      <c r="N293" s="8"/>
      <c r="O293" s="8"/>
      <c r="P293" s="35"/>
      <c r="Q293" s="37"/>
    </row>
    <row r="294" spans="1:17" ht="15.75">
      <c r="A294" s="52">
        <v>1</v>
      </c>
      <c r="B294" s="51" t="s">
        <v>314</v>
      </c>
      <c r="C294" s="48" t="s">
        <v>315</v>
      </c>
      <c r="D294" s="67" t="s">
        <v>316</v>
      </c>
      <c r="E294" s="17">
        <v>43186</v>
      </c>
      <c r="F294" s="20" t="s">
        <v>317</v>
      </c>
      <c r="G294" s="36">
        <v>0</v>
      </c>
      <c r="H294" s="36">
        <v>0</v>
      </c>
      <c r="I294" s="8">
        <v>0</v>
      </c>
      <c r="J294" s="8">
        <v>0</v>
      </c>
      <c r="K294" s="8">
        <v>1200000</v>
      </c>
      <c r="L294" s="8">
        <v>200000</v>
      </c>
      <c r="M294" s="8">
        <f>SUM(G294:L294)</f>
        <v>1400000</v>
      </c>
      <c r="N294" s="8">
        <f>150000000-M294</f>
        <v>148600000</v>
      </c>
      <c r="O294" s="8">
        <f t="shared" ref="O294" si="46">+M294+N294</f>
        <v>150000000</v>
      </c>
      <c r="P294" s="77" t="s">
        <v>73</v>
      </c>
      <c r="Q294" s="60" t="s">
        <v>58</v>
      </c>
    </row>
    <row r="295" spans="1:17" ht="15.75">
      <c r="A295" s="52"/>
      <c r="B295" s="51"/>
      <c r="C295" s="48"/>
      <c r="E295" s="17"/>
      <c r="F295" s="48"/>
      <c r="G295" s="36"/>
      <c r="H295" s="36"/>
      <c r="I295" s="36"/>
      <c r="J295" s="36"/>
      <c r="K295" s="36"/>
      <c r="M295" s="8"/>
      <c r="N295" s="8"/>
      <c r="O295" s="8"/>
      <c r="P295" s="59"/>
      <c r="Q295" s="66"/>
    </row>
    <row r="296" spans="1:17" ht="16.5" thickBot="1">
      <c r="A296" s="18"/>
      <c r="B296" s="55"/>
      <c r="C296" s="56"/>
      <c r="D296" s="74"/>
      <c r="E296" s="56"/>
      <c r="F296" s="57"/>
      <c r="G296" s="19">
        <f t="shared" ref="G296" si="47">SUM(G294:G295)</f>
        <v>0</v>
      </c>
      <c r="H296" s="19">
        <f t="shared" ref="H296" si="48">SUM(H294:H295)</f>
        <v>0</v>
      </c>
      <c r="I296" s="19">
        <f t="shared" ref="I296" si="49">SUM(I294:I295)</f>
        <v>0</v>
      </c>
      <c r="J296" s="19">
        <f t="shared" ref="J296" si="50">SUM(J294:J295)</f>
        <v>0</v>
      </c>
      <c r="K296" s="19">
        <f t="shared" ref="K296" si="51">SUM(K294:K295)</f>
        <v>1200000</v>
      </c>
      <c r="L296" s="19">
        <f t="shared" ref="L296" si="52">SUM(L294:L295)</f>
        <v>200000</v>
      </c>
      <c r="M296" s="19">
        <f t="shared" ref="M296" si="53">SUM(M294:M295)</f>
        <v>1400000</v>
      </c>
      <c r="N296" s="19">
        <f t="shared" ref="N296" si="54">SUM(N294:N295)</f>
        <v>148600000</v>
      </c>
      <c r="O296" s="19">
        <f t="shared" ref="O296" si="55">SUM(O294:O295)</f>
        <v>150000000</v>
      </c>
      <c r="P296" s="68"/>
      <c r="Q296" s="70"/>
    </row>
    <row r="297" spans="1:17" ht="16.5" thickTop="1">
      <c r="A297" s="23"/>
      <c r="B297" s="22"/>
      <c r="C297" s="22"/>
      <c r="D297" s="23"/>
      <c r="E297" s="22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2"/>
      <c r="Q297" s="69"/>
    </row>
    <row r="298" spans="1:17" ht="15.75">
      <c r="A298" s="23"/>
      <c r="B298" s="28" t="s">
        <v>318</v>
      </c>
      <c r="C298" s="22"/>
      <c r="D298" s="39"/>
      <c r="F298" s="27"/>
      <c r="G298" s="28"/>
      <c r="H298" s="28"/>
      <c r="I298" s="28"/>
      <c r="J298" s="28"/>
      <c r="K298" s="28"/>
      <c r="L298" s="28"/>
      <c r="Q298" s="51"/>
    </row>
    <row r="299" spans="1:17" ht="15.75">
      <c r="A299" s="38"/>
      <c r="B299" s="40" t="s">
        <v>32</v>
      </c>
      <c r="C299" s="28" t="s">
        <v>28</v>
      </c>
      <c r="D299" s="39"/>
      <c r="F299" s="41"/>
      <c r="G299" s="127" t="s">
        <v>26</v>
      </c>
      <c r="H299" s="127"/>
      <c r="I299" s="127"/>
      <c r="K299" s="41"/>
    </row>
    <row r="300" spans="1:17" ht="15.75">
      <c r="A300" s="38"/>
      <c r="B300" s="40"/>
      <c r="C300" s="28"/>
      <c r="D300" s="39"/>
      <c r="F300" s="28"/>
      <c r="G300" s="28"/>
      <c r="H300" s="28"/>
      <c r="I300" s="28"/>
      <c r="J300" s="28"/>
      <c r="K300" s="28"/>
      <c r="L300" s="28"/>
    </row>
    <row r="301" spans="1:17" ht="15.75">
      <c r="A301" s="38"/>
      <c r="B301" s="40"/>
      <c r="C301" s="28"/>
      <c r="D301" s="39"/>
      <c r="F301" s="28"/>
      <c r="G301" s="28"/>
      <c r="H301" s="28"/>
      <c r="I301" s="28"/>
      <c r="J301" s="28"/>
      <c r="K301" s="28"/>
      <c r="L301" s="28"/>
    </row>
    <row r="302" spans="1:17" ht="15.75">
      <c r="A302" s="38"/>
      <c r="B302" s="40"/>
      <c r="C302" s="28"/>
      <c r="D302" s="39"/>
      <c r="F302" s="28"/>
      <c r="G302" s="28"/>
      <c r="H302" s="28"/>
      <c r="I302" s="28"/>
      <c r="J302" s="28"/>
      <c r="K302" s="28"/>
    </row>
    <row r="303" spans="1:17" ht="15.75">
      <c r="A303" s="38"/>
      <c r="B303" s="40"/>
      <c r="C303" s="28"/>
      <c r="D303" s="39"/>
      <c r="F303" s="28"/>
      <c r="G303" s="28"/>
      <c r="H303" s="28"/>
      <c r="I303" s="28"/>
      <c r="J303" s="28"/>
      <c r="K303" s="28"/>
      <c r="L303" s="28"/>
    </row>
    <row r="304" spans="1:17" ht="15.75">
      <c r="A304" s="38" t="s">
        <v>23</v>
      </c>
      <c r="B304" s="42" t="s">
        <v>27</v>
      </c>
      <c r="C304" s="43" t="s">
        <v>24</v>
      </c>
      <c r="D304" s="39"/>
      <c r="F304" s="29"/>
      <c r="G304" s="29" t="s">
        <v>16</v>
      </c>
      <c r="H304" s="29"/>
      <c r="I304" s="29" t="s">
        <v>30</v>
      </c>
    </row>
    <row r="305" spans="1:17" ht="15.75">
      <c r="A305" s="38"/>
      <c r="B305" s="44" t="s">
        <v>31</v>
      </c>
      <c r="C305" s="45" t="s">
        <v>20</v>
      </c>
      <c r="D305" s="39"/>
      <c r="F305" s="46"/>
      <c r="G305" s="46" t="s">
        <v>17</v>
      </c>
      <c r="H305" s="46"/>
      <c r="I305" s="46" t="s">
        <v>25</v>
      </c>
    </row>
    <row r="307" spans="1:17" ht="15.75">
      <c r="A307" s="21" t="s">
        <v>0</v>
      </c>
      <c r="B307" s="22"/>
      <c r="C307" s="23"/>
      <c r="D307" s="23"/>
      <c r="E307" s="23"/>
      <c r="F307" s="24"/>
      <c r="G307" s="24"/>
      <c r="H307" s="24"/>
      <c r="I307" s="24"/>
      <c r="J307" s="24"/>
      <c r="K307" s="24"/>
      <c r="L307" s="25"/>
    </row>
    <row r="308" spans="1:17" ht="15.75">
      <c r="A308" s="26" t="s">
        <v>319</v>
      </c>
      <c r="B308" s="21"/>
      <c r="C308" s="21"/>
      <c r="D308" s="21"/>
      <c r="E308" s="21"/>
      <c r="F308" s="24"/>
      <c r="G308" s="24"/>
      <c r="H308" s="24"/>
      <c r="I308" s="24"/>
      <c r="J308" s="24"/>
      <c r="K308" s="24"/>
      <c r="L308" s="25"/>
    </row>
    <row r="309" spans="1:17">
      <c r="A309" s="62"/>
      <c r="B309" s="62" t="s">
        <v>1</v>
      </c>
      <c r="C309" s="93" t="s">
        <v>2</v>
      </c>
      <c r="D309" s="117" t="s">
        <v>34</v>
      </c>
      <c r="E309" s="95" t="s">
        <v>3</v>
      </c>
      <c r="F309" s="93" t="s">
        <v>4</v>
      </c>
      <c r="G309" s="96" t="s">
        <v>18</v>
      </c>
      <c r="H309" s="96" t="s">
        <v>18</v>
      </c>
      <c r="I309" s="97" t="s">
        <v>7</v>
      </c>
      <c r="J309" s="96" t="s">
        <v>6</v>
      </c>
      <c r="K309" s="96" t="s">
        <v>29</v>
      </c>
      <c r="L309" s="96" t="s">
        <v>21</v>
      </c>
      <c r="M309" s="96" t="s">
        <v>8</v>
      </c>
      <c r="N309" s="96" t="s">
        <v>8</v>
      </c>
      <c r="O309" s="96" t="s">
        <v>9</v>
      </c>
      <c r="P309" s="62" t="s">
        <v>10</v>
      </c>
      <c r="Q309" s="98" t="s">
        <v>33</v>
      </c>
    </row>
    <row r="310" spans="1:17">
      <c r="A310" s="99"/>
      <c r="B310" s="99"/>
      <c r="C310" s="100"/>
      <c r="D310" s="101"/>
      <c r="E310" s="102"/>
      <c r="F310" s="100"/>
      <c r="G310" s="103" t="s">
        <v>11</v>
      </c>
      <c r="H310" s="103" t="s">
        <v>11</v>
      </c>
      <c r="I310" s="103" t="s">
        <v>19</v>
      </c>
      <c r="J310" s="103" t="s">
        <v>35</v>
      </c>
      <c r="K310" s="103" t="s">
        <v>22</v>
      </c>
      <c r="L310" s="103" t="s">
        <v>15</v>
      </c>
      <c r="M310" s="103" t="s">
        <v>13</v>
      </c>
      <c r="N310" s="103" t="s">
        <v>14</v>
      </c>
      <c r="O310" s="103" t="s">
        <v>12</v>
      </c>
      <c r="P310" s="99"/>
      <c r="Q310" s="104"/>
    </row>
    <row r="311" spans="1:17">
      <c r="A311" s="99"/>
      <c r="B311" s="99"/>
      <c r="C311" s="105"/>
      <c r="D311" s="101"/>
      <c r="E311" s="102"/>
      <c r="F311" s="100"/>
      <c r="G311" s="103" t="s">
        <v>90</v>
      </c>
      <c r="H311" s="103" t="s">
        <v>311</v>
      </c>
      <c r="I311" s="103" t="s">
        <v>5</v>
      </c>
      <c r="J311" s="103"/>
      <c r="K311" s="103"/>
      <c r="L311" s="103"/>
      <c r="M311" s="103"/>
      <c r="N311" s="103"/>
      <c r="O311" s="103"/>
      <c r="P311" s="99"/>
      <c r="Q311" s="104"/>
    </row>
    <row r="312" spans="1:17">
      <c r="A312" s="106"/>
      <c r="B312" s="106"/>
      <c r="C312" s="107"/>
      <c r="D312" s="108"/>
      <c r="E312" s="109"/>
      <c r="F312" s="110"/>
      <c r="G312" s="111"/>
      <c r="H312" s="112"/>
      <c r="I312" s="111"/>
      <c r="J312" s="111"/>
      <c r="K312" s="113"/>
      <c r="L312" s="108"/>
      <c r="M312" s="111"/>
      <c r="N312" s="111"/>
      <c r="O312" s="111"/>
      <c r="P312" s="106"/>
      <c r="Q312" s="114"/>
    </row>
    <row r="313" spans="1:17" ht="15.75">
      <c r="A313" s="52"/>
      <c r="B313" s="47"/>
      <c r="C313" s="48"/>
      <c r="D313" s="73"/>
      <c r="E313" s="17"/>
      <c r="F313" s="48"/>
      <c r="G313" s="36"/>
      <c r="H313" s="36"/>
      <c r="I313" s="36"/>
      <c r="J313" s="36"/>
      <c r="K313" s="8"/>
      <c r="M313" s="8"/>
      <c r="N313" s="8"/>
      <c r="O313" s="8"/>
      <c r="P313" s="35"/>
      <c r="Q313" s="37"/>
    </row>
    <row r="314" spans="1:17" ht="15.75">
      <c r="A314" s="52">
        <v>1</v>
      </c>
      <c r="B314" s="51" t="s">
        <v>320</v>
      </c>
      <c r="C314" s="48" t="s">
        <v>321</v>
      </c>
      <c r="D314" s="67" t="s">
        <v>322</v>
      </c>
      <c r="E314" s="17">
        <v>43187</v>
      </c>
      <c r="F314" s="20" t="s">
        <v>323</v>
      </c>
      <c r="G314" s="36">
        <v>0</v>
      </c>
      <c r="H314" s="36">
        <v>0</v>
      </c>
      <c r="I314" s="8">
        <v>0</v>
      </c>
      <c r="J314" s="8">
        <v>0</v>
      </c>
      <c r="K314" s="8">
        <v>60000</v>
      </c>
      <c r="L314" s="8">
        <v>0</v>
      </c>
      <c r="M314" s="8">
        <f>SUM(G314:L314)</f>
        <v>60000</v>
      </c>
      <c r="N314" s="8">
        <f>6000000-M314</f>
        <v>5940000</v>
      </c>
      <c r="O314" s="8">
        <f t="shared" ref="O314" si="56">+M314+N314</f>
        <v>6000000</v>
      </c>
      <c r="P314" s="77" t="s">
        <v>192</v>
      </c>
      <c r="Q314" s="60" t="s">
        <v>40</v>
      </c>
    </row>
    <row r="315" spans="1:17" ht="15.75">
      <c r="A315" s="52"/>
      <c r="B315" s="51"/>
      <c r="C315" s="48"/>
      <c r="E315" s="17"/>
      <c r="F315" s="48"/>
      <c r="G315" s="36"/>
      <c r="H315" s="36"/>
      <c r="I315" s="36"/>
      <c r="J315" s="36"/>
      <c r="K315" s="36"/>
      <c r="M315" s="8"/>
      <c r="N315" s="8"/>
      <c r="O315" s="8"/>
      <c r="P315" s="59"/>
      <c r="Q315" s="66"/>
    </row>
    <row r="316" spans="1:17" ht="16.5" thickBot="1">
      <c r="A316" s="18"/>
      <c r="B316" s="55"/>
      <c r="C316" s="56"/>
      <c r="D316" s="74"/>
      <c r="E316" s="56"/>
      <c r="F316" s="57"/>
      <c r="G316" s="19">
        <f t="shared" ref="G316" si="57">SUM(G314:G315)</f>
        <v>0</v>
      </c>
      <c r="H316" s="19">
        <f t="shared" ref="H316:O316" si="58">SUM(H314:H315)</f>
        <v>0</v>
      </c>
      <c r="I316" s="19">
        <f t="shared" si="58"/>
        <v>0</v>
      </c>
      <c r="J316" s="19">
        <f t="shared" si="58"/>
        <v>0</v>
      </c>
      <c r="K316" s="19">
        <f t="shared" si="58"/>
        <v>60000</v>
      </c>
      <c r="L316" s="19">
        <f t="shared" si="58"/>
        <v>0</v>
      </c>
      <c r="M316" s="19">
        <f t="shared" si="58"/>
        <v>60000</v>
      </c>
      <c r="N316" s="19">
        <f t="shared" si="58"/>
        <v>5940000</v>
      </c>
      <c r="O316" s="19">
        <f t="shared" si="58"/>
        <v>6000000</v>
      </c>
      <c r="P316" s="68"/>
      <c r="Q316" s="70"/>
    </row>
    <row r="317" spans="1:17" ht="16.5" thickTop="1">
      <c r="A317" s="23"/>
      <c r="B317" s="22"/>
      <c r="C317" s="22"/>
      <c r="D317" s="23"/>
      <c r="E317" s="22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2"/>
      <c r="Q317" s="69"/>
    </row>
    <row r="318" spans="1:17" ht="15.75">
      <c r="A318" s="23"/>
      <c r="B318" s="28" t="s">
        <v>324</v>
      </c>
      <c r="C318" s="22"/>
      <c r="D318" s="39"/>
      <c r="F318" s="27"/>
      <c r="G318" s="28"/>
      <c r="H318" s="28"/>
      <c r="I318" s="28"/>
      <c r="J318" s="28"/>
      <c r="K318" s="28"/>
      <c r="L318" s="28"/>
      <c r="Q318" s="51"/>
    </row>
    <row r="319" spans="1:17" ht="15.75">
      <c r="A319" s="38"/>
      <c r="B319" s="40" t="s">
        <v>32</v>
      </c>
      <c r="C319" s="28" t="s">
        <v>28</v>
      </c>
      <c r="D319" s="39"/>
      <c r="F319" s="41"/>
      <c r="G319" s="127" t="s">
        <v>26</v>
      </c>
      <c r="H319" s="127"/>
      <c r="I319" s="127"/>
      <c r="K319" s="41"/>
    </row>
    <row r="320" spans="1:17" ht="15.75">
      <c r="A320" s="38"/>
      <c r="B320" s="40"/>
      <c r="C320" s="28"/>
      <c r="D320" s="39"/>
      <c r="F320" s="28"/>
      <c r="G320" s="28"/>
      <c r="H320" s="28"/>
      <c r="I320" s="28"/>
      <c r="J320" s="28"/>
      <c r="K320" s="28"/>
      <c r="L320" s="28"/>
    </row>
    <row r="321" spans="1:12" ht="15.75">
      <c r="A321" s="38"/>
      <c r="B321" s="40"/>
      <c r="C321" s="28"/>
      <c r="D321" s="39"/>
      <c r="F321" s="28"/>
      <c r="G321" s="28"/>
      <c r="H321" s="28"/>
      <c r="I321" s="28"/>
      <c r="J321" s="28"/>
      <c r="K321" s="28"/>
      <c r="L321" s="28"/>
    </row>
    <row r="322" spans="1:12" ht="15.75">
      <c r="A322" s="38"/>
      <c r="B322" s="40"/>
      <c r="C322" s="28"/>
      <c r="D322" s="39"/>
      <c r="F322" s="28"/>
      <c r="G322" s="28"/>
      <c r="H322" s="28"/>
      <c r="I322" s="28"/>
      <c r="J322" s="28"/>
      <c r="K322" s="28"/>
    </row>
    <row r="323" spans="1:12" ht="15.75">
      <c r="A323" s="38"/>
      <c r="B323" s="40"/>
      <c r="C323" s="28"/>
      <c r="D323" s="39"/>
      <c r="F323" s="28"/>
      <c r="G323" s="28"/>
      <c r="H323" s="28"/>
      <c r="I323" s="28"/>
      <c r="J323" s="28"/>
      <c r="K323" s="28"/>
      <c r="L323" s="28"/>
    </row>
    <row r="324" spans="1:12" ht="15.75">
      <c r="A324" s="38" t="s">
        <v>23</v>
      </c>
      <c r="B324" s="42" t="s">
        <v>27</v>
      </c>
      <c r="C324" s="43" t="s">
        <v>24</v>
      </c>
      <c r="D324" s="39"/>
      <c r="F324" s="29"/>
      <c r="G324" s="29" t="s">
        <v>16</v>
      </c>
      <c r="H324" s="29"/>
      <c r="I324" s="29" t="s">
        <v>30</v>
      </c>
    </row>
    <row r="325" spans="1:12" ht="15.75">
      <c r="A325" s="38"/>
      <c r="B325" s="44" t="s">
        <v>31</v>
      </c>
      <c r="C325" s="45" t="s">
        <v>20</v>
      </c>
      <c r="D325" s="39"/>
      <c r="F325" s="46"/>
      <c r="G325" s="46" t="s">
        <v>17</v>
      </c>
      <c r="H325" s="46"/>
      <c r="I325" s="46" t="s">
        <v>25</v>
      </c>
    </row>
  </sheetData>
  <mergeCells count="16">
    <mergeCell ref="G197:I197"/>
    <mergeCell ref="G177:I177"/>
    <mergeCell ref="G319:I319"/>
    <mergeCell ref="G13:I13"/>
    <mergeCell ref="G33:I33"/>
    <mergeCell ref="G53:I53"/>
    <mergeCell ref="G74:I74"/>
    <mergeCell ref="G95:I95"/>
    <mergeCell ref="G299:I299"/>
    <mergeCell ref="G279:I279"/>
    <mergeCell ref="G156:I156"/>
    <mergeCell ref="G136:I136"/>
    <mergeCell ref="G116:I116"/>
    <mergeCell ref="G237:I237"/>
    <mergeCell ref="G259:I259"/>
    <mergeCell ref="G217:I217"/>
  </mergeCells>
  <pageMargins left="0.11811023622047245" right="0.70866141732283472" top="0.74803149606299213" bottom="0.98425196850393704" header="0.31496062992125984" footer="0.31496062992125984"/>
  <pageSetup paperSize="5" scale="76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5"/>
  <sheetViews>
    <sheetView topLeftCell="A19" workbookViewId="0">
      <selection activeCell="J35" sqref="J35"/>
    </sheetView>
  </sheetViews>
  <sheetFormatPr defaultRowHeight="15"/>
  <cols>
    <col min="1" max="1" width="2.28515625" style="34" customWidth="1"/>
    <col min="2" max="2" width="15.42578125" style="34" customWidth="1"/>
    <col min="3" max="3" width="9.140625" style="34"/>
    <col min="4" max="4" width="8.140625" style="34" customWidth="1"/>
    <col min="5" max="5" width="13.5703125" style="34" customWidth="1"/>
    <col min="6" max="6" width="14.42578125" style="34" customWidth="1"/>
    <col min="7" max="7" width="18.28515625" style="34" bestFit="1" customWidth="1"/>
    <col min="8" max="8" width="16.5703125" style="34" customWidth="1"/>
    <col min="9" max="9" width="16.28515625" style="34" customWidth="1"/>
    <col min="10" max="10" width="14.28515625" style="34" bestFit="1" customWidth="1"/>
    <col min="11" max="11" width="1.140625" style="34" customWidth="1"/>
    <col min="12" max="12" width="15" style="34" customWidth="1"/>
    <col min="13" max="13" width="12.7109375" style="34" customWidth="1"/>
    <col min="14" max="15" width="17.7109375" style="34" customWidth="1"/>
    <col min="16" max="16" width="18" style="34" customWidth="1"/>
    <col min="17" max="17" width="8.42578125" style="34" customWidth="1"/>
    <col min="18" max="18" width="5.85546875" style="34" customWidth="1"/>
    <col min="19" max="16384" width="9.140625" style="34"/>
  </cols>
  <sheetData>
    <row r="1" spans="1:17" ht="15.7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7" ht="15.75">
      <c r="A2" s="26" t="s">
        <v>325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7">
      <c r="A3" s="62"/>
      <c r="B3" s="62" t="s">
        <v>1</v>
      </c>
      <c r="C3" s="93" t="s">
        <v>2</v>
      </c>
      <c r="D3" s="117" t="s">
        <v>34</v>
      </c>
      <c r="E3" s="95" t="s">
        <v>3</v>
      </c>
      <c r="F3" s="93" t="s">
        <v>4</v>
      </c>
      <c r="G3" s="96" t="s">
        <v>18</v>
      </c>
      <c r="H3" s="96" t="s">
        <v>18</v>
      </c>
      <c r="I3" s="97" t="s">
        <v>7</v>
      </c>
      <c r="J3" s="96" t="s">
        <v>6</v>
      </c>
      <c r="K3" s="96" t="s">
        <v>29</v>
      </c>
      <c r="L3" s="96" t="s">
        <v>21</v>
      </c>
      <c r="M3" s="96" t="s">
        <v>8</v>
      </c>
      <c r="N3" s="96" t="s">
        <v>8</v>
      </c>
      <c r="O3" s="96" t="s">
        <v>9</v>
      </c>
      <c r="P3" s="62" t="s">
        <v>10</v>
      </c>
      <c r="Q3" s="98" t="s">
        <v>33</v>
      </c>
    </row>
    <row r="4" spans="1:17">
      <c r="A4" s="99"/>
      <c r="B4" s="99"/>
      <c r="C4" s="100"/>
      <c r="D4" s="101"/>
      <c r="E4" s="102"/>
      <c r="F4" s="100"/>
      <c r="G4" s="103" t="s">
        <v>11</v>
      </c>
      <c r="H4" s="103" t="s">
        <v>11</v>
      </c>
      <c r="I4" s="103" t="s">
        <v>19</v>
      </c>
      <c r="J4" s="103" t="s">
        <v>35</v>
      </c>
      <c r="K4" s="103" t="s">
        <v>22</v>
      </c>
      <c r="L4" s="103" t="s">
        <v>15</v>
      </c>
      <c r="M4" s="103" t="s">
        <v>13</v>
      </c>
      <c r="N4" s="103" t="s">
        <v>14</v>
      </c>
      <c r="O4" s="103" t="s">
        <v>12</v>
      </c>
      <c r="P4" s="99"/>
      <c r="Q4" s="104"/>
    </row>
    <row r="5" spans="1:17">
      <c r="A5" s="99"/>
      <c r="B5" s="99"/>
      <c r="C5" s="105"/>
      <c r="D5" s="101"/>
      <c r="E5" s="102"/>
      <c r="F5" s="100"/>
      <c r="G5" s="103" t="s">
        <v>81</v>
      </c>
      <c r="H5" s="103" t="s">
        <v>311</v>
      </c>
      <c r="I5" s="103" t="s">
        <v>5</v>
      </c>
      <c r="J5" s="103"/>
      <c r="K5" s="103"/>
      <c r="L5" s="103"/>
      <c r="M5" s="103"/>
      <c r="N5" s="103"/>
      <c r="O5" s="103"/>
      <c r="P5" s="99"/>
      <c r="Q5" s="104"/>
    </row>
    <row r="6" spans="1:17">
      <c r="A6" s="106"/>
      <c r="B6" s="106"/>
      <c r="C6" s="107"/>
      <c r="D6" s="108"/>
      <c r="E6" s="109"/>
      <c r="F6" s="110"/>
      <c r="G6" s="111"/>
      <c r="H6" s="112"/>
      <c r="I6" s="111"/>
      <c r="J6" s="111"/>
      <c r="K6" s="113"/>
      <c r="L6" s="108"/>
      <c r="M6" s="111"/>
      <c r="N6" s="111"/>
      <c r="O6" s="111"/>
      <c r="P6" s="106"/>
      <c r="Q6" s="114"/>
    </row>
    <row r="7" spans="1:17" ht="15.7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M7" s="8"/>
      <c r="N7" s="8"/>
      <c r="O7" s="8"/>
      <c r="P7" s="35"/>
      <c r="Q7" s="37"/>
    </row>
    <row r="8" spans="1:17" ht="15.75">
      <c r="A8" s="52">
        <v>1</v>
      </c>
      <c r="B8" s="51" t="s">
        <v>326</v>
      </c>
      <c r="C8" s="48" t="s">
        <v>327</v>
      </c>
      <c r="D8" s="67" t="s">
        <v>328</v>
      </c>
      <c r="E8" s="17">
        <v>43203</v>
      </c>
      <c r="F8" s="20" t="s">
        <v>329</v>
      </c>
      <c r="G8" s="36">
        <v>27500</v>
      </c>
      <c r="H8" s="36">
        <v>65983573</v>
      </c>
      <c r="I8" s="8">
        <v>1650277</v>
      </c>
      <c r="J8" s="8">
        <v>709975</v>
      </c>
      <c r="K8" s="8">
        <v>250000</v>
      </c>
      <c r="L8" s="8">
        <v>200000</v>
      </c>
      <c r="M8" s="8">
        <f>SUM(G8:L8)</f>
        <v>68821325</v>
      </c>
      <c r="N8" s="8">
        <f>93821325-M8</f>
        <v>25000000</v>
      </c>
      <c r="O8" s="8">
        <f t="shared" ref="O8" si="0">+M8+N8</f>
        <v>93821325</v>
      </c>
      <c r="P8" s="59" t="s">
        <v>124</v>
      </c>
      <c r="Q8" s="66" t="s">
        <v>52</v>
      </c>
    </row>
    <row r="9" spans="1:17" ht="15.75">
      <c r="A9" s="52"/>
      <c r="B9" s="51"/>
      <c r="C9" s="48"/>
      <c r="E9" s="17"/>
      <c r="F9" s="48"/>
      <c r="G9" s="36"/>
      <c r="H9" s="36"/>
      <c r="I9" s="36"/>
      <c r="J9" s="36"/>
      <c r="K9" s="36"/>
      <c r="M9" s="8"/>
      <c r="N9" s="8"/>
      <c r="O9" s="8"/>
      <c r="P9" s="59"/>
      <c r="Q9" s="66"/>
    </row>
    <row r="10" spans="1:17" ht="16.5" thickBot="1">
      <c r="A10" s="18"/>
      <c r="B10" s="55"/>
      <c r="C10" s="56"/>
      <c r="D10" s="74"/>
      <c r="E10" s="56"/>
      <c r="F10" s="57"/>
      <c r="G10" s="19">
        <f t="shared" ref="G10" si="1">SUM(G8:G9)</f>
        <v>27500</v>
      </c>
      <c r="H10" s="19">
        <f t="shared" ref="H10:O10" si="2">SUM(H8:H9)</f>
        <v>65983573</v>
      </c>
      <c r="I10" s="19">
        <f t="shared" si="2"/>
        <v>1650277</v>
      </c>
      <c r="J10" s="19">
        <f t="shared" si="2"/>
        <v>709975</v>
      </c>
      <c r="K10" s="19">
        <f t="shared" si="2"/>
        <v>250000</v>
      </c>
      <c r="L10" s="19">
        <f t="shared" si="2"/>
        <v>200000</v>
      </c>
      <c r="M10" s="19">
        <f t="shared" si="2"/>
        <v>68821325</v>
      </c>
      <c r="N10" s="19">
        <f t="shared" si="2"/>
        <v>25000000</v>
      </c>
      <c r="O10" s="19">
        <f t="shared" si="2"/>
        <v>93821325</v>
      </c>
      <c r="P10" s="68"/>
      <c r="Q10" s="70"/>
    </row>
    <row r="11" spans="1:17" ht="16.5" thickTop="1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>
      <c r="A12" s="23"/>
      <c r="B12" s="28" t="s">
        <v>330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7" ht="15.75">
      <c r="A13" s="38"/>
      <c r="B13" s="40" t="s">
        <v>32</v>
      </c>
      <c r="C13" s="28" t="s">
        <v>28</v>
      </c>
      <c r="D13" s="39"/>
      <c r="F13" s="41"/>
      <c r="G13" s="127" t="s">
        <v>26</v>
      </c>
      <c r="H13" s="127"/>
      <c r="I13" s="127"/>
      <c r="K13" s="41"/>
    </row>
    <row r="14" spans="1:17" ht="15.75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7" ht="15.7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7" ht="15.75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7" ht="15.75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7" ht="15.75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1" spans="1:17" ht="15.7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7" ht="15.75">
      <c r="A22" s="26" t="s">
        <v>325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</row>
    <row r="23" spans="1:17">
      <c r="A23" s="62"/>
      <c r="B23" s="62" t="s">
        <v>1</v>
      </c>
      <c r="C23" s="93" t="s">
        <v>2</v>
      </c>
      <c r="D23" s="117" t="s">
        <v>34</v>
      </c>
      <c r="E23" s="95" t="s">
        <v>3</v>
      </c>
      <c r="F23" s="93" t="s">
        <v>4</v>
      </c>
      <c r="G23" s="96" t="s">
        <v>18</v>
      </c>
      <c r="H23" s="96" t="s">
        <v>18</v>
      </c>
      <c r="I23" s="97" t="s">
        <v>7</v>
      </c>
      <c r="J23" s="96" t="s">
        <v>6</v>
      </c>
      <c r="K23" s="96" t="s">
        <v>29</v>
      </c>
      <c r="L23" s="96" t="s">
        <v>21</v>
      </c>
      <c r="M23" s="96" t="s">
        <v>8</v>
      </c>
      <c r="N23" s="96" t="s">
        <v>8</v>
      </c>
      <c r="O23" s="96" t="s">
        <v>9</v>
      </c>
      <c r="P23" s="62" t="s">
        <v>10</v>
      </c>
      <c r="Q23" s="98" t="s">
        <v>33</v>
      </c>
    </row>
    <row r="24" spans="1:17">
      <c r="A24" s="99"/>
      <c r="B24" s="99"/>
      <c r="C24" s="100"/>
      <c r="D24" s="101"/>
      <c r="E24" s="102"/>
      <c r="F24" s="100"/>
      <c r="G24" s="103" t="s">
        <v>11</v>
      </c>
      <c r="H24" s="103" t="s">
        <v>11</v>
      </c>
      <c r="I24" s="103" t="s">
        <v>19</v>
      </c>
      <c r="J24" s="103" t="s">
        <v>35</v>
      </c>
      <c r="K24" s="103" t="s">
        <v>22</v>
      </c>
      <c r="L24" s="103" t="s">
        <v>15</v>
      </c>
      <c r="M24" s="103" t="s">
        <v>13</v>
      </c>
      <c r="N24" s="103" t="s">
        <v>14</v>
      </c>
      <c r="O24" s="103" t="s">
        <v>12</v>
      </c>
      <c r="P24" s="99"/>
      <c r="Q24" s="104"/>
    </row>
    <row r="25" spans="1:17">
      <c r="A25" s="99"/>
      <c r="B25" s="99"/>
      <c r="C25" s="105"/>
      <c r="D25" s="101"/>
      <c r="E25" s="102"/>
      <c r="F25" s="100"/>
      <c r="G25" s="103" t="s">
        <v>81</v>
      </c>
      <c r="H25" s="103" t="s">
        <v>311</v>
      </c>
      <c r="I25" s="103" t="s">
        <v>5</v>
      </c>
      <c r="J25" s="103"/>
      <c r="K25" s="103"/>
      <c r="L25" s="103"/>
      <c r="M25" s="103"/>
      <c r="N25" s="103"/>
      <c r="O25" s="103"/>
      <c r="P25" s="99"/>
      <c r="Q25" s="104"/>
    </row>
    <row r="26" spans="1:17">
      <c r="A26" s="106"/>
      <c r="B26" s="106"/>
      <c r="C26" s="107"/>
      <c r="D26" s="108"/>
      <c r="E26" s="109"/>
      <c r="F26" s="110"/>
      <c r="G26" s="111"/>
      <c r="H26" s="112"/>
      <c r="I26" s="111"/>
      <c r="J26" s="111"/>
      <c r="K26" s="113"/>
      <c r="L26" s="108"/>
      <c r="M26" s="111"/>
      <c r="N26" s="111"/>
      <c r="O26" s="111"/>
      <c r="P26" s="106"/>
      <c r="Q26" s="114"/>
    </row>
    <row r="27" spans="1:17" ht="15.7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M27" s="8"/>
      <c r="N27" s="8"/>
      <c r="O27" s="8"/>
      <c r="P27" s="35"/>
      <c r="Q27" s="37"/>
    </row>
    <row r="28" spans="1:17" ht="15.75">
      <c r="A28" s="52">
        <v>1</v>
      </c>
      <c r="B28" s="51" t="s">
        <v>331</v>
      </c>
      <c r="C28" s="48" t="s">
        <v>332</v>
      </c>
      <c r="D28" s="67" t="s">
        <v>333</v>
      </c>
      <c r="E28" s="17">
        <v>43203</v>
      </c>
      <c r="F28" s="20" t="s">
        <v>334</v>
      </c>
      <c r="G28" s="36">
        <v>0</v>
      </c>
      <c r="H28" s="36">
        <v>0</v>
      </c>
      <c r="I28" s="8">
        <v>0</v>
      </c>
      <c r="J28" s="8">
        <v>0</v>
      </c>
      <c r="K28" s="8">
        <v>300000</v>
      </c>
      <c r="L28" s="8">
        <v>200000</v>
      </c>
      <c r="M28" s="8">
        <f>SUM(G28:L28)</f>
        <v>500000</v>
      </c>
      <c r="N28" s="8">
        <f>50000000-M28</f>
        <v>49500000</v>
      </c>
      <c r="O28" s="8">
        <f t="shared" ref="O28" si="3">+M28+N28</f>
        <v>50000000</v>
      </c>
      <c r="P28" s="59" t="s">
        <v>159</v>
      </c>
      <c r="Q28" s="66" t="s">
        <v>335</v>
      </c>
    </row>
    <row r="29" spans="1:17" ht="15.75">
      <c r="A29" s="52"/>
      <c r="B29" s="51"/>
      <c r="C29" s="48"/>
      <c r="E29" s="17"/>
      <c r="F29" s="48"/>
      <c r="G29" s="36"/>
      <c r="H29" s="36"/>
      <c r="I29" s="36"/>
      <c r="J29" s="36"/>
      <c r="K29" s="36"/>
      <c r="M29" s="8"/>
      <c r="N29" s="8"/>
      <c r="O29" s="8"/>
      <c r="P29" s="59"/>
      <c r="Q29" s="66"/>
    </row>
    <row r="30" spans="1:17" ht="16.5" thickBot="1">
      <c r="A30" s="18"/>
      <c r="B30" s="55"/>
      <c r="C30" s="56"/>
      <c r="D30" s="74"/>
      <c r="E30" s="56"/>
      <c r="F30" s="57"/>
      <c r="G30" s="19">
        <f t="shared" ref="G30" si="4">SUM(G28:G29)</f>
        <v>0</v>
      </c>
      <c r="H30" s="19">
        <f t="shared" ref="H30:O30" si="5">SUM(H28:H29)</f>
        <v>0</v>
      </c>
      <c r="I30" s="19">
        <f t="shared" si="5"/>
        <v>0</v>
      </c>
      <c r="J30" s="19">
        <f t="shared" si="5"/>
        <v>0</v>
      </c>
      <c r="K30" s="19">
        <f t="shared" si="5"/>
        <v>300000</v>
      </c>
      <c r="L30" s="19">
        <f t="shared" si="5"/>
        <v>200000</v>
      </c>
      <c r="M30" s="19">
        <f t="shared" si="5"/>
        <v>500000</v>
      </c>
      <c r="N30" s="19">
        <f t="shared" si="5"/>
        <v>49500000</v>
      </c>
      <c r="O30" s="19">
        <f t="shared" si="5"/>
        <v>50000000</v>
      </c>
      <c r="P30" s="68"/>
      <c r="Q30" s="70"/>
    </row>
    <row r="31" spans="1:17" ht="16.5" thickTop="1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>
      <c r="A32" s="23"/>
      <c r="B32" s="28" t="s">
        <v>330</v>
      </c>
      <c r="C32" s="22"/>
      <c r="D32" s="39"/>
      <c r="F32" s="27"/>
      <c r="G32" s="28"/>
      <c r="H32" s="28"/>
      <c r="I32" s="28"/>
      <c r="J32" s="28"/>
      <c r="K32" s="28"/>
      <c r="L32" s="28"/>
      <c r="Q32" s="51"/>
    </row>
    <row r="33" spans="1:17" ht="15.75">
      <c r="A33" s="38"/>
      <c r="B33" s="40" t="s">
        <v>32</v>
      </c>
      <c r="C33" s="28" t="s">
        <v>28</v>
      </c>
      <c r="D33" s="39"/>
      <c r="F33" s="41"/>
      <c r="G33" s="127" t="s">
        <v>26</v>
      </c>
      <c r="H33" s="127"/>
      <c r="I33" s="127"/>
      <c r="K33" s="41"/>
    </row>
    <row r="34" spans="1:17" ht="15.75">
      <c r="A34" s="38"/>
      <c r="B34" s="40"/>
      <c r="C34" s="28"/>
      <c r="D34" s="39"/>
      <c r="F34" s="28"/>
      <c r="G34" s="28"/>
      <c r="H34" s="28"/>
      <c r="I34" s="28"/>
      <c r="J34" s="28"/>
      <c r="K34" s="28"/>
      <c r="L34" s="28"/>
    </row>
    <row r="35" spans="1:17" ht="15.7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>
      <c r="A36" s="38"/>
      <c r="B36" s="40"/>
      <c r="C36" s="28"/>
      <c r="D36" s="39"/>
      <c r="F36" s="28"/>
      <c r="G36" s="28"/>
      <c r="H36" s="28"/>
      <c r="I36" s="28"/>
      <c r="J36" s="28"/>
      <c r="K36" s="28"/>
    </row>
    <row r="37" spans="1:17" ht="15.75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7" ht="15.75">
      <c r="A38" s="38" t="s">
        <v>23</v>
      </c>
      <c r="B38" s="42" t="s">
        <v>27</v>
      </c>
      <c r="C38" s="43" t="s">
        <v>24</v>
      </c>
      <c r="D38" s="39"/>
      <c r="F38" s="29"/>
      <c r="G38" s="29" t="s">
        <v>16</v>
      </c>
      <c r="H38" s="29"/>
      <c r="I38" s="29" t="s">
        <v>30</v>
      </c>
    </row>
    <row r="39" spans="1:17" ht="15.75">
      <c r="A39" s="38"/>
      <c r="B39" s="44" t="s">
        <v>31</v>
      </c>
      <c r="C39" s="45" t="s">
        <v>20</v>
      </c>
      <c r="D39" s="39"/>
      <c r="F39" s="46"/>
      <c r="G39" s="46" t="s">
        <v>17</v>
      </c>
      <c r="H39" s="46"/>
      <c r="I39" s="46" t="s">
        <v>25</v>
      </c>
    </row>
    <row r="40" spans="1:17">
      <c r="A40" s="92" t="s">
        <v>106</v>
      </c>
    </row>
    <row r="41" spans="1:17" ht="15.7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</row>
    <row r="42" spans="1:17" ht="15.75">
      <c r="A42" s="26" t="s">
        <v>336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</row>
    <row r="43" spans="1:17">
      <c r="A43" s="62"/>
      <c r="B43" s="62" t="s">
        <v>1</v>
      </c>
      <c r="C43" s="93" t="s">
        <v>2</v>
      </c>
      <c r="D43" s="117" t="s">
        <v>34</v>
      </c>
      <c r="E43" s="95" t="s">
        <v>3</v>
      </c>
      <c r="F43" s="93" t="s">
        <v>4</v>
      </c>
      <c r="G43" s="96" t="s">
        <v>18</v>
      </c>
      <c r="H43" s="96" t="s">
        <v>18</v>
      </c>
      <c r="I43" s="97" t="s">
        <v>7</v>
      </c>
      <c r="J43" s="96" t="s">
        <v>6</v>
      </c>
      <c r="K43" s="96" t="s">
        <v>29</v>
      </c>
      <c r="L43" s="96" t="s">
        <v>21</v>
      </c>
      <c r="M43" s="96" t="s">
        <v>8</v>
      </c>
      <c r="N43" s="96" t="s">
        <v>8</v>
      </c>
      <c r="O43" s="96" t="s">
        <v>9</v>
      </c>
      <c r="P43" s="62" t="s">
        <v>10</v>
      </c>
      <c r="Q43" s="98" t="s">
        <v>33</v>
      </c>
    </row>
    <row r="44" spans="1:17">
      <c r="A44" s="99"/>
      <c r="B44" s="99"/>
      <c r="C44" s="100"/>
      <c r="D44" s="101"/>
      <c r="E44" s="102"/>
      <c r="F44" s="100"/>
      <c r="G44" s="103" t="s">
        <v>11</v>
      </c>
      <c r="H44" s="103" t="s">
        <v>11</v>
      </c>
      <c r="I44" s="103" t="s">
        <v>19</v>
      </c>
      <c r="J44" s="103" t="s">
        <v>35</v>
      </c>
      <c r="K44" s="103" t="s">
        <v>22</v>
      </c>
      <c r="L44" s="103" t="s">
        <v>15</v>
      </c>
      <c r="M44" s="103" t="s">
        <v>13</v>
      </c>
      <c r="N44" s="103" t="s">
        <v>14</v>
      </c>
      <c r="O44" s="103" t="s">
        <v>12</v>
      </c>
      <c r="P44" s="99"/>
      <c r="Q44" s="104"/>
    </row>
    <row r="45" spans="1:17">
      <c r="A45" s="99"/>
      <c r="B45" s="99"/>
      <c r="C45" s="105"/>
      <c r="D45" s="101"/>
      <c r="E45" s="102"/>
      <c r="F45" s="100"/>
      <c r="G45" s="103" t="s">
        <v>81</v>
      </c>
      <c r="H45" s="103" t="s">
        <v>311</v>
      </c>
      <c r="I45" s="103" t="s">
        <v>5</v>
      </c>
      <c r="J45" s="103"/>
      <c r="K45" s="103"/>
      <c r="L45" s="103"/>
      <c r="M45" s="103"/>
      <c r="N45" s="103"/>
      <c r="O45" s="103"/>
      <c r="P45" s="99"/>
      <c r="Q45" s="104"/>
    </row>
    <row r="46" spans="1:17">
      <c r="A46" s="106"/>
      <c r="B46" s="106"/>
      <c r="C46" s="107"/>
      <c r="D46" s="108"/>
      <c r="E46" s="109"/>
      <c r="F46" s="110"/>
      <c r="G46" s="111"/>
      <c r="H46" s="112"/>
      <c r="I46" s="111"/>
      <c r="J46" s="111"/>
      <c r="K46" s="113"/>
      <c r="L46" s="108"/>
      <c r="M46" s="111"/>
      <c r="N46" s="111"/>
      <c r="O46" s="111"/>
      <c r="P46" s="106"/>
      <c r="Q46" s="114"/>
    </row>
    <row r="47" spans="1:17" ht="15.7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M47" s="8"/>
      <c r="N47" s="8"/>
      <c r="O47" s="8"/>
      <c r="P47" s="35"/>
      <c r="Q47" s="37"/>
    </row>
    <row r="48" spans="1:17" ht="15.75">
      <c r="A48" s="52">
        <v>1</v>
      </c>
      <c r="B48" s="51" t="s">
        <v>339</v>
      </c>
      <c r="C48" s="48" t="s">
        <v>340</v>
      </c>
      <c r="D48" s="67" t="s">
        <v>341</v>
      </c>
      <c r="E48" s="17">
        <v>43215</v>
      </c>
      <c r="F48" s="20" t="s">
        <v>337</v>
      </c>
      <c r="G48" s="36">
        <v>0</v>
      </c>
      <c r="H48" s="36">
        <v>47218000</v>
      </c>
      <c r="I48" s="8">
        <v>1180450</v>
      </c>
      <c r="J48" s="8">
        <v>0</v>
      </c>
      <c r="K48" s="8">
        <v>0</v>
      </c>
      <c r="L48" s="8">
        <v>200000</v>
      </c>
      <c r="M48" s="8">
        <f>SUM(G48:L48)</f>
        <v>48598450</v>
      </c>
      <c r="N48" s="8">
        <f>48598450-M48</f>
        <v>0</v>
      </c>
      <c r="O48" s="8">
        <f t="shared" ref="O48" si="6">+M48+N48</f>
        <v>48598450</v>
      </c>
      <c r="P48" s="59" t="s">
        <v>342</v>
      </c>
      <c r="Q48" s="66" t="s">
        <v>338</v>
      </c>
    </row>
    <row r="49" spans="1:17" ht="15.75">
      <c r="A49" s="52">
        <v>2</v>
      </c>
      <c r="B49" s="51" t="s">
        <v>343</v>
      </c>
      <c r="C49" s="48" t="s">
        <v>344</v>
      </c>
      <c r="D49" s="67" t="s">
        <v>345</v>
      </c>
      <c r="E49" s="17">
        <v>43215</v>
      </c>
      <c r="F49" s="20" t="s">
        <v>337</v>
      </c>
      <c r="G49" s="36">
        <v>0</v>
      </c>
      <c r="H49" s="36">
        <v>91700000</v>
      </c>
      <c r="I49" s="8">
        <v>2292500</v>
      </c>
      <c r="J49" s="8">
        <v>0</v>
      </c>
      <c r="K49" s="8">
        <v>0</v>
      </c>
      <c r="L49" s="8">
        <v>200000</v>
      </c>
      <c r="M49" s="8">
        <f>SUM(G49:L49)</f>
        <v>94192500</v>
      </c>
      <c r="N49" s="8">
        <f>94192500-M49</f>
        <v>0</v>
      </c>
      <c r="O49" s="8">
        <f t="shared" ref="O49" si="7">+M49+N49</f>
        <v>94192500</v>
      </c>
      <c r="P49" s="59" t="s">
        <v>346</v>
      </c>
      <c r="Q49" s="66" t="s">
        <v>338</v>
      </c>
    </row>
    <row r="50" spans="1:17" ht="15.75">
      <c r="A50" s="52">
        <v>3</v>
      </c>
      <c r="B50" s="51" t="s">
        <v>101</v>
      </c>
      <c r="C50" s="48" t="s">
        <v>102</v>
      </c>
      <c r="D50" s="67" t="s">
        <v>347</v>
      </c>
      <c r="E50" s="17">
        <v>43215</v>
      </c>
      <c r="F50" s="20" t="s">
        <v>337</v>
      </c>
      <c r="G50" s="36">
        <v>0</v>
      </c>
      <c r="H50" s="36">
        <v>197250000</v>
      </c>
      <c r="I50" s="8">
        <v>4931250</v>
      </c>
      <c r="J50" s="8">
        <v>0</v>
      </c>
      <c r="K50" s="8">
        <v>0</v>
      </c>
      <c r="L50" s="8">
        <v>200000</v>
      </c>
      <c r="M50" s="8">
        <f>SUM(G50:L50)</f>
        <v>202381250</v>
      </c>
      <c r="N50" s="8">
        <f>202381250-M50</f>
        <v>0</v>
      </c>
      <c r="O50" s="8">
        <f t="shared" ref="O50" si="8">+M50+N50</f>
        <v>202381250</v>
      </c>
      <c r="P50" s="59" t="s">
        <v>51</v>
      </c>
      <c r="Q50" s="66" t="s">
        <v>338</v>
      </c>
    </row>
    <row r="51" spans="1:17" ht="15.75">
      <c r="A51" s="52"/>
      <c r="B51" s="51"/>
      <c r="C51" s="48"/>
      <c r="E51" s="17"/>
      <c r="F51" s="48"/>
      <c r="G51" s="36"/>
      <c r="H51" s="36"/>
      <c r="I51" s="36"/>
      <c r="J51" s="36"/>
      <c r="K51" s="36"/>
      <c r="M51" s="8"/>
      <c r="N51" s="8"/>
      <c r="O51" s="8"/>
      <c r="P51" s="59"/>
      <c r="Q51" s="66"/>
    </row>
    <row r="52" spans="1:17" ht="16.5" thickBot="1">
      <c r="A52" s="18"/>
      <c r="B52" s="55"/>
      <c r="C52" s="56"/>
      <c r="D52" s="74"/>
      <c r="E52" s="56"/>
      <c r="F52" s="57"/>
      <c r="G52" s="19">
        <f>SUM(G48:G51)</f>
        <v>0</v>
      </c>
      <c r="H52" s="19">
        <f t="shared" ref="H52:O52" si="9">SUM(H48:H51)</f>
        <v>336168000</v>
      </c>
      <c r="I52" s="19">
        <f t="shared" si="9"/>
        <v>8404200</v>
      </c>
      <c r="J52" s="19">
        <f t="shared" si="9"/>
        <v>0</v>
      </c>
      <c r="K52" s="19">
        <f t="shared" si="9"/>
        <v>0</v>
      </c>
      <c r="L52" s="19">
        <f t="shared" si="9"/>
        <v>600000</v>
      </c>
      <c r="M52" s="19">
        <f t="shared" si="9"/>
        <v>345172200</v>
      </c>
      <c r="N52" s="19">
        <f t="shared" si="9"/>
        <v>0</v>
      </c>
      <c r="O52" s="19">
        <f t="shared" si="9"/>
        <v>345172200</v>
      </c>
      <c r="P52" s="68"/>
      <c r="Q52" s="70"/>
    </row>
    <row r="53" spans="1:17" ht="16.5" hidden="1" thickTop="1">
      <c r="A53" s="23"/>
      <c r="B53" s="22"/>
      <c r="C53" s="22"/>
      <c r="D53" s="23"/>
      <c r="E53" s="22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2"/>
      <c r="Q53" s="69"/>
    </row>
    <row r="54" spans="1:17" ht="15.75" hidden="1">
      <c r="A54" s="23"/>
      <c r="B54" s="28" t="s">
        <v>348</v>
      </c>
      <c r="C54" s="22"/>
      <c r="D54" s="39"/>
      <c r="F54" s="27"/>
      <c r="G54" s="28"/>
      <c r="H54" s="28"/>
      <c r="I54" s="28"/>
      <c r="J54" s="28"/>
      <c r="K54" s="28"/>
      <c r="L54" s="28"/>
      <c r="Q54" s="51"/>
    </row>
    <row r="55" spans="1:17" ht="15.75" hidden="1">
      <c r="A55" s="38"/>
      <c r="B55" s="40" t="s">
        <v>32</v>
      </c>
      <c r="C55" s="28" t="s">
        <v>28</v>
      </c>
      <c r="D55" s="39"/>
      <c r="F55" s="41"/>
      <c r="G55" s="127" t="s">
        <v>26</v>
      </c>
      <c r="H55" s="127"/>
      <c r="I55" s="127"/>
      <c r="K55" s="41"/>
    </row>
    <row r="56" spans="1:17" ht="15.75" hidden="1">
      <c r="A56" s="38"/>
      <c r="B56" s="40"/>
      <c r="C56" s="28"/>
      <c r="D56" s="39"/>
      <c r="F56" s="28"/>
      <c r="G56" s="28"/>
      <c r="H56" s="28"/>
      <c r="I56" s="28"/>
      <c r="J56" s="28"/>
      <c r="K56" s="28"/>
      <c r="L56" s="28"/>
    </row>
    <row r="57" spans="1:17" ht="15.75" hidden="1">
      <c r="A57" s="38"/>
      <c r="B57" s="40"/>
      <c r="C57" s="28"/>
      <c r="D57" s="39"/>
      <c r="F57" s="28"/>
      <c r="G57" s="28"/>
      <c r="H57" s="28"/>
      <c r="I57" s="28"/>
      <c r="J57" s="28"/>
      <c r="K57" s="28"/>
      <c r="L57" s="28"/>
    </row>
    <row r="58" spans="1:17" ht="15.75" hidden="1">
      <c r="A58" s="38"/>
      <c r="B58" s="40"/>
      <c r="C58" s="28"/>
      <c r="D58" s="39"/>
      <c r="F58" s="28"/>
      <c r="G58" s="28"/>
      <c r="H58" s="28"/>
      <c r="I58" s="28"/>
      <c r="J58" s="28"/>
      <c r="K58" s="28"/>
    </row>
    <row r="59" spans="1:17" ht="15.75" hidden="1">
      <c r="A59" s="38"/>
      <c r="B59" s="40"/>
      <c r="C59" s="28"/>
      <c r="D59" s="39"/>
      <c r="F59" s="28"/>
      <c r="G59" s="28"/>
      <c r="H59" s="28"/>
      <c r="I59" s="28"/>
      <c r="J59" s="28"/>
      <c r="K59" s="28"/>
      <c r="L59" s="28"/>
    </row>
    <row r="60" spans="1:17" ht="15.75" hidden="1">
      <c r="A60" s="38" t="s">
        <v>23</v>
      </c>
      <c r="B60" s="42" t="s">
        <v>27</v>
      </c>
      <c r="C60" s="43" t="s">
        <v>24</v>
      </c>
      <c r="D60" s="39"/>
      <c r="F60" s="29"/>
      <c r="G60" s="29" t="s">
        <v>16</v>
      </c>
      <c r="H60" s="29"/>
      <c r="I60" s="29" t="s">
        <v>30</v>
      </c>
    </row>
    <row r="61" spans="1:17" ht="15.75" hidden="1">
      <c r="A61" s="38"/>
      <c r="B61" s="44" t="s">
        <v>31</v>
      </c>
      <c r="C61" s="45" t="s">
        <v>20</v>
      </c>
      <c r="D61" s="39"/>
      <c r="F61" s="46"/>
      <c r="G61" s="46" t="s">
        <v>17</v>
      </c>
      <c r="H61" s="46"/>
      <c r="I61" s="46" t="s">
        <v>25</v>
      </c>
    </row>
    <row r="62" spans="1:17" hidden="1"/>
    <row r="63" spans="1:17" ht="16.5" thickTop="1">
      <c r="A63" s="21" t="s">
        <v>0</v>
      </c>
      <c r="B63" s="22"/>
      <c r="C63" s="23"/>
      <c r="D63" s="23"/>
      <c r="E63" s="23"/>
      <c r="F63" s="24"/>
      <c r="G63" s="24"/>
      <c r="H63" s="24"/>
      <c r="I63" s="24"/>
      <c r="J63" s="24"/>
      <c r="K63" s="24"/>
      <c r="L63" s="25"/>
    </row>
    <row r="64" spans="1:17" ht="15.75">
      <c r="A64" s="26" t="s">
        <v>336</v>
      </c>
      <c r="B64" s="21"/>
      <c r="C64" s="21"/>
      <c r="D64" s="21"/>
      <c r="E64" s="21"/>
      <c r="F64" s="24"/>
      <c r="G64" s="24"/>
      <c r="H64" s="24"/>
      <c r="I64" s="24"/>
      <c r="J64" s="24"/>
      <c r="K64" s="24"/>
      <c r="L64" s="25"/>
    </row>
    <row r="65" spans="1:18">
      <c r="A65" s="62"/>
      <c r="B65" s="62" t="s">
        <v>1</v>
      </c>
      <c r="C65" s="93" t="s">
        <v>2</v>
      </c>
      <c r="D65" s="117" t="s">
        <v>34</v>
      </c>
      <c r="E65" s="95" t="s">
        <v>3</v>
      </c>
      <c r="F65" s="93" t="s">
        <v>4</v>
      </c>
      <c r="G65" s="96" t="s">
        <v>18</v>
      </c>
      <c r="H65" s="96" t="s">
        <v>18</v>
      </c>
      <c r="I65" s="96" t="s">
        <v>18</v>
      </c>
      <c r="J65" s="97" t="s">
        <v>7</v>
      </c>
      <c r="K65" s="96" t="s">
        <v>6</v>
      </c>
      <c r="L65" s="96" t="s">
        <v>29</v>
      </c>
      <c r="M65" s="96" t="s">
        <v>21</v>
      </c>
      <c r="N65" s="96" t="s">
        <v>8</v>
      </c>
      <c r="O65" s="96" t="s">
        <v>8</v>
      </c>
      <c r="P65" s="96" t="s">
        <v>9</v>
      </c>
      <c r="Q65" s="62" t="s">
        <v>10</v>
      </c>
      <c r="R65" s="98" t="s">
        <v>33</v>
      </c>
    </row>
    <row r="66" spans="1:18">
      <c r="A66" s="99"/>
      <c r="B66" s="99"/>
      <c r="C66" s="100"/>
      <c r="D66" s="101"/>
      <c r="E66" s="102"/>
      <c r="F66" s="100"/>
      <c r="G66" s="103" t="s">
        <v>11</v>
      </c>
      <c r="H66" s="103" t="s">
        <v>11</v>
      </c>
      <c r="I66" s="103" t="s">
        <v>11</v>
      </c>
      <c r="J66" s="119" t="s">
        <v>19</v>
      </c>
      <c r="K66" s="103" t="s">
        <v>35</v>
      </c>
      <c r="L66" s="103" t="s">
        <v>22</v>
      </c>
      <c r="M66" s="103" t="s">
        <v>15</v>
      </c>
      <c r="N66" s="103" t="s">
        <v>13</v>
      </c>
      <c r="O66" s="103" t="s">
        <v>14</v>
      </c>
      <c r="P66" s="103" t="s">
        <v>12</v>
      </c>
      <c r="Q66" s="99"/>
      <c r="R66" s="104"/>
    </row>
    <row r="67" spans="1:18">
      <c r="A67" s="99"/>
      <c r="B67" s="99"/>
      <c r="C67" s="105"/>
      <c r="D67" s="101"/>
      <c r="E67" s="102"/>
      <c r="F67" s="100"/>
      <c r="G67" s="103" t="s">
        <v>81</v>
      </c>
      <c r="H67" s="103" t="s">
        <v>366</v>
      </c>
      <c r="I67" s="103" t="s">
        <v>367</v>
      </c>
      <c r="J67" s="119" t="s">
        <v>5</v>
      </c>
      <c r="K67" s="103"/>
      <c r="L67" s="103"/>
      <c r="M67" s="103"/>
      <c r="N67" s="103"/>
      <c r="O67" s="103"/>
      <c r="P67" s="103"/>
      <c r="Q67" s="99"/>
      <c r="R67" s="104"/>
    </row>
    <row r="68" spans="1:18">
      <c r="A68" s="106"/>
      <c r="B68" s="106"/>
      <c r="C68" s="107"/>
      <c r="D68" s="108"/>
      <c r="E68" s="109"/>
      <c r="F68" s="110"/>
      <c r="G68" s="111"/>
      <c r="H68" s="112"/>
      <c r="I68" s="75"/>
      <c r="J68" s="120"/>
      <c r="K68" s="111"/>
      <c r="L68" s="113"/>
      <c r="M68" s="108"/>
      <c r="N68" s="111"/>
      <c r="O68" s="111"/>
      <c r="P68" s="111"/>
      <c r="Q68" s="106"/>
      <c r="R68" s="114"/>
    </row>
    <row r="69" spans="1:18" ht="15.75">
      <c r="A69" s="52"/>
      <c r="B69" s="47"/>
      <c r="C69" s="48"/>
      <c r="D69" s="73"/>
      <c r="E69" s="17"/>
      <c r="F69" s="48"/>
      <c r="G69" s="36"/>
      <c r="H69" s="36"/>
      <c r="J69" s="36"/>
      <c r="K69" s="36"/>
      <c r="L69" s="8"/>
      <c r="N69" s="8"/>
      <c r="O69" s="8"/>
      <c r="P69" s="8"/>
      <c r="Q69" s="35"/>
      <c r="R69" s="37"/>
    </row>
    <row r="70" spans="1:18" ht="15.75">
      <c r="A70" s="52">
        <v>1</v>
      </c>
      <c r="B70" s="116" t="s">
        <v>349</v>
      </c>
      <c r="C70" s="48" t="s">
        <v>350</v>
      </c>
      <c r="D70" s="67" t="s">
        <v>351</v>
      </c>
      <c r="E70" s="17">
        <v>43215</v>
      </c>
      <c r="F70" s="20" t="s">
        <v>352</v>
      </c>
      <c r="G70" s="36">
        <v>0</v>
      </c>
      <c r="H70" s="36">
        <v>24996000</v>
      </c>
      <c r="I70" s="36">
        <v>0</v>
      </c>
      <c r="J70" s="8">
        <v>624900</v>
      </c>
      <c r="K70" s="8">
        <v>0</v>
      </c>
      <c r="L70" s="8">
        <v>449960</v>
      </c>
      <c r="M70" s="8">
        <v>200000</v>
      </c>
      <c r="N70" s="8">
        <f>SUM(G70:M70)</f>
        <v>26270860</v>
      </c>
      <c r="O70" s="8">
        <f>76270860-N70</f>
        <v>50000000</v>
      </c>
      <c r="P70" s="8">
        <f t="shared" ref="P70" si="10">+N70+O70</f>
        <v>76270860</v>
      </c>
      <c r="Q70" s="59" t="s">
        <v>59</v>
      </c>
      <c r="R70" s="66" t="s">
        <v>83</v>
      </c>
    </row>
    <row r="71" spans="1:18" ht="15.75">
      <c r="A71" s="52">
        <v>2</v>
      </c>
      <c r="B71" s="51" t="s">
        <v>353</v>
      </c>
      <c r="C71" s="48" t="s">
        <v>354</v>
      </c>
      <c r="D71" s="67" t="s">
        <v>355</v>
      </c>
      <c r="E71" s="17">
        <v>43215</v>
      </c>
      <c r="F71" s="20" t="s">
        <v>356</v>
      </c>
      <c r="G71" s="36">
        <v>0</v>
      </c>
      <c r="H71" s="36">
        <v>0</v>
      </c>
      <c r="I71" s="36">
        <v>31666000</v>
      </c>
      <c r="J71" s="8">
        <v>791650</v>
      </c>
      <c r="K71" s="8">
        <v>0</v>
      </c>
      <c r="L71" s="8">
        <v>183340</v>
      </c>
      <c r="M71" s="8">
        <v>200000</v>
      </c>
      <c r="N71" s="8">
        <f t="shared" ref="N71:N74" si="11">SUM(G71:M71)</f>
        <v>32840990</v>
      </c>
      <c r="O71" s="8">
        <f>50000000-N71</f>
        <v>17159010</v>
      </c>
      <c r="P71" s="8">
        <f t="shared" ref="P71" si="12">+N71+O71</f>
        <v>50000000</v>
      </c>
      <c r="Q71" s="59" t="s">
        <v>235</v>
      </c>
      <c r="R71" s="66" t="s">
        <v>83</v>
      </c>
    </row>
    <row r="72" spans="1:18" ht="15.75">
      <c r="A72" s="52">
        <v>3</v>
      </c>
      <c r="B72" s="51" t="s">
        <v>357</v>
      </c>
      <c r="C72" s="48" t="s">
        <v>358</v>
      </c>
      <c r="D72" s="67" t="s">
        <v>359</v>
      </c>
      <c r="E72" s="17">
        <v>43215</v>
      </c>
      <c r="F72" s="20" t="s">
        <v>360</v>
      </c>
      <c r="G72" s="36">
        <v>0</v>
      </c>
      <c r="H72" s="36">
        <v>0</v>
      </c>
      <c r="I72" s="36">
        <v>30554000</v>
      </c>
      <c r="J72" s="8">
        <v>763850</v>
      </c>
      <c r="K72" s="8">
        <v>0</v>
      </c>
      <c r="L72" s="8">
        <v>194460</v>
      </c>
      <c r="M72" s="8">
        <v>200000</v>
      </c>
      <c r="N72" s="8">
        <f t="shared" si="11"/>
        <v>31712310</v>
      </c>
      <c r="O72" s="8">
        <f>50000000-N72</f>
        <v>18287690</v>
      </c>
      <c r="P72" s="8">
        <f t="shared" ref="P72" si="13">+N72+O72</f>
        <v>50000000</v>
      </c>
      <c r="Q72" s="59" t="s">
        <v>361</v>
      </c>
      <c r="R72" s="66" t="s">
        <v>83</v>
      </c>
    </row>
    <row r="73" spans="1:18" ht="15.75">
      <c r="A73" s="52">
        <v>4</v>
      </c>
      <c r="B73" s="51" t="s">
        <v>362</v>
      </c>
      <c r="C73" s="48" t="s">
        <v>363</v>
      </c>
      <c r="D73" s="67" t="s">
        <v>364</v>
      </c>
      <c r="E73" s="17">
        <v>43215</v>
      </c>
      <c r="F73" s="20" t="s">
        <v>365</v>
      </c>
      <c r="G73" s="36">
        <v>15520340</v>
      </c>
      <c r="H73" s="36">
        <v>0</v>
      </c>
      <c r="I73" s="36">
        <v>31663407</v>
      </c>
      <c r="J73" s="8">
        <v>1179594</v>
      </c>
      <c r="K73" s="8">
        <v>0</v>
      </c>
      <c r="L73" s="8">
        <v>300000</v>
      </c>
      <c r="M73" s="8">
        <v>200000</v>
      </c>
      <c r="N73" s="8">
        <f t="shared" si="11"/>
        <v>48863341</v>
      </c>
      <c r="O73" s="8">
        <f>78863341-N73</f>
        <v>30000000</v>
      </c>
      <c r="P73" s="8">
        <f t="shared" ref="P73" si="14">+N73+O73</f>
        <v>78863341</v>
      </c>
      <c r="Q73" s="59" t="s">
        <v>159</v>
      </c>
      <c r="R73" s="66" t="s">
        <v>83</v>
      </c>
    </row>
    <row r="74" spans="1:18" ht="15.75">
      <c r="A74" s="52">
        <v>5</v>
      </c>
      <c r="B74" s="51" t="s">
        <v>368</v>
      </c>
      <c r="C74" s="48" t="s">
        <v>369</v>
      </c>
      <c r="D74" s="67" t="s">
        <v>370</v>
      </c>
      <c r="E74" s="17">
        <v>43215</v>
      </c>
      <c r="F74" s="20" t="s">
        <v>371</v>
      </c>
      <c r="G74" s="36">
        <v>0</v>
      </c>
      <c r="H74" s="36">
        <v>16656000</v>
      </c>
      <c r="I74" s="36">
        <v>0</v>
      </c>
      <c r="J74" s="8">
        <v>416400</v>
      </c>
      <c r="K74" s="8">
        <v>0</v>
      </c>
      <c r="L74" s="8">
        <v>700000</v>
      </c>
      <c r="M74" s="8">
        <v>200000</v>
      </c>
      <c r="N74" s="8">
        <f t="shared" si="11"/>
        <v>17972400</v>
      </c>
      <c r="O74" s="8">
        <f>100000000-N74</f>
        <v>82027600</v>
      </c>
      <c r="P74" s="8">
        <f t="shared" ref="P74" si="15">+N74+O74</f>
        <v>100000000</v>
      </c>
      <c r="Q74" s="59" t="s">
        <v>134</v>
      </c>
      <c r="R74" s="66" t="s">
        <v>83</v>
      </c>
    </row>
    <row r="75" spans="1:18" ht="15.75">
      <c r="A75" s="52"/>
      <c r="B75" s="51"/>
      <c r="C75" s="48"/>
      <c r="E75" s="17"/>
      <c r="F75" s="48"/>
      <c r="G75" s="36"/>
      <c r="H75" s="36"/>
      <c r="I75" s="36"/>
      <c r="J75" s="36"/>
      <c r="K75" s="36"/>
      <c r="M75" s="8"/>
      <c r="N75" s="8"/>
      <c r="O75" s="8"/>
      <c r="P75" s="59"/>
      <c r="Q75" s="66"/>
      <c r="R75" s="75"/>
    </row>
    <row r="76" spans="1:18" ht="16.5" thickBot="1">
      <c r="A76" s="18"/>
      <c r="B76" s="55"/>
      <c r="C76" s="56"/>
      <c r="D76" s="74"/>
      <c r="E76" s="56"/>
      <c r="F76" s="57"/>
      <c r="G76" s="19">
        <f>SUM(G70:G75)</f>
        <v>15520340</v>
      </c>
      <c r="H76" s="19">
        <f t="shared" ref="H76:P76" si="16">SUM(H70:H75)</f>
        <v>41652000</v>
      </c>
      <c r="I76" s="19">
        <f t="shared" si="16"/>
        <v>93883407</v>
      </c>
      <c r="J76" s="19">
        <f t="shared" si="16"/>
        <v>3776394</v>
      </c>
      <c r="K76" s="19">
        <f t="shared" si="16"/>
        <v>0</v>
      </c>
      <c r="L76" s="19">
        <f t="shared" si="16"/>
        <v>1827760</v>
      </c>
      <c r="M76" s="19">
        <f t="shared" si="16"/>
        <v>1000000</v>
      </c>
      <c r="N76" s="19">
        <f t="shared" si="16"/>
        <v>157659901</v>
      </c>
      <c r="O76" s="19">
        <f t="shared" si="16"/>
        <v>197474300</v>
      </c>
      <c r="P76" s="19">
        <f t="shared" si="16"/>
        <v>355134201</v>
      </c>
      <c r="Q76" s="70"/>
      <c r="R76" s="121"/>
    </row>
    <row r="77" spans="1:18" ht="16.5" hidden="1" thickTop="1">
      <c r="A77" s="23"/>
      <c r="B77" s="22"/>
      <c r="C77" s="22"/>
      <c r="D77" s="23"/>
      <c r="E77" s="22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2"/>
      <c r="Q77" s="69"/>
    </row>
    <row r="78" spans="1:18" ht="15.75" hidden="1">
      <c r="A78" s="23"/>
      <c r="B78" s="28" t="s">
        <v>348</v>
      </c>
      <c r="C78" s="22"/>
      <c r="D78" s="39"/>
      <c r="F78" s="27"/>
      <c r="G78" s="28"/>
      <c r="H78" s="28"/>
      <c r="I78" s="28"/>
      <c r="J78" s="28"/>
      <c r="K78" s="28"/>
      <c r="L78" s="28"/>
      <c r="Q78" s="51"/>
    </row>
    <row r="79" spans="1:18" ht="15.75" hidden="1">
      <c r="A79" s="38"/>
      <c r="B79" s="40" t="s">
        <v>32</v>
      </c>
      <c r="C79" s="28" t="s">
        <v>28</v>
      </c>
      <c r="D79" s="39"/>
      <c r="F79" s="41"/>
      <c r="G79" s="127" t="s">
        <v>26</v>
      </c>
      <c r="H79" s="127"/>
      <c r="I79" s="127"/>
      <c r="K79" s="41"/>
    </row>
    <row r="80" spans="1:18" ht="15.75" hidden="1">
      <c r="A80" s="38"/>
      <c r="B80" s="40"/>
      <c r="C80" s="28"/>
      <c r="D80" s="39"/>
      <c r="F80" s="28"/>
      <c r="G80" s="28"/>
      <c r="H80" s="28"/>
      <c r="I80" s="28"/>
      <c r="J80" s="28"/>
      <c r="K80" s="28"/>
      <c r="L80" s="28"/>
    </row>
    <row r="81" spans="1:18" ht="15.75" hidden="1">
      <c r="A81" s="38"/>
      <c r="B81" s="40"/>
      <c r="C81" s="28"/>
      <c r="D81" s="39"/>
      <c r="F81" s="28"/>
      <c r="G81" s="28"/>
      <c r="H81" s="28"/>
      <c r="I81" s="28"/>
      <c r="J81" s="28"/>
      <c r="K81" s="28"/>
      <c r="L81" s="28"/>
    </row>
    <row r="82" spans="1:18" ht="15.75" hidden="1">
      <c r="A82" s="38"/>
      <c r="B82" s="40"/>
      <c r="C82" s="28"/>
      <c r="D82" s="39"/>
      <c r="F82" s="28"/>
      <c r="G82" s="28"/>
      <c r="H82" s="28"/>
      <c r="I82" s="28"/>
      <c r="J82" s="28"/>
      <c r="K82" s="28"/>
    </row>
    <row r="83" spans="1:18" ht="15.75" hidden="1">
      <c r="A83" s="38"/>
      <c r="B83" s="40"/>
      <c r="C83" s="28"/>
      <c r="D83" s="39"/>
      <c r="F83" s="28"/>
      <c r="G83" s="28"/>
      <c r="H83" s="28"/>
      <c r="I83" s="28"/>
      <c r="J83" s="28"/>
      <c r="K83" s="28"/>
      <c r="L83" s="28"/>
    </row>
    <row r="84" spans="1:18" ht="15.75" hidden="1">
      <c r="A84" s="38" t="s">
        <v>23</v>
      </c>
      <c r="B84" s="42" t="s">
        <v>27</v>
      </c>
      <c r="C84" s="43" t="s">
        <v>24</v>
      </c>
      <c r="D84" s="39"/>
      <c r="F84" s="29"/>
      <c r="G84" s="29" t="s">
        <v>16</v>
      </c>
      <c r="H84" s="29"/>
      <c r="I84" s="29" t="s">
        <v>30</v>
      </c>
    </row>
    <row r="85" spans="1:18" ht="15.75" hidden="1">
      <c r="A85" s="38"/>
      <c r="B85" s="44" t="s">
        <v>31</v>
      </c>
      <c r="C85" s="45" t="s">
        <v>20</v>
      </c>
      <c r="D85" s="39"/>
      <c r="F85" s="46"/>
      <c r="G85" s="46" t="s">
        <v>17</v>
      </c>
      <c r="H85" s="46"/>
      <c r="I85" s="46" t="s">
        <v>25</v>
      </c>
    </row>
    <row r="86" spans="1:18" hidden="1"/>
    <row r="87" spans="1:18" ht="16.5" thickTop="1">
      <c r="A87" s="21" t="s">
        <v>0</v>
      </c>
      <c r="B87" s="22"/>
      <c r="C87" s="23"/>
      <c r="D87" s="23"/>
      <c r="E87" s="23"/>
      <c r="F87" s="24"/>
      <c r="G87" s="24"/>
      <c r="H87" s="24"/>
      <c r="I87" s="24"/>
      <c r="J87" s="24"/>
      <c r="K87" s="24"/>
      <c r="L87" s="25"/>
    </row>
    <row r="88" spans="1:18" ht="15.75">
      <c r="A88" s="26" t="s">
        <v>372</v>
      </c>
      <c r="B88" s="21"/>
      <c r="C88" s="21"/>
      <c r="D88" s="21"/>
      <c r="E88" s="21"/>
      <c r="F88" s="24"/>
      <c r="G88" s="24"/>
      <c r="H88" s="24"/>
      <c r="I88" s="24"/>
      <c r="J88" s="24"/>
      <c r="K88" s="24"/>
      <c r="L88" s="25"/>
    </row>
    <row r="89" spans="1:18">
      <c r="A89" s="62"/>
      <c r="B89" s="62" t="s">
        <v>1</v>
      </c>
      <c r="C89" s="93" t="s">
        <v>2</v>
      </c>
      <c r="D89" s="117" t="s">
        <v>34</v>
      </c>
      <c r="E89" s="95" t="s">
        <v>3</v>
      </c>
      <c r="F89" s="93" t="s">
        <v>4</v>
      </c>
      <c r="G89" s="96" t="s">
        <v>18</v>
      </c>
      <c r="H89" s="96" t="s">
        <v>18</v>
      </c>
      <c r="I89" s="96" t="s">
        <v>18</v>
      </c>
      <c r="J89" s="97" t="s">
        <v>7</v>
      </c>
      <c r="K89" s="96" t="s">
        <v>6</v>
      </c>
      <c r="L89" s="96" t="s">
        <v>29</v>
      </c>
      <c r="M89" s="96" t="s">
        <v>21</v>
      </c>
      <c r="N89" s="96" t="s">
        <v>8</v>
      </c>
      <c r="O89" s="96" t="s">
        <v>8</v>
      </c>
      <c r="P89" s="96" t="s">
        <v>9</v>
      </c>
      <c r="Q89" s="62" t="s">
        <v>10</v>
      </c>
      <c r="R89" s="98" t="s">
        <v>33</v>
      </c>
    </row>
    <row r="90" spans="1:18">
      <c r="A90" s="99"/>
      <c r="B90" s="99"/>
      <c r="C90" s="100"/>
      <c r="D90" s="101"/>
      <c r="E90" s="102"/>
      <c r="F90" s="100"/>
      <c r="G90" s="103" t="s">
        <v>11</v>
      </c>
      <c r="H90" s="103" t="s">
        <v>11</v>
      </c>
      <c r="I90" s="103" t="s">
        <v>11</v>
      </c>
      <c r="J90" s="119" t="s">
        <v>19</v>
      </c>
      <c r="K90" s="103" t="s">
        <v>35</v>
      </c>
      <c r="L90" s="103" t="s">
        <v>22</v>
      </c>
      <c r="M90" s="103" t="s">
        <v>15</v>
      </c>
      <c r="N90" s="103" t="s">
        <v>13</v>
      </c>
      <c r="O90" s="103" t="s">
        <v>14</v>
      </c>
      <c r="P90" s="103" t="s">
        <v>12</v>
      </c>
      <c r="Q90" s="99"/>
      <c r="R90" s="104"/>
    </row>
    <row r="91" spans="1:18">
      <c r="A91" s="99"/>
      <c r="B91" s="99"/>
      <c r="C91" s="105"/>
      <c r="D91" s="101"/>
      <c r="E91" s="102"/>
      <c r="F91" s="100"/>
      <c r="G91" s="103" t="s">
        <v>81</v>
      </c>
      <c r="H91" s="103" t="s">
        <v>367</v>
      </c>
      <c r="I91" s="103" t="s">
        <v>367</v>
      </c>
      <c r="J91" s="119" t="s">
        <v>5</v>
      </c>
      <c r="K91" s="103"/>
      <c r="L91" s="103"/>
      <c r="M91" s="103"/>
      <c r="N91" s="103"/>
      <c r="O91" s="103"/>
      <c r="P91" s="103"/>
      <c r="Q91" s="99"/>
      <c r="R91" s="104"/>
    </row>
    <row r="92" spans="1:18">
      <c r="A92" s="106"/>
      <c r="B92" s="106"/>
      <c r="C92" s="107"/>
      <c r="D92" s="108"/>
      <c r="E92" s="109"/>
      <c r="F92" s="110"/>
      <c r="G92" s="111"/>
      <c r="H92" s="112"/>
      <c r="I92" s="75"/>
      <c r="J92" s="120"/>
      <c r="K92" s="111"/>
      <c r="L92" s="113"/>
      <c r="M92" s="108"/>
      <c r="N92" s="111"/>
      <c r="O92" s="111"/>
      <c r="P92" s="111"/>
      <c r="Q92" s="106"/>
      <c r="R92" s="114"/>
    </row>
    <row r="93" spans="1:18" ht="15.75">
      <c r="A93" s="52"/>
      <c r="B93" s="47"/>
      <c r="C93" s="48"/>
      <c r="D93" s="73"/>
      <c r="E93" s="17"/>
      <c r="F93" s="48"/>
      <c r="G93" s="36"/>
      <c r="H93" s="36"/>
      <c r="J93" s="36"/>
      <c r="K93" s="36"/>
      <c r="L93" s="8"/>
      <c r="N93" s="8"/>
      <c r="O93" s="8"/>
      <c r="P93" s="8"/>
      <c r="Q93" s="35"/>
      <c r="R93" s="37"/>
    </row>
    <row r="94" spans="1:18" ht="15.75">
      <c r="A94" s="52">
        <v>1</v>
      </c>
      <c r="B94" s="116" t="s">
        <v>373</v>
      </c>
      <c r="C94" s="48" t="s">
        <v>374</v>
      </c>
      <c r="D94" s="67" t="s">
        <v>375</v>
      </c>
      <c r="E94" s="17">
        <v>43220</v>
      </c>
      <c r="F94" s="20" t="s">
        <v>376</v>
      </c>
      <c r="G94" s="36">
        <v>0</v>
      </c>
      <c r="H94" s="36">
        <v>176877496</v>
      </c>
      <c r="I94" s="36">
        <v>0</v>
      </c>
      <c r="J94" s="8">
        <v>4421937</v>
      </c>
      <c r="K94" s="8">
        <v>0</v>
      </c>
      <c r="L94" s="8">
        <v>500000</v>
      </c>
      <c r="M94" s="8">
        <v>200000</v>
      </c>
      <c r="N94" s="8">
        <f>SUM(G94:M94)</f>
        <v>181999433</v>
      </c>
      <c r="O94" s="123">
        <f>231999433-N94</f>
        <v>50000000</v>
      </c>
      <c r="P94" s="8">
        <f t="shared" ref="P94" si="17">+N94+O94</f>
        <v>231999433</v>
      </c>
      <c r="Q94" s="59" t="s">
        <v>51</v>
      </c>
      <c r="R94" s="66" t="s">
        <v>83</v>
      </c>
    </row>
    <row r="95" spans="1:18" ht="15.75">
      <c r="A95" s="52"/>
      <c r="B95" s="51"/>
      <c r="C95" s="48"/>
      <c r="E95" s="17"/>
      <c r="F95" s="48"/>
      <c r="G95" s="36"/>
      <c r="H95" s="36"/>
      <c r="I95" s="36"/>
      <c r="J95" s="36"/>
      <c r="K95" s="36"/>
      <c r="M95" s="8"/>
      <c r="N95" s="8"/>
      <c r="O95" s="8"/>
      <c r="P95" s="59"/>
      <c r="Q95" s="66"/>
      <c r="R95" s="75"/>
    </row>
    <row r="96" spans="1:18" ht="16.5" thickBot="1">
      <c r="A96" s="18"/>
      <c r="B96" s="55"/>
      <c r="C96" s="56"/>
      <c r="D96" s="74"/>
      <c r="E96" s="56"/>
      <c r="F96" s="57"/>
      <c r="G96" s="19">
        <f t="shared" ref="G96:P96" si="18">SUM(G94:G95)</f>
        <v>0</v>
      </c>
      <c r="H96" s="19">
        <f t="shared" si="18"/>
        <v>176877496</v>
      </c>
      <c r="I96" s="19">
        <f t="shared" si="18"/>
        <v>0</v>
      </c>
      <c r="J96" s="19">
        <f t="shared" si="18"/>
        <v>4421937</v>
      </c>
      <c r="K96" s="19">
        <f t="shared" si="18"/>
        <v>0</v>
      </c>
      <c r="L96" s="19">
        <f t="shared" si="18"/>
        <v>500000</v>
      </c>
      <c r="M96" s="19">
        <f t="shared" si="18"/>
        <v>200000</v>
      </c>
      <c r="N96" s="19">
        <f t="shared" si="18"/>
        <v>181999433</v>
      </c>
      <c r="O96" s="19">
        <f t="shared" si="18"/>
        <v>50000000</v>
      </c>
      <c r="P96" s="19">
        <f t="shared" si="18"/>
        <v>231999433</v>
      </c>
      <c r="Q96" s="70"/>
      <c r="R96" s="121"/>
    </row>
    <row r="97" spans="1:17" ht="16.5" thickTop="1">
      <c r="A97" s="23"/>
      <c r="B97" s="22"/>
      <c r="C97" s="22"/>
      <c r="D97" s="23"/>
      <c r="E97" s="22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2"/>
      <c r="Q97" s="69"/>
    </row>
    <row r="98" spans="1:17" ht="15.75">
      <c r="A98" s="23"/>
      <c r="B98" s="28" t="s">
        <v>377</v>
      </c>
      <c r="C98" s="22"/>
      <c r="D98" s="39"/>
      <c r="F98" s="27"/>
      <c r="G98" s="28"/>
      <c r="H98" s="28"/>
      <c r="I98" s="28"/>
      <c r="J98" s="28"/>
      <c r="K98" s="28"/>
      <c r="L98" s="28"/>
      <c r="Q98" s="51"/>
    </row>
    <row r="99" spans="1:17" ht="15.75">
      <c r="A99" s="38"/>
      <c r="B99" s="40" t="s">
        <v>32</v>
      </c>
      <c r="C99" s="28" t="s">
        <v>28</v>
      </c>
      <c r="D99" s="39"/>
      <c r="F99" s="41"/>
      <c r="G99" s="127" t="s">
        <v>26</v>
      </c>
      <c r="H99" s="127"/>
      <c r="I99" s="127"/>
      <c r="K99" s="41"/>
    </row>
    <row r="100" spans="1:17" ht="15.75">
      <c r="A100" s="38"/>
      <c r="B100" s="40"/>
      <c r="C100" s="28"/>
      <c r="D100" s="39"/>
      <c r="F100" s="28"/>
      <c r="G100" s="28"/>
      <c r="H100" s="28"/>
      <c r="I100" s="28"/>
      <c r="J100" s="28"/>
      <c r="K100" s="28"/>
      <c r="L100" s="28"/>
    </row>
    <row r="101" spans="1:17" ht="15.75">
      <c r="A101" s="38"/>
      <c r="B101" s="40"/>
      <c r="C101" s="28"/>
      <c r="D101" s="39"/>
      <c r="F101" s="28"/>
      <c r="G101" s="28"/>
      <c r="H101" s="28"/>
      <c r="I101" s="28"/>
      <c r="J101" s="28"/>
      <c r="K101" s="28"/>
      <c r="L101" s="28"/>
    </row>
    <row r="102" spans="1:17" ht="15.75">
      <c r="A102" s="38"/>
      <c r="B102" s="40"/>
      <c r="C102" s="28"/>
      <c r="D102" s="39"/>
      <c r="F102" s="28"/>
      <c r="G102" s="28"/>
      <c r="H102" s="28"/>
      <c r="I102" s="28"/>
      <c r="J102" s="28"/>
      <c r="K102" s="28"/>
    </row>
    <row r="103" spans="1:17" ht="15.75">
      <c r="A103" s="38"/>
      <c r="B103" s="40"/>
      <c r="C103" s="28"/>
      <c r="D103" s="39"/>
      <c r="F103" s="28"/>
      <c r="G103" s="28"/>
      <c r="H103" s="28"/>
      <c r="I103" s="28"/>
      <c r="J103" s="28"/>
      <c r="K103" s="28"/>
      <c r="L103" s="28"/>
    </row>
    <row r="104" spans="1:17" ht="15.75">
      <c r="A104" s="38" t="s">
        <v>23</v>
      </c>
      <c r="B104" s="42" t="s">
        <v>27</v>
      </c>
      <c r="C104" s="43" t="s">
        <v>24</v>
      </c>
      <c r="D104" s="39"/>
      <c r="F104" s="29"/>
      <c r="G104" s="29" t="s">
        <v>16</v>
      </c>
      <c r="H104" s="29"/>
      <c r="I104" s="29" t="s">
        <v>30</v>
      </c>
    </row>
    <row r="105" spans="1:17" ht="15.75">
      <c r="A105" s="38"/>
      <c r="B105" s="44" t="s">
        <v>31</v>
      </c>
      <c r="C105" s="45" t="s">
        <v>20</v>
      </c>
      <c r="D105" s="39"/>
      <c r="F105" s="46"/>
      <c r="G105" s="46" t="s">
        <v>17</v>
      </c>
      <c r="H105" s="46"/>
      <c r="I105" s="46" t="s">
        <v>25</v>
      </c>
    </row>
  </sheetData>
  <mergeCells count="5">
    <mergeCell ref="G13:I13"/>
    <mergeCell ref="G33:I33"/>
    <mergeCell ref="G55:I55"/>
    <mergeCell ref="G79:I79"/>
    <mergeCell ref="G99:I99"/>
  </mergeCells>
  <pageMargins left="7.874015748031496E-2" right="0.70866141732283472" top="0.74803149606299213" bottom="0.74803149606299213" header="0.31496062992125984" footer="0.31496062992125984"/>
  <pageSetup paperSize="5" scale="7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83"/>
  <sheetViews>
    <sheetView tabSelected="1" topLeftCell="A540" workbookViewId="0">
      <selection activeCell="L559" sqref="L559"/>
    </sheetView>
  </sheetViews>
  <sheetFormatPr defaultRowHeight="15"/>
  <cols>
    <col min="1" max="1" width="2.28515625" style="34" customWidth="1"/>
    <col min="2" max="2" width="26.28515625" style="34" bestFit="1" customWidth="1"/>
    <col min="3" max="3" width="9.140625" style="34"/>
    <col min="4" max="4" width="8.140625" style="34" customWidth="1"/>
    <col min="5" max="5" width="12.28515625" style="34" customWidth="1"/>
    <col min="6" max="6" width="7.5703125" style="34" customWidth="1"/>
    <col min="7" max="7" width="17.140625" style="34" customWidth="1"/>
    <col min="8" max="8" width="17.28515625" style="34" customWidth="1"/>
    <col min="9" max="9" width="16.85546875" style="34" customWidth="1"/>
    <col min="10" max="10" width="15.5703125" style="34" customWidth="1"/>
    <col min="11" max="11" width="14.7109375" style="34" customWidth="1"/>
    <col min="12" max="12" width="11.42578125" style="34" customWidth="1"/>
    <col min="13" max="13" width="12.5703125" style="34" customWidth="1"/>
    <col min="14" max="14" width="17.42578125" style="34" customWidth="1"/>
    <col min="15" max="15" width="14.140625" style="34" customWidth="1"/>
    <col min="16" max="16" width="18.140625" style="34" customWidth="1"/>
    <col min="17" max="17" width="7.7109375" style="34" customWidth="1"/>
    <col min="18" max="18" width="5.42578125" style="34" customWidth="1"/>
    <col min="19" max="16384" width="9.140625" style="34"/>
  </cols>
  <sheetData>
    <row r="1" spans="1:17">
      <c r="A1" s="122" t="s">
        <v>387</v>
      </c>
    </row>
    <row r="2" spans="1:17" ht="15.75">
      <c r="A2" s="21" t="s">
        <v>0</v>
      </c>
      <c r="B2" s="22"/>
      <c r="C2" s="23"/>
      <c r="D2" s="23"/>
      <c r="E2" s="23"/>
      <c r="F2" s="24"/>
      <c r="G2" s="24"/>
      <c r="H2" s="24"/>
      <c r="I2" s="24"/>
      <c r="J2" s="24"/>
      <c r="K2" s="24"/>
      <c r="L2" s="25"/>
    </row>
    <row r="3" spans="1:17" ht="15.75">
      <c r="A3" s="26" t="s">
        <v>378</v>
      </c>
      <c r="B3" s="21"/>
      <c r="C3" s="21"/>
      <c r="D3" s="21"/>
      <c r="E3" s="21"/>
      <c r="F3" s="24"/>
      <c r="G3" s="24"/>
      <c r="H3" s="24"/>
      <c r="I3" s="24"/>
      <c r="J3" s="24"/>
      <c r="K3" s="24"/>
      <c r="L3" s="25"/>
    </row>
    <row r="4" spans="1:17">
      <c r="A4" s="62"/>
      <c r="B4" s="62" t="s">
        <v>1</v>
      </c>
      <c r="C4" s="93" t="s">
        <v>2</v>
      </c>
      <c r="D4" s="117" t="s">
        <v>34</v>
      </c>
      <c r="E4" s="95" t="s">
        <v>3</v>
      </c>
      <c r="F4" s="93" t="s">
        <v>4</v>
      </c>
      <c r="G4" s="96" t="s">
        <v>18</v>
      </c>
      <c r="H4" s="96" t="s">
        <v>18</v>
      </c>
      <c r="I4" s="97" t="s">
        <v>7</v>
      </c>
      <c r="J4" s="96" t="s">
        <v>6</v>
      </c>
      <c r="K4" s="96" t="s">
        <v>29</v>
      </c>
      <c r="L4" s="96" t="s">
        <v>21</v>
      </c>
      <c r="M4" s="96" t="s">
        <v>8</v>
      </c>
      <c r="N4" s="96" t="s">
        <v>8</v>
      </c>
      <c r="O4" s="96" t="s">
        <v>9</v>
      </c>
      <c r="P4" s="62" t="s">
        <v>10</v>
      </c>
      <c r="Q4" s="98" t="s">
        <v>33</v>
      </c>
    </row>
    <row r="5" spans="1:17">
      <c r="A5" s="99"/>
      <c r="B5" s="99"/>
      <c r="C5" s="100"/>
      <c r="D5" s="101"/>
      <c r="E5" s="102"/>
      <c r="F5" s="100"/>
      <c r="G5" s="103" t="s">
        <v>383</v>
      </c>
      <c r="H5" s="103" t="s">
        <v>383</v>
      </c>
      <c r="I5" s="103" t="s">
        <v>19</v>
      </c>
      <c r="J5" s="103" t="s">
        <v>35</v>
      </c>
      <c r="K5" s="103" t="s">
        <v>22</v>
      </c>
      <c r="L5" s="103" t="s">
        <v>15</v>
      </c>
      <c r="M5" s="103" t="s">
        <v>13</v>
      </c>
      <c r="N5" s="103" t="s">
        <v>14</v>
      </c>
      <c r="O5" s="103" t="s">
        <v>12</v>
      </c>
      <c r="P5" s="99"/>
      <c r="Q5" s="104"/>
    </row>
    <row r="6" spans="1:17">
      <c r="A6" s="99"/>
      <c r="B6" s="99"/>
      <c r="C6" s="105"/>
      <c r="D6" s="101"/>
      <c r="E6" s="102"/>
      <c r="F6" s="100"/>
      <c r="G6" s="103" t="s">
        <v>382</v>
      </c>
      <c r="H6" s="103" t="s">
        <v>384</v>
      </c>
      <c r="I6" s="103" t="s">
        <v>5</v>
      </c>
      <c r="J6" s="103"/>
      <c r="K6" s="103"/>
      <c r="L6" s="103"/>
      <c r="M6" s="103"/>
      <c r="N6" s="103"/>
      <c r="O6" s="103"/>
      <c r="P6" s="99"/>
      <c r="Q6" s="104"/>
    </row>
    <row r="7" spans="1:17">
      <c r="A7" s="106"/>
      <c r="B7" s="106"/>
      <c r="C7" s="107"/>
      <c r="D7" s="108"/>
      <c r="E7" s="109"/>
      <c r="F7" s="110"/>
      <c r="G7" s="111" t="s">
        <v>90</v>
      </c>
      <c r="H7" s="112"/>
      <c r="I7" s="111"/>
      <c r="J7" s="111"/>
      <c r="K7" s="113"/>
      <c r="L7" s="108"/>
      <c r="M7" s="111"/>
      <c r="N7" s="111"/>
      <c r="O7" s="111"/>
      <c r="P7" s="106"/>
      <c r="Q7" s="114"/>
    </row>
    <row r="8" spans="1:17" ht="15.75">
      <c r="A8" s="52"/>
      <c r="B8" s="47"/>
      <c r="C8" s="48"/>
      <c r="D8" s="73"/>
      <c r="E8" s="17"/>
      <c r="F8" s="48"/>
      <c r="G8" s="36"/>
      <c r="H8" s="36"/>
      <c r="I8" s="36"/>
      <c r="J8" s="36"/>
      <c r="K8" s="8"/>
      <c r="M8" s="8"/>
      <c r="N8" s="8"/>
      <c r="O8" s="8"/>
      <c r="P8" s="35"/>
      <c r="Q8" s="37"/>
    </row>
    <row r="9" spans="1:17" ht="15.75">
      <c r="A9" s="52">
        <v>1</v>
      </c>
      <c r="B9" s="51" t="s">
        <v>379</v>
      </c>
      <c r="C9" s="48" t="s">
        <v>380</v>
      </c>
      <c r="D9" s="67" t="s">
        <v>381</v>
      </c>
      <c r="E9" s="17">
        <v>43222</v>
      </c>
      <c r="F9" s="20" t="s">
        <v>337</v>
      </c>
      <c r="G9" s="36">
        <v>10000000</v>
      </c>
      <c r="H9" s="36">
        <v>5850000</v>
      </c>
      <c r="I9" s="8">
        <v>0</v>
      </c>
      <c r="J9" s="8">
        <v>0</v>
      </c>
      <c r="K9" s="8">
        <v>158500</v>
      </c>
      <c r="L9" s="8">
        <v>0</v>
      </c>
      <c r="M9" s="8">
        <f>SUM(G9:L9)</f>
        <v>16008500</v>
      </c>
      <c r="N9" s="8">
        <f>16008500-M9</f>
        <v>0</v>
      </c>
      <c r="O9" s="8">
        <f t="shared" ref="O9" si="0">+M9+N9</f>
        <v>16008500</v>
      </c>
      <c r="P9" s="59" t="s">
        <v>385</v>
      </c>
      <c r="Q9" s="66" t="s">
        <v>74</v>
      </c>
    </row>
    <row r="10" spans="1:17" ht="15.75">
      <c r="A10" s="52"/>
      <c r="B10" s="51"/>
      <c r="C10" s="48"/>
      <c r="E10" s="17"/>
      <c r="F10" s="48"/>
      <c r="G10" s="36"/>
      <c r="H10" s="36"/>
      <c r="I10" s="36"/>
      <c r="J10" s="36"/>
      <c r="K10" s="36"/>
      <c r="M10" s="8"/>
      <c r="N10" s="8"/>
      <c r="O10" s="8"/>
      <c r="P10" s="59"/>
      <c r="Q10" s="66" t="s">
        <v>338</v>
      </c>
    </row>
    <row r="11" spans="1:17" ht="16.5" thickBot="1">
      <c r="A11" s="18"/>
      <c r="B11" s="55"/>
      <c r="C11" s="56"/>
      <c r="D11" s="74"/>
      <c r="E11" s="56"/>
      <c r="F11" s="57"/>
      <c r="G11" s="19">
        <f t="shared" ref="G11" si="1">SUM(G9:G10)</f>
        <v>10000000</v>
      </c>
      <c r="H11" s="19">
        <f t="shared" ref="H11:O11" si="2">SUM(H9:H10)</f>
        <v>5850000</v>
      </c>
      <c r="I11" s="19">
        <f t="shared" si="2"/>
        <v>0</v>
      </c>
      <c r="J11" s="19">
        <f t="shared" si="2"/>
        <v>0</v>
      </c>
      <c r="K11" s="19">
        <f t="shared" si="2"/>
        <v>158500</v>
      </c>
      <c r="L11" s="19">
        <f t="shared" si="2"/>
        <v>0</v>
      </c>
      <c r="M11" s="19">
        <f t="shared" si="2"/>
        <v>16008500</v>
      </c>
      <c r="N11" s="19">
        <f t="shared" si="2"/>
        <v>0</v>
      </c>
      <c r="O11" s="19">
        <f t="shared" si="2"/>
        <v>16008500</v>
      </c>
      <c r="P11" s="68"/>
      <c r="Q11" s="70"/>
    </row>
    <row r="12" spans="1:17" ht="16.5" hidden="1" thickTop="1">
      <c r="A12" s="23"/>
      <c r="B12" s="22"/>
      <c r="C12" s="22"/>
      <c r="D12" s="23"/>
      <c r="E12" s="22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2"/>
      <c r="Q12" s="69"/>
    </row>
    <row r="13" spans="1:17" ht="15.75" hidden="1">
      <c r="A13" s="23"/>
      <c r="B13" s="28" t="s">
        <v>386</v>
      </c>
      <c r="C13" s="22"/>
      <c r="D13" s="39"/>
      <c r="F13" s="27"/>
      <c r="G13" s="28"/>
      <c r="H13" s="28"/>
      <c r="I13" s="28"/>
      <c r="J13" s="28"/>
      <c r="K13" s="28"/>
      <c r="L13" s="28"/>
      <c r="Q13" s="51"/>
    </row>
    <row r="14" spans="1:17" ht="15.75" hidden="1">
      <c r="A14" s="38"/>
      <c r="B14" s="40" t="s">
        <v>32</v>
      </c>
      <c r="C14" s="28" t="s">
        <v>28</v>
      </c>
      <c r="D14" s="39"/>
      <c r="F14" s="41"/>
      <c r="G14" s="127" t="s">
        <v>26</v>
      </c>
      <c r="H14" s="127"/>
      <c r="I14" s="127"/>
      <c r="K14" s="41"/>
    </row>
    <row r="15" spans="1:17" ht="15.75" hidden="1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 hidden="1">
      <c r="A16" s="38"/>
      <c r="B16" s="40"/>
      <c r="C16" s="28"/>
      <c r="D16" s="39"/>
      <c r="F16" s="28"/>
      <c r="G16" s="28"/>
      <c r="H16" s="28"/>
      <c r="I16" s="28"/>
      <c r="J16" s="28"/>
      <c r="K16" s="28"/>
      <c r="L16" s="28"/>
    </row>
    <row r="17" spans="1:17" ht="15.75" hidden="1">
      <c r="A17" s="38"/>
      <c r="B17" s="40"/>
      <c r="C17" s="28"/>
      <c r="D17" s="39"/>
      <c r="F17" s="28"/>
      <c r="G17" s="28"/>
      <c r="H17" s="28"/>
      <c r="I17" s="28"/>
      <c r="J17" s="28"/>
      <c r="K17" s="28"/>
    </row>
    <row r="18" spans="1:17" ht="15.75" hidden="1">
      <c r="A18" s="38"/>
      <c r="B18" s="40"/>
      <c r="C18" s="28"/>
      <c r="D18" s="39"/>
      <c r="F18" s="28"/>
      <c r="G18" s="28"/>
      <c r="H18" s="28"/>
      <c r="I18" s="28"/>
      <c r="J18" s="28"/>
      <c r="K18" s="28"/>
      <c r="L18" s="28"/>
    </row>
    <row r="19" spans="1:17" ht="15.75" hidden="1">
      <c r="A19" s="38" t="s">
        <v>23</v>
      </c>
      <c r="B19" s="42" t="s">
        <v>27</v>
      </c>
      <c r="C19" s="43" t="s">
        <v>24</v>
      </c>
      <c r="D19" s="39"/>
      <c r="F19" s="29"/>
      <c r="G19" s="29" t="s">
        <v>16</v>
      </c>
      <c r="H19" s="29"/>
      <c r="I19" s="29" t="s">
        <v>30</v>
      </c>
    </row>
    <row r="20" spans="1:17" ht="15.75" hidden="1">
      <c r="A20" s="38"/>
      <c r="B20" s="44" t="s">
        <v>31</v>
      </c>
      <c r="C20" s="45" t="s">
        <v>20</v>
      </c>
      <c r="D20" s="39"/>
      <c r="F20" s="46"/>
      <c r="G20" s="46" t="s">
        <v>17</v>
      </c>
      <c r="H20" s="46"/>
      <c r="I20" s="46" t="s">
        <v>25</v>
      </c>
    </row>
    <row r="21" spans="1:17" hidden="1"/>
    <row r="22" spans="1:17" ht="16.5" thickTop="1">
      <c r="A22" s="21" t="s">
        <v>0</v>
      </c>
      <c r="B22" s="22"/>
      <c r="C22" s="23"/>
      <c r="D22" s="23"/>
      <c r="E22" s="23"/>
      <c r="F22" s="24"/>
      <c r="G22" s="24"/>
      <c r="H22" s="24"/>
      <c r="I22" s="24"/>
      <c r="J22" s="24"/>
      <c r="K22" s="24"/>
      <c r="L22" s="25"/>
    </row>
    <row r="23" spans="1:17" ht="15.75">
      <c r="A23" s="26" t="s">
        <v>388</v>
      </c>
      <c r="B23" s="21"/>
      <c r="C23" s="21"/>
      <c r="D23" s="21"/>
      <c r="E23" s="21"/>
      <c r="F23" s="24"/>
      <c r="G23" s="24"/>
      <c r="H23" s="24"/>
      <c r="I23" s="24"/>
      <c r="J23" s="24"/>
      <c r="K23" s="24"/>
      <c r="L23" s="25"/>
    </row>
    <row r="24" spans="1:17">
      <c r="A24" s="62"/>
      <c r="B24" s="62" t="s">
        <v>1</v>
      </c>
      <c r="C24" s="93" t="s">
        <v>2</v>
      </c>
      <c r="D24" s="117" t="s">
        <v>34</v>
      </c>
      <c r="E24" s="95" t="s">
        <v>3</v>
      </c>
      <c r="F24" s="93" t="s">
        <v>4</v>
      </c>
      <c r="G24" s="96" t="s">
        <v>18</v>
      </c>
      <c r="H24" s="96" t="s">
        <v>18</v>
      </c>
      <c r="I24" s="97" t="s">
        <v>7</v>
      </c>
      <c r="J24" s="96" t="s">
        <v>6</v>
      </c>
      <c r="K24" s="96" t="s">
        <v>29</v>
      </c>
      <c r="L24" s="96" t="s">
        <v>21</v>
      </c>
      <c r="M24" s="96" t="s">
        <v>8</v>
      </c>
      <c r="N24" s="96" t="s">
        <v>8</v>
      </c>
      <c r="O24" s="96" t="s">
        <v>9</v>
      </c>
      <c r="P24" s="62" t="s">
        <v>10</v>
      </c>
      <c r="Q24" s="98" t="s">
        <v>33</v>
      </c>
    </row>
    <row r="25" spans="1:17">
      <c r="A25" s="99"/>
      <c r="B25" s="99"/>
      <c r="C25" s="100"/>
      <c r="D25" s="101"/>
      <c r="E25" s="102"/>
      <c r="F25" s="100"/>
      <c r="G25" s="103"/>
      <c r="H25" s="103"/>
      <c r="I25" s="103" t="s">
        <v>19</v>
      </c>
      <c r="J25" s="103" t="s">
        <v>35</v>
      </c>
      <c r="K25" s="103" t="s">
        <v>22</v>
      </c>
      <c r="L25" s="103" t="s">
        <v>15</v>
      </c>
      <c r="M25" s="103" t="s">
        <v>13</v>
      </c>
      <c r="N25" s="103" t="s">
        <v>14</v>
      </c>
      <c r="O25" s="103" t="s">
        <v>12</v>
      </c>
      <c r="P25" s="99"/>
      <c r="Q25" s="104"/>
    </row>
    <row r="26" spans="1:17">
      <c r="A26" s="99"/>
      <c r="B26" s="99"/>
      <c r="C26" s="105"/>
      <c r="D26" s="101"/>
      <c r="E26" s="102"/>
      <c r="F26" s="100"/>
      <c r="G26" s="103"/>
      <c r="H26" s="103"/>
      <c r="I26" s="103" t="s">
        <v>5</v>
      </c>
      <c r="J26" s="103"/>
      <c r="K26" s="103"/>
      <c r="L26" s="103"/>
      <c r="M26" s="103"/>
      <c r="N26" s="103"/>
      <c r="O26" s="103"/>
      <c r="P26" s="99"/>
      <c r="Q26" s="104"/>
    </row>
    <row r="27" spans="1:17">
      <c r="A27" s="106"/>
      <c r="B27" s="106"/>
      <c r="C27" s="107"/>
      <c r="D27" s="108"/>
      <c r="E27" s="109"/>
      <c r="F27" s="110"/>
      <c r="G27" s="111"/>
      <c r="H27" s="112"/>
      <c r="I27" s="111"/>
      <c r="J27" s="111"/>
      <c r="K27" s="113"/>
      <c r="L27" s="108"/>
      <c r="M27" s="111"/>
      <c r="N27" s="111"/>
      <c r="O27" s="111"/>
      <c r="P27" s="106"/>
      <c r="Q27" s="114"/>
    </row>
    <row r="28" spans="1:17" ht="15.75">
      <c r="A28" s="52"/>
      <c r="B28" s="47"/>
      <c r="C28" s="48"/>
      <c r="D28" s="73"/>
      <c r="E28" s="17"/>
      <c r="F28" s="48"/>
      <c r="G28" s="36"/>
      <c r="H28" s="36"/>
      <c r="I28" s="36"/>
      <c r="J28" s="36"/>
      <c r="K28" s="8"/>
      <c r="M28" s="8"/>
      <c r="N28" s="8"/>
      <c r="O28" s="8"/>
      <c r="P28" s="35"/>
      <c r="Q28" s="37"/>
    </row>
    <row r="29" spans="1:17" ht="15.75">
      <c r="A29" s="52">
        <v>1</v>
      </c>
      <c r="B29" s="51" t="s">
        <v>389</v>
      </c>
      <c r="C29" s="48" t="s">
        <v>390</v>
      </c>
      <c r="D29" s="67" t="s">
        <v>391</v>
      </c>
      <c r="E29" s="17">
        <v>43223</v>
      </c>
      <c r="F29" s="20" t="s">
        <v>392</v>
      </c>
      <c r="G29" s="36">
        <v>0</v>
      </c>
      <c r="H29" s="36">
        <v>0</v>
      </c>
      <c r="I29" s="8">
        <v>0</v>
      </c>
      <c r="J29" s="8">
        <v>0</v>
      </c>
      <c r="K29" s="8">
        <v>200000</v>
      </c>
      <c r="L29" s="8">
        <v>200000</v>
      </c>
      <c r="M29" s="8">
        <f>SUM(G29:L29)</f>
        <v>400000</v>
      </c>
      <c r="N29" s="8">
        <f>50000000-M29</f>
        <v>49600000</v>
      </c>
      <c r="O29" s="8">
        <f t="shared" ref="O29" si="3">+M29+N29</f>
        <v>50000000</v>
      </c>
      <c r="P29" s="59" t="s">
        <v>393</v>
      </c>
      <c r="Q29" s="66" t="s">
        <v>58</v>
      </c>
    </row>
    <row r="30" spans="1:17" ht="15.75">
      <c r="A30" s="52"/>
      <c r="B30" s="51"/>
      <c r="C30" s="48"/>
      <c r="E30" s="17"/>
      <c r="F30" s="48"/>
      <c r="G30" s="36"/>
      <c r="H30" s="36"/>
      <c r="I30" s="36"/>
      <c r="J30" s="36"/>
      <c r="K30" s="36"/>
      <c r="M30" s="8"/>
      <c r="N30" s="8"/>
      <c r="O30" s="8"/>
      <c r="P30" s="59"/>
      <c r="Q30" s="66"/>
    </row>
    <row r="31" spans="1:17" ht="16.5" thickBot="1">
      <c r="A31" s="18"/>
      <c r="B31" s="55"/>
      <c r="C31" s="56"/>
      <c r="D31" s="74"/>
      <c r="E31" s="56"/>
      <c r="F31" s="57"/>
      <c r="G31" s="19">
        <f t="shared" ref="G31" si="4">SUM(G29:G30)</f>
        <v>0</v>
      </c>
      <c r="H31" s="19">
        <f t="shared" ref="H31:O31" si="5">SUM(H29:H30)</f>
        <v>0</v>
      </c>
      <c r="I31" s="19">
        <f t="shared" si="5"/>
        <v>0</v>
      </c>
      <c r="J31" s="19">
        <f t="shared" si="5"/>
        <v>0</v>
      </c>
      <c r="K31" s="19">
        <f t="shared" si="5"/>
        <v>200000</v>
      </c>
      <c r="L31" s="19">
        <f t="shared" si="5"/>
        <v>200000</v>
      </c>
      <c r="M31" s="19">
        <f t="shared" si="5"/>
        <v>400000</v>
      </c>
      <c r="N31" s="19">
        <f t="shared" si="5"/>
        <v>49600000</v>
      </c>
      <c r="O31" s="19">
        <f t="shared" si="5"/>
        <v>50000000</v>
      </c>
      <c r="P31" s="68"/>
      <c r="Q31" s="70"/>
    </row>
    <row r="32" spans="1:17" ht="16.5" hidden="1" thickTop="1">
      <c r="A32" s="23"/>
      <c r="B32" s="22"/>
      <c r="C32" s="22"/>
      <c r="D32" s="23"/>
      <c r="E32" s="22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2"/>
      <c r="Q32" s="69"/>
    </row>
    <row r="33" spans="1:17" ht="15.75" hidden="1">
      <c r="A33" s="23"/>
      <c r="B33" s="28" t="s">
        <v>394</v>
      </c>
      <c r="C33" s="22"/>
      <c r="D33" s="39"/>
      <c r="F33" s="27"/>
      <c r="G33" s="28"/>
      <c r="H33" s="28"/>
      <c r="I33" s="28"/>
      <c r="J33" s="28"/>
      <c r="K33" s="28"/>
      <c r="L33" s="28"/>
      <c r="Q33" s="51"/>
    </row>
    <row r="34" spans="1:17" ht="15.75" hidden="1">
      <c r="A34" s="38"/>
      <c r="B34" s="40" t="s">
        <v>32</v>
      </c>
      <c r="C34" s="28" t="s">
        <v>28</v>
      </c>
      <c r="D34" s="39"/>
      <c r="F34" s="41"/>
      <c r="G34" s="127" t="s">
        <v>26</v>
      </c>
      <c r="H34" s="127"/>
      <c r="I34" s="127"/>
      <c r="K34" s="41"/>
    </row>
    <row r="35" spans="1:17" ht="15.75" hidden="1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 hidden="1">
      <c r="A36" s="38"/>
      <c r="B36" s="40"/>
      <c r="C36" s="28"/>
      <c r="D36" s="39"/>
      <c r="F36" s="28"/>
      <c r="G36" s="28"/>
      <c r="H36" s="28"/>
      <c r="I36" s="28"/>
      <c r="J36" s="28"/>
      <c r="K36" s="28"/>
      <c r="L36" s="28"/>
    </row>
    <row r="37" spans="1:17" ht="15.75" hidden="1">
      <c r="A37" s="38"/>
      <c r="B37" s="40"/>
      <c r="C37" s="28"/>
      <c r="D37" s="39"/>
      <c r="F37" s="28"/>
      <c r="G37" s="28"/>
      <c r="H37" s="28"/>
      <c r="I37" s="28"/>
      <c r="J37" s="28"/>
      <c r="K37" s="28"/>
    </row>
    <row r="38" spans="1:17" ht="15.75" hidden="1">
      <c r="A38" s="38"/>
      <c r="B38" s="40"/>
      <c r="C38" s="28"/>
      <c r="D38" s="39"/>
      <c r="F38" s="28"/>
      <c r="G38" s="28"/>
      <c r="H38" s="28"/>
      <c r="I38" s="28"/>
      <c r="J38" s="28"/>
      <c r="K38" s="28"/>
      <c r="L38" s="28"/>
    </row>
    <row r="39" spans="1:17" ht="15.75" hidden="1">
      <c r="A39" s="38" t="s">
        <v>23</v>
      </c>
      <c r="B39" s="42" t="s">
        <v>27</v>
      </c>
      <c r="C39" s="43" t="s">
        <v>24</v>
      </c>
      <c r="D39" s="39"/>
      <c r="F39" s="29"/>
      <c r="G39" s="29" t="s">
        <v>16</v>
      </c>
      <c r="H39" s="29"/>
      <c r="I39" s="29" t="s">
        <v>30</v>
      </c>
    </row>
    <row r="40" spans="1:17" ht="15.75" hidden="1">
      <c r="A40" s="38"/>
      <c r="B40" s="44" t="s">
        <v>31</v>
      </c>
      <c r="C40" s="45" t="s">
        <v>20</v>
      </c>
      <c r="D40" s="39"/>
      <c r="F40" s="46"/>
      <c r="G40" s="46" t="s">
        <v>17</v>
      </c>
      <c r="H40" s="46"/>
      <c r="I40" s="46" t="s">
        <v>25</v>
      </c>
    </row>
    <row r="41" spans="1:17" hidden="1"/>
    <row r="42" spans="1:17" ht="16.5" thickTop="1">
      <c r="A42" s="21" t="s">
        <v>0</v>
      </c>
      <c r="B42" s="22"/>
      <c r="C42" s="23"/>
      <c r="D42" s="23"/>
      <c r="E42" s="23"/>
      <c r="F42" s="24"/>
      <c r="G42" s="24"/>
      <c r="H42" s="24"/>
      <c r="I42" s="24"/>
      <c r="J42" s="24"/>
      <c r="K42" s="24"/>
      <c r="L42" s="25"/>
    </row>
    <row r="43" spans="1:17" ht="15.75">
      <c r="A43" s="26" t="s">
        <v>395</v>
      </c>
      <c r="B43" s="21"/>
      <c r="C43" s="21"/>
      <c r="D43" s="21"/>
      <c r="E43" s="21"/>
      <c r="F43" s="24"/>
      <c r="G43" s="24"/>
      <c r="H43" s="24"/>
      <c r="I43" s="24"/>
      <c r="J43" s="24"/>
      <c r="K43" s="24"/>
      <c r="L43" s="25"/>
    </row>
    <row r="44" spans="1:17">
      <c r="A44" s="62"/>
      <c r="B44" s="62" t="s">
        <v>1</v>
      </c>
      <c r="C44" s="93" t="s">
        <v>2</v>
      </c>
      <c r="D44" s="117" t="s">
        <v>34</v>
      </c>
      <c r="E44" s="95" t="s">
        <v>3</v>
      </c>
      <c r="F44" s="93" t="s">
        <v>4</v>
      </c>
      <c r="G44" s="96" t="s">
        <v>18</v>
      </c>
      <c r="H44" s="96" t="s">
        <v>18</v>
      </c>
      <c r="I44" s="97" t="s">
        <v>7</v>
      </c>
      <c r="J44" s="96" t="s">
        <v>6</v>
      </c>
      <c r="K44" s="96" t="s">
        <v>29</v>
      </c>
      <c r="L44" s="96" t="s">
        <v>21</v>
      </c>
      <c r="M44" s="96" t="s">
        <v>8</v>
      </c>
      <c r="N44" s="96" t="s">
        <v>8</v>
      </c>
      <c r="O44" s="96" t="s">
        <v>9</v>
      </c>
      <c r="P44" s="62" t="s">
        <v>10</v>
      </c>
      <c r="Q44" s="98" t="s">
        <v>33</v>
      </c>
    </row>
    <row r="45" spans="1:17">
      <c r="A45" s="99"/>
      <c r="B45" s="99"/>
      <c r="C45" s="100"/>
      <c r="D45" s="101"/>
      <c r="E45" s="102"/>
      <c r="F45" s="100"/>
      <c r="G45" s="103" t="s">
        <v>12</v>
      </c>
      <c r="H45" s="103"/>
      <c r="I45" s="103" t="s">
        <v>19</v>
      </c>
      <c r="J45" s="103" t="s">
        <v>35</v>
      </c>
      <c r="K45" s="103" t="s">
        <v>22</v>
      </c>
      <c r="L45" s="103" t="s">
        <v>15</v>
      </c>
      <c r="M45" s="103" t="s">
        <v>13</v>
      </c>
      <c r="N45" s="103" t="s">
        <v>14</v>
      </c>
      <c r="O45" s="103" t="s">
        <v>12</v>
      </c>
      <c r="P45" s="99"/>
      <c r="Q45" s="104"/>
    </row>
    <row r="46" spans="1:17">
      <c r="A46" s="99"/>
      <c r="B46" s="99"/>
      <c r="C46" s="105"/>
      <c r="D46" s="101"/>
      <c r="E46" s="102"/>
      <c r="F46" s="100"/>
      <c r="G46" s="103" t="s">
        <v>42</v>
      </c>
      <c r="H46" s="103"/>
      <c r="I46" s="103" t="s">
        <v>5</v>
      </c>
      <c r="J46" s="103"/>
      <c r="K46" s="103"/>
      <c r="L46" s="103"/>
      <c r="M46" s="103"/>
      <c r="N46" s="103"/>
      <c r="O46" s="103"/>
      <c r="P46" s="99"/>
      <c r="Q46" s="104"/>
    </row>
    <row r="47" spans="1:17">
      <c r="A47" s="106"/>
      <c r="B47" s="106"/>
      <c r="C47" s="107"/>
      <c r="D47" s="108"/>
      <c r="E47" s="109"/>
      <c r="F47" s="110"/>
      <c r="G47" s="111"/>
      <c r="H47" s="112"/>
      <c r="I47" s="111"/>
      <c r="J47" s="111"/>
      <c r="K47" s="113"/>
      <c r="L47" s="108"/>
      <c r="M47" s="111"/>
      <c r="N47" s="111"/>
      <c r="O47" s="111"/>
      <c r="P47" s="106"/>
      <c r="Q47" s="114"/>
    </row>
    <row r="48" spans="1:17" ht="15.75">
      <c r="A48" s="52"/>
      <c r="B48" s="47"/>
      <c r="C48" s="48"/>
      <c r="D48" s="73"/>
      <c r="E48" s="17"/>
      <c r="F48" s="48"/>
      <c r="G48" s="36"/>
      <c r="H48" s="36"/>
      <c r="I48" s="36"/>
      <c r="J48" s="36"/>
      <c r="K48" s="8"/>
      <c r="M48" s="8"/>
      <c r="N48" s="8"/>
      <c r="O48" s="8"/>
      <c r="P48" s="35"/>
      <c r="Q48" s="37"/>
    </row>
    <row r="49" spans="1:17" ht="15.75">
      <c r="A49" s="52">
        <v>1</v>
      </c>
      <c r="B49" s="51" t="s">
        <v>396</v>
      </c>
      <c r="C49" s="48" t="s">
        <v>397</v>
      </c>
      <c r="D49" s="67" t="s">
        <v>398</v>
      </c>
      <c r="E49" s="17">
        <v>43224</v>
      </c>
      <c r="F49" s="20" t="s">
        <v>399</v>
      </c>
      <c r="G49" s="36">
        <v>22489500</v>
      </c>
      <c r="H49" s="36">
        <v>0</v>
      </c>
      <c r="I49" s="8">
        <v>562238</v>
      </c>
      <c r="J49" s="8">
        <v>130452</v>
      </c>
      <c r="K49" s="8">
        <v>450000</v>
      </c>
      <c r="L49" s="8">
        <v>200000</v>
      </c>
      <c r="M49" s="8">
        <f>SUM(G49:L49)</f>
        <v>23832190</v>
      </c>
      <c r="N49" s="123">
        <f>75000000-M49</f>
        <v>51167810</v>
      </c>
      <c r="O49" s="8">
        <f t="shared" ref="O49" si="6">+M49+N49</f>
        <v>75000000</v>
      </c>
      <c r="P49" s="59" t="s">
        <v>400</v>
      </c>
      <c r="Q49" s="66" t="s">
        <v>52</v>
      </c>
    </row>
    <row r="50" spans="1:17" ht="15.75">
      <c r="A50" s="52"/>
      <c r="B50" s="51"/>
      <c r="C50" s="48"/>
      <c r="E50" s="17"/>
      <c r="F50" s="48"/>
      <c r="G50" s="36"/>
      <c r="H50" s="36"/>
      <c r="I50" s="36"/>
      <c r="J50" s="36"/>
      <c r="K50" s="36"/>
      <c r="M50" s="8"/>
      <c r="N50" s="8"/>
      <c r="O50" s="8"/>
      <c r="P50" s="59"/>
      <c r="Q50" s="66"/>
    </row>
    <row r="51" spans="1:17" ht="16.5" thickBot="1">
      <c r="A51" s="18"/>
      <c r="B51" s="55"/>
      <c r="C51" s="56"/>
      <c r="D51" s="74"/>
      <c r="E51" s="56"/>
      <c r="F51" s="57"/>
      <c r="G51" s="19">
        <f t="shared" ref="G51" si="7">SUM(G49:G50)</f>
        <v>22489500</v>
      </c>
      <c r="H51" s="19">
        <f t="shared" ref="H51:O51" si="8">SUM(H49:H50)</f>
        <v>0</v>
      </c>
      <c r="I51" s="19">
        <f t="shared" si="8"/>
        <v>562238</v>
      </c>
      <c r="J51" s="19">
        <f t="shared" si="8"/>
        <v>130452</v>
      </c>
      <c r="K51" s="19">
        <f t="shared" si="8"/>
        <v>450000</v>
      </c>
      <c r="L51" s="19">
        <f t="shared" si="8"/>
        <v>200000</v>
      </c>
      <c r="M51" s="19">
        <f t="shared" si="8"/>
        <v>23832190</v>
      </c>
      <c r="N51" s="19">
        <f t="shared" si="8"/>
        <v>51167810</v>
      </c>
      <c r="O51" s="19">
        <f t="shared" si="8"/>
        <v>75000000</v>
      </c>
      <c r="P51" s="68"/>
      <c r="Q51" s="70"/>
    </row>
    <row r="52" spans="1:17" ht="16.5" hidden="1" thickTop="1">
      <c r="A52" s="23"/>
      <c r="B52" s="22"/>
      <c r="C52" s="22"/>
      <c r="D52" s="23"/>
      <c r="E52" s="22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2"/>
      <c r="Q52" s="69"/>
    </row>
    <row r="53" spans="1:17" ht="15.75" hidden="1">
      <c r="A53" s="23"/>
      <c r="B53" s="28" t="s">
        <v>401</v>
      </c>
      <c r="C53" s="22"/>
      <c r="D53" s="39"/>
      <c r="F53" s="27"/>
      <c r="G53" s="28"/>
      <c r="H53" s="28"/>
      <c r="I53" s="28"/>
      <c r="J53" s="28"/>
      <c r="K53" s="28"/>
      <c r="L53" s="28"/>
      <c r="Q53" s="51"/>
    </row>
    <row r="54" spans="1:17" ht="15.75" hidden="1">
      <c r="A54" s="38"/>
      <c r="B54" s="40" t="s">
        <v>32</v>
      </c>
      <c r="C54" s="28" t="s">
        <v>28</v>
      </c>
      <c r="D54" s="39"/>
      <c r="F54" s="41"/>
      <c r="G54" s="127" t="s">
        <v>26</v>
      </c>
      <c r="H54" s="127"/>
      <c r="I54" s="127"/>
      <c r="K54" s="41"/>
    </row>
    <row r="55" spans="1:17" ht="15.75" hidden="1">
      <c r="A55" s="38"/>
      <c r="B55" s="40"/>
      <c r="C55" s="28"/>
      <c r="D55" s="39"/>
      <c r="F55" s="28"/>
      <c r="G55" s="28"/>
      <c r="H55" s="28"/>
      <c r="I55" s="28"/>
      <c r="J55" s="28"/>
      <c r="K55" s="28"/>
      <c r="L55" s="28"/>
    </row>
    <row r="56" spans="1:17" ht="15.75" hidden="1">
      <c r="A56" s="38"/>
      <c r="B56" s="40"/>
      <c r="C56" s="28"/>
      <c r="D56" s="39"/>
      <c r="F56" s="28"/>
      <c r="G56" s="28"/>
      <c r="H56" s="28"/>
      <c r="I56" s="28"/>
      <c r="J56" s="28"/>
      <c r="K56" s="28"/>
      <c r="L56" s="28"/>
    </row>
    <row r="57" spans="1:17" ht="15.75" hidden="1">
      <c r="A57" s="38"/>
      <c r="B57" s="40"/>
      <c r="C57" s="28"/>
      <c r="D57" s="39"/>
      <c r="F57" s="28"/>
      <c r="G57" s="28"/>
      <c r="H57" s="28"/>
      <c r="I57" s="28"/>
      <c r="J57" s="28"/>
      <c r="K57" s="28"/>
    </row>
    <row r="58" spans="1:17" ht="15.75" hidden="1">
      <c r="A58" s="38"/>
      <c r="B58" s="40"/>
      <c r="C58" s="28"/>
      <c r="D58" s="39"/>
      <c r="F58" s="28"/>
      <c r="G58" s="28"/>
      <c r="H58" s="28"/>
      <c r="I58" s="28"/>
      <c r="J58" s="28"/>
      <c r="K58" s="28"/>
      <c r="L58" s="28"/>
    </row>
    <row r="59" spans="1:17" ht="15.75" hidden="1">
      <c r="A59" s="38" t="s">
        <v>23</v>
      </c>
      <c r="B59" s="42" t="s">
        <v>27</v>
      </c>
      <c r="C59" s="43" t="s">
        <v>24</v>
      </c>
      <c r="D59" s="39"/>
      <c r="F59" s="29"/>
      <c r="G59" s="29" t="s">
        <v>16</v>
      </c>
      <c r="H59" s="29"/>
      <c r="I59" s="29" t="s">
        <v>30</v>
      </c>
    </row>
    <row r="60" spans="1:17" ht="15.75" hidden="1">
      <c r="A60" s="38"/>
      <c r="B60" s="44" t="s">
        <v>31</v>
      </c>
      <c r="C60" s="45" t="s">
        <v>20</v>
      </c>
      <c r="D60" s="39"/>
      <c r="F60" s="46"/>
      <c r="G60" s="46" t="s">
        <v>17</v>
      </c>
      <c r="H60" s="46"/>
      <c r="I60" s="46" t="s">
        <v>25</v>
      </c>
    </row>
    <row r="61" spans="1:17" hidden="1"/>
    <row r="62" spans="1:17" ht="16.5" thickTop="1">
      <c r="A62" s="21" t="s">
        <v>0</v>
      </c>
      <c r="B62" s="22"/>
      <c r="C62" s="23"/>
      <c r="D62" s="23"/>
      <c r="E62" s="23"/>
      <c r="F62" s="24"/>
      <c r="G62" s="24"/>
      <c r="H62" s="24"/>
      <c r="I62" s="24"/>
      <c r="J62" s="24"/>
      <c r="K62" s="24"/>
      <c r="L62" s="25"/>
    </row>
    <row r="63" spans="1:17" ht="15.75">
      <c r="A63" s="26" t="s">
        <v>395</v>
      </c>
      <c r="B63" s="21"/>
      <c r="C63" s="21"/>
      <c r="D63" s="21"/>
      <c r="E63" s="21"/>
      <c r="F63" s="24"/>
      <c r="G63" s="24"/>
      <c r="H63" s="24"/>
      <c r="I63" s="24"/>
      <c r="J63" s="24"/>
      <c r="K63" s="24"/>
      <c r="L63" s="25"/>
    </row>
    <row r="64" spans="1:17">
      <c r="A64" s="62"/>
      <c r="B64" s="62" t="s">
        <v>1</v>
      </c>
      <c r="C64" s="93" t="s">
        <v>2</v>
      </c>
      <c r="D64" s="117" t="s">
        <v>34</v>
      </c>
      <c r="E64" s="95" t="s">
        <v>3</v>
      </c>
      <c r="F64" s="93" t="s">
        <v>4</v>
      </c>
      <c r="G64" s="96" t="s">
        <v>18</v>
      </c>
      <c r="H64" s="96" t="s">
        <v>18</v>
      </c>
      <c r="I64" s="97" t="s">
        <v>7</v>
      </c>
      <c r="J64" s="96" t="s">
        <v>6</v>
      </c>
      <c r="K64" s="96" t="s">
        <v>29</v>
      </c>
      <c r="L64" s="96" t="s">
        <v>21</v>
      </c>
      <c r="M64" s="96" t="s">
        <v>8</v>
      </c>
      <c r="N64" s="96" t="s">
        <v>8</v>
      </c>
      <c r="O64" s="96" t="s">
        <v>9</v>
      </c>
      <c r="P64" s="62" t="s">
        <v>10</v>
      </c>
      <c r="Q64" s="98" t="s">
        <v>33</v>
      </c>
    </row>
    <row r="65" spans="1:17">
      <c r="A65" s="99"/>
      <c r="B65" s="99"/>
      <c r="C65" s="100"/>
      <c r="D65" s="101"/>
      <c r="E65" s="102"/>
      <c r="F65" s="100"/>
      <c r="G65" s="103" t="s">
        <v>12</v>
      </c>
      <c r="H65" s="103"/>
      <c r="I65" s="103" t="s">
        <v>19</v>
      </c>
      <c r="J65" s="103" t="s">
        <v>35</v>
      </c>
      <c r="K65" s="103" t="s">
        <v>22</v>
      </c>
      <c r="L65" s="103" t="s">
        <v>15</v>
      </c>
      <c r="M65" s="103" t="s">
        <v>13</v>
      </c>
      <c r="N65" s="103" t="s">
        <v>14</v>
      </c>
      <c r="O65" s="103" t="s">
        <v>12</v>
      </c>
      <c r="P65" s="99"/>
      <c r="Q65" s="104"/>
    </row>
    <row r="66" spans="1:17">
      <c r="A66" s="99"/>
      <c r="B66" s="99"/>
      <c r="C66" s="105"/>
      <c r="D66" s="101"/>
      <c r="E66" s="102"/>
      <c r="F66" s="100"/>
      <c r="G66" s="103" t="s">
        <v>42</v>
      </c>
      <c r="H66" s="103"/>
      <c r="I66" s="103" t="s">
        <v>5</v>
      </c>
      <c r="J66" s="103"/>
      <c r="K66" s="103"/>
      <c r="L66" s="103"/>
      <c r="M66" s="103"/>
      <c r="N66" s="103"/>
      <c r="O66" s="103"/>
      <c r="P66" s="99"/>
      <c r="Q66" s="104"/>
    </row>
    <row r="67" spans="1:17">
      <c r="A67" s="106"/>
      <c r="B67" s="106"/>
      <c r="C67" s="107"/>
      <c r="D67" s="108"/>
      <c r="E67" s="109"/>
      <c r="F67" s="110"/>
      <c r="G67" s="111"/>
      <c r="H67" s="112"/>
      <c r="I67" s="111"/>
      <c r="J67" s="111"/>
      <c r="K67" s="113"/>
      <c r="L67" s="108"/>
      <c r="M67" s="111"/>
      <c r="N67" s="111"/>
      <c r="O67" s="111"/>
      <c r="P67" s="106"/>
      <c r="Q67" s="114"/>
    </row>
    <row r="68" spans="1:17" ht="15.75">
      <c r="A68" s="52"/>
      <c r="B68" s="47"/>
      <c r="C68" s="48"/>
      <c r="D68" s="73"/>
      <c r="E68" s="17"/>
      <c r="F68" s="48"/>
      <c r="G68" s="36"/>
      <c r="H68" s="36"/>
      <c r="I68" s="36"/>
      <c r="J68" s="36"/>
      <c r="K68" s="8"/>
      <c r="M68" s="8"/>
      <c r="N68" s="8"/>
      <c r="O68" s="8"/>
      <c r="P68" s="35"/>
      <c r="Q68" s="37"/>
    </row>
    <row r="69" spans="1:17" ht="15.75">
      <c r="A69" s="52">
        <v>1</v>
      </c>
      <c r="B69" s="51" t="s">
        <v>402</v>
      </c>
      <c r="C69" s="48" t="s">
        <v>403</v>
      </c>
      <c r="D69" s="67" t="s">
        <v>404</v>
      </c>
      <c r="E69" s="17">
        <v>43224</v>
      </c>
      <c r="F69" s="20" t="s">
        <v>405</v>
      </c>
      <c r="G69" s="36">
        <v>0</v>
      </c>
      <c r="H69" s="36">
        <v>0</v>
      </c>
      <c r="I69" s="8">
        <v>0</v>
      </c>
      <c r="J69" s="8">
        <v>0</v>
      </c>
      <c r="K69" s="8">
        <v>700000</v>
      </c>
      <c r="L69" s="8">
        <v>200000</v>
      </c>
      <c r="M69" s="8">
        <f>SUM(G69:L69)</f>
        <v>900000</v>
      </c>
      <c r="N69" s="123">
        <f>100000000-M69</f>
        <v>99100000</v>
      </c>
      <c r="O69" s="8">
        <f t="shared" ref="O69" si="9">+M69+N69</f>
        <v>100000000</v>
      </c>
      <c r="P69" s="77" t="s">
        <v>96</v>
      </c>
      <c r="Q69" s="66" t="s">
        <v>40</v>
      </c>
    </row>
    <row r="70" spans="1:17" ht="15.75">
      <c r="A70" s="52"/>
      <c r="B70" s="51"/>
      <c r="C70" s="48"/>
      <c r="E70" s="17"/>
      <c r="F70" s="48"/>
      <c r="G70" s="36"/>
      <c r="H70" s="36"/>
      <c r="I70" s="36"/>
      <c r="J70" s="36"/>
      <c r="K70" s="36"/>
      <c r="M70" s="8"/>
      <c r="N70" s="8"/>
      <c r="O70" s="8"/>
      <c r="P70" s="59"/>
      <c r="Q70" s="66"/>
    </row>
    <row r="71" spans="1:17" ht="16.5" thickBot="1">
      <c r="A71" s="18"/>
      <c r="B71" s="55"/>
      <c r="C71" s="56"/>
      <c r="D71" s="74"/>
      <c r="E71" s="56"/>
      <c r="F71" s="57"/>
      <c r="G71" s="19">
        <f t="shared" ref="G71" si="10">SUM(G69:G70)</f>
        <v>0</v>
      </c>
      <c r="H71" s="19">
        <f t="shared" ref="H71:O71" si="11">SUM(H69:H70)</f>
        <v>0</v>
      </c>
      <c r="I71" s="19">
        <f t="shared" si="11"/>
        <v>0</v>
      </c>
      <c r="J71" s="19">
        <f t="shared" si="11"/>
        <v>0</v>
      </c>
      <c r="K71" s="19">
        <f t="shared" si="11"/>
        <v>700000</v>
      </c>
      <c r="L71" s="19">
        <f t="shared" si="11"/>
        <v>200000</v>
      </c>
      <c r="M71" s="19">
        <f t="shared" si="11"/>
        <v>900000</v>
      </c>
      <c r="N71" s="19">
        <f t="shared" si="11"/>
        <v>99100000</v>
      </c>
      <c r="O71" s="19">
        <f t="shared" si="11"/>
        <v>100000000</v>
      </c>
      <c r="P71" s="68"/>
      <c r="Q71" s="70"/>
    </row>
    <row r="72" spans="1:17" ht="16.5" hidden="1" thickTop="1">
      <c r="A72" s="23"/>
      <c r="B72" s="22"/>
      <c r="C72" s="22"/>
      <c r="D72" s="23"/>
      <c r="E72" s="22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2"/>
      <c r="Q72" s="69"/>
    </row>
    <row r="73" spans="1:17" ht="15.75" hidden="1">
      <c r="A73" s="23"/>
      <c r="B73" s="28" t="s">
        <v>401</v>
      </c>
      <c r="C73" s="22"/>
      <c r="D73" s="39"/>
      <c r="F73" s="27"/>
      <c r="G73" s="28"/>
      <c r="H73" s="28"/>
      <c r="I73" s="28"/>
      <c r="J73" s="28"/>
      <c r="K73" s="28"/>
      <c r="L73" s="28"/>
      <c r="Q73" s="51"/>
    </row>
    <row r="74" spans="1:17" ht="15.75" hidden="1">
      <c r="A74" s="38"/>
      <c r="B74" s="40" t="s">
        <v>32</v>
      </c>
      <c r="C74" s="28" t="s">
        <v>28</v>
      </c>
      <c r="D74" s="39"/>
      <c r="F74" s="41"/>
      <c r="G74" s="127" t="s">
        <v>26</v>
      </c>
      <c r="H74" s="127"/>
      <c r="I74" s="127"/>
      <c r="K74" s="41"/>
    </row>
    <row r="75" spans="1:17" ht="15.75" hidden="1">
      <c r="A75" s="38"/>
      <c r="B75" s="40"/>
      <c r="C75" s="28"/>
      <c r="D75" s="39"/>
      <c r="F75" s="28"/>
      <c r="G75" s="28"/>
      <c r="H75" s="28"/>
      <c r="I75" s="28"/>
      <c r="J75" s="28"/>
      <c r="K75" s="28"/>
      <c r="L75" s="28"/>
    </row>
    <row r="76" spans="1:17" ht="15.75" hidden="1">
      <c r="A76" s="38"/>
      <c r="B76" s="40"/>
      <c r="C76" s="28"/>
      <c r="D76" s="39"/>
      <c r="F76" s="28"/>
      <c r="G76" s="28"/>
      <c r="H76" s="28"/>
      <c r="I76" s="28"/>
      <c r="J76" s="28"/>
      <c r="K76" s="28"/>
      <c r="L76" s="28"/>
    </row>
    <row r="77" spans="1:17" ht="15.75" hidden="1">
      <c r="A77" s="38"/>
      <c r="B77" s="40"/>
      <c r="C77" s="28"/>
      <c r="D77" s="39"/>
      <c r="F77" s="28"/>
      <c r="G77" s="28"/>
      <c r="H77" s="28"/>
      <c r="I77" s="28"/>
      <c r="J77" s="28"/>
      <c r="K77" s="28"/>
    </row>
    <row r="78" spans="1:17" ht="15.75" hidden="1">
      <c r="A78" s="38"/>
      <c r="B78" s="40"/>
      <c r="C78" s="28"/>
      <c r="D78" s="39"/>
      <c r="F78" s="28"/>
      <c r="G78" s="28"/>
      <c r="H78" s="28"/>
      <c r="I78" s="28"/>
      <c r="J78" s="28"/>
      <c r="K78" s="28"/>
      <c r="L78" s="28"/>
    </row>
    <row r="79" spans="1:17" ht="15.75" hidden="1">
      <c r="A79" s="38" t="s">
        <v>23</v>
      </c>
      <c r="B79" s="42" t="s">
        <v>27</v>
      </c>
      <c r="C79" s="43" t="s">
        <v>24</v>
      </c>
      <c r="D79" s="39"/>
      <c r="F79" s="29"/>
      <c r="G79" s="29" t="s">
        <v>16</v>
      </c>
      <c r="H79" s="29"/>
      <c r="I79" s="29" t="s">
        <v>30</v>
      </c>
    </row>
    <row r="80" spans="1:17" ht="15.75" hidden="1">
      <c r="A80" s="38"/>
      <c r="B80" s="44" t="s">
        <v>31</v>
      </c>
      <c r="C80" s="45" t="s">
        <v>20</v>
      </c>
      <c r="D80" s="39"/>
      <c r="F80" s="46"/>
      <c r="G80" s="46" t="s">
        <v>17</v>
      </c>
      <c r="H80" s="46"/>
      <c r="I80" s="46" t="s">
        <v>25</v>
      </c>
    </row>
    <row r="81" spans="1:17" hidden="1"/>
    <row r="82" spans="1:17" ht="16.5" thickTop="1">
      <c r="A82" s="21" t="s">
        <v>0</v>
      </c>
      <c r="B82" s="22"/>
      <c r="C82" s="23"/>
      <c r="D82" s="23"/>
      <c r="E82" s="23"/>
      <c r="F82" s="24"/>
      <c r="G82" s="24"/>
      <c r="H82" s="24"/>
      <c r="I82" s="24"/>
      <c r="J82" s="24"/>
      <c r="K82" s="24"/>
      <c r="L82" s="25"/>
    </row>
    <row r="83" spans="1:17" ht="15.75">
      <c r="A83" s="26" t="s">
        <v>395</v>
      </c>
      <c r="B83" s="21"/>
      <c r="C83" s="21"/>
      <c r="D83" s="21"/>
      <c r="E83" s="21"/>
      <c r="F83" s="24"/>
      <c r="G83" s="24"/>
      <c r="H83" s="24"/>
      <c r="I83" s="24"/>
      <c r="J83" s="24"/>
      <c r="K83" s="24"/>
      <c r="L83" s="25"/>
    </row>
    <row r="84" spans="1:17">
      <c r="A84" s="62"/>
      <c r="B84" s="62" t="s">
        <v>1</v>
      </c>
      <c r="C84" s="93" t="s">
        <v>2</v>
      </c>
      <c r="D84" s="117" t="s">
        <v>34</v>
      </c>
      <c r="E84" s="95" t="s">
        <v>3</v>
      </c>
      <c r="F84" s="93" t="s">
        <v>4</v>
      </c>
      <c r="G84" s="96" t="s">
        <v>18</v>
      </c>
      <c r="H84" s="96" t="s">
        <v>18</v>
      </c>
      <c r="I84" s="97" t="s">
        <v>7</v>
      </c>
      <c r="J84" s="96" t="s">
        <v>6</v>
      </c>
      <c r="K84" s="96" t="s">
        <v>29</v>
      </c>
      <c r="L84" s="96" t="s">
        <v>21</v>
      </c>
      <c r="M84" s="96" t="s">
        <v>8</v>
      </c>
      <c r="N84" s="96" t="s">
        <v>8</v>
      </c>
      <c r="O84" s="96" t="s">
        <v>9</v>
      </c>
      <c r="P84" s="62" t="s">
        <v>10</v>
      </c>
      <c r="Q84" s="98" t="s">
        <v>33</v>
      </c>
    </row>
    <row r="85" spans="1:17">
      <c r="A85" s="99"/>
      <c r="B85" s="99"/>
      <c r="C85" s="100"/>
      <c r="D85" s="101"/>
      <c r="E85" s="102"/>
      <c r="F85" s="100"/>
      <c r="G85" s="103" t="s">
        <v>12</v>
      </c>
      <c r="H85" s="103"/>
      <c r="I85" s="103" t="s">
        <v>19</v>
      </c>
      <c r="J85" s="103" t="s">
        <v>35</v>
      </c>
      <c r="K85" s="103" t="s">
        <v>22</v>
      </c>
      <c r="L85" s="103" t="s">
        <v>15</v>
      </c>
      <c r="M85" s="103" t="s">
        <v>13</v>
      </c>
      <c r="N85" s="103" t="s">
        <v>14</v>
      </c>
      <c r="O85" s="103" t="s">
        <v>12</v>
      </c>
      <c r="P85" s="99"/>
      <c r="Q85" s="104"/>
    </row>
    <row r="86" spans="1:17">
      <c r="A86" s="99"/>
      <c r="B86" s="99"/>
      <c r="C86" s="105"/>
      <c r="D86" s="101"/>
      <c r="E86" s="102"/>
      <c r="F86" s="100"/>
      <c r="G86" s="103" t="s">
        <v>409</v>
      </c>
      <c r="H86" s="103"/>
      <c r="I86" s="103" t="s">
        <v>5</v>
      </c>
      <c r="J86" s="103"/>
      <c r="K86" s="103"/>
      <c r="L86" s="103"/>
      <c r="M86" s="103"/>
      <c r="N86" s="103"/>
      <c r="O86" s="103"/>
      <c r="P86" s="99"/>
      <c r="Q86" s="104"/>
    </row>
    <row r="87" spans="1:17">
      <c r="A87" s="106"/>
      <c r="B87" s="106"/>
      <c r="C87" s="107"/>
      <c r="D87" s="108"/>
      <c r="E87" s="109"/>
      <c r="F87" s="110"/>
      <c r="G87" s="111"/>
      <c r="H87" s="112"/>
      <c r="I87" s="111"/>
      <c r="J87" s="111"/>
      <c r="K87" s="113"/>
      <c r="L87" s="108"/>
      <c r="M87" s="111"/>
      <c r="N87" s="111"/>
      <c r="O87" s="111"/>
      <c r="P87" s="106"/>
      <c r="Q87" s="114"/>
    </row>
    <row r="88" spans="1:17" ht="15.75">
      <c r="A88" s="52"/>
      <c r="B88" s="47"/>
      <c r="C88" s="48"/>
      <c r="D88" s="73"/>
      <c r="E88" s="17"/>
      <c r="F88" s="48"/>
      <c r="G88" s="36"/>
      <c r="H88" s="36"/>
      <c r="I88" s="36"/>
      <c r="J88" s="36"/>
      <c r="K88" s="8"/>
      <c r="M88" s="8"/>
      <c r="N88" s="8"/>
      <c r="O88" s="8"/>
      <c r="P88" s="35"/>
      <c r="Q88" s="37"/>
    </row>
    <row r="89" spans="1:17" ht="15.75">
      <c r="A89" s="52">
        <v>1</v>
      </c>
      <c r="B89" s="51" t="s">
        <v>406</v>
      </c>
      <c r="C89" s="48" t="s">
        <v>407</v>
      </c>
      <c r="D89" s="67" t="s">
        <v>408</v>
      </c>
      <c r="E89" s="17">
        <v>43224</v>
      </c>
      <c r="F89" s="20" t="s">
        <v>337</v>
      </c>
      <c r="G89" s="36">
        <v>129300000</v>
      </c>
      <c r="H89" s="36">
        <v>0</v>
      </c>
      <c r="I89" s="8">
        <v>3232500</v>
      </c>
      <c r="J89" s="8">
        <v>760968</v>
      </c>
      <c r="K89" s="8">
        <v>0</v>
      </c>
      <c r="L89" s="8">
        <v>200000</v>
      </c>
      <c r="M89" s="8">
        <f>SUM(G89:L89)</f>
        <v>133493468</v>
      </c>
      <c r="N89" s="8">
        <f>133493468-M89</f>
        <v>0</v>
      </c>
      <c r="O89" s="8">
        <f t="shared" ref="O89" si="12">+M89+N89</f>
        <v>133493468</v>
      </c>
      <c r="P89" s="35" t="s">
        <v>410</v>
      </c>
      <c r="Q89" s="66" t="s">
        <v>338</v>
      </c>
    </row>
    <row r="90" spans="1:17" ht="15.75">
      <c r="A90" s="52"/>
      <c r="B90" s="51"/>
      <c r="C90" s="48"/>
      <c r="E90" s="17"/>
      <c r="F90" s="48"/>
      <c r="G90" s="36"/>
      <c r="H90" s="36"/>
      <c r="I90" s="36"/>
      <c r="J90" s="36"/>
      <c r="K90" s="36"/>
      <c r="M90" s="8"/>
      <c r="N90" s="8"/>
      <c r="O90" s="8"/>
      <c r="P90" s="59"/>
      <c r="Q90" s="66"/>
    </row>
    <row r="91" spans="1:17" ht="16.5" thickBot="1">
      <c r="A91" s="18"/>
      <c r="B91" s="55"/>
      <c r="C91" s="56"/>
      <c r="D91" s="74"/>
      <c r="E91" s="56"/>
      <c r="F91" s="57"/>
      <c r="G91" s="19">
        <f t="shared" ref="G91" si="13">SUM(G89:G90)</f>
        <v>129300000</v>
      </c>
      <c r="H91" s="19">
        <f t="shared" ref="H91:O91" si="14">SUM(H89:H90)</f>
        <v>0</v>
      </c>
      <c r="I91" s="19">
        <f t="shared" si="14"/>
        <v>3232500</v>
      </c>
      <c r="J91" s="19">
        <f t="shared" si="14"/>
        <v>760968</v>
      </c>
      <c r="K91" s="19">
        <f t="shared" si="14"/>
        <v>0</v>
      </c>
      <c r="L91" s="19">
        <f t="shared" si="14"/>
        <v>200000</v>
      </c>
      <c r="M91" s="19">
        <f t="shared" si="14"/>
        <v>133493468</v>
      </c>
      <c r="N91" s="19">
        <f t="shared" si="14"/>
        <v>0</v>
      </c>
      <c r="O91" s="19">
        <f t="shared" si="14"/>
        <v>133493468</v>
      </c>
      <c r="P91" s="68"/>
      <c r="Q91" s="70"/>
    </row>
    <row r="92" spans="1:17" ht="16.5" hidden="1" thickTop="1">
      <c r="A92" s="23"/>
      <c r="B92" s="22"/>
      <c r="C92" s="22"/>
      <c r="D92" s="23"/>
      <c r="E92" s="22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2"/>
      <c r="Q92" s="69"/>
    </row>
    <row r="93" spans="1:17" ht="15.75" hidden="1">
      <c r="A93" s="23"/>
      <c r="B93" s="28" t="s">
        <v>401</v>
      </c>
      <c r="C93" s="22"/>
      <c r="D93" s="39"/>
      <c r="F93" s="27"/>
      <c r="G93" s="28"/>
      <c r="H93" s="28"/>
      <c r="I93" s="28"/>
      <c r="J93" s="28"/>
      <c r="K93" s="28"/>
      <c r="L93" s="28"/>
      <c r="Q93" s="51"/>
    </row>
    <row r="94" spans="1:17" ht="15.75" hidden="1">
      <c r="A94" s="38"/>
      <c r="B94" s="40" t="s">
        <v>32</v>
      </c>
      <c r="C94" s="28" t="s">
        <v>28</v>
      </c>
      <c r="D94" s="39"/>
      <c r="F94" s="41"/>
      <c r="G94" s="127" t="s">
        <v>26</v>
      </c>
      <c r="H94" s="127"/>
      <c r="I94" s="127"/>
      <c r="K94" s="41"/>
    </row>
    <row r="95" spans="1:17" ht="15.75" hidden="1">
      <c r="A95" s="38"/>
      <c r="B95" s="40"/>
      <c r="C95" s="28"/>
      <c r="D95" s="39"/>
      <c r="F95" s="28"/>
      <c r="G95" s="28"/>
      <c r="H95" s="28"/>
      <c r="I95" s="28"/>
      <c r="J95" s="28"/>
      <c r="K95" s="28"/>
      <c r="L95" s="28"/>
    </row>
    <row r="96" spans="1:17" ht="15.75" hidden="1">
      <c r="A96" s="38"/>
      <c r="B96" s="40"/>
      <c r="C96" s="28"/>
      <c r="D96" s="39"/>
      <c r="F96" s="28"/>
      <c r="G96" s="28"/>
      <c r="H96" s="28"/>
      <c r="I96" s="28"/>
      <c r="J96" s="28"/>
      <c r="K96" s="28"/>
      <c r="L96" s="28"/>
    </row>
    <row r="97" spans="1:17" ht="15.75" hidden="1">
      <c r="A97" s="38"/>
      <c r="B97" s="40"/>
      <c r="C97" s="28"/>
      <c r="D97" s="39"/>
      <c r="F97" s="28"/>
      <c r="G97" s="28"/>
      <c r="H97" s="28"/>
      <c r="I97" s="28"/>
      <c r="J97" s="28"/>
      <c r="K97" s="28"/>
    </row>
    <row r="98" spans="1:17" ht="15.75" hidden="1">
      <c r="A98" s="38"/>
      <c r="B98" s="40"/>
      <c r="C98" s="28"/>
      <c r="D98" s="39"/>
      <c r="F98" s="28"/>
      <c r="G98" s="28"/>
      <c r="H98" s="28"/>
      <c r="I98" s="28"/>
      <c r="J98" s="28"/>
      <c r="K98" s="28"/>
      <c r="L98" s="28"/>
    </row>
    <row r="99" spans="1:17" ht="15.75" hidden="1">
      <c r="A99" s="38" t="s">
        <v>23</v>
      </c>
      <c r="B99" s="42" t="s">
        <v>27</v>
      </c>
      <c r="C99" s="43" t="s">
        <v>24</v>
      </c>
      <c r="D99" s="39"/>
      <c r="F99" s="29"/>
      <c r="G99" s="29" t="s">
        <v>16</v>
      </c>
      <c r="H99" s="29"/>
      <c r="I99" s="29" t="s">
        <v>30</v>
      </c>
    </row>
    <row r="100" spans="1:17" ht="15.75" hidden="1">
      <c r="A100" s="38"/>
      <c r="B100" s="44" t="s">
        <v>31</v>
      </c>
      <c r="C100" s="45" t="s">
        <v>20</v>
      </c>
      <c r="D100" s="39"/>
      <c r="F100" s="46"/>
      <c r="G100" s="46" t="s">
        <v>17</v>
      </c>
      <c r="H100" s="46"/>
      <c r="I100" s="46" t="s">
        <v>25</v>
      </c>
    </row>
    <row r="101" spans="1:17" ht="15.75" hidden="1">
      <c r="A101" s="38"/>
      <c r="B101" s="44"/>
      <c r="C101" s="45"/>
      <c r="D101" s="39"/>
      <c r="F101" s="46"/>
      <c r="G101" s="46"/>
      <c r="H101" s="46"/>
      <c r="I101" s="46"/>
    </row>
    <row r="102" spans="1:17" hidden="1">
      <c r="A102" s="92" t="s">
        <v>416</v>
      </c>
    </row>
    <row r="103" spans="1:17" ht="16.5" thickTop="1">
      <c r="A103" s="21" t="s">
        <v>0</v>
      </c>
      <c r="B103" s="22"/>
      <c r="C103" s="23"/>
      <c r="D103" s="23"/>
      <c r="E103" s="23"/>
      <c r="F103" s="24"/>
      <c r="G103" s="24"/>
      <c r="H103" s="24"/>
      <c r="I103" s="24"/>
      <c r="J103" s="24"/>
      <c r="K103" s="24"/>
      <c r="L103" s="25"/>
    </row>
    <row r="104" spans="1:17" ht="15.75">
      <c r="A104" s="26" t="s">
        <v>411</v>
      </c>
      <c r="B104" s="21"/>
      <c r="C104" s="21"/>
      <c r="D104" s="21"/>
      <c r="E104" s="21"/>
      <c r="F104" s="24"/>
      <c r="G104" s="24"/>
      <c r="H104" s="24"/>
      <c r="I104" s="24"/>
      <c r="J104" s="24"/>
      <c r="K104" s="24"/>
      <c r="L104" s="25"/>
    </row>
    <row r="105" spans="1:17">
      <c r="A105" s="62"/>
      <c r="B105" s="62" t="s">
        <v>1</v>
      </c>
      <c r="C105" s="93" t="s">
        <v>2</v>
      </c>
      <c r="D105" s="117" t="s">
        <v>34</v>
      </c>
      <c r="E105" s="95" t="s">
        <v>3</v>
      </c>
      <c r="F105" s="93" t="s">
        <v>4</v>
      </c>
      <c r="G105" s="96" t="s">
        <v>18</v>
      </c>
      <c r="H105" s="96" t="s">
        <v>18</v>
      </c>
      <c r="I105" s="97" t="s">
        <v>7</v>
      </c>
      <c r="J105" s="96" t="s">
        <v>6</v>
      </c>
      <c r="K105" s="96" t="s">
        <v>29</v>
      </c>
      <c r="L105" s="96" t="s">
        <v>21</v>
      </c>
      <c r="M105" s="96" t="s">
        <v>8</v>
      </c>
      <c r="N105" s="96" t="s">
        <v>8</v>
      </c>
      <c r="O105" s="96" t="s">
        <v>9</v>
      </c>
      <c r="P105" s="62" t="s">
        <v>10</v>
      </c>
      <c r="Q105" s="98" t="s">
        <v>33</v>
      </c>
    </row>
    <row r="106" spans="1:17">
      <c r="A106" s="99"/>
      <c r="B106" s="99"/>
      <c r="C106" s="100"/>
      <c r="D106" s="101"/>
      <c r="E106" s="102"/>
      <c r="F106" s="100"/>
      <c r="G106" s="103" t="s">
        <v>12</v>
      </c>
      <c r="H106" s="103"/>
      <c r="I106" s="103" t="s">
        <v>19</v>
      </c>
      <c r="J106" s="103" t="s">
        <v>35</v>
      </c>
      <c r="K106" s="103" t="s">
        <v>22</v>
      </c>
      <c r="L106" s="103" t="s">
        <v>15</v>
      </c>
      <c r="M106" s="103" t="s">
        <v>13</v>
      </c>
      <c r="N106" s="103" t="s">
        <v>14</v>
      </c>
      <c r="O106" s="103" t="s">
        <v>12</v>
      </c>
      <c r="P106" s="99"/>
      <c r="Q106" s="104"/>
    </row>
    <row r="107" spans="1:17">
      <c r="A107" s="99"/>
      <c r="B107" s="99"/>
      <c r="C107" s="105"/>
      <c r="D107" s="101"/>
      <c r="E107" s="102"/>
      <c r="F107" s="100"/>
      <c r="G107" s="103" t="s">
        <v>42</v>
      </c>
      <c r="H107" s="103"/>
      <c r="I107" s="103" t="s">
        <v>5</v>
      </c>
      <c r="J107" s="103"/>
      <c r="K107" s="103"/>
      <c r="L107" s="103"/>
      <c r="M107" s="103"/>
      <c r="N107" s="103"/>
      <c r="O107" s="103"/>
      <c r="P107" s="99"/>
      <c r="Q107" s="104"/>
    </row>
    <row r="108" spans="1:17">
      <c r="A108" s="106"/>
      <c r="B108" s="106"/>
      <c r="C108" s="107"/>
      <c r="D108" s="108"/>
      <c r="E108" s="109"/>
      <c r="F108" s="110"/>
      <c r="G108" s="111"/>
      <c r="H108" s="112"/>
      <c r="I108" s="111"/>
      <c r="J108" s="111"/>
      <c r="K108" s="113"/>
      <c r="L108" s="108"/>
      <c r="M108" s="111"/>
      <c r="N108" s="111"/>
      <c r="O108" s="111"/>
      <c r="P108" s="106"/>
      <c r="Q108" s="114"/>
    </row>
    <row r="109" spans="1:17" ht="15.75">
      <c r="A109" s="52"/>
      <c r="B109" s="47"/>
      <c r="C109" s="48"/>
      <c r="D109" s="73"/>
      <c r="E109" s="17"/>
      <c r="F109" s="48"/>
      <c r="G109" s="36"/>
      <c r="H109" s="36"/>
      <c r="I109" s="36"/>
      <c r="J109" s="36"/>
      <c r="K109" s="8"/>
      <c r="M109" s="8"/>
      <c r="N109" s="8"/>
      <c r="O109" s="8"/>
      <c r="P109" s="35"/>
      <c r="Q109" s="37"/>
    </row>
    <row r="110" spans="1:17" ht="15.75">
      <c r="A110" s="52">
        <v>1</v>
      </c>
      <c r="B110" s="51" t="s">
        <v>412</v>
      </c>
      <c r="C110" s="48" t="s">
        <v>413</v>
      </c>
      <c r="D110" s="67" t="s">
        <v>414</v>
      </c>
      <c r="E110" s="17">
        <v>43227</v>
      </c>
      <c r="F110" s="20" t="s">
        <v>415</v>
      </c>
      <c r="G110" s="36">
        <v>0</v>
      </c>
      <c r="H110" s="36">
        <v>0</v>
      </c>
      <c r="I110" s="8">
        <v>0</v>
      </c>
      <c r="J110" s="8">
        <v>0</v>
      </c>
      <c r="K110" s="8">
        <v>250000</v>
      </c>
      <c r="L110" s="8">
        <v>0</v>
      </c>
      <c r="M110" s="8">
        <f>SUM(G110:L110)</f>
        <v>250000</v>
      </c>
      <c r="N110" s="8">
        <f>25000000-M110</f>
        <v>24750000</v>
      </c>
      <c r="O110" s="8">
        <f t="shared" ref="O110" si="15">+M110+N110</f>
        <v>25000000</v>
      </c>
      <c r="P110" s="35" t="s">
        <v>417</v>
      </c>
      <c r="Q110" s="60" t="s">
        <v>40</v>
      </c>
    </row>
    <row r="111" spans="1:17" ht="15.75">
      <c r="A111" s="52"/>
      <c r="B111" s="51"/>
      <c r="C111" s="48"/>
      <c r="E111" s="17"/>
      <c r="F111" s="48"/>
      <c r="G111" s="36"/>
      <c r="H111" s="36"/>
      <c r="I111" s="36"/>
      <c r="J111" s="36"/>
      <c r="K111" s="36"/>
      <c r="M111" s="8"/>
      <c r="N111" s="8"/>
      <c r="O111" s="8"/>
      <c r="P111" s="59"/>
      <c r="Q111" s="66"/>
    </row>
    <row r="112" spans="1:17" ht="16.5" thickBot="1">
      <c r="A112" s="18"/>
      <c r="B112" s="55"/>
      <c r="C112" s="56"/>
      <c r="D112" s="74"/>
      <c r="E112" s="56"/>
      <c r="F112" s="57"/>
      <c r="G112" s="19">
        <f t="shared" ref="G112" si="16">SUM(G110:G111)</f>
        <v>0</v>
      </c>
      <c r="H112" s="19">
        <f t="shared" ref="H112:O112" si="17">SUM(H110:H111)</f>
        <v>0</v>
      </c>
      <c r="I112" s="19">
        <f t="shared" si="17"/>
        <v>0</v>
      </c>
      <c r="J112" s="19">
        <f t="shared" si="17"/>
        <v>0</v>
      </c>
      <c r="K112" s="19">
        <f t="shared" si="17"/>
        <v>250000</v>
      </c>
      <c r="L112" s="19">
        <f t="shared" si="17"/>
        <v>0</v>
      </c>
      <c r="M112" s="19">
        <f t="shared" si="17"/>
        <v>250000</v>
      </c>
      <c r="N112" s="19">
        <f t="shared" si="17"/>
        <v>24750000</v>
      </c>
      <c r="O112" s="19">
        <f t="shared" si="17"/>
        <v>25000000</v>
      </c>
      <c r="P112" s="68"/>
      <c r="Q112" s="70"/>
    </row>
    <row r="113" spans="1:17" ht="16.5" hidden="1" thickTop="1">
      <c r="A113" s="23"/>
      <c r="B113" s="22"/>
      <c r="C113" s="22"/>
      <c r="D113" s="23"/>
      <c r="E113" s="22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2"/>
      <c r="Q113" s="69"/>
    </row>
    <row r="114" spans="1:17" ht="15.75" hidden="1">
      <c r="A114" s="23"/>
      <c r="B114" s="28" t="s">
        <v>418</v>
      </c>
      <c r="C114" s="22"/>
      <c r="D114" s="39"/>
      <c r="F114" s="27"/>
      <c r="G114" s="28"/>
      <c r="H114" s="28"/>
      <c r="I114" s="28"/>
      <c r="J114" s="28"/>
      <c r="K114" s="28"/>
      <c r="L114" s="28"/>
      <c r="Q114" s="51"/>
    </row>
    <row r="115" spans="1:17" ht="15.75" hidden="1">
      <c r="A115" s="38"/>
      <c r="B115" s="40" t="s">
        <v>32</v>
      </c>
      <c r="C115" s="28" t="s">
        <v>28</v>
      </c>
      <c r="D115" s="39"/>
      <c r="F115" s="41"/>
      <c r="G115" s="127" t="s">
        <v>26</v>
      </c>
      <c r="H115" s="127"/>
      <c r="I115" s="127"/>
      <c r="K115" s="41"/>
    </row>
    <row r="116" spans="1:17" ht="15.75" hidden="1">
      <c r="A116" s="38"/>
      <c r="B116" s="40"/>
      <c r="C116" s="28"/>
      <c r="D116" s="39"/>
      <c r="F116" s="28"/>
      <c r="G116" s="28"/>
      <c r="H116" s="28"/>
      <c r="I116" s="28"/>
      <c r="J116" s="28"/>
      <c r="K116" s="28"/>
      <c r="L116" s="28"/>
    </row>
    <row r="117" spans="1:17" ht="15.75" hidden="1">
      <c r="A117" s="38"/>
      <c r="B117" s="40"/>
      <c r="C117" s="28"/>
      <c r="D117" s="39"/>
      <c r="F117" s="28"/>
      <c r="G117" s="28"/>
      <c r="H117" s="28"/>
      <c r="I117" s="28"/>
      <c r="J117" s="28"/>
      <c r="K117" s="28"/>
      <c r="L117" s="28"/>
    </row>
    <row r="118" spans="1:17" ht="15.75" hidden="1">
      <c r="A118" s="38"/>
      <c r="B118" s="40"/>
      <c r="C118" s="28"/>
      <c r="D118" s="39"/>
      <c r="F118" s="28"/>
      <c r="G118" s="28"/>
      <c r="H118" s="28"/>
      <c r="I118" s="28"/>
      <c r="J118" s="28"/>
      <c r="K118" s="28"/>
    </row>
    <row r="119" spans="1:17" ht="15.75" hidden="1">
      <c r="A119" s="38"/>
      <c r="B119" s="40"/>
      <c r="C119" s="28"/>
      <c r="D119" s="39"/>
      <c r="F119" s="28"/>
      <c r="G119" s="28"/>
      <c r="H119" s="28"/>
      <c r="I119" s="28"/>
      <c r="J119" s="28"/>
      <c r="K119" s="28"/>
      <c r="L119" s="28"/>
    </row>
    <row r="120" spans="1:17" ht="15.75" hidden="1">
      <c r="A120" s="38" t="s">
        <v>23</v>
      </c>
      <c r="B120" s="42" t="s">
        <v>27</v>
      </c>
      <c r="C120" s="43" t="s">
        <v>24</v>
      </c>
      <c r="D120" s="39"/>
      <c r="F120" s="29"/>
      <c r="G120" s="29" t="s">
        <v>16</v>
      </c>
      <c r="H120" s="29"/>
      <c r="I120" s="29" t="s">
        <v>30</v>
      </c>
    </row>
    <row r="121" spans="1:17" ht="15.75" hidden="1">
      <c r="A121" s="38"/>
      <c r="B121" s="44" t="s">
        <v>31</v>
      </c>
      <c r="C121" s="45" t="s">
        <v>20</v>
      </c>
      <c r="D121" s="39"/>
      <c r="F121" s="46"/>
      <c r="G121" s="46" t="s">
        <v>17</v>
      </c>
      <c r="H121" s="46"/>
      <c r="I121" s="46" t="s">
        <v>25</v>
      </c>
    </row>
    <row r="122" spans="1:17" hidden="1"/>
    <row r="123" spans="1:17" ht="16.5" thickTop="1">
      <c r="A123" s="21" t="s">
        <v>0</v>
      </c>
      <c r="B123" s="22"/>
      <c r="C123" s="23"/>
      <c r="D123" s="23"/>
      <c r="E123" s="23"/>
      <c r="F123" s="24"/>
      <c r="G123" s="24"/>
      <c r="H123" s="24"/>
      <c r="I123" s="24"/>
      <c r="J123" s="24"/>
      <c r="K123" s="24"/>
      <c r="L123" s="25"/>
    </row>
    <row r="124" spans="1:17" ht="15.75">
      <c r="A124" s="26" t="s">
        <v>422</v>
      </c>
      <c r="B124" s="21"/>
      <c r="C124" s="21"/>
      <c r="D124" s="21"/>
      <c r="E124" s="21"/>
      <c r="F124" s="24"/>
      <c r="G124" s="24"/>
      <c r="H124" s="24"/>
      <c r="I124" s="24"/>
      <c r="J124" s="24"/>
      <c r="K124" s="24"/>
      <c r="L124" s="25"/>
    </row>
    <row r="125" spans="1:17">
      <c r="A125" s="62"/>
      <c r="B125" s="62" t="s">
        <v>1</v>
      </c>
      <c r="C125" s="93" t="s">
        <v>2</v>
      </c>
      <c r="D125" s="117" t="s">
        <v>34</v>
      </c>
      <c r="E125" s="95" t="s">
        <v>3</v>
      </c>
      <c r="F125" s="93" t="s">
        <v>4</v>
      </c>
      <c r="G125" s="96" t="s">
        <v>18</v>
      </c>
      <c r="H125" s="96" t="s">
        <v>18</v>
      </c>
      <c r="I125" s="97" t="s">
        <v>7</v>
      </c>
      <c r="J125" s="96" t="s">
        <v>6</v>
      </c>
      <c r="K125" s="96" t="s">
        <v>29</v>
      </c>
      <c r="L125" s="96" t="s">
        <v>21</v>
      </c>
      <c r="M125" s="96" t="s">
        <v>8</v>
      </c>
      <c r="N125" s="96" t="s">
        <v>8</v>
      </c>
      <c r="O125" s="96" t="s">
        <v>9</v>
      </c>
      <c r="P125" s="62" t="s">
        <v>10</v>
      </c>
      <c r="Q125" s="98" t="s">
        <v>33</v>
      </c>
    </row>
    <row r="126" spans="1:17">
      <c r="A126" s="99"/>
      <c r="B126" s="99"/>
      <c r="C126" s="100"/>
      <c r="D126" s="101"/>
      <c r="E126" s="102"/>
      <c r="F126" s="100"/>
      <c r="G126" s="103" t="s">
        <v>12</v>
      </c>
      <c r="H126" s="103"/>
      <c r="I126" s="103" t="s">
        <v>19</v>
      </c>
      <c r="J126" s="103" t="s">
        <v>35</v>
      </c>
      <c r="K126" s="103" t="s">
        <v>22</v>
      </c>
      <c r="L126" s="103" t="s">
        <v>15</v>
      </c>
      <c r="M126" s="103" t="s">
        <v>13</v>
      </c>
      <c r="N126" s="103" t="s">
        <v>14</v>
      </c>
      <c r="O126" s="103" t="s">
        <v>12</v>
      </c>
      <c r="P126" s="99"/>
      <c r="Q126" s="104"/>
    </row>
    <row r="127" spans="1:17">
      <c r="A127" s="99"/>
      <c r="B127" s="99"/>
      <c r="C127" s="105"/>
      <c r="D127" s="101"/>
      <c r="E127" s="102"/>
      <c r="F127" s="100"/>
      <c r="G127" s="103" t="s">
        <v>42</v>
      </c>
      <c r="H127" s="103"/>
      <c r="I127" s="103" t="s">
        <v>5</v>
      </c>
      <c r="J127" s="103"/>
      <c r="K127" s="103"/>
      <c r="L127" s="103"/>
      <c r="M127" s="103"/>
      <c r="N127" s="103"/>
      <c r="O127" s="103"/>
      <c r="P127" s="99"/>
      <c r="Q127" s="104"/>
    </row>
    <row r="128" spans="1:17">
      <c r="A128" s="106"/>
      <c r="B128" s="106"/>
      <c r="C128" s="107"/>
      <c r="D128" s="108"/>
      <c r="E128" s="109"/>
      <c r="F128" s="110"/>
      <c r="G128" s="111"/>
      <c r="H128" s="112"/>
      <c r="I128" s="111"/>
      <c r="J128" s="111"/>
      <c r="K128" s="113"/>
      <c r="L128" s="108"/>
      <c r="M128" s="111"/>
      <c r="N128" s="111"/>
      <c r="O128" s="111"/>
      <c r="P128" s="106"/>
      <c r="Q128" s="114"/>
    </row>
    <row r="129" spans="1:17" ht="15.75">
      <c r="A129" s="52"/>
      <c r="B129" s="47"/>
      <c r="C129" s="48"/>
      <c r="D129" s="73"/>
      <c r="E129" s="17"/>
      <c r="F129" s="48"/>
      <c r="G129" s="36"/>
      <c r="H129" s="36"/>
      <c r="I129" s="36"/>
      <c r="J129" s="36"/>
      <c r="K129" s="8"/>
      <c r="M129" s="8"/>
      <c r="N129" s="8"/>
      <c r="O129" s="8"/>
      <c r="P129" s="35"/>
      <c r="Q129" s="37"/>
    </row>
    <row r="130" spans="1:17" ht="15.75">
      <c r="A130" s="52">
        <v>1</v>
      </c>
      <c r="B130" s="51" t="s">
        <v>419</v>
      </c>
      <c r="C130" s="48" t="s">
        <v>420</v>
      </c>
      <c r="D130" s="67" t="s">
        <v>421</v>
      </c>
      <c r="E130" s="17">
        <v>43228</v>
      </c>
      <c r="F130" s="20" t="s">
        <v>423</v>
      </c>
      <c r="G130" s="36">
        <v>22489500</v>
      </c>
      <c r="H130" s="36">
        <v>0</v>
      </c>
      <c r="I130" s="8">
        <v>562238</v>
      </c>
      <c r="J130" s="8">
        <v>211742</v>
      </c>
      <c r="K130" s="8">
        <v>500000</v>
      </c>
      <c r="L130" s="8">
        <v>200000</v>
      </c>
      <c r="M130" s="8">
        <f>SUM(G130:L130)</f>
        <v>23963480</v>
      </c>
      <c r="N130" s="8">
        <f>73963480-M130</f>
        <v>50000000</v>
      </c>
      <c r="O130" s="8">
        <f t="shared" ref="O130" si="18">+M130+N130</f>
        <v>73963480</v>
      </c>
      <c r="P130" s="35" t="s">
        <v>166</v>
      </c>
      <c r="Q130" s="60" t="s">
        <v>52</v>
      </c>
    </row>
    <row r="131" spans="1:17" ht="15.75">
      <c r="A131" s="52"/>
      <c r="B131" s="51"/>
      <c r="C131" s="48"/>
      <c r="E131" s="17"/>
      <c r="F131" s="48"/>
      <c r="G131" s="36"/>
      <c r="H131" s="36"/>
      <c r="I131" s="36"/>
      <c r="J131" s="36"/>
      <c r="K131" s="36"/>
      <c r="M131" s="8"/>
      <c r="N131" s="8"/>
      <c r="O131" s="8"/>
      <c r="P131" s="59"/>
      <c r="Q131" s="66"/>
    </row>
    <row r="132" spans="1:17" ht="16.5" thickBot="1">
      <c r="A132" s="18"/>
      <c r="B132" s="55"/>
      <c r="C132" s="56"/>
      <c r="D132" s="74"/>
      <c r="E132" s="56"/>
      <c r="F132" s="57"/>
      <c r="G132" s="19">
        <f t="shared" ref="G132" si="19">SUM(G130:G131)</f>
        <v>22489500</v>
      </c>
      <c r="H132" s="19">
        <f t="shared" ref="H132:O132" si="20">SUM(H130:H131)</f>
        <v>0</v>
      </c>
      <c r="I132" s="19">
        <f t="shared" si="20"/>
        <v>562238</v>
      </c>
      <c r="J132" s="19">
        <f t="shared" si="20"/>
        <v>211742</v>
      </c>
      <c r="K132" s="19">
        <f t="shared" si="20"/>
        <v>500000</v>
      </c>
      <c r="L132" s="19">
        <f t="shared" si="20"/>
        <v>200000</v>
      </c>
      <c r="M132" s="19">
        <f t="shared" si="20"/>
        <v>23963480</v>
      </c>
      <c r="N132" s="19">
        <f t="shared" si="20"/>
        <v>50000000</v>
      </c>
      <c r="O132" s="19">
        <f t="shared" si="20"/>
        <v>73963480</v>
      </c>
      <c r="P132" s="68"/>
      <c r="Q132" s="70"/>
    </row>
    <row r="133" spans="1:17" ht="16.5" hidden="1" thickTop="1">
      <c r="A133" s="23"/>
      <c r="B133" s="22"/>
      <c r="C133" s="22"/>
      <c r="D133" s="23"/>
      <c r="E133" s="22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2"/>
      <c r="Q133" s="69"/>
    </row>
    <row r="134" spans="1:17" ht="15.75" hidden="1">
      <c r="A134" s="23"/>
      <c r="B134" s="28" t="s">
        <v>424</v>
      </c>
      <c r="C134" s="22"/>
      <c r="D134" s="39"/>
      <c r="F134" s="27"/>
      <c r="G134" s="28"/>
      <c r="H134" s="28"/>
      <c r="I134" s="28"/>
      <c r="J134" s="28"/>
      <c r="K134" s="28"/>
      <c r="L134" s="28"/>
      <c r="Q134" s="51"/>
    </row>
    <row r="135" spans="1:17" ht="15.75" hidden="1">
      <c r="A135" s="38"/>
      <c r="B135" s="40" t="s">
        <v>32</v>
      </c>
      <c r="C135" s="28" t="s">
        <v>28</v>
      </c>
      <c r="D135" s="39"/>
      <c r="F135" s="41"/>
      <c r="G135" s="127" t="s">
        <v>26</v>
      </c>
      <c r="H135" s="127"/>
      <c r="I135" s="127"/>
      <c r="K135" s="41"/>
    </row>
    <row r="136" spans="1:17" ht="15.75" hidden="1">
      <c r="A136" s="38"/>
      <c r="B136" s="40"/>
      <c r="C136" s="28"/>
      <c r="D136" s="39"/>
      <c r="F136" s="28"/>
      <c r="G136" s="28"/>
      <c r="H136" s="28"/>
      <c r="I136" s="28"/>
      <c r="J136" s="28"/>
      <c r="K136" s="28"/>
      <c r="L136" s="28"/>
    </row>
    <row r="137" spans="1:17" ht="15.75" hidden="1">
      <c r="A137" s="38"/>
      <c r="B137" s="40"/>
      <c r="C137" s="28"/>
      <c r="D137" s="39"/>
      <c r="F137" s="28"/>
      <c r="G137" s="28"/>
      <c r="H137" s="28"/>
      <c r="I137" s="28"/>
      <c r="J137" s="28"/>
      <c r="K137" s="28"/>
      <c r="L137" s="28"/>
    </row>
    <row r="138" spans="1:17" ht="15.75" hidden="1">
      <c r="A138" s="38"/>
      <c r="B138" s="40"/>
      <c r="C138" s="28"/>
      <c r="D138" s="39"/>
      <c r="F138" s="28"/>
      <c r="G138" s="28"/>
      <c r="H138" s="28"/>
      <c r="I138" s="28"/>
      <c r="J138" s="28"/>
      <c r="K138" s="28"/>
    </row>
    <row r="139" spans="1:17" ht="15.75" hidden="1">
      <c r="A139" s="38"/>
      <c r="B139" s="40"/>
      <c r="C139" s="28"/>
      <c r="D139" s="39"/>
      <c r="F139" s="28"/>
      <c r="G139" s="28"/>
      <c r="H139" s="28"/>
      <c r="I139" s="28"/>
      <c r="J139" s="28"/>
      <c r="K139" s="28"/>
      <c r="L139" s="28"/>
    </row>
    <row r="140" spans="1:17" ht="15.75" hidden="1">
      <c r="A140" s="38" t="s">
        <v>23</v>
      </c>
      <c r="B140" s="42" t="s">
        <v>27</v>
      </c>
      <c r="C140" s="43" t="s">
        <v>24</v>
      </c>
      <c r="D140" s="39"/>
      <c r="F140" s="29"/>
      <c r="G140" s="29" t="s">
        <v>16</v>
      </c>
      <c r="H140" s="29"/>
      <c r="I140" s="29" t="s">
        <v>30</v>
      </c>
    </row>
    <row r="141" spans="1:17" ht="15.75" hidden="1">
      <c r="A141" s="38"/>
      <c r="B141" s="44" t="s">
        <v>31</v>
      </c>
      <c r="C141" s="45" t="s">
        <v>20</v>
      </c>
      <c r="D141" s="39"/>
      <c r="F141" s="46"/>
      <c r="G141" s="46" t="s">
        <v>17</v>
      </c>
      <c r="H141" s="46"/>
      <c r="I141" s="46" t="s">
        <v>25</v>
      </c>
    </row>
    <row r="142" spans="1:17" hidden="1">
      <c r="A142" s="115" t="s">
        <v>416</v>
      </c>
    </row>
    <row r="143" spans="1:17" ht="16.5" thickTop="1">
      <c r="A143" s="21" t="s">
        <v>0</v>
      </c>
      <c r="B143" s="22"/>
      <c r="C143" s="23"/>
      <c r="D143" s="23"/>
      <c r="E143" s="23"/>
      <c r="F143" s="24"/>
      <c r="G143" s="24"/>
      <c r="H143" s="24"/>
      <c r="I143" s="24"/>
      <c r="J143" s="24"/>
      <c r="K143" s="24"/>
      <c r="L143" s="25"/>
    </row>
    <row r="144" spans="1:17" ht="15.75">
      <c r="A144" s="26" t="s">
        <v>422</v>
      </c>
      <c r="B144" s="21"/>
      <c r="C144" s="21"/>
      <c r="D144" s="21"/>
      <c r="E144" s="21"/>
      <c r="F144" s="24"/>
      <c r="G144" s="24"/>
      <c r="H144" s="24"/>
      <c r="I144" s="24"/>
      <c r="J144" s="24"/>
      <c r="K144" s="24"/>
      <c r="L144" s="25"/>
    </row>
    <row r="145" spans="1:17">
      <c r="A145" s="62"/>
      <c r="B145" s="62" t="s">
        <v>1</v>
      </c>
      <c r="C145" s="93" t="s">
        <v>2</v>
      </c>
      <c r="D145" s="117" t="s">
        <v>34</v>
      </c>
      <c r="E145" s="95" t="s">
        <v>3</v>
      </c>
      <c r="F145" s="93" t="s">
        <v>4</v>
      </c>
      <c r="G145" s="96" t="s">
        <v>18</v>
      </c>
      <c r="H145" s="96" t="s">
        <v>18</v>
      </c>
      <c r="I145" s="97" t="s">
        <v>7</v>
      </c>
      <c r="J145" s="96" t="s">
        <v>6</v>
      </c>
      <c r="K145" s="96" t="s">
        <v>29</v>
      </c>
      <c r="L145" s="96" t="s">
        <v>21</v>
      </c>
      <c r="M145" s="96" t="s">
        <v>8</v>
      </c>
      <c r="N145" s="96" t="s">
        <v>8</v>
      </c>
      <c r="O145" s="96" t="s">
        <v>9</v>
      </c>
      <c r="P145" s="62" t="s">
        <v>10</v>
      </c>
      <c r="Q145" s="98" t="s">
        <v>33</v>
      </c>
    </row>
    <row r="146" spans="1:17">
      <c r="A146" s="99"/>
      <c r="B146" s="99"/>
      <c r="C146" s="100"/>
      <c r="D146" s="101"/>
      <c r="E146" s="102"/>
      <c r="F146" s="100"/>
      <c r="G146" s="103" t="s">
        <v>12</v>
      </c>
      <c r="H146" s="103"/>
      <c r="I146" s="103" t="s">
        <v>19</v>
      </c>
      <c r="J146" s="103" t="s">
        <v>35</v>
      </c>
      <c r="K146" s="103" t="s">
        <v>22</v>
      </c>
      <c r="L146" s="103" t="s">
        <v>15</v>
      </c>
      <c r="M146" s="103" t="s">
        <v>13</v>
      </c>
      <c r="N146" s="103" t="s">
        <v>14</v>
      </c>
      <c r="O146" s="103" t="s">
        <v>12</v>
      </c>
      <c r="P146" s="99"/>
      <c r="Q146" s="104"/>
    </row>
    <row r="147" spans="1:17">
      <c r="A147" s="99"/>
      <c r="B147" s="99"/>
      <c r="C147" s="105"/>
      <c r="D147" s="101"/>
      <c r="E147" s="102"/>
      <c r="F147" s="100"/>
      <c r="G147" s="103" t="s">
        <v>42</v>
      </c>
      <c r="H147" s="103"/>
      <c r="I147" s="103" t="s">
        <v>5</v>
      </c>
      <c r="J147" s="103"/>
      <c r="K147" s="103"/>
      <c r="L147" s="103"/>
      <c r="M147" s="103"/>
      <c r="N147" s="103"/>
      <c r="O147" s="103"/>
      <c r="P147" s="99"/>
      <c r="Q147" s="104"/>
    </row>
    <row r="148" spans="1:17">
      <c r="A148" s="106"/>
      <c r="B148" s="106"/>
      <c r="C148" s="107"/>
      <c r="D148" s="108"/>
      <c r="E148" s="109"/>
      <c r="F148" s="110"/>
      <c r="G148" s="111"/>
      <c r="H148" s="112"/>
      <c r="I148" s="111"/>
      <c r="J148" s="111"/>
      <c r="K148" s="113"/>
      <c r="L148" s="108"/>
      <c r="M148" s="111"/>
      <c r="N148" s="111"/>
      <c r="O148" s="111"/>
      <c r="P148" s="106"/>
      <c r="Q148" s="114"/>
    </row>
    <row r="149" spans="1:17" ht="15.75">
      <c r="A149" s="52"/>
      <c r="B149" s="47"/>
      <c r="C149" s="48"/>
      <c r="D149" s="73"/>
      <c r="E149" s="17"/>
      <c r="F149" s="48"/>
      <c r="G149" s="36"/>
      <c r="H149" s="36"/>
      <c r="I149" s="36"/>
      <c r="J149" s="36"/>
      <c r="K149" s="8"/>
      <c r="M149" s="8"/>
      <c r="N149" s="8"/>
      <c r="O149" s="8"/>
      <c r="P149" s="35"/>
      <c r="Q149" s="37"/>
    </row>
    <row r="150" spans="1:17" ht="15.75">
      <c r="A150" s="52">
        <v>1</v>
      </c>
      <c r="B150" s="51" t="s">
        <v>425</v>
      </c>
      <c r="C150" s="48" t="s">
        <v>426</v>
      </c>
      <c r="D150" s="67" t="s">
        <v>427</v>
      </c>
      <c r="E150" s="17">
        <v>43228</v>
      </c>
      <c r="F150" s="20" t="s">
        <v>428</v>
      </c>
      <c r="G150" s="36">
        <v>0</v>
      </c>
      <c r="H150" s="36">
        <v>0</v>
      </c>
      <c r="I150" s="8">
        <v>0</v>
      </c>
      <c r="J150" s="8">
        <v>0</v>
      </c>
      <c r="K150" s="8">
        <v>100000</v>
      </c>
      <c r="L150" s="8">
        <v>0</v>
      </c>
      <c r="M150" s="8">
        <f>SUM(G150:L150)</f>
        <v>100000</v>
      </c>
      <c r="N150" s="8">
        <f>10000000-M150</f>
        <v>9900000</v>
      </c>
      <c r="O150" s="8">
        <f t="shared" ref="O150" si="21">+M150+N150</f>
        <v>10000000</v>
      </c>
      <c r="P150" s="59" t="s">
        <v>429</v>
      </c>
      <c r="Q150" s="60" t="s">
        <v>40</v>
      </c>
    </row>
    <row r="151" spans="1:17" ht="15.75">
      <c r="A151" s="52"/>
      <c r="B151" s="51"/>
      <c r="C151" s="48"/>
      <c r="E151" s="17"/>
      <c r="F151" s="48"/>
      <c r="G151" s="36"/>
      <c r="H151" s="36"/>
      <c r="I151" s="36"/>
      <c r="J151" s="36"/>
      <c r="K151" s="36"/>
      <c r="M151" s="8"/>
      <c r="N151" s="8"/>
      <c r="O151" s="8"/>
      <c r="P151" s="59"/>
      <c r="Q151" s="66"/>
    </row>
    <row r="152" spans="1:17" ht="16.5" thickBot="1">
      <c r="A152" s="18"/>
      <c r="B152" s="55"/>
      <c r="C152" s="56"/>
      <c r="D152" s="74"/>
      <c r="E152" s="56"/>
      <c r="F152" s="57"/>
      <c r="G152" s="19">
        <f t="shared" ref="G152" si="22">SUM(G150:G151)</f>
        <v>0</v>
      </c>
      <c r="H152" s="19">
        <f t="shared" ref="H152:O152" si="23">SUM(H150:H151)</f>
        <v>0</v>
      </c>
      <c r="I152" s="19">
        <f t="shared" si="23"/>
        <v>0</v>
      </c>
      <c r="J152" s="19">
        <f t="shared" si="23"/>
        <v>0</v>
      </c>
      <c r="K152" s="19">
        <f t="shared" si="23"/>
        <v>100000</v>
      </c>
      <c r="L152" s="19">
        <f t="shared" si="23"/>
        <v>0</v>
      </c>
      <c r="M152" s="19">
        <f t="shared" si="23"/>
        <v>100000</v>
      </c>
      <c r="N152" s="19">
        <f t="shared" si="23"/>
        <v>9900000</v>
      </c>
      <c r="O152" s="19">
        <f t="shared" si="23"/>
        <v>10000000</v>
      </c>
      <c r="P152" s="68"/>
      <c r="Q152" s="70"/>
    </row>
    <row r="153" spans="1:17" ht="16.5" hidden="1" thickTop="1">
      <c r="A153" s="23"/>
      <c r="B153" s="22"/>
      <c r="C153" s="22"/>
      <c r="D153" s="23"/>
      <c r="E153" s="22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2"/>
      <c r="Q153" s="69"/>
    </row>
    <row r="154" spans="1:17" ht="15.75" hidden="1">
      <c r="A154" s="23"/>
      <c r="B154" s="28" t="s">
        <v>424</v>
      </c>
      <c r="C154" s="22"/>
      <c r="D154" s="39"/>
      <c r="F154" s="27"/>
      <c r="G154" s="28"/>
      <c r="H154" s="28"/>
      <c r="I154" s="28"/>
      <c r="J154" s="28"/>
      <c r="K154" s="28"/>
      <c r="L154" s="28"/>
      <c r="Q154" s="51"/>
    </row>
    <row r="155" spans="1:17" ht="15.75" hidden="1">
      <c r="A155" s="38"/>
      <c r="B155" s="40" t="s">
        <v>32</v>
      </c>
      <c r="C155" s="28" t="s">
        <v>28</v>
      </c>
      <c r="D155" s="39"/>
      <c r="F155" s="41"/>
      <c r="G155" s="127" t="s">
        <v>26</v>
      </c>
      <c r="H155" s="127"/>
      <c r="I155" s="127"/>
      <c r="K155" s="41"/>
    </row>
    <row r="156" spans="1:17" ht="15.75" hidden="1">
      <c r="A156" s="38"/>
      <c r="B156" s="40"/>
      <c r="C156" s="28"/>
      <c r="D156" s="39"/>
      <c r="F156" s="28"/>
      <c r="G156" s="28"/>
      <c r="H156" s="28"/>
      <c r="I156" s="28"/>
      <c r="J156" s="28"/>
      <c r="K156" s="28"/>
      <c r="L156" s="28"/>
    </row>
    <row r="157" spans="1:17" ht="15.75" hidden="1">
      <c r="A157" s="38"/>
      <c r="B157" s="40"/>
      <c r="C157" s="28"/>
      <c r="D157" s="39"/>
      <c r="F157" s="28"/>
      <c r="G157" s="28"/>
      <c r="H157" s="28"/>
      <c r="I157" s="28"/>
      <c r="J157" s="28"/>
      <c r="K157" s="28"/>
      <c r="L157" s="28"/>
    </row>
    <row r="158" spans="1:17" ht="15.75" hidden="1">
      <c r="A158" s="38"/>
      <c r="B158" s="40"/>
      <c r="C158" s="28"/>
      <c r="D158" s="39"/>
      <c r="F158" s="28"/>
      <c r="G158" s="28"/>
      <c r="H158" s="28"/>
      <c r="I158" s="28"/>
      <c r="J158" s="28"/>
      <c r="K158" s="28"/>
    </row>
    <row r="159" spans="1:17" ht="15.75" hidden="1">
      <c r="A159" s="38"/>
      <c r="B159" s="40"/>
      <c r="C159" s="28"/>
      <c r="D159" s="39"/>
      <c r="F159" s="28"/>
      <c r="G159" s="28"/>
      <c r="H159" s="28"/>
      <c r="I159" s="28"/>
      <c r="J159" s="28"/>
      <c r="K159" s="28"/>
      <c r="L159" s="28"/>
    </row>
    <row r="160" spans="1:17" ht="15.75" hidden="1">
      <c r="A160" s="38" t="s">
        <v>23</v>
      </c>
      <c r="B160" s="42" t="s">
        <v>27</v>
      </c>
      <c r="C160" s="43" t="s">
        <v>24</v>
      </c>
      <c r="D160" s="39"/>
      <c r="F160" s="29"/>
      <c r="G160" s="29" t="s">
        <v>16</v>
      </c>
      <c r="H160" s="29"/>
      <c r="I160" s="29" t="s">
        <v>30</v>
      </c>
    </row>
    <row r="161" spans="1:17" ht="15.75" hidden="1">
      <c r="A161" s="38"/>
      <c r="B161" s="44" t="s">
        <v>31</v>
      </c>
      <c r="C161" s="45" t="s">
        <v>20</v>
      </c>
      <c r="D161" s="39"/>
      <c r="F161" s="46"/>
      <c r="G161" s="46" t="s">
        <v>17</v>
      </c>
      <c r="H161" s="46"/>
      <c r="I161" s="46" t="s">
        <v>25</v>
      </c>
    </row>
    <row r="162" spans="1:17" hidden="1"/>
    <row r="163" spans="1:17" ht="16.5" thickTop="1">
      <c r="A163" s="21" t="s">
        <v>0</v>
      </c>
      <c r="B163" s="22"/>
      <c r="C163" s="23"/>
      <c r="D163" s="23"/>
      <c r="E163" s="23"/>
      <c r="F163" s="24"/>
      <c r="G163" s="24"/>
      <c r="H163" s="24"/>
      <c r="I163" s="24"/>
      <c r="J163" s="24"/>
      <c r="K163" s="24"/>
      <c r="L163" s="25"/>
    </row>
    <row r="164" spans="1:17" ht="15.75">
      <c r="A164" s="26" t="s">
        <v>430</v>
      </c>
      <c r="B164" s="21"/>
      <c r="C164" s="21"/>
      <c r="D164" s="21"/>
      <c r="E164" s="21"/>
      <c r="F164" s="24"/>
      <c r="G164" s="24"/>
      <c r="H164" s="24"/>
      <c r="I164" s="24"/>
      <c r="J164" s="24"/>
      <c r="K164" s="24"/>
      <c r="L164" s="25"/>
    </row>
    <row r="165" spans="1:17">
      <c r="A165" s="62"/>
      <c r="B165" s="62" t="s">
        <v>1</v>
      </c>
      <c r="C165" s="93" t="s">
        <v>2</v>
      </c>
      <c r="D165" s="117" t="s">
        <v>34</v>
      </c>
      <c r="E165" s="95" t="s">
        <v>3</v>
      </c>
      <c r="F165" s="93" t="s">
        <v>4</v>
      </c>
      <c r="G165" s="96" t="s">
        <v>18</v>
      </c>
      <c r="H165" s="96" t="s">
        <v>18</v>
      </c>
      <c r="I165" s="97" t="s">
        <v>7</v>
      </c>
      <c r="J165" s="96" t="s">
        <v>6</v>
      </c>
      <c r="K165" s="96" t="s">
        <v>29</v>
      </c>
      <c r="L165" s="96" t="s">
        <v>21</v>
      </c>
      <c r="M165" s="96" t="s">
        <v>8</v>
      </c>
      <c r="N165" s="96" t="s">
        <v>8</v>
      </c>
      <c r="O165" s="96" t="s">
        <v>9</v>
      </c>
      <c r="P165" s="62" t="s">
        <v>10</v>
      </c>
      <c r="Q165" s="98" t="s">
        <v>33</v>
      </c>
    </row>
    <row r="166" spans="1:17">
      <c r="A166" s="99"/>
      <c r="B166" s="99"/>
      <c r="C166" s="100"/>
      <c r="D166" s="101"/>
      <c r="E166" s="102"/>
      <c r="F166" s="100"/>
      <c r="G166" s="103" t="s">
        <v>12</v>
      </c>
      <c r="H166" s="103"/>
      <c r="I166" s="103" t="s">
        <v>19</v>
      </c>
      <c r="J166" s="103" t="s">
        <v>35</v>
      </c>
      <c r="K166" s="103" t="s">
        <v>22</v>
      </c>
      <c r="L166" s="103" t="s">
        <v>15</v>
      </c>
      <c r="M166" s="103" t="s">
        <v>13</v>
      </c>
      <c r="N166" s="103" t="s">
        <v>14</v>
      </c>
      <c r="O166" s="103" t="s">
        <v>12</v>
      </c>
      <c r="P166" s="99"/>
      <c r="Q166" s="104"/>
    </row>
    <row r="167" spans="1:17">
      <c r="A167" s="99"/>
      <c r="B167" s="99"/>
      <c r="C167" s="105"/>
      <c r="D167" s="101"/>
      <c r="E167" s="102"/>
      <c r="F167" s="100"/>
      <c r="G167" s="103" t="s">
        <v>409</v>
      </c>
      <c r="H167" s="103"/>
      <c r="I167" s="103" t="s">
        <v>5</v>
      </c>
      <c r="J167" s="103"/>
      <c r="K167" s="103"/>
      <c r="L167" s="103"/>
      <c r="M167" s="103"/>
      <c r="N167" s="103"/>
      <c r="O167" s="103"/>
      <c r="P167" s="99"/>
      <c r="Q167" s="104"/>
    </row>
    <row r="168" spans="1:17">
      <c r="A168" s="106"/>
      <c r="B168" s="106"/>
      <c r="C168" s="107"/>
      <c r="D168" s="108"/>
      <c r="E168" s="109"/>
      <c r="F168" s="110"/>
      <c r="G168" s="111"/>
      <c r="H168" s="112"/>
      <c r="I168" s="111"/>
      <c r="J168" s="111"/>
      <c r="K168" s="113"/>
      <c r="L168" s="108"/>
      <c r="M168" s="111"/>
      <c r="N168" s="111"/>
      <c r="O168" s="111"/>
      <c r="P168" s="106"/>
      <c r="Q168" s="114"/>
    </row>
    <row r="169" spans="1:17" ht="15.75">
      <c r="A169" s="52"/>
      <c r="B169" s="47"/>
      <c r="C169" s="48"/>
      <c r="D169" s="73"/>
      <c r="E169" s="17"/>
      <c r="F169" s="48"/>
      <c r="G169" s="36"/>
      <c r="H169" s="36"/>
      <c r="I169" s="36"/>
      <c r="J169" s="36"/>
      <c r="K169" s="8"/>
      <c r="M169" s="8"/>
      <c r="N169" s="8"/>
      <c r="O169" s="8"/>
      <c r="P169" s="35"/>
      <c r="Q169" s="37"/>
    </row>
    <row r="170" spans="1:17" ht="15.75">
      <c r="A170" s="52">
        <v>1</v>
      </c>
      <c r="B170" s="51" t="s">
        <v>69</v>
      </c>
      <c r="C170" s="48" t="s">
        <v>70</v>
      </c>
      <c r="D170" s="67" t="s">
        <v>431</v>
      </c>
      <c r="E170" s="17">
        <v>43231</v>
      </c>
      <c r="F170" s="20" t="s">
        <v>72</v>
      </c>
      <c r="G170" s="36">
        <v>25480000</v>
      </c>
      <c r="H170" s="36">
        <v>0</v>
      </c>
      <c r="I170" s="8">
        <v>637000</v>
      </c>
      <c r="J170" s="8">
        <v>299968</v>
      </c>
      <c r="K170" s="8">
        <v>154800</v>
      </c>
      <c r="L170" s="8">
        <v>200000</v>
      </c>
      <c r="M170" s="8">
        <f>SUM(G170:L170)</f>
        <v>26771768</v>
      </c>
      <c r="N170" s="8">
        <f>46771768-M170</f>
        <v>20000000</v>
      </c>
      <c r="O170" s="8">
        <f t="shared" ref="O170" si="24">+M170+N170</f>
        <v>46771768</v>
      </c>
      <c r="P170" s="59" t="s">
        <v>73</v>
      </c>
      <c r="Q170" s="60" t="s">
        <v>52</v>
      </c>
    </row>
    <row r="171" spans="1:17" ht="15.75">
      <c r="A171" s="52"/>
      <c r="B171" s="51"/>
      <c r="C171" s="48"/>
      <c r="E171" s="17"/>
      <c r="F171" s="48"/>
      <c r="G171" s="36"/>
      <c r="H171" s="36"/>
      <c r="I171" s="36"/>
      <c r="J171" s="36"/>
      <c r="K171" s="36"/>
      <c r="M171" s="8"/>
      <c r="N171" s="8"/>
      <c r="O171" s="8"/>
      <c r="P171" s="59"/>
      <c r="Q171" s="66"/>
    </row>
    <row r="172" spans="1:17" ht="16.5" thickBot="1">
      <c r="A172" s="18"/>
      <c r="B172" s="55"/>
      <c r="C172" s="56"/>
      <c r="D172" s="74"/>
      <c r="E172" s="56"/>
      <c r="F172" s="57"/>
      <c r="G172" s="19">
        <f t="shared" ref="G172" si="25">SUM(G170:G171)</f>
        <v>25480000</v>
      </c>
      <c r="H172" s="19">
        <f t="shared" ref="H172:O172" si="26">SUM(H170:H171)</f>
        <v>0</v>
      </c>
      <c r="I172" s="19">
        <f t="shared" si="26"/>
        <v>637000</v>
      </c>
      <c r="J172" s="19">
        <f t="shared" si="26"/>
        <v>299968</v>
      </c>
      <c r="K172" s="19">
        <f t="shared" si="26"/>
        <v>154800</v>
      </c>
      <c r="L172" s="19">
        <f t="shared" si="26"/>
        <v>200000</v>
      </c>
      <c r="M172" s="19">
        <f t="shared" si="26"/>
        <v>26771768</v>
      </c>
      <c r="N172" s="19">
        <f t="shared" si="26"/>
        <v>20000000</v>
      </c>
      <c r="O172" s="19">
        <f t="shared" si="26"/>
        <v>46771768</v>
      </c>
      <c r="P172" s="68"/>
      <c r="Q172" s="70"/>
    </row>
    <row r="173" spans="1:17" ht="16.5" hidden="1" thickTop="1">
      <c r="A173" s="23"/>
      <c r="B173" s="22"/>
      <c r="C173" s="22"/>
      <c r="D173" s="23"/>
      <c r="E173" s="22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2"/>
      <c r="Q173" s="69"/>
    </row>
    <row r="174" spans="1:17" ht="15.75" hidden="1">
      <c r="A174" s="23"/>
      <c r="B174" s="28" t="s">
        <v>432</v>
      </c>
      <c r="C174" s="22"/>
      <c r="D174" s="39"/>
      <c r="F174" s="27"/>
      <c r="G174" s="28"/>
      <c r="H174" s="28"/>
      <c r="I174" s="28"/>
      <c r="J174" s="28"/>
      <c r="K174" s="28"/>
      <c r="L174" s="28"/>
      <c r="Q174" s="51"/>
    </row>
    <row r="175" spans="1:17" ht="15.75" hidden="1">
      <c r="A175" s="38"/>
      <c r="B175" s="40" t="s">
        <v>32</v>
      </c>
      <c r="C175" s="28" t="s">
        <v>28</v>
      </c>
      <c r="D175" s="39"/>
      <c r="F175" s="41"/>
      <c r="G175" s="127" t="s">
        <v>26</v>
      </c>
      <c r="H175" s="127"/>
      <c r="I175" s="127"/>
      <c r="K175" s="41"/>
    </row>
    <row r="176" spans="1:17" ht="15.75" hidden="1">
      <c r="A176" s="38"/>
      <c r="B176" s="40"/>
      <c r="C176" s="28"/>
      <c r="D176" s="39"/>
      <c r="F176" s="28"/>
      <c r="G176" s="28"/>
      <c r="H176" s="28"/>
      <c r="I176" s="28"/>
      <c r="J176" s="28"/>
      <c r="K176" s="28"/>
      <c r="L176" s="28"/>
    </row>
    <row r="177" spans="1:17" ht="15.75" hidden="1">
      <c r="A177" s="38"/>
      <c r="B177" s="40"/>
      <c r="C177" s="28"/>
      <c r="D177" s="39"/>
      <c r="F177" s="28"/>
      <c r="G177" s="28"/>
      <c r="H177" s="28"/>
      <c r="I177" s="28"/>
      <c r="J177" s="28"/>
      <c r="K177" s="28"/>
      <c r="L177" s="28"/>
    </row>
    <row r="178" spans="1:17" ht="15.75" hidden="1">
      <c r="A178" s="38"/>
      <c r="B178" s="40"/>
      <c r="C178" s="28"/>
      <c r="D178" s="39"/>
      <c r="F178" s="28"/>
      <c r="G178" s="28"/>
      <c r="H178" s="28"/>
      <c r="I178" s="28"/>
      <c r="J178" s="28"/>
      <c r="K178" s="28"/>
    </row>
    <row r="179" spans="1:17" ht="15.75" hidden="1">
      <c r="A179" s="38"/>
      <c r="B179" s="40"/>
      <c r="C179" s="28"/>
      <c r="D179" s="39"/>
      <c r="F179" s="28"/>
      <c r="G179" s="28"/>
      <c r="H179" s="28"/>
      <c r="I179" s="28"/>
      <c r="J179" s="28"/>
      <c r="K179" s="28"/>
      <c r="L179" s="28"/>
    </row>
    <row r="180" spans="1:17" ht="15.75" hidden="1">
      <c r="A180" s="38" t="s">
        <v>23</v>
      </c>
      <c r="B180" s="42" t="s">
        <v>27</v>
      </c>
      <c r="C180" s="43" t="s">
        <v>24</v>
      </c>
      <c r="D180" s="39"/>
      <c r="F180" s="29"/>
      <c r="G180" s="29" t="s">
        <v>16</v>
      </c>
      <c r="H180" s="29"/>
      <c r="I180" s="29" t="s">
        <v>30</v>
      </c>
    </row>
    <row r="181" spans="1:17" ht="15.75" hidden="1">
      <c r="A181" s="38"/>
      <c r="B181" s="44" t="s">
        <v>31</v>
      </c>
      <c r="C181" s="45" t="s">
        <v>20</v>
      </c>
      <c r="D181" s="39"/>
      <c r="F181" s="46"/>
      <c r="G181" s="46" t="s">
        <v>17</v>
      </c>
      <c r="H181" s="46"/>
      <c r="I181" s="46" t="s">
        <v>25</v>
      </c>
    </row>
    <row r="182" spans="1:17" hidden="1"/>
    <row r="183" spans="1:17" ht="16.5" thickTop="1">
      <c r="A183" s="21" t="s">
        <v>0</v>
      </c>
      <c r="B183" s="22"/>
      <c r="C183" s="23"/>
      <c r="D183" s="23"/>
      <c r="E183" s="23"/>
      <c r="F183" s="24"/>
      <c r="G183" s="24"/>
      <c r="H183" s="24"/>
      <c r="I183" s="24"/>
      <c r="J183" s="24"/>
      <c r="K183" s="24"/>
      <c r="L183" s="25"/>
    </row>
    <row r="184" spans="1:17" ht="15.75">
      <c r="A184" s="26" t="s">
        <v>430</v>
      </c>
      <c r="B184" s="21"/>
      <c r="C184" s="21"/>
      <c r="D184" s="21"/>
      <c r="E184" s="21"/>
      <c r="F184" s="24"/>
      <c r="G184" s="24"/>
      <c r="H184" s="24"/>
      <c r="I184" s="24"/>
      <c r="J184" s="24"/>
      <c r="K184" s="24"/>
      <c r="L184" s="25"/>
    </row>
    <row r="185" spans="1:17">
      <c r="A185" s="62"/>
      <c r="B185" s="62" t="s">
        <v>1</v>
      </c>
      <c r="C185" s="93" t="s">
        <v>2</v>
      </c>
      <c r="D185" s="117" t="s">
        <v>34</v>
      </c>
      <c r="E185" s="95" t="s">
        <v>3</v>
      </c>
      <c r="F185" s="93" t="s">
        <v>4</v>
      </c>
      <c r="G185" s="96" t="s">
        <v>18</v>
      </c>
      <c r="H185" s="96" t="s">
        <v>18</v>
      </c>
      <c r="I185" s="97" t="s">
        <v>7</v>
      </c>
      <c r="J185" s="96" t="s">
        <v>6</v>
      </c>
      <c r="K185" s="96" t="s">
        <v>29</v>
      </c>
      <c r="L185" s="96" t="s">
        <v>21</v>
      </c>
      <c r="M185" s="96" t="s">
        <v>8</v>
      </c>
      <c r="N185" s="96" t="s">
        <v>8</v>
      </c>
      <c r="O185" s="96" t="s">
        <v>9</v>
      </c>
      <c r="P185" s="62" t="s">
        <v>10</v>
      </c>
      <c r="Q185" s="98" t="s">
        <v>33</v>
      </c>
    </row>
    <row r="186" spans="1:17">
      <c r="A186" s="99"/>
      <c r="B186" s="99"/>
      <c r="C186" s="100"/>
      <c r="D186" s="101"/>
      <c r="E186" s="102"/>
      <c r="F186" s="100"/>
      <c r="G186" s="103" t="s">
        <v>12</v>
      </c>
      <c r="H186" s="103"/>
      <c r="I186" s="103" t="s">
        <v>19</v>
      </c>
      <c r="J186" s="103" t="s">
        <v>35</v>
      </c>
      <c r="K186" s="103" t="s">
        <v>22</v>
      </c>
      <c r="L186" s="103" t="s">
        <v>15</v>
      </c>
      <c r="M186" s="103" t="s">
        <v>13</v>
      </c>
      <c r="N186" s="103" t="s">
        <v>14</v>
      </c>
      <c r="O186" s="103" t="s">
        <v>12</v>
      </c>
      <c r="P186" s="99"/>
      <c r="Q186" s="104"/>
    </row>
    <row r="187" spans="1:17">
      <c r="A187" s="99"/>
      <c r="B187" s="99"/>
      <c r="C187" s="105"/>
      <c r="D187" s="101"/>
      <c r="E187" s="102"/>
      <c r="F187" s="100"/>
      <c r="G187" s="103" t="s">
        <v>409</v>
      </c>
      <c r="H187" s="103"/>
      <c r="I187" s="103" t="s">
        <v>5</v>
      </c>
      <c r="J187" s="103"/>
      <c r="K187" s="103"/>
      <c r="L187" s="103"/>
      <c r="M187" s="103"/>
      <c r="N187" s="103"/>
      <c r="O187" s="103"/>
      <c r="P187" s="99"/>
      <c r="Q187" s="104"/>
    </row>
    <row r="188" spans="1:17">
      <c r="A188" s="106"/>
      <c r="B188" s="106"/>
      <c r="C188" s="107"/>
      <c r="D188" s="108"/>
      <c r="E188" s="109"/>
      <c r="F188" s="110"/>
      <c r="G188" s="111"/>
      <c r="H188" s="112"/>
      <c r="I188" s="111"/>
      <c r="J188" s="111"/>
      <c r="K188" s="113"/>
      <c r="L188" s="108"/>
      <c r="M188" s="111"/>
      <c r="N188" s="111"/>
      <c r="O188" s="111"/>
      <c r="P188" s="106"/>
      <c r="Q188" s="114"/>
    </row>
    <row r="189" spans="1:17" ht="15.75">
      <c r="A189" s="52"/>
      <c r="B189" s="47"/>
      <c r="C189" s="48"/>
      <c r="D189" s="73"/>
      <c r="E189" s="17"/>
      <c r="F189" s="48"/>
      <c r="G189" s="36"/>
      <c r="H189" s="36"/>
      <c r="I189" s="36"/>
      <c r="J189" s="36"/>
      <c r="K189" s="8"/>
      <c r="M189" s="8"/>
      <c r="N189" s="8"/>
      <c r="O189" s="8"/>
      <c r="P189" s="35"/>
      <c r="Q189" s="37"/>
    </row>
    <row r="190" spans="1:17" ht="15.75">
      <c r="A190" s="52">
        <v>1</v>
      </c>
      <c r="B190" s="51" t="s">
        <v>433</v>
      </c>
      <c r="C190" s="48" t="s">
        <v>434</v>
      </c>
      <c r="D190" s="67" t="s">
        <v>435</v>
      </c>
      <c r="E190" s="17">
        <v>43231</v>
      </c>
      <c r="F190" s="20" t="s">
        <v>436</v>
      </c>
      <c r="G190" s="36">
        <v>0</v>
      </c>
      <c r="H190" s="36">
        <v>0</v>
      </c>
      <c r="I190" s="8">
        <v>0</v>
      </c>
      <c r="J190" s="8">
        <v>0</v>
      </c>
      <c r="K190" s="8">
        <v>200000</v>
      </c>
      <c r="L190" s="8">
        <v>200000</v>
      </c>
      <c r="M190" s="8">
        <f>SUM(G190:L190)</f>
        <v>400000</v>
      </c>
      <c r="N190" s="8">
        <f>50000000-M190</f>
        <v>49600000</v>
      </c>
      <c r="O190" s="8">
        <f t="shared" ref="O190" si="27">+M190+N190</f>
        <v>50000000</v>
      </c>
      <c r="P190" s="77" t="s">
        <v>437</v>
      </c>
      <c r="Q190" s="60" t="s">
        <v>58</v>
      </c>
    </row>
    <row r="191" spans="1:17" ht="15.75">
      <c r="A191" s="52"/>
      <c r="B191" s="51"/>
      <c r="C191" s="48"/>
      <c r="E191" s="17"/>
      <c r="F191" s="48"/>
      <c r="G191" s="36"/>
      <c r="H191" s="36"/>
      <c r="I191" s="36"/>
      <c r="J191" s="36"/>
      <c r="K191" s="36"/>
      <c r="M191" s="8"/>
      <c r="N191" s="8"/>
      <c r="O191" s="8"/>
      <c r="P191" s="59"/>
      <c r="Q191" s="66"/>
    </row>
    <row r="192" spans="1:17" ht="16.5" thickBot="1">
      <c r="A192" s="18"/>
      <c r="B192" s="55"/>
      <c r="C192" s="56"/>
      <c r="D192" s="74"/>
      <c r="E192" s="56"/>
      <c r="F192" s="57"/>
      <c r="G192" s="19">
        <f t="shared" ref="G192" si="28">SUM(G190:G191)</f>
        <v>0</v>
      </c>
      <c r="H192" s="19">
        <f t="shared" ref="H192:O192" si="29">SUM(H190:H191)</f>
        <v>0</v>
      </c>
      <c r="I192" s="19">
        <f t="shared" si="29"/>
        <v>0</v>
      </c>
      <c r="J192" s="19">
        <f t="shared" si="29"/>
        <v>0</v>
      </c>
      <c r="K192" s="19">
        <f t="shared" si="29"/>
        <v>200000</v>
      </c>
      <c r="L192" s="19">
        <f t="shared" si="29"/>
        <v>200000</v>
      </c>
      <c r="M192" s="19">
        <f t="shared" si="29"/>
        <v>400000</v>
      </c>
      <c r="N192" s="19">
        <f t="shared" si="29"/>
        <v>49600000</v>
      </c>
      <c r="O192" s="19">
        <f t="shared" si="29"/>
        <v>50000000</v>
      </c>
      <c r="P192" s="68"/>
      <c r="Q192" s="70"/>
    </row>
    <row r="193" spans="1:17" ht="16.5" hidden="1" thickTop="1">
      <c r="A193" s="23"/>
      <c r="B193" s="22"/>
      <c r="C193" s="22"/>
      <c r="D193" s="23"/>
      <c r="E193" s="22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2"/>
      <c r="Q193" s="69"/>
    </row>
    <row r="194" spans="1:17" ht="15.75" hidden="1">
      <c r="A194" s="23"/>
      <c r="B194" s="28" t="s">
        <v>432</v>
      </c>
      <c r="C194" s="22"/>
      <c r="D194" s="39"/>
      <c r="F194" s="27"/>
      <c r="G194" s="28"/>
      <c r="H194" s="28"/>
      <c r="I194" s="28"/>
      <c r="J194" s="28"/>
      <c r="K194" s="28"/>
      <c r="L194" s="28"/>
      <c r="Q194" s="51"/>
    </row>
    <row r="195" spans="1:17" ht="15.75" hidden="1">
      <c r="A195" s="38"/>
      <c r="B195" s="40" t="s">
        <v>32</v>
      </c>
      <c r="C195" s="28" t="s">
        <v>28</v>
      </c>
      <c r="D195" s="39"/>
      <c r="F195" s="41"/>
      <c r="G195" s="127" t="s">
        <v>26</v>
      </c>
      <c r="H195" s="127"/>
      <c r="I195" s="127"/>
      <c r="K195" s="41"/>
    </row>
    <row r="196" spans="1:17" ht="15.75" hidden="1">
      <c r="A196" s="38"/>
      <c r="B196" s="40"/>
      <c r="C196" s="28"/>
      <c r="D196" s="39"/>
      <c r="F196" s="28"/>
      <c r="G196" s="28"/>
      <c r="H196" s="28"/>
      <c r="I196" s="28"/>
      <c r="J196" s="28"/>
      <c r="K196" s="28"/>
      <c r="L196" s="28"/>
    </row>
    <row r="197" spans="1:17" ht="15.75" hidden="1">
      <c r="A197" s="38"/>
      <c r="B197" s="40"/>
      <c r="C197" s="28"/>
      <c r="D197" s="39"/>
      <c r="F197" s="28"/>
      <c r="G197" s="28"/>
      <c r="H197" s="28"/>
      <c r="I197" s="28"/>
      <c r="J197" s="28"/>
      <c r="K197" s="28"/>
      <c r="L197" s="28"/>
    </row>
    <row r="198" spans="1:17" ht="15.75" hidden="1">
      <c r="A198" s="38"/>
      <c r="B198" s="40"/>
      <c r="C198" s="28"/>
      <c r="D198" s="39"/>
      <c r="F198" s="28"/>
      <c r="G198" s="28"/>
      <c r="H198" s="28"/>
      <c r="I198" s="28"/>
      <c r="J198" s="28"/>
      <c r="K198" s="28"/>
    </row>
    <row r="199" spans="1:17" ht="15.75" hidden="1">
      <c r="A199" s="38"/>
      <c r="B199" s="40"/>
      <c r="C199" s="28"/>
      <c r="D199" s="39"/>
      <c r="F199" s="28"/>
      <c r="G199" s="28"/>
      <c r="H199" s="28"/>
      <c r="I199" s="28"/>
      <c r="J199" s="28"/>
      <c r="K199" s="28"/>
      <c r="L199" s="28"/>
    </row>
    <row r="200" spans="1:17" ht="15.75" hidden="1">
      <c r="A200" s="38" t="s">
        <v>23</v>
      </c>
      <c r="B200" s="42" t="s">
        <v>27</v>
      </c>
      <c r="C200" s="43" t="s">
        <v>24</v>
      </c>
      <c r="D200" s="39"/>
      <c r="F200" s="29"/>
      <c r="G200" s="29" t="s">
        <v>16</v>
      </c>
      <c r="H200" s="29"/>
      <c r="I200" s="29" t="s">
        <v>30</v>
      </c>
    </row>
    <row r="201" spans="1:17" ht="15.75" hidden="1">
      <c r="A201" s="38"/>
      <c r="B201" s="44" t="s">
        <v>31</v>
      </c>
      <c r="C201" s="45" t="s">
        <v>20</v>
      </c>
      <c r="D201" s="39"/>
      <c r="F201" s="46"/>
      <c r="G201" s="46" t="s">
        <v>17</v>
      </c>
      <c r="H201" s="46"/>
      <c r="I201" s="46" t="s">
        <v>25</v>
      </c>
    </row>
    <row r="202" spans="1:17" hidden="1"/>
    <row r="203" spans="1:17" ht="16.5" thickTop="1">
      <c r="A203" s="21" t="s">
        <v>0</v>
      </c>
      <c r="B203" s="22"/>
      <c r="C203" s="23"/>
      <c r="D203" s="23"/>
      <c r="E203" s="23"/>
      <c r="F203" s="24"/>
      <c r="G203" s="24"/>
      <c r="H203" s="24"/>
      <c r="I203" s="24"/>
      <c r="J203" s="24"/>
      <c r="K203" s="24"/>
      <c r="L203" s="25"/>
    </row>
    <row r="204" spans="1:17" ht="15.75">
      <c r="A204" s="26" t="s">
        <v>430</v>
      </c>
      <c r="B204" s="21"/>
      <c r="C204" s="21"/>
      <c r="D204" s="21"/>
      <c r="E204" s="21"/>
      <c r="F204" s="24"/>
      <c r="G204" s="24"/>
      <c r="H204" s="24"/>
      <c r="I204" s="24"/>
      <c r="J204" s="24"/>
      <c r="K204" s="24"/>
      <c r="L204" s="25"/>
    </row>
    <row r="205" spans="1:17">
      <c r="A205" s="62"/>
      <c r="B205" s="62" t="s">
        <v>1</v>
      </c>
      <c r="C205" s="93" t="s">
        <v>2</v>
      </c>
      <c r="D205" s="117" t="s">
        <v>34</v>
      </c>
      <c r="E205" s="95" t="s">
        <v>3</v>
      </c>
      <c r="F205" s="93" t="s">
        <v>4</v>
      </c>
      <c r="G205" s="96" t="s">
        <v>18</v>
      </c>
      <c r="H205" s="96" t="s">
        <v>18</v>
      </c>
      <c r="I205" s="97" t="s">
        <v>7</v>
      </c>
      <c r="J205" s="96" t="s">
        <v>6</v>
      </c>
      <c r="K205" s="32" t="s">
        <v>29</v>
      </c>
      <c r="L205" s="96" t="s">
        <v>21</v>
      </c>
      <c r="M205" s="96" t="s">
        <v>8</v>
      </c>
      <c r="N205" s="96" t="s">
        <v>8</v>
      </c>
      <c r="O205" s="96" t="s">
        <v>9</v>
      </c>
      <c r="P205" s="62" t="s">
        <v>10</v>
      </c>
      <c r="Q205" s="98" t="s">
        <v>33</v>
      </c>
    </row>
    <row r="206" spans="1:17">
      <c r="A206" s="99"/>
      <c r="B206" s="99"/>
      <c r="C206" s="100"/>
      <c r="D206" s="101"/>
      <c r="E206" s="102"/>
      <c r="F206" s="100"/>
      <c r="G206" s="103" t="s">
        <v>12</v>
      </c>
      <c r="H206" s="103"/>
      <c r="I206" s="103" t="s">
        <v>19</v>
      </c>
      <c r="J206" s="103" t="s">
        <v>35</v>
      </c>
      <c r="K206" s="33" t="s">
        <v>22</v>
      </c>
      <c r="L206" s="103" t="s">
        <v>15</v>
      </c>
      <c r="M206" s="103" t="s">
        <v>13</v>
      </c>
      <c r="N206" s="103" t="s">
        <v>14</v>
      </c>
      <c r="O206" s="103" t="s">
        <v>12</v>
      </c>
      <c r="P206" s="99"/>
      <c r="Q206" s="104"/>
    </row>
    <row r="207" spans="1:17">
      <c r="A207" s="99"/>
      <c r="B207" s="99"/>
      <c r="C207" s="105"/>
      <c r="D207" s="101"/>
      <c r="E207" s="102"/>
      <c r="F207" s="100"/>
      <c r="G207" s="103" t="s">
        <v>409</v>
      </c>
      <c r="H207" s="103"/>
      <c r="I207" s="103" t="s">
        <v>5</v>
      </c>
      <c r="J207" s="103"/>
      <c r="K207" s="103"/>
      <c r="L207" s="103"/>
      <c r="M207" s="103"/>
      <c r="N207" s="103"/>
      <c r="O207" s="103"/>
      <c r="P207" s="99"/>
      <c r="Q207" s="104"/>
    </row>
    <row r="208" spans="1:17">
      <c r="A208" s="106"/>
      <c r="B208" s="106"/>
      <c r="C208" s="107"/>
      <c r="D208" s="108"/>
      <c r="E208" s="109"/>
      <c r="F208" s="110"/>
      <c r="G208" s="111"/>
      <c r="H208" s="112"/>
      <c r="I208" s="111"/>
      <c r="J208" s="111"/>
      <c r="K208" s="113"/>
      <c r="L208" s="108"/>
      <c r="M208" s="111"/>
      <c r="N208" s="111"/>
      <c r="O208" s="111"/>
      <c r="P208" s="106"/>
      <c r="Q208" s="114"/>
    </row>
    <row r="209" spans="1:17" ht="15.75">
      <c r="A209" s="52"/>
      <c r="B209" s="47"/>
      <c r="C209" s="48"/>
      <c r="D209" s="73"/>
      <c r="E209" s="17"/>
      <c r="F209" s="48"/>
      <c r="G209" s="36"/>
      <c r="H209" s="36"/>
      <c r="I209" s="36"/>
      <c r="J209" s="36"/>
      <c r="K209" s="8"/>
      <c r="M209" s="8"/>
      <c r="N209" s="8"/>
      <c r="O209" s="8"/>
      <c r="P209" s="35"/>
      <c r="Q209" s="37"/>
    </row>
    <row r="210" spans="1:17" ht="15.75">
      <c r="A210" s="52">
        <v>1</v>
      </c>
      <c r="B210" s="51" t="s">
        <v>438</v>
      </c>
      <c r="C210" s="48" t="s">
        <v>439</v>
      </c>
      <c r="D210" s="67" t="s">
        <v>440</v>
      </c>
      <c r="E210" s="17">
        <v>43231</v>
      </c>
      <c r="F210" s="20" t="s">
        <v>337</v>
      </c>
      <c r="G210" s="36">
        <v>97776000</v>
      </c>
      <c r="H210" s="36">
        <v>0</v>
      </c>
      <c r="I210" s="8">
        <v>2444400</v>
      </c>
      <c r="J210" s="8">
        <v>1411613</v>
      </c>
      <c r="K210" s="8">
        <v>0</v>
      </c>
      <c r="L210" s="8">
        <v>200000</v>
      </c>
      <c r="M210" s="8">
        <f>SUM(G210:L210)</f>
        <v>101832013</v>
      </c>
      <c r="N210" s="8">
        <f>101832013-M210</f>
        <v>0</v>
      </c>
      <c r="O210" s="8">
        <f t="shared" ref="O210" si="30">+M210+N210</f>
        <v>101832013</v>
      </c>
      <c r="P210" s="77" t="s">
        <v>441</v>
      </c>
      <c r="Q210" s="60" t="s">
        <v>338</v>
      </c>
    </row>
    <row r="211" spans="1:17" ht="15.75">
      <c r="A211" s="52"/>
      <c r="B211" s="51"/>
      <c r="C211" s="48"/>
      <c r="E211" s="17"/>
      <c r="F211" s="48"/>
      <c r="G211" s="36"/>
      <c r="H211" s="36"/>
      <c r="I211" s="36"/>
      <c r="J211" s="36"/>
      <c r="K211" s="36"/>
      <c r="M211" s="8"/>
      <c r="N211" s="8"/>
      <c r="O211" s="8"/>
      <c r="P211" s="59"/>
      <c r="Q211" s="66"/>
    </row>
    <row r="212" spans="1:17" ht="16.5" thickBot="1">
      <c r="A212" s="18"/>
      <c r="B212" s="55"/>
      <c r="C212" s="56"/>
      <c r="D212" s="74"/>
      <c r="E212" s="56"/>
      <c r="F212" s="57"/>
      <c r="G212" s="19">
        <f t="shared" ref="G212" si="31">SUM(G210:G211)</f>
        <v>97776000</v>
      </c>
      <c r="H212" s="19">
        <f t="shared" ref="H212:O212" si="32">SUM(H210:H211)</f>
        <v>0</v>
      </c>
      <c r="I212" s="19">
        <f t="shared" si="32"/>
        <v>2444400</v>
      </c>
      <c r="J212" s="19">
        <f t="shared" si="32"/>
        <v>1411613</v>
      </c>
      <c r="K212" s="19">
        <f t="shared" si="32"/>
        <v>0</v>
      </c>
      <c r="L212" s="19">
        <f t="shared" si="32"/>
        <v>200000</v>
      </c>
      <c r="M212" s="19">
        <f t="shared" si="32"/>
        <v>101832013</v>
      </c>
      <c r="N212" s="19">
        <f t="shared" si="32"/>
        <v>0</v>
      </c>
      <c r="O212" s="19">
        <f t="shared" si="32"/>
        <v>101832013</v>
      </c>
      <c r="P212" s="68"/>
      <c r="Q212" s="70"/>
    </row>
    <row r="213" spans="1:17" ht="16.5" hidden="1" thickTop="1">
      <c r="A213" s="23"/>
      <c r="B213" s="22"/>
      <c r="C213" s="22"/>
      <c r="D213" s="23"/>
      <c r="E213" s="22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2"/>
      <c r="Q213" s="69"/>
    </row>
    <row r="214" spans="1:17" ht="15.75" hidden="1">
      <c r="A214" s="23"/>
      <c r="B214" s="28" t="s">
        <v>432</v>
      </c>
      <c r="C214" s="22"/>
      <c r="D214" s="39"/>
      <c r="F214" s="27"/>
      <c r="G214" s="28"/>
      <c r="H214" s="28"/>
      <c r="I214" s="28"/>
      <c r="J214" s="28"/>
      <c r="K214" s="28"/>
      <c r="L214" s="28"/>
      <c r="Q214" s="51"/>
    </row>
    <row r="215" spans="1:17" ht="15.75" hidden="1">
      <c r="A215" s="38"/>
      <c r="B215" s="40" t="s">
        <v>32</v>
      </c>
      <c r="C215" s="28" t="s">
        <v>28</v>
      </c>
      <c r="D215" s="39"/>
      <c r="F215" s="41"/>
      <c r="G215" s="127" t="s">
        <v>26</v>
      </c>
      <c r="H215" s="127"/>
      <c r="I215" s="127"/>
      <c r="K215" s="41"/>
    </row>
    <row r="216" spans="1:17" ht="15.75" hidden="1">
      <c r="A216" s="38"/>
      <c r="B216" s="40"/>
      <c r="C216" s="28"/>
      <c r="D216" s="39"/>
      <c r="F216" s="28"/>
      <c r="G216" s="28"/>
      <c r="H216" s="28"/>
      <c r="I216" s="28"/>
      <c r="J216" s="28"/>
      <c r="K216" s="28"/>
      <c r="L216" s="28"/>
    </row>
    <row r="217" spans="1:17" ht="15.75" hidden="1">
      <c r="A217" s="38"/>
      <c r="B217" s="40"/>
      <c r="C217" s="28"/>
      <c r="D217" s="39"/>
      <c r="F217" s="28"/>
      <c r="G217" s="28"/>
      <c r="H217" s="28"/>
      <c r="I217" s="28"/>
      <c r="J217" s="28"/>
      <c r="K217" s="28"/>
      <c r="L217" s="28"/>
    </row>
    <row r="218" spans="1:17" ht="15.75" hidden="1">
      <c r="A218" s="38"/>
      <c r="B218" s="40"/>
      <c r="C218" s="28"/>
      <c r="D218" s="39"/>
      <c r="F218" s="28"/>
      <c r="G218" s="28"/>
      <c r="H218" s="28"/>
      <c r="I218" s="28"/>
      <c r="J218" s="28"/>
      <c r="K218" s="28"/>
    </row>
    <row r="219" spans="1:17" ht="15.75" hidden="1">
      <c r="A219" s="38"/>
      <c r="B219" s="40"/>
      <c r="C219" s="28"/>
      <c r="D219" s="39"/>
      <c r="F219" s="28"/>
      <c r="G219" s="28"/>
      <c r="H219" s="28"/>
      <c r="I219" s="28"/>
      <c r="J219" s="28"/>
      <c r="K219" s="28"/>
      <c r="L219" s="28"/>
    </row>
    <row r="220" spans="1:17" ht="15.75" hidden="1">
      <c r="A220" s="38" t="s">
        <v>23</v>
      </c>
      <c r="B220" s="42" t="s">
        <v>27</v>
      </c>
      <c r="C220" s="43" t="s">
        <v>24</v>
      </c>
      <c r="D220" s="39"/>
      <c r="F220" s="29"/>
      <c r="G220" s="29" t="s">
        <v>16</v>
      </c>
      <c r="H220" s="29"/>
      <c r="I220" s="29" t="s">
        <v>30</v>
      </c>
    </row>
    <row r="221" spans="1:17" ht="15.75" hidden="1">
      <c r="A221" s="38"/>
      <c r="B221" s="44" t="s">
        <v>31</v>
      </c>
      <c r="C221" s="45" t="s">
        <v>20</v>
      </c>
      <c r="D221" s="39"/>
      <c r="F221" s="46"/>
      <c r="G221" s="46" t="s">
        <v>17</v>
      </c>
      <c r="H221" s="46"/>
      <c r="I221" s="46" t="s">
        <v>25</v>
      </c>
    </row>
    <row r="222" spans="1:17" hidden="1"/>
    <row r="223" spans="1:17" ht="16.5" thickTop="1">
      <c r="A223" s="21" t="s">
        <v>0</v>
      </c>
      <c r="B223" s="22"/>
      <c r="C223" s="23"/>
      <c r="D223" s="23"/>
      <c r="E223" s="23"/>
      <c r="F223" s="24"/>
      <c r="G223" s="24"/>
      <c r="H223" s="24"/>
      <c r="I223" s="24"/>
      <c r="J223" s="24"/>
      <c r="K223" s="24"/>
      <c r="L223" s="25"/>
    </row>
    <row r="224" spans="1:17" ht="15.75">
      <c r="A224" s="26" t="s">
        <v>443</v>
      </c>
      <c r="B224" s="21"/>
      <c r="C224" s="21"/>
      <c r="D224" s="21"/>
      <c r="E224" s="21"/>
      <c r="F224" s="24"/>
      <c r="G224" s="24"/>
      <c r="H224" s="24"/>
      <c r="I224" s="24"/>
      <c r="J224" s="24"/>
      <c r="K224" s="24"/>
      <c r="L224" s="25"/>
    </row>
    <row r="225" spans="1:17">
      <c r="A225" s="62"/>
      <c r="B225" s="62" t="s">
        <v>1</v>
      </c>
      <c r="C225" s="93" t="s">
        <v>2</v>
      </c>
      <c r="D225" s="117" t="s">
        <v>34</v>
      </c>
      <c r="E225" s="95" t="s">
        <v>3</v>
      </c>
      <c r="F225" s="93" t="s">
        <v>4</v>
      </c>
      <c r="G225" s="96" t="s">
        <v>18</v>
      </c>
      <c r="H225" s="96" t="s">
        <v>18</v>
      </c>
      <c r="I225" s="97" t="s">
        <v>7</v>
      </c>
      <c r="J225" s="96" t="s">
        <v>6</v>
      </c>
      <c r="K225" s="96" t="s">
        <v>29</v>
      </c>
      <c r="L225" s="96" t="s">
        <v>21</v>
      </c>
      <c r="M225" s="96" t="s">
        <v>8</v>
      </c>
      <c r="N225" s="96" t="s">
        <v>8</v>
      </c>
      <c r="O225" s="96" t="s">
        <v>9</v>
      </c>
      <c r="P225" s="62" t="s">
        <v>10</v>
      </c>
      <c r="Q225" s="98" t="s">
        <v>33</v>
      </c>
    </row>
    <row r="226" spans="1:17">
      <c r="A226" s="99"/>
      <c r="B226" s="99"/>
      <c r="C226" s="100"/>
      <c r="D226" s="101"/>
      <c r="E226" s="102"/>
      <c r="F226" s="100"/>
      <c r="G226" s="103" t="s">
        <v>12</v>
      </c>
      <c r="H226" s="103"/>
      <c r="I226" s="103" t="s">
        <v>19</v>
      </c>
      <c r="J226" s="103" t="s">
        <v>35</v>
      </c>
      <c r="K226" s="103" t="s">
        <v>22</v>
      </c>
      <c r="L226" s="103" t="s">
        <v>15</v>
      </c>
      <c r="M226" s="103" t="s">
        <v>13</v>
      </c>
      <c r="N226" s="103" t="s">
        <v>14</v>
      </c>
      <c r="O226" s="103" t="s">
        <v>12</v>
      </c>
      <c r="P226" s="99"/>
      <c r="Q226" s="104"/>
    </row>
    <row r="227" spans="1:17">
      <c r="A227" s="99"/>
      <c r="B227" s="99"/>
      <c r="C227" s="105"/>
      <c r="D227" s="101"/>
      <c r="E227" s="102"/>
      <c r="F227" s="100"/>
      <c r="G227" s="103" t="s">
        <v>409</v>
      </c>
      <c r="H227" s="103"/>
      <c r="I227" s="103" t="s">
        <v>5</v>
      </c>
      <c r="J227" s="103"/>
      <c r="K227" s="103"/>
      <c r="L227" s="103"/>
      <c r="M227" s="103"/>
      <c r="N227" s="103"/>
      <c r="O227" s="103"/>
      <c r="P227" s="99"/>
      <c r="Q227" s="104"/>
    </row>
    <row r="228" spans="1:17">
      <c r="A228" s="106"/>
      <c r="B228" s="106"/>
      <c r="C228" s="107"/>
      <c r="D228" s="108"/>
      <c r="E228" s="109"/>
      <c r="F228" s="110"/>
      <c r="G228" s="111"/>
      <c r="H228" s="112"/>
      <c r="I228" s="111"/>
      <c r="J228" s="111"/>
      <c r="K228" s="113"/>
      <c r="L228" s="108"/>
      <c r="M228" s="111"/>
      <c r="N228" s="111"/>
      <c r="O228" s="111"/>
      <c r="P228" s="106"/>
      <c r="Q228" s="114"/>
    </row>
    <row r="229" spans="1:17" ht="15.75">
      <c r="A229" s="52"/>
      <c r="B229" s="47"/>
      <c r="C229" s="48"/>
      <c r="D229" s="73"/>
      <c r="E229" s="17"/>
      <c r="F229" s="48"/>
      <c r="G229" s="36"/>
      <c r="H229" s="36"/>
      <c r="I229" s="36"/>
      <c r="J229" s="36"/>
      <c r="K229" s="8"/>
      <c r="M229" s="8"/>
      <c r="N229" s="8"/>
      <c r="O229" s="8"/>
      <c r="P229" s="35"/>
      <c r="Q229" s="37"/>
    </row>
    <row r="230" spans="1:17" ht="15.75">
      <c r="A230" s="52">
        <v>1</v>
      </c>
      <c r="B230" s="116" t="s">
        <v>449</v>
      </c>
      <c r="C230" s="48" t="s">
        <v>450</v>
      </c>
      <c r="D230" s="67" t="s">
        <v>451</v>
      </c>
      <c r="E230" s="17">
        <v>43234</v>
      </c>
      <c r="F230" s="20" t="s">
        <v>452</v>
      </c>
      <c r="G230" s="36">
        <v>30198512</v>
      </c>
      <c r="H230" s="36">
        <v>0</v>
      </c>
      <c r="I230" s="8">
        <v>754963</v>
      </c>
      <c r="J230" s="8">
        <v>372461</v>
      </c>
      <c r="K230" s="8">
        <v>648015</v>
      </c>
      <c r="L230" s="8">
        <v>200000</v>
      </c>
      <c r="M230" s="8">
        <f>SUM(G230:L230)</f>
        <v>32173951</v>
      </c>
      <c r="N230" s="8">
        <f>95000000-M230</f>
        <v>62826049</v>
      </c>
      <c r="O230" s="8">
        <f t="shared" ref="O230" si="33">+M230+N230</f>
        <v>95000000</v>
      </c>
      <c r="P230" s="77" t="s">
        <v>453</v>
      </c>
      <c r="Q230" s="60" t="s">
        <v>52</v>
      </c>
    </row>
    <row r="231" spans="1:17" ht="15.75">
      <c r="A231" s="52"/>
      <c r="B231" s="51"/>
      <c r="C231" s="48"/>
      <c r="E231" s="17"/>
      <c r="F231" s="48"/>
      <c r="G231" s="36"/>
      <c r="H231" s="36"/>
      <c r="I231" s="36"/>
      <c r="J231" s="36"/>
      <c r="K231" s="36"/>
      <c r="M231" s="8"/>
      <c r="N231" s="8"/>
      <c r="O231" s="8"/>
      <c r="P231" s="59"/>
      <c r="Q231" s="66"/>
    </row>
    <row r="232" spans="1:17" ht="16.5" thickBot="1">
      <c r="A232" s="18"/>
      <c r="B232" s="55"/>
      <c r="C232" s="56"/>
      <c r="D232" s="74"/>
      <c r="E232" s="56"/>
      <c r="F232" s="57"/>
      <c r="G232" s="19">
        <f t="shared" ref="G232" si="34">SUM(G230:G231)</f>
        <v>30198512</v>
      </c>
      <c r="H232" s="19">
        <f t="shared" ref="H232:O232" si="35">SUM(H230:H231)</f>
        <v>0</v>
      </c>
      <c r="I232" s="19">
        <f t="shared" si="35"/>
        <v>754963</v>
      </c>
      <c r="J232" s="19">
        <f t="shared" si="35"/>
        <v>372461</v>
      </c>
      <c r="K232" s="19">
        <f t="shared" si="35"/>
        <v>648015</v>
      </c>
      <c r="L232" s="19">
        <f t="shared" si="35"/>
        <v>200000</v>
      </c>
      <c r="M232" s="19">
        <f t="shared" si="35"/>
        <v>32173951</v>
      </c>
      <c r="N232" s="19">
        <f t="shared" si="35"/>
        <v>62826049</v>
      </c>
      <c r="O232" s="19">
        <f t="shared" si="35"/>
        <v>95000000</v>
      </c>
      <c r="P232" s="68"/>
      <c r="Q232" s="70"/>
    </row>
    <row r="233" spans="1:17" ht="16.5" hidden="1" thickTop="1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 hidden="1">
      <c r="A234" s="23"/>
      <c r="B234" s="28" t="s">
        <v>448</v>
      </c>
      <c r="C234" s="22"/>
      <c r="D234" s="39"/>
      <c r="F234" s="27"/>
      <c r="G234" s="28"/>
      <c r="H234" s="28"/>
      <c r="I234" s="28"/>
      <c r="J234" s="28"/>
      <c r="K234" s="28"/>
      <c r="L234" s="28"/>
      <c r="Q234" s="51"/>
    </row>
    <row r="235" spans="1:17" ht="15.75" hidden="1">
      <c r="A235" s="38"/>
      <c r="B235" s="40" t="s">
        <v>32</v>
      </c>
      <c r="C235" s="28" t="s">
        <v>28</v>
      </c>
      <c r="D235" s="39"/>
      <c r="F235" s="41"/>
      <c r="G235" s="127" t="s">
        <v>26</v>
      </c>
      <c r="H235" s="127"/>
      <c r="I235" s="127"/>
      <c r="K235" s="41"/>
    </row>
    <row r="236" spans="1:17" ht="15.75" hidden="1">
      <c r="A236" s="38"/>
      <c r="B236" s="40"/>
      <c r="C236" s="28"/>
      <c r="D236" s="39"/>
      <c r="F236" s="28"/>
      <c r="G236" s="28"/>
      <c r="H236" s="28"/>
      <c r="I236" s="28"/>
      <c r="J236" s="28"/>
      <c r="K236" s="28"/>
      <c r="L236" s="28"/>
    </row>
    <row r="237" spans="1:17" ht="15.75" hidden="1">
      <c r="A237" s="38"/>
      <c r="B237" s="40"/>
      <c r="C237" s="28"/>
      <c r="D237" s="39"/>
      <c r="F237" s="28"/>
      <c r="G237" s="28"/>
      <c r="H237" s="28"/>
      <c r="I237" s="28"/>
      <c r="J237" s="28"/>
      <c r="K237" s="28"/>
      <c r="L237" s="28"/>
    </row>
    <row r="238" spans="1:17" ht="15.75" hidden="1">
      <c r="A238" s="38"/>
      <c r="B238" s="40"/>
      <c r="C238" s="28"/>
      <c r="D238" s="39"/>
      <c r="F238" s="28"/>
      <c r="G238" s="28"/>
      <c r="H238" s="28"/>
      <c r="I238" s="28"/>
      <c r="J238" s="28"/>
      <c r="K238" s="28"/>
    </row>
    <row r="239" spans="1:17" ht="15.75" hidden="1">
      <c r="A239" s="38"/>
      <c r="B239" s="40"/>
      <c r="C239" s="28"/>
      <c r="D239" s="39"/>
      <c r="F239" s="28"/>
      <c r="G239" s="28"/>
      <c r="H239" s="28"/>
      <c r="I239" s="28"/>
      <c r="J239" s="28"/>
      <c r="K239" s="28"/>
      <c r="L239" s="28"/>
    </row>
    <row r="240" spans="1:17" ht="15.75" hidden="1">
      <c r="A240" s="38" t="s">
        <v>23</v>
      </c>
      <c r="B240" s="42" t="s">
        <v>27</v>
      </c>
      <c r="C240" s="43" t="s">
        <v>24</v>
      </c>
      <c r="D240" s="39"/>
      <c r="F240" s="29"/>
      <c r="G240" s="29" t="s">
        <v>16</v>
      </c>
      <c r="H240" s="29"/>
      <c r="I240" s="29" t="s">
        <v>30</v>
      </c>
    </row>
    <row r="241" spans="1:17" ht="15.75" hidden="1">
      <c r="A241" s="38"/>
      <c r="B241" s="44" t="s">
        <v>31</v>
      </c>
      <c r="C241" s="45" t="s">
        <v>20</v>
      </c>
      <c r="D241" s="39"/>
      <c r="F241" s="46"/>
      <c r="G241" s="46" t="s">
        <v>17</v>
      </c>
      <c r="H241" s="46"/>
      <c r="I241" s="46" t="s">
        <v>25</v>
      </c>
    </row>
    <row r="242" spans="1:17" ht="15.75" hidden="1">
      <c r="A242" s="38"/>
      <c r="B242" s="44"/>
      <c r="C242" s="45"/>
      <c r="D242" s="39"/>
      <c r="F242" s="46"/>
      <c r="G242" s="46"/>
      <c r="H242" s="46"/>
      <c r="I242" s="46"/>
    </row>
    <row r="243" spans="1:17" hidden="1">
      <c r="A243" s="92" t="s">
        <v>442</v>
      </c>
    </row>
    <row r="244" spans="1:17" ht="16.5" thickTop="1">
      <c r="A244" s="21" t="s">
        <v>0</v>
      </c>
      <c r="B244" s="22"/>
      <c r="C244" s="23"/>
      <c r="D244" s="23"/>
      <c r="E244" s="23"/>
      <c r="F244" s="24"/>
      <c r="G244" s="124"/>
      <c r="H244" s="24"/>
      <c r="I244" s="24"/>
      <c r="J244" s="24"/>
      <c r="K244" s="24"/>
      <c r="L244" s="25"/>
    </row>
    <row r="245" spans="1:17" ht="15.75">
      <c r="A245" s="26" t="s">
        <v>443</v>
      </c>
      <c r="B245" s="21"/>
      <c r="C245" s="21"/>
      <c r="D245" s="21"/>
      <c r="E245" s="21"/>
      <c r="F245" s="24"/>
      <c r="G245" s="24"/>
      <c r="H245" s="24"/>
      <c r="I245" s="24"/>
      <c r="J245" s="24"/>
      <c r="K245" s="24"/>
      <c r="L245" s="25"/>
    </row>
    <row r="246" spans="1:17">
      <c r="A246" s="62"/>
      <c r="B246" s="62" t="s">
        <v>1</v>
      </c>
      <c r="C246" s="93" t="s">
        <v>2</v>
      </c>
      <c r="D246" s="117" t="s">
        <v>34</v>
      </c>
      <c r="E246" s="95" t="s">
        <v>3</v>
      </c>
      <c r="F246" s="93" t="s">
        <v>4</v>
      </c>
      <c r="G246" s="96" t="s">
        <v>18</v>
      </c>
      <c r="H246" s="96" t="s">
        <v>18</v>
      </c>
      <c r="I246" s="97" t="s">
        <v>7</v>
      </c>
      <c r="J246" s="96" t="s">
        <v>6</v>
      </c>
      <c r="K246" s="32" t="s">
        <v>29</v>
      </c>
      <c r="L246" s="96" t="s">
        <v>21</v>
      </c>
      <c r="M246" s="96" t="s">
        <v>8</v>
      </c>
      <c r="N246" s="96" t="s">
        <v>8</v>
      </c>
      <c r="O246" s="96" t="s">
        <v>9</v>
      </c>
      <c r="P246" s="62" t="s">
        <v>10</v>
      </c>
      <c r="Q246" s="98" t="s">
        <v>33</v>
      </c>
    </row>
    <row r="247" spans="1:17">
      <c r="A247" s="99"/>
      <c r="B247" s="99"/>
      <c r="C247" s="100"/>
      <c r="D247" s="101"/>
      <c r="E247" s="102"/>
      <c r="F247" s="100"/>
      <c r="G247" s="103" t="s">
        <v>445</v>
      </c>
      <c r="H247" s="103"/>
      <c r="I247" s="103" t="s">
        <v>19</v>
      </c>
      <c r="J247" s="103" t="s">
        <v>35</v>
      </c>
      <c r="K247" s="33" t="s">
        <v>22</v>
      </c>
      <c r="L247" s="103" t="s">
        <v>15</v>
      </c>
      <c r="M247" s="103" t="s">
        <v>13</v>
      </c>
      <c r="N247" s="103" t="s">
        <v>14</v>
      </c>
      <c r="O247" s="103" t="s">
        <v>12</v>
      </c>
      <c r="P247" s="99"/>
      <c r="Q247" s="104"/>
    </row>
    <row r="248" spans="1:17">
      <c r="A248" s="99"/>
      <c r="B248" s="99"/>
      <c r="C248" s="105"/>
      <c r="D248" s="101"/>
      <c r="E248" s="102"/>
      <c r="F248" s="100"/>
      <c r="G248" s="103" t="s">
        <v>446</v>
      </c>
      <c r="H248" s="103"/>
      <c r="I248" s="103" t="s">
        <v>5</v>
      </c>
      <c r="J248" s="103"/>
      <c r="K248" s="103"/>
      <c r="L248" s="103"/>
      <c r="M248" s="103"/>
      <c r="N248" s="103"/>
      <c r="O248" s="103"/>
      <c r="P248" s="99"/>
      <c r="Q248" s="104"/>
    </row>
    <row r="249" spans="1:17">
      <c r="A249" s="106"/>
      <c r="B249" s="106"/>
      <c r="C249" s="107"/>
      <c r="D249" s="108"/>
      <c r="E249" s="109"/>
      <c r="F249" s="110"/>
      <c r="G249" s="111" t="s">
        <v>447</v>
      </c>
      <c r="H249" s="112"/>
      <c r="I249" s="111"/>
      <c r="J249" s="111"/>
      <c r="K249" s="113"/>
      <c r="L249" s="108"/>
      <c r="M249" s="111"/>
      <c r="N249" s="111"/>
      <c r="O249" s="111"/>
      <c r="P249" s="106"/>
      <c r="Q249" s="114"/>
    </row>
    <row r="250" spans="1:17" ht="15.75">
      <c r="A250" s="52"/>
      <c r="B250" s="47"/>
      <c r="C250" s="48"/>
      <c r="D250" s="73"/>
      <c r="E250" s="17"/>
      <c r="F250" s="48"/>
      <c r="G250" s="36"/>
      <c r="H250" s="36"/>
      <c r="I250" s="36"/>
      <c r="J250" s="36"/>
      <c r="K250" s="8"/>
      <c r="M250" s="8"/>
      <c r="N250" s="8"/>
      <c r="O250" s="8"/>
      <c r="P250" s="35"/>
      <c r="Q250" s="37"/>
    </row>
    <row r="251" spans="1:17" ht="15.75">
      <c r="A251" s="52">
        <v>1</v>
      </c>
      <c r="B251" s="51" t="s">
        <v>130</v>
      </c>
      <c r="C251" s="48" t="s">
        <v>131</v>
      </c>
      <c r="D251" s="67" t="s">
        <v>444</v>
      </c>
      <c r="E251" s="17">
        <v>43234</v>
      </c>
      <c r="F251" s="20" t="s">
        <v>337</v>
      </c>
      <c r="G251" s="36">
        <v>10500000</v>
      </c>
      <c r="H251" s="36">
        <v>0</v>
      </c>
      <c r="I251" s="8">
        <v>0</v>
      </c>
      <c r="J251" s="8">
        <v>0</v>
      </c>
      <c r="K251" s="8">
        <v>105000</v>
      </c>
      <c r="L251" s="8">
        <v>0</v>
      </c>
      <c r="M251" s="8">
        <f>SUM(G251:L251)</f>
        <v>10605000</v>
      </c>
      <c r="N251" s="8">
        <f>10605000-M251</f>
        <v>0</v>
      </c>
      <c r="O251" s="8">
        <f t="shared" ref="O251" si="36">+M251+N251</f>
        <v>10605000</v>
      </c>
      <c r="P251" s="77" t="s">
        <v>134</v>
      </c>
      <c r="Q251" s="60" t="s">
        <v>338</v>
      </c>
    </row>
    <row r="252" spans="1:17" ht="15.75">
      <c r="A252" s="52"/>
      <c r="B252" s="51"/>
      <c r="C252" s="48"/>
      <c r="E252" s="17"/>
      <c r="F252" s="48"/>
      <c r="G252" s="36"/>
      <c r="H252" s="36"/>
      <c r="I252" s="36"/>
      <c r="J252" s="36"/>
      <c r="K252" s="36"/>
      <c r="M252" s="8"/>
      <c r="N252" s="8"/>
      <c r="O252" s="8"/>
      <c r="P252" s="59"/>
      <c r="Q252" s="66"/>
    </row>
    <row r="253" spans="1:17" ht="16.5" thickBot="1">
      <c r="A253" s="18"/>
      <c r="B253" s="55"/>
      <c r="C253" s="56"/>
      <c r="D253" s="74"/>
      <c r="E253" s="56"/>
      <c r="F253" s="57"/>
      <c r="G253" s="19">
        <f t="shared" ref="G253" si="37">SUM(G251:G252)</f>
        <v>10500000</v>
      </c>
      <c r="H253" s="19">
        <f t="shared" ref="H253:O253" si="38">SUM(H251:H252)</f>
        <v>0</v>
      </c>
      <c r="I253" s="19">
        <f t="shared" si="38"/>
        <v>0</v>
      </c>
      <c r="J253" s="19">
        <f t="shared" si="38"/>
        <v>0</v>
      </c>
      <c r="K253" s="19">
        <f t="shared" si="38"/>
        <v>105000</v>
      </c>
      <c r="L253" s="19">
        <f t="shared" si="38"/>
        <v>0</v>
      </c>
      <c r="M253" s="19">
        <f t="shared" si="38"/>
        <v>10605000</v>
      </c>
      <c r="N253" s="19">
        <f t="shared" si="38"/>
        <v>0</v>
      </c>
      <c r="O253" s="19">
        <f t="shared" si="38"/>
        <v>10605000</v>
      </c>
      <c r="P253" s="68"/>
      <c r="Q253" s="70"/>
    </row>
    <row r="254" spans="1:17" ht="16.5" hidden="1" thickTop="1">
      <c r="A254" s="23"/>
      <c r="B254" s="22"/>
      <c r="C254" s="22"/>
      <c r="D254" s="23"/>
      <c r="E254" s="22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2"/>
      <c r="Q254" s="69"/>
    </row>
    <row r="255" spans="1:17" ht="15.75" hidden="1">
      <c r="A255" s="23"/>
      <c r="B255" s="28" t="s">
        <v>448</v>
      </c>
      <c r="C255" s="22"/>
      <c r="D255" s="39"/>
      <c r="F255" s="27"/>
      <c r="G255" s="28"/>
      <c r="H255" s="28"/>
      <c r="I255" s="28"/>
      <c r="J255" s="28"/>
      <c r="K255" s="28"/>
      <c r="L255" s="28"/>
      <c r="Q255" s="51"/>
    </row>
    <row r="256" spans="1:17" ht="15.75" hidden="1">
      <c r="A256" s="38"/>
      <c r="B256" s="40" t="s">
        <v>32</v>
      </c>
      <c r="C256" s="28" t="s">
        <v>28</v>
      </c>
      <c r="D256" s="39"/>
      <c r="F256" s="41"/>
      <c r="G256" s="127" t="s">
        <v>26</v>
      </c>
      <c r="H256" s="127"/>
      <c r="I256" s="127"/>
      <c r="K256" s="41"/>
    </row>
    <row r="257" spans="1:18" ht="15.75" hidden="1">
      <c r="A257" s="38"/>
      <c r="B257" s="40"/>
      <c r="C257" s="28"/>
      <c r="D257" s="39"/>
      <c r="F257" s="28"/>
      <c r="G257" s="28"/>
      <c r="H257" s="28"/>
      <c r="I257" s="28"/>
      <c r="J257" s="28"/>
      <c r="K257" s="28"/>
      <c r="L257" s="28"/>
    </row>
    <row r="258" spans="1:18" ht="15.75" hidden="1">
      <c r="A258" s="38"/>
      <c r="B258" s="40"/>
      <c r="C258" s="28"/>
      <c r="D258" s="39"/>
      <c r="F258" s="28"/>
      <c r="G258" s="28"/>
      <c r="H258" s="28"/>
      <c r="I258" s="28"/>
      <c r="J258" s="28"/>
      <c r="K258" s="28"/>
      <c r="L258" s="28"/>
    </row>
    <row r="259" spans="1:18" ht="15.75" hidden="1">
      <c r="A259" s="38"/>
      <c r="B259" s="40"/>
      <c r="C259" s="28"/>
      <c r="D259" s="39"/>
      <c r="F259" s="28"/>
      <c r="G259" s="28"/>
      <c r="H259" s="28"/>
      <c r="I259" s="28"/>
      <c r="J259" s="28"/>
      <c r="K259" s="28"/>
    </row>
    <row r="260" spans="1:18" ht="15.75" hidden="1">
      <c r="A260" s="38"/>
      <c r="B260" s="40"/>
      <c r="C260" s="28"/>
      <c r="D260" s="39"/>
      <c r="F260" s="28"/>
      <c r="G260" s="28"/>
      <c r="H260" s="28"/>
      <c r="I260" s="28"/>
      <c r="J260" s="28"/>
      <c r="K260" s="28"/>
      <c r="L260" s="28"/>
    </row>
    <row r="261" spans="1:18" ht="15.75" hidden="1">
      <c r="A261" s="38" t="s">
        <v>23</v>
      </c>
      <c r="B261" s="42" t="s">
        <v>27</v>
      </c>
      <c r="C261" s="43" t="s">
        <v>24</v>
      </c>
      <c r="D261" s="39"/>
      <c r="F261" s="29"/>
      <c r="G261" s="29" t="s">
        <v>16</v>
      </c>
      <c r="H261" s="29"/>
      <c r="I261" s="29" t="s">
        <v>30</v>
      </c>
    </row>
    <row r="262" spans="1:18" ht="15.75" hidden="1">
      <c r="A262" s="38"/>
      <c r="B262" s="44" t="s">
        <v>31</v>
      </c>
      <c r="C262" s="45" t="s">
        <v>20</v>
      </c>
      <c r="D262" s="39"/>
      <c r="F262" s="46"/>
      <c r="G262" s="46" t="s">
        <v>17</v>
      </c>
      <c r="H262" s="46"/>
      <c r="I262" s="46" t="s">
        <v>25</v>
      </c>
    </row>
    <row r="263" spans="1:18" hidden="1"/>
    <row r="264" spans="1:18" ht="16.5" thickTop="1">
      <c r="A264" s="21" t="s">
        <v>0</v>
      </c>
      <c r="B264" s="22"/>
      <c r="C264" s="23"/>
      <c r="D264" s="23"/>
      <c r="E264" s="23"/>
      <c r="F264" s="24"/>
      <c r="G264" s="124"/>
      <c r="H264" s="24"/>
      <c r="I264" s="24"/>
      <c r="J264" s="24"/>
      <c r="K264" s="24"/>
      <c r="L264" s="25"/>
    </row>
    <row r="265" spans="1:18" ht="15.75">
      <c r="A265" s="26" t="s">
        <v>443</v>
      </c>
      <c r="B265" s="21"/>
      <c r="C265" s="21"/>
      <c r="D265" s="21"/>
      <c r="E265" s="21"/>
      <c r="F265" s="24"/>
      <c r="G265" s="24"/>
      <c r="H265" s="24"/>
      <c r="I265" s="24"/>
      <c r="J265" s="24"/>
      <c r="K265" s="24"/>
      <c r="L265" s="25"/>
    </row>
    <row r="266" spans="1:18">
      <c r="A266" s="62"/>
      <c r="B266" s="62" t="s">
        <v>1</v>
      </c>
      <c r="C266" s="93" t="s">
        <v>2</v>
      </c>
      <c r="D266" s="117" t="s">
        <v>34</v>
      </c>
      <c r="E266" s="95" t="s">
        <v>3</v>
      </c>
      <c r="F266" s="126" t="s">
        <v>4</v>
      </c>
      <c r="G266" s="96" t="s">
        <v>18</v>
      </c>
      <c r="H266" s="96" t="s">
        <v>18</v>
      </c>
      <c r="I266" s="97" t="s">
        <v>7</v>
      </c>
      <c r="J266" s="96" t="s">
        <v>6</v>
      </c>
      <c r="K266" s="96" t="s">
        <v>6</v>
      </c>
      <c r="L266" s="96" t="s">
        <v>458</v>
      </c>
      <c r="M266" s="96" t="s">
        <v>21</v>
      </c>
      <c r="N266" s="96" t="s">
        <v>8</v>
      </c>
      <c r="O266" s="96" t="s">
        <v>8</v>
      </c>
      <c r="P266" s="96" t="s">
        <v>9</v>
      </c>
      <c r="Q266" s="62" t="s">
        <v>10</v>
      </c>
      <c r="R266" s="98" t="s">
        <v>33</v>
      </c>
    </row>
    <row r="267" spans="1:18">
      <c r="A267" s="99"/>
      <c r="B267" s="99"/>
      <c r="C267" s="100"/>
      <c r="D267" s="101"/>
      <c r="E267" s="102"/>
      <c r="F267" s="100"/>
      <c r="G267" s="103" t="s">
        <v>12</v>
      </c>
      <c r="H267" s="103" t="s">
        <v>445</v>
      </c>
      <c r="I267" s="103" t="s">
        <v>19</v>
      </c>
      <c r="J267" s="103" t="s">
        <v>35</v>
      </c>
      <c r="K267" s="103" t="s">
        <v>457</v>
      </c>
      <c r="L267" s="103" t="s">
        <v>457</v>
      </c>
      <c r="M267" s="103" t="s">
        <v>15</v>
      </c>
      <c r="N267" s="103" t="s">
        <v>13</v>
      </c>
      <c r="O267" s="103" t="s">
        <v>14</v>
      </c>
      <c r="P267" s="103" t="s">
        <v>12</v>
      </c>
      <c r="Q267" s="99"/>
      <c r="R267" s="104"/>
    </row>
    <row r="268" spans="1:18">
      <c r="A268" s="99"/>
      <c r="B268" s="99"/>
      <c r="C268" s="105"/>
      <c r="D268" s="101"/>
      <c r="E268" s="102"/>
      <c r="F268" s="100"/>
      <c r="G268" s="103" t="s">
        <v>409</v>
      </c>
      <c r="H268" s="103" t="s">
        <v>446</v>
      </c>
      <c r="I268" s="103" t="s">
        <v>5</v>
      </c>
      <c r="J268" s="86"/>
      <c r="K268" s="103"/>
      <c r="L268" s="103" t="s">
        <v>459</v>
      </c>
      <c r="M268" s="103"/>
      <c r="N268" s="103"/>
      <c r="O268" s="103"/>
      <c r="P268" s="103"/>
      <c r="Q268" s="99"/>
      <c r="R268" s="104"/>
    </row>
    <row r="269" spans="1:18">
      <c r="A269" s="106"/>
      <c r="B269" s="106"/>
      <c r="C269" s="107"/>
      <c r="D269" s="108"/>
      <c r="E269" s="109"/>
      <c r="F269" s="110"/>
      <c r="G269" s="111"/>
      <c r="H269" s="111" t="s">
        <v>447</v>
      </c>
      <c r="I269" s="111"/>
      <c r="J269" s="75"/>
      <c r="K269" s="112"/>
      <c r="L269" s="112" t="s">
        <v>460</v>
      </c>
      <c r="M269" s="108"/>
      <c r="N269" s="111"/>
      <c r="O269" s="111"/>
      <c r="P269" s="111"/>
      <c r="Q269" s="106"/>
      <c r="R269" s="114"/>
    </row>
    <row r="270" spans="1:18" ht="15.75">
      <c r="A270" s="52"/>
      <c r="B270" s="47"/>
      <c r="C270" s="48"/>
      <c r="D270" s="73"/>
      <c r="E270" s="17"/>
      <c r="F270" s="48"/>
      <c r="G270" s="36"/>
      <c r="H270" s="36"/>
      <c r="I270" s="36"/>
      <c r="J270" s="125"/>
      <c r="K270" s="36"/>
      <c r="L270" s="8"/>
      <c r="N270" s="8"/>
      <c r="O270" s="8"/>
      <c r="P270" s="8"/>
      <c r="Q270" s="35"/>
      <c r="R270" s="37"/>
    </row>
    <row r="271" spans="1:18" ht="15.75">
      <c r="A271" s="52">
        <v>1</v>
      </c>
      <c r="B271" s="51" t="s">
        <v>454</v>
      </c>
      <c r="C271" s="48" t="s">
        <v>455</v>
      </c>
      <c r="D271" s="67" t="s">
        <v>456</v>
      </c>
      <c r="E271" s="17">
        <v>43234</v>
      </c>
      <c r="F271" s="20" t="s">
        <v>337</v>
      </c>
      <c r="G271" s="36">
        <v>187374928</v>
      </c>
      <c r="H271" s="36">
        <v>10000000</v>
      </c>
      <c r="I271" s="8">
        <v>4684373</v>
      </c>
      <c r="J271" s="8">
        <v>1749628</v>
      </c>
      <c r="K271" s="8">
        <v>1939512</v>
      </c>
      <c r="L271" s="8">
        <v>1000000</v>
      </c>
      <c r="M271" s="8">
        <v>200000</v>
      </c>
      <c r="N271" s="8">
        <f>SUM(G271:M271)</f>
        <v>206948441</v>
      </c>
      <c r="O271" s="8">
        <f>206948441-N271</f>
        <v>0</v>
      </c>
      <c r="P271" s="8">
        <f t="shared" ref="P271" si="39">+N271+O271</f>
        <v>206948441</v>
      </c>
      <c r="Q271" s="77" t="s">
        <v>385</v>
      </c>
      <c r="R271" s="60" t="s">
        <v>338</v>
      </c>
    </row>
    <row r="272" spans="1:18" ht="15.75">
      <c r="A272" s="52"/>
      <c r="B272" s="51"/>
      <c r="C272" s="48"/>
      <c r="E272" s="17"/>
      <c r="F272" s="48"/>
      <c r="G272" s="36"/>
      <c r="H272" s="36"/>
      <c r="I272" s="36"/>
      <c r="J272" s="75"/>
      <c r="K272" s="36"/>
      <c r="L272" s="36"/>
      <c r="N272" s="8"/>
      <c r="O272" s="8"/>
      <c r="P272" s="8"/>
      <c r="Q272" s="59"/>
      <c r="R272" s="66"/>
    </row>
    <row r="273" spans="1:18" ht="16.5" thickBot="1">
      <c r="A273" s="18"/>
      <c r="B273" s="55"/>
      <c r="C273" s="56"/>
      <c r="D273" s="74"/>
      <c r="E273" s="56"/>
      <c r="F273" s="57"/>
      <c r="G273" s="19">
        <f t="shared" ref="G273" si="40">SUM(G271:G272)</f>
        <v>187374928</v>
      </c>
      <c r="H273" s="19">
        <f t="shared" ref="H273:J273" si="41">SUM(H271:H272)</f>
        <v>10000000</v>
      </c>
      <c r="I273" s="19">
        <f t="shared" si="41"/>
        <v>4684373</v>
      </c>
      <c r="J273" s="19">
        <f t="shared" si="41"/>
        <v>1749628</v>
      </c>
      <c r="K273" s="19">
        <f t="shared" ref="K273:P273" si="42">SUM(K271:K272)</f>
        <v>1939512</v>
      </c>
      <c r="L273" s="19">
        <f t="shared" si="42"/>
        <v>1000000</v>
      </c>
      <c r="M273" s="19">
        <f t="shared" si="42"/>
        <v>200000</v>
      </c>
      <c r="N273" s="19">
        <f t="shared" si="42"/>
        <v>206948441</v>
      </c>
      <c r="O273" s="19">
        <f t="shared" si="42"/>
        <v>0</v>
      </c>
      <c r="P273" s="19">
        <f t="shared" si="42"/>
        <v>206948441</v>
      </c>
      <c r="Q273" s="68"/>
      <c r="R273" s="70"/>
    </row>
    <row r="274" spans="1:18" ht="16.5" hidden="1" thickTop="1">
      <c r="A274" s="23"/>
      <c r="B274" s="22"/>
      <c r="C274" s="22"/>
      <c r="D274" s="23"/>
      <c r="E274" s="22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2"/>
      <c r="Q274" s="69"/>
    </row>
    <row r="275" spans="1:18" ht="15.75" hidden="1">
      <c r="A275" s="23"/>
      <c r="B275" s="28" t="s">
        <v>448</v>
      </c>
      <c r="C275" s="22"/>
      <c r="D275" s="39"/>
      <c r="F275" s="27"/>
      <c r="G275" s="28"/>
      <c r="H275" s="28"/>
      <c r="I275" s="28"/>
      <c r="J275" s="28"/>
      <c r="K275" s="28"/>
      <c r="L275" s="28"/>
      <c r="Q275" s="51"/>
    </row>
    <row r="276" spans="1:18" ht="15.75" hidden="1">
      <c r="A276" s="38"/>
      <c r="B276" s="40" t="s">
        <v>32</v>
      </c>
      <c r="C276" s="28" t="s">
        <v>28</v>
      </c>
      <c r="D276" s="39"/>
      <c r="F276" s="41"/>
      <c r="G276" s="127" t="s">
        <v>26</v>
      </c>
      <c r="H276" s="127"/>
      <c r="I276" s="127"/>
      <c r="K276" s="28"/>
    </row>
    <row r="277" spans="1:18" ht="15.75" hidden="1">
      <c r="A277" s="38"/>
      <c r="B277" s="40"/>
      <c r="C277" s="28"/>
      <c r="D277" s="39"/>
      <c r="F277" s="28"/>
      <c r="G277" s="28"/>
      <c r="H277" s="28"/>
      <c r="I277" s="28"/>
      <c r="J277" s="28"/>
      <c r="K277" s="28"/>
      <c r="L277" s="28"/>
    </row>
    <row r="278" spans="1:18" ht="15.75" hidden="1">
      <c r="A278" s="38"/>
      <c r="B278" s="40"/>
      <c r="C278" s="28"/>
      <c r="D278" s="39"/>
      <c r="F278" s="28"/>
      <c r="G278" s="28"/>
      <c r="H278" s="28"/>
      <c r="I278" s="28"/>
      <c r="J278" s="28"/>
      <c r="K278" s="28"/>
      <c r="L278" s="28"/>
    </row>
    <row r="279" spans="1:18" ht="15.75" hidden="1">
      <c r="A279" s="38"/>
      <c r="B279" s="40"/>
      <c r="C279" s="28"/>
      <c r="D279" s="39"/>
      <c r="F279" s="28"/>
      <c r="G279" s="28"/>
      <c r="H279" s="28"/>
      <c r="I279" s="28"/>
      <c r="J279" s="28"/>
      <c r="K279" s="28"/>
    </row>
    <row r="280" spans="1:18" ht="15.75" hidden="1">
      <c r="A280" s="38"/>
      <c r="B280" s="40"/>
      <c r="C280" s="28"/>
      <c r="D280" s="39"/>
      <c r="F280" s="28"/>
      <c r="G280" s="28"/>
      <c r="H280" s="28"/>
      <c r="I280" s="28"/>
      <c r="J280" s="28"/>
      <c r="K280" s="28"/>
      <c r="L280" s="28"/>
    </row>
    <row r="281" spans="1:18" ht="15.75" hidden="1">
      <c r="A281" s="38" t="s">
        <v>23</v>
      </c>
      <c r="B281" s="42" t="s">
        <v>27</v>
      </c>
      <c r="C281" s="43" t="s">
        <v>24</v>
      </c>
      <c r="D281" s="39"/>
      <c r="F281" s="29"/>
      <c r="G281" s="29" t="s">
        <v>16</v>
      </c>
      <c r="H281" s="29"/>
      <c r="I281" s="29" t="s">
        <v>30</v>
      </c>
    </row>
    <row r="282" spans="1:18" ht="15.75" hidden="1">
      <c r="A282" s="38"/>
      <c r="B282" s="44" t="s">
        <v>31</v>
      </c>
      <c r="C282" s="45" t="s">
        <v>20</v>
      </c>
      <c r="D282" s="39"/>
      <c r="F282" s="46"/>
      <c r="G282" s="46" t="s">
        <v>17</v>
      </c>
      <c r="H282" s="46"/>
      <c r="I282" s="46" t="s">
        <v>25</v>
      </c>
    </row>
    <row r="283" spans="1:18" hidden="1"/>
    <row r="284" spans="1:18" ht="16.5" thickTop="1">
      <c r="A284" s="21" t="s">
        <v>0</v>
      </c>
      <c r="B284" s="22"/>
      <c r="C284" s="23"/>
      <c r="D284" s="23"/>
      <c r="E284" s="23"/>
      <c r="F284" s="24"/>
      <c r="G284" s="24"/>
      <c r="H284" s="24"/>
      <c r="I284" s="24"/>
      <c r="J284" s="24"/>
      <c r="K284" s="24"/>
      <c r="L284" s="25"/>
    </row>
    <row r="285" spans="1:18" ht="15.75">
      <c r="A285" s="26" t="s">
        <v>443</v>
      </c>
      <c r="B285" s="21"/>
      <c r="C285" s="21"/>
      <c r="D285" s="21"/>
      <c r="E285" s="21"/>
      <c r="F285" s="24"/>
      <c r="G285" s="24"/>
      <c r="H285" s="24"/>
      <c r="I285" s="24"/>
      <c r="J285" s="24"/>
      <c r="K285" s="24"/>
      <c r="L285" s="25"/>
    </row>
    <row r="286" spans="1:18">
      <c r="A286" s="62"/>
      <c r="B286" s="62" t="s">
        <v>1</v>
      </c>
      <c r="C286" s="93" t="s">
        <v>2</v>
      </c>
      <c r="D286" s="117" t="s">
        <v>34</v>
      </c>
      <c r="E286" s="95" t="s">
        <v>3</v>
      </c>
      <c r="F286" s="93" t="s">
        <v>4</v>
      </c>
      <c r="G286" s="96" t="s">
        <v>18</v>
      </c>
      <c r="H286" s="96" t="s">
        <v>18</v>
      </c>
      <c r="I286" s="97" t="s">
        <v>7</v>
      </c>
      <c r="J286" s="96" t="s">
        <v>6</v>
      </c>
      <c r="K286" s="96" t="s">
        <v>29</v>
      </c>
      <c r="L286" s="96" t="s">
        <v>21</v>
      </c>
      <c r="M286" s="96" t="s">
        <v>8</v>
      </c>
      <c r="N286" s="96" t="s">
        <v>8</v>
      </c>
      <c r="O286" s="96" t="s">
        <v>9</v>
      </c>
      <c r="P286" s="62" t="s">
        <v>10</v>
      </c>
      <c r="Q286" s="98" t="s">
        <v>33</v>
      </c>
    </row>
    <row r="287" spans="1:18">
      <c r="A287" s="99"/>
      <c r="B287" s="99"/>
      <c r="C287" s="100"/>
      <c r="D287" s="101"/>
      <c r="E287" s="102"/>
      <c r="F287" s="100"/>
      <c r="G287" s="103" t="s">
        <v>12</v>
      </c>
      <c r="H287" s="103"/>
      <c r="I287" s="103" t="s">
        <v>19</v>
      </c>
      <c r="J287" s="103" t="s">
        <v>35</v>
      </c>
      <c r="K287" s="103" t="s">
        <v>22</v>
      </c>
      <c r="L287" s="103" t="s">
        <v>15</v>
      </c>
      <c r="M287" s="103" t="s">
        <v>13</v>
      </c>
      <c r="N287" s="103" t="s">
        <v>14</v>
      </c>
      <c r="O287" s="103" t="s">
        <v>12</v>
      </c>
      <c r="P287" s="99"/>
      <c r="Q287" s="104"/>
    </row>
    <row r="288" spans="1:18">
      <c r="A288" s="99"/>
      <c r="B288" s="99"/>
      <c r="C288" s="105"/>
      <c r="D288" s="101"/>
      <c r="E288" s="102"/>
      <c r="F288" s="100"/>
      <c r="G288" s="103" t="s">
        <v>409</v>
      </c>
      <c r="H288" s="103"/>
      <c r="I288" s="103" t="s">
        <v>5</v>
      </c>
      <c r="J288" s="103"/>
      <c r="K288" s="103"/>
      <c r="L288" s="103"/>
      <c r="M288" s="103"/>
      <c r="N288" s="103"/>
      <c r="O288" s="103"/>
      <c r="P288" s="99"/>
      <c r="Q288" s="104"/>
    </row>
    <row r="289" spans="1:17">
      <c r="A289" s="106"/>
      <c r="B289" s="106"/>
      <c r="C289" s="107"/>
      <c r="D289" s="108"/>
      <c r="E289" s="109"/>
      <c r="F289" s="110"/>
      <c r="G289" s="111"/>
      <c r="H289" s="112"/>
      <c r="I289" s="111"/>
      <c r="J289" s="111"/>
      <c r="K289" s="113"/>
      <c r="L289" s="108"/>
      <c r="M289" s="111"/>
      <c r="N289" s="111"/>
      <c r="O289" s="111"/>
      <c r="P289" s="106"/>
      <c r="Q289" s="114"/>
    </row>
    <row r="290" spans="1:17" ht="15.75">
      <c r="A290" s="52"/>
      <c r="B290" s="47"/>
      <c r="C290" s="48"/>
      <c r="D290" s="73"/>
      <c r="E290" s="17"/>
      <c r="F290" s="48"/>
      <c r="G290" s="36"/>
      <c r="H290" s="36"/>
      <c r="I290" s="36"/>
      <c r="J290" s="36"/>
      <c r="K290" s="8"/>
      <c r="M290" s="8"/>
      <c r="N290" s="8"/>
      <c r="O290" s="8"/>
      <c r="P290" s="35"/>
      <c r="Q290" s="37"/>
    </row>
    <row r="291" spans="1:17" ht="15.75">
      <c r="A291" s="52">
        <v>1</v>
      </c>
      <c r="B291" s="51" t="s">
        <v>461</v>
      </c>
      <c r="C291" s="48" t="s">
        <v>462</v>
      </c>
      <c r="D291" s="67" t="s">
        <v>463</v>
      </c>
      <c r="E291" s="17">
        <v>43234</v>
      </c>
      <c r="F291" s="20" t="s">
        <v>464</v>
      </c>
      <c r="G291" s="36">
        <v>34117724</v>
      </c>
      <c r="H291" s="36">
        <v>0</v>
      </c>
      <c r="I291" s="8">
        <v>852943</v>
      </c>
      <c r="J291" s="8">
        <v>425353</v>
      </c>
      <c r="K291" s="8">
        <v>158823</v>
      </c>
      <c r="L291" s="8">
        <v>200000</v>
      </c>
      <c r="M291" s="8">
        <f>SUM(G291:L291)</f>
        <v>35754843</v>
      </c>
      <c r="N291" s="8">
        <f>50000000-M291</f>
        <v>14245157</v>
      </c>
      <c r="O291" s="8">
        <f t="shared" ref="O291" si="43">+M291+N291</f>
        <v>50000000</v>
      </c>
      <c r="P291" s="59" t="s">
        <v>292</v>
      </c>
      <c r="Q291" s="60" t="s">
        <v>52</v>
      </c>
    </row>
    <row r="292" spans="1:17" ht="15.75">
      <c r="A292" s="52"/>
      <c r="B292" s="51"/>
      <c r="C292" s="48"/>
      <c r="E292" s="17"/>
      <c r="F292" s="48"/>
      <c r="G292" s="36"/>
      <c r="H292" s="36"/>
      <c r="I292" s="36"/>
      <c r="J292" s="36"/>
      <c r="K292" s="36"/>
      <c r="M292" s="8"/>
      <c r="N292" s="8"/>
      <c r="O292" s="8"/>
      <c r="P292" s="59"/>
      <c r="Q292" s="66"/>
    </row>
    <row r="293" spans="1:17" ht="16.5" thickBot="1">
      <c r="A293" s="18"/>
      <c r="B293" s="55"/>
      <c r="C293" s="56"/>
      <c r="D293" s="74"/>
      <c r="E293" s="56"/>
      <c r="F293" s="57"/>
      <c r="G293" s="19">
        <f t="shared" ref="G293" si="44">SUM(G291:G292)</f>
        <v>34117724</v>
      </c>
      <c r="H293" s="19">
        <f t="shared" ref="H293:O293" si="45">SUM(H291:H292)</f>
        <v>0</v>
      </c>
      <c r="I293" s="19">
        <f t="shared" si="45"/>
        <v>852943</v>
      </c>
      <c r="J293" s="19">
        <f t="shared" si="45"/>
        <v>425353</v>
      </c>
      <c r="K293" s="19">
        <f t="shared" si="45"/>
        <v>158823</v>
      </c>
      <c r="L293" s="19">
        <f t="shared" si="45"/>
        <v>200000</v>
      </c>
      <c r="M293" s="19">
        <f t="shared" si="45"/>
        <v>35754843</v>
      </c>
      <c r="N293" s="19">
        <f t="shared" si="45"/>
        <v>14245157</v>
      </c>
      <c r="O293" s="19">
        <f t="shared" si="45"/>
        <v>50000000</v>
      </c>
      <c r="P293" s="68"/>
      <c r="Q293" s="70"/>
    </row>
    <row r="294" spans="1:17" ht="16.5" hidden="1" thickTop="1">
      <c r="A294" s="23"/>
      <c r="B294" s="22"/>
      <c r="C294" s="22"/>
      <c r="D294" s="23"/>
      <c r="E294" s="22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2"/>
      <c r="Q294" s="69"/>
    </row>
    <row r="295" spans="1:17" ht="15.75" hidden="1">
      <c r="A295" s="23"/>
      <c r="B295" s="28" t="s">
        <v>432</v>
      </c>
      <c r="C295" s="22"/>
      <c r="D295" s="39"/>
      <c r="F295" s="27"/>
      <c r="G295" s="28"/>
      <c r="H295" s="28"/>
      <c r="I295" s="28"/>
      <c r="J295" s="28"/>
      <c r="K295" s="28"/>
      <c r="L295" s="28"/>
      <c r="Q295" s="51"/>
    </row>
    <row r="296" spans="1:17" ht="15.75" hidden="1">
      <c r="A296" s="38"/>
      <c r="B296" s="40" t="s">
        <v>32</v>
      </c>
      <c r="C296" s="28" t="s">
        <v>28</v>
      </c>
      <c r="D296" s="39"/>
      <c r="F296" s="41"/>
      <c r="G296" s="127" t="s">
        <v>26</v>
      </c>
      <c r="H296" s="127"/>
      <c r="I296" s="127"/>
      <c r="K296" s="41"/>
    </row>
    <row r="297" spans="1:17" ht="15.75" hidden="1">
      <c r="A297" s="38"/>
      <c r="B297" s="40"/>
      <c r="C297" s="28"/>
      <c r="D297" s="39"/>
      <c r="F297" s="28"/>
      <c r="G297" s="28"/>
      <c r="H297" s="28"/>
      <c r="I297" s="28"/>
      <c r="J297" s="28"/>
      <c r="K297" s="28"/>
      <c r="L297" s="28"/>
    </row>
    <row r="298" spans="1:17" ht="15.75" hidden="1">
      <c r="A298" s="38"/>
      <c r="B298" s="40"/>
      <c r="C298" s="28"/>
      <c r="D298" s="39"/>
      <c r="F298" s="28"/>
      <c r="G298" s="28"/>
      <c r="H298" s="28"/>
      <c r="I298" s="28"/>
      <c r="J298" s="28"/>
      <c r="K298" s="28"/>
      <c r="L298" s="28"/>
    </row>
    <row r="299" spans="1:17" ht="15.75" hidden="1">
      <c r="A299" s="38"/>
      <c r="B299" s="40"/>
      <c r="C299" s="28"/>
      <c r="D299" s="39"/>
      <c r="F299" s="28"/>
      <c r="G299" s="28"/>
      <c r="H299" s="28"/>
      <c r="I299" s="28"/>
      <c r="J299" s="28"/>
      <c r="K299" s="28"/>
    </row>
    <row r="300" spans="1:17" ht="15.75" hidden="1">
      <c r="A300" s="38"/>
      <c r="B300" s="40"/>
      <c r="C300" s="28"/>
      <c r="D300" s="39"/>
      <c r="F300" s="28"/>
      <c r="G300" s="28"/>
      <c r="H300" s="28"/>
      <c r="I300" s="28"/>
      <c r="J300" s="28"/>
      <c r="K300" s="28"/>
      <c r="L300" s="28"/>
    </row>
    <row r="301" spans="1:17" ht="15.75" hidden="1">
      <c r="A301" s="38" t="s">
        <v>23</v>
      </c>
      <c r="B301" s="42" t="s">
        <v>27</v>
      </c>
      <c r="C301" s="43" t="s">
        <v>24</v>
      </c>
      <c r="D301" s="39"/>
      <c r="F301" s="29"/>
      <c r="G301" s="29" t="s">
        <v>16</v>
      </c>
      <c r="H301" s="29"/>
      <c r="I301" s="29" t="s">
        <v>30</v>
      </c>
    </row>
    <row r="302" spans="1:17" ht="15.75" hidden="1">
      <c r="A302" s="38"/>
      <c r="B302" s="44" t="s">
        <v>31</v>
      </c>
      <c r="C302" s="45" t="s">
        <v>20</v>
      </c>
      <c r="D302" s="39"/>
      <c r="F302" s="46"/>
      <c r="G302" s="46" t="s">
        <v>17</v>
      </c>
      <c r="H302" s="46"/>
      <c r="I302" s="46" t="s">
        <v>25</v>
      </c>
    </row>
    <row r="303" spans="1:17" hidden="1"/>
    <row r="304" spans="1:17" ht="16.5" thickTop="1">
      <c r="A304" s="21" t="s">
        <v>0</v>
      </c>
      <c r="B304" s="22"/>
      <c r="C304" s="23"/>
      <c r="D304" s="23"/>
      <c r="E304" s="23"/>
      <c r="F304" s="24"/>
      <c r="G304" s="24"/>
      <c r="H304" s="24"/>
      <c r="I304" s="24"/>
      <c r="J304" s="24"/>
      <c r="K304" s="24"/>
      <c r="L304" s="25"/>
    </row>
    <row r="305" spans="1:17" ht="15.75">
      <c r="A305" s="26" t="s">
        <v>443</v>
      </c>
      <c r="B305" s="21"/>
      <c r="C305" s="21"/>
      <c r="D305" s="21"/>
      <c r="E305" s="21"/>
      <c r="F305" s="24"/>
      <c r="G305" s="24"/>
      <c r="H305" s="24"/>
      <c r="I305" s="24"/>
      <c r="J305" s="24"/>
      <c r="K305" s="24"/>
      <c r="L305" s="25"/>
    </row>
    <row r="306" spans="1:17">
      <c r="A306" s="62"/>
      <c r="B306" s="62" t="s">
        <v>1</v>
      </c>
      <c r="C306" s="93" t="s">
        <v>2</v>
      </c>
      <c r="D306" s="117" t="s">
        <v>34</v>
      </c>
      <c r="E306" s="95" t="s">
        <v>3</v>
      </c>
      <c r="F306" s="93" t="s">
        <v>4</v>
      </c>
      <c r="G306" s="96" t="s">
        <v>18</v>
      </c>
      <c r="H306" s="96" t="s">
        <v>18</v>
      </c>
      <c r="I306" s="97" t="s">
        <v>7</v>
      </c>
      <c r="J306" s="96" t="s">
        <v>6</v>
      </c>
      <c r="K306" s="96" t="s">
        <v>29</v>
      </c>
      <c r="L306" s="96" t="s">
        <v>21</v>
      </c>
      <c r="M306" s="96" t="s">
        <v>8</v>
      </c>
      <c r="N306" s="96" t="s">
        <v>8</v>
      </c>
      <c r="O306" s="96" t="s">
        <v>9</v>
      </c>
      <c r="P306" s="62" t="s">
        <v>10</v>
      </c>
      <c r="Q306" s="98" t="s">
        <v>33</v>
      </c>
    </row>
    <row r="307" spans="1:17">
      <c r="A307" s="99"/>
      <c r="B307" s="99"/>
      <c r="C307" s="100"/>
      <c r="D307" s="101"/>
      <c r="E307" s="102"/>
      <c r="F307" s="100"/>
      <c r="G307" s="103" t="s">
        <v>12</v>
      </c>
      <c r="H307" s="103"/>
      <c r="I307" s="103" t="s">
        <v>19</v>
      </c>
      <c r="J307" s="103" t="s">
        <v>35</v>
      </c>
      <c r="K307" s="103" t="s">
        <v>22</v>
      </c>
      <c r="L307" s="103" t="s">
        <v>15</v>
      </c>
      <c r="M307" s="103" t="s">
        <v>13</v>
      </c>
      <c r="N307" s="103" t="s">
        <v>14</v>
      </c>
      <c r="O307" s="103" t="s">
        <v>12</v>
      </c>
      <c r="P307" s="99"/>
      <c r="Q307" s="104"/>
    </row>
    <row r="308" spans="1:17">
      <c r="A308" s="99"/>
      <c r="B308" s="99"/>
      <c r="C308" s="105"/>
      <c r="D308" s="101"/>
      <c r="E308" s="102"/>
      <c r="F308" s="100"/>
      <c r="G308" s="103" t="s">
        <v>409</v>
      </c>
      <c r="H308" s="103"/>
      <c r="I308" s="103" t="s">
        <v>5</v>
      </c>
      <c r="J308" s="103"/>
      <c r="K308" s="103"/>
      <c r="L308" s="103"/>
      <c r="M308" s="103"/>
      <c r="N308" s="103"/>
      <c r="O308" s="103"/>
      <c r="P308" s="99"/>
      <c r="Q308" s="104"/>
    </row>
    <row r="309" spans="1:17">
      <c r="A309" s="106"/>
      <c r="B309" s="106"/>
      <c r="C309" s="107"/>
      <c r="D309" s="108"/>
      <c r="E309" s="109"/>
      <c r="F309" s="110"/>
      <c r="G309" s="111"/>
      <c r="H309" s="112"/>
      <c r="I309" s="111"/>
      <c r="J309" s="111"/>
      <c r="K309" s="113"/>
      <c r="L309" s="108"/>
      <c r="M309" s="111"/>
      <c r="N309" s="111"/>
      <c r="O309" s="111"/>
      <c r="P309" s="106"/>
      <c r="Q309" s="114"/>
    </row>
    <row r="310" spans="1:17" ht="15.75">
      <c r="A310" s="52"/>
      <c r="B310" s="47"/>
      <c r="C310" s="48"/>
      <c r="D310" s="73"/>
      <c r="E310" s="17"/>
      <c r="F310" s="48"/>
      <c r="G310" s="36"/>
      <c r="H310" s="36"/>
      <c r="I310" s="36"/>
      <c r="J310" s="36"/>
      <c r="K310" s="8"/>
      <c r="M310" s="8"/>
      <c r="N310" s="8"/>
      <c r="O310" s="8"/>
      <c r="P310" s="35"/>
      <c r="Q310" s="37"/>
    </row>
    <row r="311" spans="1:17" ht="15.75">
      <c r="A311" s="52">
        <v>1</v>
      </c>
      <c r="B311" s="51" t="s">
        <v>465</v>
      </c>
      <c r="C311" s="48" t="s">
        <v>466</v>
      </c>
      <c r="D311" s="67" t="s">
        <v>467</v>
      </c>
      <c r="E311" s="17">
        <v>43234</v>
      </c>
      <c r="F311" s="20" t="s">
        <v>468</v>
      </c>
      <c r="G311" s="36">
        <v>32349500</v>
      </c>
      <c r="H311" s="36">
        <v>0</v>
      </c>
      <c r="I311" s="8">
        <v>808738</v>
      </c>
      <c r="J311" s="8">
        <v>449677</v>
      </c>
      <c r="K311" s="8">
        <v>76505</v>
      </c>
      <c r="L311" s="8">
        <v>200000</v>
      </c>
      <c r="M311" s="8">
        <f>SUM(G311:L311)</f>
        <v>33884420</v>
      </c>
      <c r="N311" s="8">
        <f>40000000-M311</f>
        <v>6115580</v>
      </c>
      <c r="O311" s="8">
        <f t="shared" ref="O311" si="46">+M311+N311</f>
        <v>40000000</v>
      </c>
      <c r="P311" s="59" t="s">
        <v>292</v>
      </c>
      <c r="Q311" s="60" t="s">
        <v>52</v>
      </c>
    </row>
    <row r="312" spans="1:17" ht="15.75">
      <c r="A312" s="52"/>
      <c r="B312" s="51"/>
      <c r="C312" s="48"/>
      <c r="E312" s="17"/>
      <c r="F312" s="48"/>
      <c r="G312" s="36"/>
      <c r="H312" s="36"/>
      <c r="I312" s="36"/>
      <c r="J312" s="36"/>
      <c r="K312" s="36"/>
      <c r="M312" s="8"/>
      <c r="N312" s="8"/>
      <c r="O312" s="8"/>
      <c r="P312" s="59"/>
      <c r="Q312" s="66"/>
    </row>
    <row r="313" spans="1:17" ht="16.5" thickBot="1">
      <c r="A313" s="18"/>
      <c r="B313" s="55"/>
      <c r="C313" s="56"/>
      <c r="D313" s="74"/>
      <c r="E313" s="56"/>
      <c r="F313" s="57"/>
      <c r="G313" s="19">
        <f t="shared" ref="G313" si="47">SUM(G311:G312)</f>
        <v>32349500</v>
      </c>
      <c r="H313" s="19">
        <f t="shared" ref="H313:O313" si="48">SUM(H311:H312)</f>
        <v>0</v>
      </c>
      <c r="I313" s="19">
        <f t="shared" si="48"/>
        <v>808738</v>
      </c>
      <c r="J313" s="19">
        <f t="shared" si="48"/>
        <v>449677</v>
      </c>
      <c r="K313" s="19">
        <f t="shared" si="48"/>
        <v>76505</v>
      </c>
      <c r="L313" s="19">
        <f t="shared" si="48"/>
        <v>200000</v>
      </c>
      <c r="M313" s="19">
        <f t="shared" si="48"/>
        <v>33884420</v>
      </c>
      <c r="N313" s="19">
        <f t="shared" si="48"/>
        <v>6115580</v>
      </c>
      <c r="O313" s="19">
        <f t="shared" si="48"/>
        <v>40000000</v>
      </c>
      <c r="P313" s="68"/>
      <c r="Q313" s="70"/>
    </row>
    <row r="314" spans="1:17" ht="16.5" hidden="1" thickTop="1">
      <c r="A314" s="23"/>
      <c r="B314" s="22"/>
      <c r="C314" s="22"/>
      <c r="D314" s="23"/>
      <c r="E314" s="22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2"/>
      <c r="Q314" s="69"/>
    </row>
    <row r="315" spans="1:17" ht="15.75" hidden="1">
      <c r="A315" s="23"/>
      <c r="B315" s="28" t="s">
        <v>448</v>
      </c>
      <c r="C315" s="22"/>
      <c r="D315" s="39"/>
      <c r="F315" s="27"/>
      <c r="G315" s="28"/>
      <c r="H315" s="28"/>
      <c r="I315" s="28"/>
      <c r="J315" s="28"/>
      <c r="K315" s="28"/>
      <c r="L315" s="28"/>
      <c r="Q315" s="51"/>
    </row>
    <row r="316" spans="1:17" ht="15.75" hidden="1">
      <c r="A316" s="38"/>
      <c r="B316" s="40" t="s">
        <v>32</v>
      </c>
      <c r="C316" s="28" t="s">
        <v>28</v>
      </c>
      <c r="D316" s="39"/>
      <c r="F316" s="41"/>
      <c r="G316" s="127" t="s">
        <v>26</v>
      </c>
      <c r="H316" s="127"/>
      <c r="I316" s="127"/>
      <c r="K316" s="41"/>
    </row>
    <row r="317" spans="1:17" ht="15.75" hidden="1">
      <c r="A317" s="38"/>
      <c r="B317" s="40"/>
      <c r="C317" s="28"/>
      <c r="D317" s="39"/>
      <c r="F317" s="28"/>
      <c r="G317" s="28"/>
      <c r="H317" s="28"/>
      <c r="I317" s="28"/>
      <c r="J317" s="28"/>
      <c r="K317" s="28"/>
      <c r="L317" s="28"/>
    </row>
    <row r="318" spans="1:17" ht="15.75" hidden="1">
      <c r="A318" s="38"/>
      <c r="B318" s="40"/>
      <c r="C318" s="28"/>
      <c r="D318" s="39"/>
      <c r="F318" s="28"/>
      <c r="G318" s="28"/>
      <c r="H318" s="28"/>
      <c r="I318" s="28"/>
      <c r="J318" s="28"/>
      <c r="K318" s="28"/>
      <c r="L318" s="28"/>
    </row>
    <row r="319" spans="1:17" ht="15.75" hidden="1">
      <c r="A319" s="38"/>
      <c r="B319" s="40"/>
      <c r="C319" s="28"/>
      <c r="D319" s="39"/>
      <c r="F319" s="28"/>
      <c r="G319" s="28"/>
      <c r="H319" s="28"/>
      <c r="I319" s="28"/>
      <c r="J319" s="28"/>
      <c r="K319" s="28"/>
    </row>
    <row r="320" spans="1:17" ht="15.75" hidden="1">
      <c r="A320" s="38"/>
      <c r="B320" s="40"/>
      <c r="C320" s="28"/>
      <c r="D320" s="39"/>
      <c r="F320" s="28"/>
      <c r="G320" s="28"/>
      <c r="H320" s="28"/>
      <c r="I320" s="28"/>
      <c r="J320" s="28"/>
      <c r="K320" s="28"/>
      <c r="L320" s="28"/>
    </row>
    <row r="321" spans="1:17" ht="15.75" hidden="1">
      <c r="A321" s="38" t="s">
        <v>23</v>
      </c>
      <c r="B321" s="42" t="s">
        <v>27</v>
      </c>
      <c r="C321" s="43" t="s">
        <v>24</v>
      </c>
      <c r="D321" s="39"/>
      <c r="F321" s="29"/>
      <c r="G321" s="29" t="s">
        <v>16</v>
      </c>
      <c r="H321" s="29"/>
      <c r="I321" s="29" t="s">
        <v>30</v>
      </c>
    </row>
    <row r="322" spans="1:17" ht="15.75" hidden="1">
      <c r="A322" s="38"/>
      <c r="B322" s="44" t="s">
        <v>31</v>
      </c>
      <c r="C322" s="45" t="s">
        <v>20</v>
      </c>
      <c r="D322" s="39"/>
      <c r="F322" s="46"/>
      <c r="G322" s="46" t="s">
        <v>17</v>
      </c>
      <c r="H322" s="46"/>
      <c r="I322" s="46" t="s">
        <v>25</v>
      </c>
    </row>
    <row r="323" spans="1:17" hidden="1"/>
    <row r="324" spans="1:17" ht="16.5" thickTop="1">
      <c r="A324" s="21" t="s">
        <v>0</v>
      </c>
      <c r="B324" s="22"/>
      <c r="C324" s="23"/>
      <c r="D324" s="23"/>
      <c r="E324" s="23"/>
      <c r="F324" s="24"/>
      <c r="G324" s="24"/>
      <c r="H324" s="24"/>
      <c r="I324" s="24"/>
      <c r="J324" s="24"/>
      <c r="K324" s="24"/>
      <c r="L324" s="25"/>
    </row>
    <row r="325" spans="1:17" ht="15.75">
      <c r="A325" s="26" t="s">
        <v>443</v>
      </c>
      <c r="B325" s="21"/>
      <c r="C325" s="21"/>
      <c r="D325" s="21"/>
      <c r="E325" s="21"/>
      <c r="F325" s="24"/>
      <c r="G325" s="24"/>
      <c r="H325" s="24"/>
      <c r="I325" s="24"/>
      <c r="J325" s="24"/>
      <c r="K325" s="24"/>
      <c r="L325" s="25"/>
    </row>
    <row r="326" spans="1:17">
      <c r="A326" s="62"/>
      <c r="B326" s="62" t="s">
        <v>1</v>
      </c>
      <c r="C326" s="93" t="s">
        <v>2</v>
      </c>
      <c r="D326" s="117" t="s">
        <v>34</v>
      </c>
      <c r="E326" s="95" t="s">
        <v>3</v>
      </c>
      <c r="F326" s="93" t="s">
        <v>4</v>
      </c>
      <c r="G326" s="96" t="s">
        <v>18</v>
      </c>
      <c r="H326" s="96" t="s">
        <v>18</v>
      </c>
      <c r="I326" s="97" t="s">
        <v>7</v>
      </c>
      <c r="J326" s="96" t="s">
        <v>6</v>
      </c>
      <c r="K326" s="96" t="s">
        <v>29</v>
      </c>
      <c r="L326" s="96" t="s">
        <v>21</v>
      </c>
      <c r="M326" s="96" t="s">
        <v>8</v>
      </c>
      <c r="N326" s="96" t="s">
        <v>8</v>
      </c>
      <c r="O326" s="96" t="s">
        <v>9</v>
      </c>
      <c r="P326" s="62" t="s">
        <v>10</v>
      </c>
      <c r="Q326" s="98" t="s">
        <v>33</v>
      </c>
    </row>
    <row r="327" spans="1:17">
      <c r="A327" s="99"/>
      <c r="B327" s="99"/>
      <c r="C327" s="100"/>
      <c r="D327" s="101"/>
      <c r="E327" s="102"/>
      <c r="F327" s="100"/>
      <c r="G327" s="103" t="s">
        <v>12</v>
      </c>
      <c r="H327" s="103" t="s">
        <v>12</v>
      </c>
      <c r="I327" s="103" t="s">
        <v>19</v>
      </c>
      <c r="J327" s="103" t="s">
        <v>35</v>
      </c>
      <c r="K327" s="103" t="s">
        <v>22</v>
      </c>
      <c r="L327" s="103" t="s">
        <v>15</v>
      </c>
      <c r="M327" s="103" t="s">
        <v>13</v>
      </c>
      <c r="N327" s="103" t="s">
        <v>14</v>
      </c>
      <c r="O327" s="103" t="s">
        <v>12</v>
      </c>
      <c r="P327" s="99"/>
      <c r="Q327" s="104"/>
    </row>
    <row r="328" spans="1:17">
      <c r="A328" s="99"/>
      <c r="B328" s="99"/>
      <c r="C328" s="105"/>
      <c r="D328" s="101"/>
      <c r="E328" s="102"/>
      <c r="F328" s="100"/>
      <c r="G328" s="103" t="s">
        <v>81</v>
      </c>
      <c r="H328" s="103" t="s">
        <v>409</v>
      </c>
      <c r="I328" s="103" t="s">
        <v>5</v>
      </c>
      <c r="J328" s="103"/>
      <c r="K328" s="103"/>
      <c r="L328" s="103"/>
      <c r="M328" s="103"/>
      <c r="N328" s="103"/>
      <c r="O328" s="103"/>
      <c r="P328" s="99"/>
      <c r="Q328" s="104"/>
    </row>
    <row r="329" spans="1:17">
      <c r="A329" s="106"/>
      <c r="B329" s="106"/>
      <c r="C329" s="107"/>
      <c r="D329" s="108"/>
      <c r="E329" s="109"/>
      <c r="F329" s="110"/>
      <c r="G329" s="111"/>
      <c r="H329" s="112"/>
      <c r="I329" s="111"/>
      <c r="J329" s="111"/>
      <c r="K329" s="113"/>
      <c r="L329" s="108"/>
      <c r="M329" s="111"/>
      <c r="N329" s="111"/>
      <c r="O329" s="111"/>
      <c r="P329" s="106"/>
      <c r="Q329" s="114"/>
    </row>
    <row r="330" spans="1:17" ht="15.75">
      <c r="A330" s="52"/>
      <c r="B330" s="47"/>
      <c r="C330" s="48"/>
      <c r="D330" s="73"/>
      <c r="E330" s="17"/>
      <c r="F330" s="48"/>
      <c r="G330" s="36"/>
      <c r="H330" s="36"/>
      <c r="I330" s="36"/>
      <c r="J330" s="36"/>
      <c r="K330" s="8"/>
      <c r="M330" s="8"/>
      <c r="N330" s="8"/>
      <c r="O330" s="8"/>
      <c r="P330" s="35"/>
      <c r="Q330" s="37"/>
    </row>
    <row r="331" spans="1:17" ht="15.75">
      <c r="A331" s="52">
        <v>1</v>
      </c>
      <c r="B331" s="51" t="s">
        <v>469</v>
      </c>
      <c r="C331" s="48" t="s">
        <v>470</v>
      </c>
      <c r="D331" s="67" t="s">
        <v>471</v>
      </c>
      <c r="E331" s="17">
        <v>43234</v>
      </c>
      <c r="F331" s="20" t="s">
        <v>472</v>
      </c>
      <c r="G331" s="36">
        <v>913584</v>
      </c>
      <c r="H331" s="36">
        <v>29166000</v>
      </c>
      <c r="I331" s="8">
        <v>751990</v>
      </c>
      <c r="J331" s="8">
        <v>446227</v>
      </c>
      <c r="K331" s="8">
        <v>449204</v>
      </c>
      <c r="L331" s="8">
        <v>200000</v>
      </c>
      <c r="M331" s="8">
        <f>SUM(G331:L331)</f>
        <v>31927005</v>
      </c>
      <c r="N331" s="8">
        <f>75000000-M331</f>
        <v>43072995</v>
      </c>
      <c r="O331" s="8">
        <f t="shared" ref="O331" si="49">+M331+N331</f>
        <v>75000000</v>
      </c>
      <c r="P331" s="59" t="s">
        <v>192</v>
      </c>
      <c r="Q331" s="60" t="s">
        <v>52</v>
      </c>
    </row>
    <row r="332" spans="1:17" ht="15.75">
      <c r="A332" s="52"/>
      <c r="B332" s="51"/>
      <c r="C332" s="48"/>
      <c r="E332" s="17"/>
      <c r="F332" s="48"/>
      <c r="G332" s="36"/>
      <c r="H332" s="36"/>
      <c r="I332" s="36"/>
      <c r="J332" s="36"/>
      <c r="K332" s="36"/>
      <c r="M332" s="8"/>
      <c r="N332" s="8"/>
      <c r="O332" s="8"/>
      <c r="P332" s="59"/>
      <c r="Q332" s="66"/>
    </row>
    <row r="333" spans="1:17" ht="16.5" thickBot="1">
      <c r="A333" s="18"/>
      <c r="B333" s="55"/>
      <c r="C333" s="56"/>
      <c r="D333" s="74"/>
      <c r="E333" s="56"/>
      <c r="F333" s="57"/>
      <c r="G333" s="19">
        <f t="shared" ref="G333" si="50">SUM(G331:G332)</f>
        <v>913584</v>
      </c>
      <c r="H333" s="19">
        <f t="shared" ref="H333:O333" si="51">SUM(H331:H332)</f>
        <v>29166000</v>
      </c>
      <c r="I333" s="19">
        <f t="shared" si="51"/>
        <v>751990</v>
      </c>
      <c r="J333" s="19">
        <f t="shared" si="51"/>
        <v>446227</v>
      </c>
      <c r="K333" s="19">
        <f t="shared" si="51"/>
        <v>449204</v>
      </c>
      <c r="L333" s="19">
        <f t="shared" si="51"/>
        <v>200000</v>
      </c>
      <c r="M333" s="19">
        <f t="shared" si="51"/>
        <v>31927005</v>
      </c>
      <c r="N333" s="19">
        <f t="shared" si="51"/>
        <v>43072995</v>
      </c>
      <c r="O333" s="19">
        <f t="shared" si="51"/>
        <v>75000000</v>
      </c>
      <c r="P333" s="68"/>
      <c r="Q333" s="70"/>
    </row>
    <row r="334" spans="1:17" ht="16.5" hidden="1" thickTop="1">
      <c r="A334" s="23"/>
      <c r="B334" s="22"/>
      <c r="C334" s="22"/>
      <c r="D334" s="23"/>
      <c r="E334" s="22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2"/>
      <c r="Q334" s="69"/>
    </row>
    <row r="335" spans="1:17" ht="15.75" hidden="1">
      <c r="A335" s="23"/>
      <c r="B335" s="28" t="s">
        <v>448</v>
      </c>
      <c r="C335" s="22"/>
      <c r="D335" s="39"/>
      <c r="F335" s="27"/>
      <c r="G335" s="28"/>
      <c r="H335" s="28"/>
      <c r="I335" s="28"/>
      <c r="J335" s="28"/>
      <c r="K335" s="28"/>
      <c r="L335" s="28"/>
      <c r="Q335" s="51"/>
    </row>
    <row r="336" spans="1:17" ht="15.75" hidden="1">
      <c r="A336" s="38"/>
      <c r="B336" s="40" t="s">
        <v>32</v>
      </c>
      <c r="C336" s="28" t="s">
        <v>28</v>
      </c>
      <c r="D336" s="39"/>
      <c r="F336" s="41"/>
      <c r="G336" s="127" t="s">
        <v>26</v>
      </c>
      <c r="H336" s="127"/>
      <c r="I336" s="127"/>
      <c r="K336" s="41"/>
    </row>
    <row r="337" spans="1:18" ht="15.75" hidden="1">
      <c r="A337" s="38"/>
      <c r="B337" s="40"/>
      <c r="C337" s="28"/>
      <c r="D337" s="39"/>
      <c r="F337" s="28"/>
      <c r="G337" s="28"/>
      <c r="H337" s="28"/>
      <c r="I337" s="28"/>
      <c r="J337" s="28"/>
      <c r="K337" s="28"/>
      <c r="L337" s="28"/>
    </row>
    <row r="338" spans="1:18" ht="15.75" hidden="1">
      <c r="A338" s="38"/>
      <c r="B338" s="40"/>
      <c r="C338" s="28"/>
      <c r="D338" s="39"/>
      <c r="F338" s="28"/>
      <c r="G338" s="28"/>
      <c r="H338" s="28"/>
      <c r="I338" s="28"/>
      <c r="J338" s="28"/>
      <c r="K338" s="28"/>
      <c r="L338" s="28"/>
    </row>
    <row r="339" spans="1:18" ht="15.75" hidden="1">
      <c r="A339" s="38"/>
      <c r="B339" s="40"/>
      <c r="C339" s="28"/>
      <c r="D339" s="39"/>
      <c r="F339" s="28"/>
      <c r="G339" s="28"/>
      <c r="H339" s="28"/>
      <c r="I339" s="28"/>
      <c r="J339" s="28"/>
      <c r="K339" s="28"/>
    </row>
    <row r="340" spans="1:18" ht="15.75" hidden="1">
      <c r="A340" s="38"/>
      <c r="B340" s="40"/>
      <c r="C340" s="28"/>
      <c r="D340" s="39"/>
      <c r="F340" s="28"/>
      <c r="G340" s="28"/>
      <c r="H340" s="28"/>
      <c r="I340" s="28"/>
      <c r="J340" s="28"/>
      <c r="K340" s="28"/>
      <c r="L340" s="28"/>
    </row>
    <row r="341" spans="1:18" ht="15.75" hidden="1">
      <c r="A341" s="38" t="s">
        <v>23</v>
      </c>
      <c r="B341" s="42" t="s">
        <v>27</v>
      </c>
      <c r="C341" s="43" t="s">
        <v>24</v>
      </c>
      <c r="D341" s="39"/>
      <c r="F341" s="29"/>
      <c r="G341" s="29" t="s">
        <v>16</v>
      </c>
      <c r="H341" s="29"/>
      <c r="I341" s="29" t="s">
        <v>30</v>
      </c>
    </row>
    <row r="342" spans="1:18" ht="15.75" hidden="1">
      <c r="A342" s="38"/>
      <c r="B342" s="44" t="s">
        <v>31</v>
      </c>
      <c r="C342" s="45" t="s">
        <v>20</v>
      </c>
      <c r="D342" s="39"/>
      <c r="F342" s="46"/>
      <c r="G342" s="46" t="s">
        <v>17</v>
      </c>
      <c r="H342" s="46"/>
      <c r="I342" s="46" t="s">
        <v>25</v>
      </c>
    </row>
    <row r="343" spans="1:18" hidden="1"/>
    <row r="344" spans="1:18" ht="16.5" thickTop="1">
      <c r="A344" s="21" t="s">
        <v>0</v>
      </c>
      <c r="B344" s="22"/>
      <c r="C344" s="23"/>
      <c r="D344" s="23"/>
      <c r="E344" s="23"/>
      <c r="F344" s="24"/>
      <c r="G344" s="24"/>
      <c r="H344" s="24"/>
      <c r="I344" s="24"/>
      <c r="J344" s="24"/>
      <c r="K344" s="24"/>
      <c r="L344" s="25"/>
    </row>
    <row r="345" spans="1:18" ht="15.75">
      <c r="A345" s="26" t="s">
        <v>475</v>
      </c>
      <c r="B345" s="21"/>
      <c r="C345" s="21"/>
      <c r="D345" s="21"/>
      <c r="E345" s="21"/>
      <c r="F345" s="24"/>
      <c r="G345" s="24"/>
      <c r="H345" s="24"/>
      <c r="I345" s="24"/>
      <c r="J345" s="24"/>
      <c r="K345" s="24"/>
      <c r="L345" s="25"/>
    </row>
    <row r="346" spans="1:18">
      <c r="A346" s="62"/>
      <c r="B346" s="62" t="s">
        <v>1</v>
      </c>
      <c r="C346" s="93" t="s">
        <v>2</v>
      </c>
      <c r="D346" s="117" t="s">
        <v>34</v>
      </c>
      <c r="E346" s="95" t="s">
        <v>3</v>
      </c>
      <c r="F346" s="93" t="s">
        <v>4</v>
      </c>
      <c r="G346" s="96" t="s">
        <v>18</v>
      </c>
      <c r="H346" s="96" t="s">
        <v>18</v>
      </c>
      <c r="I346" s="96" t="s">
        <v>18</v>
      </c>
      <c r="J346" s="97" t="s">
        <v>7</v>
      </c>
      <c r="K346" s="96" t="s">
        <v>6</v>
      </c>
      <c r="L346" s="96" t="s">
        <v>29</v>
      </c>
      <c r="M346" s="96" t="s">
        <v>21</v>
      </c>
      <c r="N346" s="96" t="s">
        <v>8</v>
      </c>
      <c r="O346" s="96" t="s">
        <v>8</v>
      </c>
      <c r="P346" s="96" t="s">
        <v>9</v>
      </c>
      <c r="Q346" s="62" t="s">
        <v>10</v>
      </c>
      <c r="R346" s="98" t="s">
        <v>33</v>
      </c>
    </row>
    <row r="347" spans="1:18">
      <c r="A347" s="99"/>
      <c r="B347" s="99"/>
      <c r="C347" s="100"/>
      <c r="D347" s="101"/>
      <c r="E347" s="102"/>
      <c r="F347" s="100"/>
      <c r="G347" s="103" t="s">
        <v>12</v>
      </c>
      <c r="H347" s="103" t="s">
        <v>12</v>
      </c>
      <c r="I347" s="103" t="s">
        <v>12</v>
      </c>
      <c r="J347" s="119" t="s">
        <v>19</v>
      </c>
      <c r="K347" s="103" t="s">
        <v>35</v>
      </c>
      <c r="L347" s="103" t="s">
        <v>22</v>
      </c>
      <c r="M347" s="103" t="s">
        <v>15</v>
      </c>
      <c r="N347" s="103" t="s">
        <v>13</v>
      </c>
      <c r="O347" s="103" t="s">
        <v>14</v>
      </c>
      <c r="P347" s="103" t="s">
        <v>12</v>
      </c>
      <c r="Q347" s="99"/>
      <c r="R347" s="104"/>
    </row>
    <row r="348" spans="1:18">
      <c r="A348" s="99"/>
      <c r="B348" s="99"/>
      <c r="C348" s="105"/>
      <c r="D348" s="101"/>
      <c r="E348" s="102"/>
      <c r="F348" s="100"/>
      <c r="G348" s="103" t="s">
        <v>81</v>
      </c>
      <c r="H348" s="103" t="s">
        <v>41</v>
      </c>
      <c r="I348" s="103" t="s">
        <v>41</v>
      </c>
      <c r="J348" s="119" t="s">
        <v>5</v>
      </c>
      <c r="K348" s="103"/>
      <c r="L348" s="103"/>
      <c r="M348" s="103"/>
      <c r="N348" s="103"/>
      <c r="O348" s="103"/>
      <c r="P348" s="103"/>
      <c r="Q348" s="99"/>
      <c r="R348" s="104"/>
    </row>
    <row r="349" spans="1:18">
      <c r="A349" s="106"/>
      <c r="B349" s="106"/>
      <c r="C349" s="107"/>
      <c r="D349" s="108"/>
      <c r="E349" s="109"/>
      <c r="F349" s="110"/>
      <c r="G349" s="111"/>
      <c r="H349" s="112"/>
      <c r="I349" s="75"/>
      <c r="J349" s="120"/>
      <c r="K349" s="111"/>
      <c r="L349" s="113"/>
      <c r="M349" s="108"/>
      <c r="N349" s="111"/>
      <c r="O349" s="111"/>
      <c r="P349" s="111"/>
      <c r="Q349" s="106"/>
      <c r="R349" s="114"/>
    </row>
    <row r="350" spans="1:18" ht="15.75">
      <c r="A350" s="52"/>
      <c r="B350" s="47"/>
      <c r="C350" s="48"/>
      <c r="D350" s="73"/>
      <c r="E350" s="17"/>
      <c r="F350" s="48"/>
      <c r="G350" s="36"/>
      <c r="H350" s="36"/>
      <c r="I350" s="125"/>
      <c r="J350" s="36"/>
      <c r="K350" s="36"/>
      <c r="L350" s="8"/>
      <c r="N350" s="8"/>
      <c r="O350" s="8"/>
      <c r="P350" s="8"/>
      <c r="Q350" s="35"/>
      <c r="R350" s="37"/>
    </row>
    <row r="351" spans="1:18" ht="15.75">
      <c r="A351" s="52">
        <v>1</v>
      </c>
      <c r="B351" s="51" t="s">
        <v>231</v>
      </c>
      <c r="C351" s="48" t="s">
        <v>232</v>
      </c>
      <c r="D351" s="67" t="s">
        <v>473</v>
      </c>
      <c r="E351" s="17">
        <v>43235</v>
      </c>
      <c r="F351" s="20" t="s">
        <v>474</v>
      </c>
      <c r="G351" s="36">
        <v>3998000</v>
      </c>
      <c r="H351" s="36">
        <v>26660000</v>
      </c>
      <c r="I351" s="8">
        <v>9166666</v>
      </c>
      <c r="J351" s="8">
        <v>995617</v>
      </c>
      <c r="K351" s="8">
        <v>568000</v>
      </c>
      <c r="L351" s="8">
        <v>201753</v>
      </c>
      <c r="M351" s="8">
        <v>200000</v>
      </c>
      <c r="N351" s="8">
        <f>SUM(G351:M351)</f>
        <v>41790036</v>
      </c>
      <c r="O351" s="8">
        <f>60000000-N351</f>
        <v>18209964</v>
      </c>
      <c r="P351" s="8">
        <f t="shared" ref="P351" si="52">+N351+O351</f>
        <v>60000000</v>
      </c>
      <c r="Q351" s="77" t="s">
        <v>235</v>
      </c>
      <c r="R351" s="66" t="s">
        <v>52</v>
      </c>
    </row>
    <row r="352" spans="1:18" ht="15.75">
      <c r="A352" s="52"/>
      <c r="B352" s="51"/>
      <c r="C352" s="48"/>
      <c r="E352" s="17"/>
      <c r="F352" s="48"/>
      <c r="G352" s="36"/>
      <c r="H352" s="36"/>
      <c r="I352" s="75"/>
      <c r="J352" s="36"/>
      <c r="K352" s="36"/>
      <c r="L352" s="36"/>
      <c r="N352" s="8"/>
      <c r="O352" s="8"/>
      <c r="P352" s="8"/>
      <c r="Q352" s="59"/>
      <c r="R352" s="66"/>
    </row>
    <row r="353" spans="1:18" ht="16.5" thickBot="1">
      <c r="A353" s="18"/>
      <c r="B353" s="55"/>
      <c r="C353" s="56"/>
      <c r="D353" s="74"/>
      <c r="E353" s="56"/>
      <c r="F353" s="57"/>
      <c r="G353" s="19">
        <f>SUM(G351:G352)</f>
        <v>3998000</v>
      </c>
      <c r="H353" s="19">
        <f t="shared" ref="H353:P353" si="53">SUM(H351:H352)</f>
        <v>26660000</v>
      </c>
      <c r="I353" s="19">
        <f t="shared" si="53"/>
        <v>9166666</v>
      </c>
      <c r="J353" s="19">
        <f t="shared" si="53"/>
        <v>995617</v>
      </c>
      <c r="K353" s="19">
        <f t="shared" si="53"/>
        <v>568000</v>
      </c>
      <c r="L353" s="19">
        <f t="shared" si="53"/>
        <v>201753</v>
      </c>
      <c r="M353" s="19">
        <f t="shared" si="53"/>
        <v>200000</v>
      </c>
      <c r="N353" s="19">
        <f t="shared" si="53"/>
        <v>41790036</v>
      </c>
      <c r="O353" s="19">
        <f t="shared" si="53"/>
        <v>18209964</v>
      </c>
      <c r="P353" s="19">
        <f t="shared" si="53"/>
        <v>60000000</v>
      </c>
      <c r="Q353" s="68"/>
      <c r="R353" s="70"/>
    </row>
    <row r="354" spans="1:18" ht="16.5" hidden="1" thickTop="1">
      <c r="A354" s="23"/>
      <c r="B354" s="22"/>
      <c r="C354" s="22"/>
      <c r="D354" s="23"/>
      <c r="E354" s="22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2"/>
      <c r="Q354" s="69"/>
    </row>
    <row r="355" spans="1:18" ht="15.75" hidden="1">
      <c r="A355" s="23"/>
      <c r="B355" s="28" t="s">
        <v>476</v>
      </c>
      <c r="C355" s="22"/>
      <c r="D355" s="39"/>
      <c r="F355" s="27"/>
      <c r="G355" s="28"/>
      <c r="H355" s="28"/>
      <c r="I355" s="28"/>
      <c r="J355" s="28"/>
      <c r="K355" s="28"/>
      <c r="L355" s="28"/>
      <c r="Q355" s="51"/>
    </row>
    <row r="356" spans="1:18" ht="15.75" hidden="1">
      <c r="A356" s="38"/>
      <c r="B356" s="40" t="s">
        <v>32</v>
      </c>
      <c r="C356" s="28" t="s">
        <v>28</v>
      </c>
      <c r="D356" s="39"/>
      <c r="F356" s="41"/>
      <c r="G356" s="127" t="s">
        <v>26</v>
      </c>
      <c r="H356" s="127"/>
      <c r="I356" s="127"/>
      <c r="K356" s="41"/>
    </row>
    <row r="357" spans="1:18" ht="15.75" hidden="1">
      <c r="A357" s="38"/>
      <c r="B357" s="40"/>
      <c r="C357" s="28"/>
      <c r="D357" s="39"/>
      <c r="F357" s="28"/>
      <c r="G357" s="28"/>
      <c r="H357" s="28"/>
      <c r="I357" s="28"/>
      <c r="J357" s="28"/>
      <c r="K357" s="28"/>
      <c r="L357" s="28"/>
    </row>
    <row r="358" spans="1:18" ht="15.75" hidden="1">
      <c r="A358" s="38"/>
      <c r="B358" s="40"/>
      <c r="C358" s="28"/>
      <c r="D358" s="39"/>
      <c r="F358" s="28"/>
      <c r="G358" s="28"/>
      <c r="H358" s="28"/>
      <c r="I358" s="28"/>
      <c r="J358" s="28"/>
      <c r="K358" s="28"/>
      <c r="L358" s="28"/>
    </row>
    <row r="359" spans="1:18" ht="15.75" hidden="1">
      <c r="A359" s="38"/>
      <c r="B359" s="40"/>
      <c r="C359" s="28"/>
      <c r="D359" s="39"/>
      <c r="F359" s="28"/>
      <c r="G359" s="28"/>
      <c r="H359" s="28"/>
      <c r="I359" s="28"/>
      <c r="J359" s="28"/>
      <c r="K359" s="28"/>
    </row>
    <row r="360" spans="1:18" ht="15.75" hidden="1">
      <c r="A360" s="38"/>
      <c r="B360" s="40"/>
      <c r="C360" s="28"/>
      <c r="D360" s="39"/>
      <c r="F360" s="28"/>
      <c r="G360" s="28"/>
      <c r="H360" s="28"/>
      <c r="I360" s="28"/>
      <c r="J360" s="28"/>
      <c r="K360" s="28"/>
      <c r="L360" s="28"/>
    </row>
    <row r="361" spans="1:18" ht="15.75" hidden="1">
      <c r="A361" s="38" t="s">
        <v>23</v>
      </c>
      <c r="B361" s="42" t="s">
        <v>27</v>
      </c>
      <c r="C361" s="43" t="s">
        <v>24</v>
      </c>
      <c r="D361" s="39"/>
      <c r="F361" s="29"/>
      <c r="G361" s="29" t="s">
        <v>16</v>
      </c>
      <c r="H361" s="29"/>
      <c r="I361" s="29" t="s">
        <v>30</v>
      </c>
    </row>
    <row r="362" spans="1:18" ht="15.75" hidden="1">
      <c r="A362" s="38"/>
      <c r="B362" s="44" t="s">
        <v>31</v>
      </c>
      <c r="C362" s="45" t="s">
        <v>20</v>
      </c>
      <c r="D362" s="39"/>
      <c r="F362" s="46"/>
      <c r="G362" s="46" t="s">
        <v>17</v>
      </c>
      <c r="H362" s="46"/>
      <c r="I362" s="46" t="s">
        <v>25</v>
      </c>
    </row>
    <row r="363" spans="1:18" hidden="1"/>
    <row r="364" spans="1:18" ht="16.5" thickTop="1">
      <c r="A364" s="21" t="s">
        <v>0</v>
      </c>
      <c r="B364" s="22"/>
      <c r="C364" s="23"/>
      <c r="D364" s="23"/>
      <c r="E364" s="23"/>
      <c r="F364" s="24"/>
      <c r="G364" s="24"/>
      <c r="H364" s="24"/>
      <c r="I364" s="24"/>
      <c r="J364" s="24"/>
      <c r="K364" s="24"/>
      <c r="L364" s="25"/>
    </row>
    <row r="365" spans="1:18" ht="15.75">
      <c r="A365" s="26" t="s">
        <v>475</v>
      </c>
      <c r="B365" s="21"/>
      <c r="C365" s="21"/>
      <c r="D365" s="21"/>
      <c r="E365" s="21"/>
      <c r="F365" s="24"/>
      <c r="G365" s="24"/>
      <c r="H365" s="24"/>
      <c r="I365" s="24"/>
      <c r="J365" s="24"/>
      <c r="K365" s="24"/>
      <c r="L365" s="25"/>
    </row>
    <row r="366" spans="1:18">
      <c r="A366" s="62"/>
      <c r="B366" s="62" t="s">
        <v>1</v>
      </c>
      <c r="C366" s="93" t="s">
        <v>2</v>
      </c>
      <c r="D366" s="117" t="s">
        <v>34</v>
      </c>
      <c r="E366" s="95" t="s">
        <v>3</v>
      </c>
      <c r="F366" s="93" t="s">
        <v>4</v>
      </c>
      <c r="G366" s="96" t="s">
        <v>18</v>
      </c>
      <c r="H366" s="96" t="s">
        <v>18</v>
      </c>
      <c r="I366" s="96" t="s">
        <v>18</v>
      </c>
      <c r="J366" s="97" t="s">
        <v>7</v>
      </c>
      <c r="K366" s="96" t="s">
        <v>6</v>
      </c>
      <c r="L366" s="96" t="s">
        <v>29</v>
      </c>
      <c r="M366" s="96" t="s">
        <v>21</v>
      </c>
      <c r="N366" s="96" t="s">
        <v>8</v>
      </c>
      <c r="O366" s="96" t="s">
        <v>8</v>
      </c>
      <c r="P366" s="96" t="s">
        <v>9</v>
      </c>
      <c r="Q366" s="62" t="s">
        <v>10</v>
      </c>
      <c r="R366" s="98" t="s">
        <v>33</v>
      </c>
    </row>
    <row r="367" spans="1:18">
      <c r="A367" s="99"/>
      <c r="B367" s="99"/>
      <c r="C367" s="100"/>
      <c r="D367" s="101"/>
      <c r="E367" s="102"/>
      <c r="F367" s="100"/>
      <c r="G367" s="103" t="s">
        <v>12</v>
      </c>
      <c r="H367" s="103" t="s">
        <v>12</v>
      </c>
      <c r="I367" s="103" t="s">
        <v>12</v>
      </c>
      <c r="J367" s="119" t="s">
        <v>19</v>
      </c>
      <c r="K367" s="103" t="s">
        <v>35</v>
      </c>
      <c r="L367" s="103" t="s">
        <v>22</v>
      </c>
      <c r="M367" s="103" t="s">
        <v>15</v>
      </c>
      <c r="N367" s="103" t="s">
        <v>13</v>
      </c>
      <c r="O367" s="103" t="s">
        <v>14</v>
      </c>
      <c r="P367" s="103" t="s">
        <v>12</v>
      </c>
      <c r="Q367" s="99"/>
      <c r="R367" s="104"/>
    </row>
    <row r="368" spans="1:18">
      <c r="A368" s="99"/>
      <c r="B368" s="99"/>
      <c r="C368" s="105"/>
      <c r="D368" s="101"/>
      <c r="E368" s="102"/>
      <c r="F368" s="100"/>
      <c r="G368" s="103" t="s">
        <v>81</v>
      </c>
      <c r="H368" s="103" t="s">
        <v>41</v>
      </c>
      <c r="I368" s="103" t="s">
        <v>41</v>
      </c>
      <c r="J368" s="119" t="s">
        <v>5</v>
      </c>
      <c r="K368" s="103"/>
      <c r="L368" s="103"/>
      <c r="M368" s="103"/>
      <c r="N368" s="103"/>
      <c r="O368" s="103"/>
      <c r="P368" s="103"/>
      <c r="Q368" s="99"/>
      <c r="R368" s="104"/>
    </row>
    <row r="369" spans="1:18">
      <c r="A369" s="106"/>
      <c r="B369" s="106"/>
      <c r="C369" s="107"/>
      <c r="D369" s="108"/>
      <c r="E369" s="109"/>
      <c r="F369" s="110"/>
      <c r="G369" s="111"/>
      <c r="H369" s="112"/>
      <c r="I369" s="75"/>
      <c r="J369" s="120"/>
      <c r="K369" s="111"/>
      <c r="L369" s="113"/>
      <c r="M369" s="108"/>
      <c r="N369" s="111"/>
      <c r="O369" s="111"/>
      <c r="P369" s="111"/>
      <c r="Q369" s="106"/>
      <c r="R369" s="114"/>
    </row>
    <row r="370" spans="1:18" ht="15.75">
      <c r="A370" s="52"/>
      <c r="B370" s="47"/>
      <c r="C370" s="48"/>
      <c r="D370" s="73"/>
      <c r="E370" s="17"/>
      <c r="F370" s="48"/>
      <c r="G370" s="36"/>
      <c r="H370" s="36"/>
      <c r="I370" s="125"/>
      <c r="J370" s="36"/>
      <c r="K370" s="36"/>
      <c r="L370" s="8"/>
      <c r="N370" s="8"/>
      <c r="O370" s="8"/>
      <c r="P370" s="8"/>
      <c r="Q370" s="35"/>
      <c r="R370" s="37"/>
    </row>
    <row r="371" spans="1:18" ht="15.75">
      <c r="A371" s="52">
        <v>1</v>
      </c>
      <c r="B371" s="51" t="s">
        <v>477</v>
      </c>
      <c r="C371" s="48" t="s">
        <v>478</v>
      </c>
      <c r="D371" s="67" t="s">
        <v>479</v>
      </c>
      <c r="E371" s="17">
        <v>43235</v>
      </c>
      <c r="F371" s="20" t="s">
        <v>337</v>
      </c>
      <c r="G371" s="36">
        <v>0</v>
      </c>
      <c r="H371" s="36">
        <v>97111800</v>
      </c>
      <c r="I371" s="8">
        <v>0</v>
      </c>
      <c r="J371" s="8">
        <v>2427795</v>
      </c>
      <c r="K371" s="8">
        <v>1772068</v>
      </c>
      <c r="L371" s="8">
        <v>0</v>
      </c>
      <c r="M371" s="8">
        <v>200000</v>
      </c>
      <c r="N371" s="8">
        <f>SUM(G371:M371)</f>
        <v>101511663</v>
      </c>
      <c r="O371" s="8">
        <f>101511663-N371</f>
        <v>0</v>
      </c>
      <c r="P371" s="8">
        <f t="shared" ref="P371" si="54">+N371+O371</f>
        <v>101511663</v>
      </c>
      <c r="Q371" s="77" t="s">
        <v>192</v>
      </c>
      <c r="R371" s="66" t="s">
        <v>338</v>
      </c>
    </row>
    <row r="372" spans="1:18" ht="15.75">
      <c r="A372" s="52"/>
      <c r="B372" s="51"/>
      <c r="C372" s="48"/>
      <c r="E372" s="17"/>
      <c r="F372" s="48"/>
      <c r="G372" s="36"/>
      <c r="H372" s="36"/>
      <c r="I372" s="75"/>
      <c r="J372" s="36"/>
      <c r="K372" s="36"/>
      <c r="L372" s="36"/>
      <c r="N372" s="8"/>
      <c r="O372" s="8"/>
      <c r="P372" s="8"/>
      <c r="Q372" s="59"/>
      <c r="R372" s="66"/>
    </row>
    <row r="373" spans="1:18" ht="16.5" thickBot="1">
      <c r="A373" s="18"/>
      <c r="B373" s="55"/>
      <c r="C373" s="56"/>
      <c r="D373" s="74"/>
      <c r="E373" s="56"/>
      <c r="F373" s="57"/>
      <c r="G373" s="19">
        <f>SUM(G371:G372)</f>
        <v>0</v>
      </c>
      <c r="H373" s="19">
        <f t="shared" ref="H373:P373" si="55">SUM(H371:H372)</f>
        <v>97111800</v>
      </c>
      <c r="I373" s="19">
        <f t="shared" si="55"/>
        <v>0</v>
      </c>
      <c r="J373" s="19">
        <f t="shared" si="55"/>
        <v>2427795</v>
      </c>
      <c r="K373" s="19">
        <f t="shared" si="55"/>
        <v>1772068</v>
      </c>
      <c r="L373" s="19">
        <f t="shared" si="55"/>
        <v>0</v>
      </c>
      <c r="M373" s="19">
        <f t="shared" si="55"/>
        <v>200000</v>
      </c>
      <c r="N373" s="19">
        <f t="shared" si="55"/>
        <v>101511663</v>
      </c>
      <c r="O373" s="19">
        <f t="shared" si="55"/>
        <v>0</v>
      </c>
      <c r="P373" s="19">
        <f t="shared" si="55"/>
        <v>101511663</v>
      </c>
      <c r="Q373" s="68"/>
      <c r="R373" s="70"/>
    </row>
    <row r="374" spans="1:18" ht="16.5" hidden="1" thickTop="1">
      <c r="A374" s="23"/>
      <c r="B374" s="22"/>
      <c r="C374" s="22"/>
      <c r="D374" s="23"/>
      <c r="E374" s="22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2"/>
      <c r="Q374" s="69"/>
    </row>
    <row r="375" spans="1:18" ht="15.75" hidden="1">
      <c r="A375" s="23"/>
      <c r="B375" s="28" t="s">
        <v>476</v>
      </c>
      <c r="C375" s="22"/>
      <c r="D375" s="39"/>
      <c r="F375" s="27"/>
      <c r="G375" s="28"/>
      <c r="H375" s="28"/>
      <c r="I375" s="28"/>
      <c r="J375" s="28"/>
      <c r="K375" s="28"/>
      <c r="L375" s="28"/>
      <c r="Q375" s="51"/>
    </row>
    <row r="376" spans="1:18" ht="15.75" hidden="1">
      <c r="A376" s="38"/>
      <c r="B376" s="40" t="s">
        <v>32</v>
      </c>
      <c r="C376" s="28" t="s">
        <v>28</v>
      </c>
      <c r="D376" s="39"/>
      <c r="F376" s="41"/>
      <c r="G376" s="127" t="s">
        <v>26</v>
      </c>
      <c r="H376" s="127"/>
      <c r="I376" s="127"/>
      <c r="K376" s="41"/>
    </row>
    <row r="377" spans="1:18" ht="15.75" hidden="1">
      <c r="A377" s="38"/>
      <c r="B377" s="40"/>
      <c r="C377" s="28"/>
      <c r="D377" s="39"/>
      <c r="F377" s="28"/>
      <c r="G377" s="28"/>
      <c r="H377" s="28"/>
      <c r="I377" s="28"/>
      <c r="J377" s="28"/>
      <c r="K377" s="28"/>
      <c r="L377" s="28"/>
    </row>
    <row r="378" spans="1:18" ht="15.75" hidden="1">
      <c r="A378" s="38"/>
      <c r="B378" s="40"/>
      <c r="C378" s="28"/>
      <c r="D378" s="39"/>
      <c r="F378" s="28"/>
      <c r="G378" s="28"/>
      <c r="H378" s="28"/>
      <c r="I378" s="28"/>
      <c r="J378" s="28"/>
      <c r="K378" s="28"/>
      <c r="L378" s="28"/>
    </row>
    <row r="379" spans="1:18" ht="15.75" hidden="1">
      <c r="A379" s="38"/>
      <c r="B379" s="40"/>
      <c r="C379" s="28"/>
      <c r="D379" s="39"/>
      <c r="F379" s="28"/>
      <c r="G379" s="28"/>
      <c r="H379" s="28"/>
      <c r="I379" s="28"/>
      <c r="J379" s="28"/>
      <c r="K379" s="28"/>
    </row>
    <row r="380" spans="1:18" ht="15.75" hidden="1">
      <c r="A380" s="38"/>
      <c r="B380" s="40"/>
      <c r="C380" s="28"/>
      <c r="D380" s="39"/>
      <c r="F380" s="28"/>
      <c r="G380" s="28"/>
      <c r="H380" s="28"/>
      <c r="I380" s="28"/>
      <c r="J380" s="28"/>
      <c r="K380" s="28"/>
      <c r="L380" s="28"/>
    </row>
    <row r="381" spans="1:18" ht="15.75" hidden="1">
      <c r="A381" s="38" t="s">
        <v>23</v>
      </c>
      <c r="B381" s="42" t="s">
        <v>27</v>
      </c>
      <c r="C381" s="43" t="s">
        <v>24</v>
      </c>
      <c r="D381" s="39"/>
      <c r="F381" s="29"/>
      <c r="G381" s="29" t="s">
        <v>16</v>
      </c>
      <c r="H381" s="29"/>
      <c r="I381" s="29" t="s">
        <v>30</v>
      </c>
    </row>
    <row r="382" spans="1:18" ht="15.75" hidden="1">
      <c r="A382" s="38"/>
      <c r="B382" s="44" t="s">
        <v>31</v>
      </c>
      <c r="C382" s="45" t="s">
        <v>20</v>
      </c>
      <c r="D382" s="39"/>
      <c r="F382" s="46"/>
      <c r="G382" s="46" t="s">
        <v>17</v>
      </c>
      <c r="H382" s="46"/>
      <c r="I382" s="46" t="s">
        <v>25</v>
      </c>
    </row>
    <row r="383" spans="1:18" hidden="1"/>
    <row r="384" spans="1:18" ht="16.5" thickTop="1">
      <c r="A384" s="21" t="s">
        <v>0</v>
      </c>
      <c r="B384" s="22"/>
      <c r="C384" s="23"/>
      <c r="D384" s="23"/>
      <c r="E384" s="23"/>
      <c r="F384" s="24"/>
      <c r="G384" s="24"/>
      <c r="H384" s="24"/>
      <c r="I384" s="24"/>
      <c r="J384" s="24"/>
      <c r="K384" s="24"/>
      <c r="L384" s="25"/>
    </row>
    <row r="385" spans="1:18" ht="15.75">
      <c r="A385" s="26" t="s">
        <v>475</v>
      </c>
      <c r="B385" s="21"/>
      <c r="C385" s="21"/>
      <c r="D385" s="21"/>
      <c r="E385" s="21"/>
      <c r="F385" s="24"/>
      <c r="G385" s="24"/>
      <c r="H385" s="24"/>
      <c r="I385" s="24"/>
      <c r="J385" s="24"/>
      <c r="K385" s="24"/>
      <c r="L385" s="25"/>
    </row>
    <row r="386" spans="1:18">
      <c r="A386" s="62"/>
      <c r="B386" s="62" t="s">
        <v>1</v>
      </c>
      <c r="C386" s="93" t="s">
        <v>2</v>
      </c>
      <c r="D386" s="117" t="s">
        <v>34</v>
      </c>
      <c r="E386" s="95" t="s">
        <v>3</v>
      </c>
      <c r="F386" s="93" t="s">
        <v>4</v>
      </c>
      <c r="G386" s="96" t="s">
        <v>18</v>
      </c>
      <c r="H386" s="96" t="s">
        <v>18</v>
      </c>
      <c r="I386" s="96" t="s">
        <v>18</v>
      </c>
      <c r="J386" s="97" t="s">
        <v>7</v>
      </c>
      <c r="K386" s="96" t="s">
        <v>6</v>
      </c>
      <c r="L386" s="96" t="s">
        <v>29</v>
      </c>
      <c r="M386" s="96" t="s">
        <v>21</v>
      </c>
      <c r="N386" s="96" t="s">
        <v>8</v>
      </c>
      <c r="O386" s="96" t="s">
        <v>8</v>
      </c>
      <c r="P386" s="96" t="s">
        <v>9</v>
      </c>
      <c r="Q386" s="62" t="s">
        <v>10</v>
      </c>
      <c r="R386" s="98" t="s">
        <v>33</v>
      </c>
    </row>
    <row r="387" spans="1:18">
      <c r="A387" s="99"/>
      <c r="B387" s="99"/>
      <c r="C387" s="100"/>
      <c r="D387" s="101"/>
      <c r="E387" s="102"/>
      <c r="F387" s="100"/>
      <c r="G387" s="103" t="s">
        <v>12</v>
      </c>
      <c r="H387" s="103" t="s">
        <v>12</v>
      </c>
      <c r="I387" s="103" t="s">
        <v>12</v>
      </c>
      <c r="J387" s="119" t="s">
        <v>19</v>
      </c>
      <c r="K387" s="103" t="s">
        <v>35</v>
      </c>
      <c r="L387" s="103" t="s">
        <v>22</v>
      </c>
      <c r="M387" s="103" t="s">
        <v>15</v>
      </c>
      <c r="N387" s="103" t="s">
        <v>13</v>
      </c>
      <c r="O387" s="103" t="s">
        <v>14</v>
      </c>
      <c r="P387" s="103" t="s">
        <v>12</v>
      </c>
      <c r="Q387" s="99"/>
      <c r="R387" s="104"/>
    </row>
    <row r="388" spans="1:18">
      <c r="A388" s="99"/>
      <c r="B388" s="99"/>
      <c r="C388" s="105"/>
      <c r="D388" s="101"/>
      <c r="E388" s="102"/>
      <c r="F388" s="100"/>
      <c r="G388" s="103" t="s">
        <v>81</v>
      </c>
      <c r="H388" s="103" t="s">
        <v>41</v>
      </c>
      <c r="I388" s="103" t="s">
        <v>41</v>
      </c>
      <c r="J388" s="119" t="s">
        <v>5</v>
      </c>
      <c r="K388" s="103"/>
      <c r="L388" s="103"/>
      <c r="M388" s="103"/>
      <c r="N388" s="103"/>
      <c r="O388" s="103"/>
      <c r="P388" s="103"/>
      <c r="Q388" s="99"/>
      <c r="R388" s="104"/>
    </row>
    <row r="389" spans="1:18">
      <c r="A389" s="106"/>
      <c r="B389" s="106"/>
      <c r="C389" s="107"/>
      <c r="D389" s="108"/>
      <c r="E389" s="109"/>
      <c r="F389" s="110"/>
      <c r="G389" s="111"/>
      <c r="H389" s="112"/>
      <c r="I389" s="75"/>
      <c r="J389" s="120"/>
      <c r="K389" s="111"/>
      <c r="L389" s="113"/>
      <c r="M389" s="108"/>
      <c r="N389" s="111"/>
      <c r="O389" s="111"/>
      <c r="P389" s="111"/>
      <c r="Q389" s="106"/>
      <c r="R389" s="114"/>
    </row>
    <row r="390" spans="1:18" ht="15.75">
      <c r="A390" s="52"/>
      <c r="B390" s="47"/>
      <c r="C390" s="48"/>
      <c r="D390" s="73"/>
      <c r="E390" s="17"/>
      <c r="F390" s="48"/>
      <c r="G390" s="36"/>
      <c r="H390" s="36"/>
      <c r="I390" s="125"/>
      <c r="J390" s="36"/>
      <c r="K390" s="36"/>
      <c r="L390" s="8"/>
      <c r="N390" s="8"/>
      <c r="O390" s="8"/>
      <c r="P390" s="8"/>
      <c r="Q390" s="35"/>
      <c r="R390" s="37"/>
    </row>
    <row r="391" spans="1:18" ht="15.75">
      <c r="A391" s="52">
        <v>1</v>
      </c>
      <c r="B391" s="51" t="s">
        <v>480</v>
      </c>
      <c r="C391" s="48" t="s">
        <v>481</v>
      </c>
      <c r="D391" s="67" t="s">
        <v>482</v>
      </c>
      <c r="E391" s="17">
        <v>43235</v>
      </c>
      <c r="F391" s="20" t="s">
        <v>483</v>
      </c>
      <c r="G391" s="36">
        <v>0</v>
      </c>
      <c r="H391" s="36">
        <v>32221550</v>
      </c>
      <c r="I391" s="8">
        <v>0</v>
      </c>
      <c r="J391" s="8">
        <v>805539</v>
      </c>
      <c r="K391" s="8">
        <v>913563</v>
      </c>
      <c r="L391" s="8">
        <v>427785</v>
      </c>
      <c r="M391" s="8">
        <v>200000</v>
      </c>
      <c r="N391" s="8">
        <f>SUM(G391:M391)</f>
        <v>34568437</v>
      </c>
      <c r="O391" s="8">
        <f>75000000-N391</f>
        <v>40431563</v>
      </c>
      <c r="P391" s="8">
        <f t="shared" ref="P391" si="56">+N391+O391</f>
        <v>75000000</v>
      </c>
      <c r="Q391" s="59" t="s">
        <v>192</v>
      </c>
      <c r="R391" s="66" t="s">
        <v>52</v>
      </c>
    </row>
    <row r="392" spans="1:18" ht="15.75">
      <c r="A392" s="52"/>
      <c r="B392" s="51"/>
      <c r="C392" s="48"/>
      <c r="E392" s="17"/>
      <c r="F392" s="48"/>
      <c r="G392" s="36"/>
      <c r="H392" s="36"/>
      <c r="I392" s="75"/>
      <c r="J392" s="36"/>
      <c r="K392" s="36"/>
      <c r="L392" s="36"/>
      <c r="N392" s="8"/>
      <c r="O392" s="8"/>
      <c r="P392" s="8"/>
      <c r="Q392" s="59"/>
      <c r="R392" s="66"/>
    </row>
    <row r="393" spans="1:18" ht="16.5" thickBot="1">
      <c r="A393" s="18"/>
      <c r="B393" s="55"/>
      <c r="C393" s="56"/>
      <c r="D393" s="74"/>
      <c r="E393" s="56"/>
      <c r="F393" s="57"/>
      <c r="G393" s="19">
        <f>SUM(G391:G392)</f>
        <v>0</v>
      </c>
      <c r="H393" s="19">
        <f t="shared" ref="H393:P393" si="57">SUM(H391:H392)</f>
        <v>32221550</v>
      </c>
      <c r="I393" s="19">
        <f t="shared" si="57"/>
        <v>0</v>
      </c>
      <c r="J393" s="19">
        <f t="shared" si="57"/>
        <v>805539</v>
      </c>
      <c r="K393" s="19">
        <f t="shared" si="57"/>
        <v>913563</v>
      </c>
      <c r="L393" s="19">
        <f t="shared" si="57"/>
        <v>427785</v>
      </c>
      <c r="M393" s="19">
        <f t="shared" si="57"/>
        <v>200000</v>
      </c>
      <c r="N393" s="19">
        <f t="shared" si="57"/>
        <v>34568437</v>
      </c>
      <c r="O393" s="19">
        <f t="shared" si="57"/>
        <v>40431563</v>
      </c>
      <c r="P393" s="19">
        <f t="shared" si="57"/>
        <v>75000000</v>
      </c>
      <c r="Q393" s="68"/>
      <c r="R393" s="70"/>
    </row>
    <row r="394" spans="1:18" ht="16.5" hidden="1" thickTop="1">
      <c r="A394" s="23"/>
      <c r="B394" s="22"/>
      <c r="C394" s="22"/>
      <c r="D394" s="23"/>
      <c r="E394" s="22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2"/>
      <c r="Q394" s="69"/>
    </row>
    <row r="395" spans="1:18" ht="15.75" hidden="1">
      <c r="A395" s="23"/>
      <c r="B395" s="28" t="s">
        <v>476</v>
      </c>
      <c r="C395" s="22"/>
      <c r="D395" s="39"/>
      <c r="F395" s="27"/>
      <c r="G395" s="28"/>
      <c r="H395" s="28"/>
      <c r="I395" s="28"/>
      <c r="J395" s="28"/>
      <c r="K395" s="28"/>
      <c r="L395" s="28"/>
      <c r="Q395" s="51"/>
    </row>
    <row r="396" spans="1:18" ht="15.75" hidden="1">
      <c r="A396" s="38"/>
      <c r="B396" s="40" t="s">
        <v>32</v>
      </c>
      <c r="C396" s="28" t="s">
        <v>28</v>
      </c>
      <c r="D396" s="39"/>
      <c r="F396" s="41"/>
      <c r="G396" s="127" t="s">
        <v>26</v>
      </c>
      <c r="H396" s="127"/>
      <c r="I396" s="127"/>
      <c r="K396" s="41"/>
    </row>
    <row r="397" spans="1:18" ht="15.75" hidden="1">
      <c r="A397" s="38"/>
      <c r="B397" s="40"/>
      <c r="C397" s="28"/>
      <c r="D397" s="39"/>
      <c r="F397" s="28"/>
      <c r="G397" s="28"/>
      <c r="H397" s="28"/>
      <c r="I397" s="28"/>
      <c r="J397" s="28"/>
      <c r="K397" s="28"/>
      <c r="L397" s="28"/>
    </row>
    <row r="398" spans="1:18" ht="15.75" hidden="1">
      <c r="A398" s="38"/>
      <c r="B398" s="40"/>
      <c r="C398" s="28"/>
      <c r="D398" s="39"/>
      <c r="F398" s="28"/>
      <c r="G398" s="28"/>
      <c r="H398" s="28"/>
      <c r="I398" s="28"/>
      <c r="J398" s="28"/>
      <c r="K398" s="28"/>
      <c r="L398" s="28"/>
    </row>
    <row r="399" spans="1:18" ht="15.75" hidden="1">
      <c r="A399" s="38"/>
      <c r="B399" s="40"/>
      <c r="C399" s="28"/>
      <c r="D399" s="39"/>
      <c r="F399" s="28"/>
      <c r="G399" s="28"/>
      <c r="H399" s="28"/>
      <c r="I399" s="28"/>
      <c r="J399" s="28"/>
      <c r="K399" s="28"/>
    </row>
    <row r="400" spans="1:18" ht="15.75" hidden="1">
      <c r="A400" s="38"/>
      <c r="B400" s="40"/>
      <c r="C400" s="28"/>
      <c r="D400" s="39"/>
      <c r="F400" s="28"/>
      <c r="G400" s="28"/>
      <c r="H400" s="28"/>
      <c r="I400" s="28"/>
      <c r="J400" s="28"/>
      <c r="K400" s="28"/>
      <c r="L400" s="28"/>
    </row>
    <row r="401" spans="1:18" ht="15.75" hidden="1">
      <c r="A401" s="38" t="s">
        <v>23</v>
      </c>
      <c r="B401" s="42" t="s">
        <v>27</v>
      </c>
      <c r="C401" s="43" t="s">
        <v>24</v>
      </c>
      <c r="D401" s="39"/>
      <c r="F401" s="29"/>
      <c r="G401" s="29" t="s">
        <v>16</v>
      </c>
      <c r="H401" s="29"/>
      <c r="I401" s="29" t="s">
        <v>30</v>
      </c>
    </row>
    <row r="402" spans="1:18" ht="15.75" hidden="1">
      <c r="A402" s="38"/>
      <c r="B402" s="44" t="s">
        <v>31</v>
      </c>
      <c r="C402" s="45" t="s">
        <v>20</v>
      </c>
      <c r="D402" s="39"/>
      <c r="F402" s="46"/>
      <c r="G402" s="46" t="s">
        <v>17</v>
      </c>
      <c r="H402" s="46"/>
      <c r="I402" s="46" t="s">
        <v>25</v>
      </c>
    </row>
    <row r="403" spans="1:18" hidden="1"/>
    <row r="404" spans="1:18" ht="16.5" thickTop="1">
      <c r="A404" s="21" t="s">
        <v>0</v>
      </c>
      <c r="B404" s="22"/>
      <c r="C404" s="23"/>
      <c r="D404" s="23"/>
      <c r="E404" s="23"/>
      <c r="F404" s="24"/>
      <c r="G404" s="24"/>
      <c r="H404" s="24"/>
      <c r="I404" s="24"/>
      <c r="J404" s="24"/>
      <c r="K404" s="24"/>
      <c r="L404" s="25"/>
    </row>
    <row r="405" spans="1:18" ht="15.75">
      <c r="A405" s="26" t="s">
        <v>475</v>
      </c>
      <c r="B405" s="21"/>
      <c r="C405" s="21"/>
      <c r="D405" s="21"/>
      <c r="E405" s="21"/>
      <c r="F405" s="24"/>
      <c r="G405" s="24"/>
      <c r="H405" s="24"/>
      <c r="I405" s="24"/>
      <c r="J405" s="24"/>
      <c r="K405" s="24"/>
      <c r="L405" s="25"/>
    </row>
    <row r="406" spans="1:18">
      <c r="A406" s="62"/>
      <c r="B406" s="62" t="s">
        <v>1</v>
      </c>
      <c r="C406" s="93" t="s">
        <v>2</v>
      </c>
      <c r="D406" s="117" t="s">
        <v>34</v>
      </c>
      <c r="E406" s="95" t="s">
        <v>3</v>
      </c>
      <c r="F406" s="93" t="s">
        <v>4</v>
      </c>
      <c r="G406" s="96" t="s">
        <v>18</v>
      </c>
      <c r="H406" s="96" t="s">
        <v>18</v>
      </c>
      <c r="I406" s="96" t="s">
        <v>18</v>
      </c>
      <c r="J406" s="97" t="s">
        <v>7</v>
      </c>
      <c r="K406" s="96" t="s">
        <v>6</v>
      </c>
      <c r="L406" s="96" t="s">
        <v>29</v>
      </c>
      <c r="M406" s="96" t="s">
        <v>21</v>
      </c>
      <c r="N406" s="96" t="s">
        <v>8</v>
      </c>
      <c r="O406" s="96" t="s">
        <v>8</v>
      </c>
      <c r="P406" s="96" t="s">
        <v>9</v>
      </c>
      <c r="Q406" s="62" t="s">
        <v>10</v>
      </c>
      <c r="R406" s="98" t="s">
        <v>33</v>
      </c>
    </row>
    <row r="407" spans="1:18">
      <c r="A407" s="99"/>
      <c r="B407" s="99"/>
      <c r="C407" s="100"/>
      <c r="D407" s="101"/>
      <c r="E407" s="102"/>
      <c r="F407" s="100"/>
      <c r="G407" s="103" t="s">
        <v>12</v>
      </c>
      <c r="H407" s="103" t="s">
        <v>12</v>
      </c>
      <c r="I407" s="103" t="s">
        <v>12</v>
      </c>
      <c r="J407" s="119" t="s">
        <v>19</v>
      </c>
      <c r="K407" s="103" t="s">
        <v>35</v>
      </c>
      <c r="L407" s="103" t="s">
        <v>22</v>
      </c>
      <c r="M407" s="103" t="s">
        <v>15</v>
      </c>
      <c r="N407" s="103" t="s">
        <v>13</v>
      </c>
      <c r="O407" s="103" t="s">
        <v>14</v>
      </c>
      <c r="P407" s="103" t="s">
        <v>12</v>
      </c>
      <c r="Q407" s="99"/>
      <c r="R407" s="104"/>
    </row>
    <row r="408" spans="1:18">
      <c r="A408" s="99"/>
      <c r="B408" s="99"/>
      <c r="C408" s="105"/>
      <c r="D408" s="101"/>
      <c r="E408" s="102"/>
      <c r="F408" s="100"/>
      <c r="G408" s="103" t="s">
        <v>81</v>
      </c>
      <c r="H408" s="103" t="s">
        <v>41</v>
      </c>
      <c r="I408" s="103" t="s">
        <v>41</v>
      </c>
      <c r="J408" s="119" t="s">
        <v>5</v>
      </c>
      <c r="K408" s="103"/>
      <c r="L408" s="103"/>
      <c r="M408" s="103"/>
      <c r="N408" s="103"/>
      <c r="O408" s="103"/>
      <c r="P408" s="103"/>
      <c r="Q408" s="99"/>
      <c r="R408" s="104"/>
    </row>
    <row r="409" spans="1:18">
      <c r="A409" s="106"/>
      <c r="B409" s="106"/>
      <c r="C409" s="107"/>
      <c r="D409" s="108"/>
      <c r="E409" s="109"/>
      <c r="F409" s="110"/>
      <c r="G409" s="111"/>
      <c r="H409" s="112"/>
      <c r="I409" s="75"/>
      <c r="J409" s="120"/>
      <c r="K409" s="111"/>
      <c r="L409" s="113"/>
      <c r="M409" s="108"/>
      <c r="N409" s="111"/>
      <c r="O409" s="111"/>
      <c r="P409" s="111"/>
      <c r="Q409" s="106"/>
      <c r="R409" s="114"/>
    </row>
    <row r="410" spans="1:18" ht="15.75">
      <c r="A410" s="52"/>
      <c r="B410" s="47"/>
      <c r="C410" s="48"/>
      <c r="D410" s="73"/>
      <c r="E410" s="17"/>
      <c r="F410" s="48"/>
      <c r="G410" s="36"/>
      <c r="H410" s="36"/>
      <c r="I410" s="125"/>
      <c r="J410" s="36"/>
      <c r="K410" s="36"/>
      <c r="L410" s="8"/>
      <c r="N410" s="8"/>
      <c r="O410" s="8"/>
      <c r="P410" s="8"/>
      <c r="Q410" s="35"/>
      <c r="R410" s="37"/>
    </row>
    <row r="411" spans="1:18" ht="15.75">
      <c r="A411" s="52">
        <v>1</v>
      </c>
      <c r="B411" s="51" t="s">
        <v>484</v>
      </c>
      <c r="C411" s="48" t="s">
        <v>485</v>
      </c>
      <c r="D411" s="67" t="s">
        <v>486</v>
      </c>
      <c r="E411" s="17">
        <v>43235</v>
      </c>
      <c r="F411" s="20" t="s">
        <v>487</v>
      </c>
      <c r="G411" s="36">
        <v>0</v>
      </c>
      <c r="H411" s="36">
        <v>0</v>
      </c>
      <c r="I411" s="8">
        <v>0</v>
      </c>
      <c r="J411" s="8">
        <v>0</v>
      </c>
      <c r="K411" s="8">
        <v>0</v>
      </c>
      <c r="L411" s="8">
        <v>750000</v>
      </c>
      <c r="M411" s="8">
        <v>200000</v>
      </c>
      <c r="N411" s="8">
        <f>SUM(G411:M411)</f>
        <v>950000</v>
      </c>
      <c r="O411" s="8">
        <f>75950000-N411</f>
        <v>75000000</v>
      </c>
      <c r="P411" s="8">
        <f t="shared" ref="P411" si="58">+N411+O411</f>
        <v>75950000</v>
      </c>
      <c r="Q411" s="59" t="s">
        <v>488</v>
      </c>
      <c r="R411" s="66" t="s">
        <v>40</v>
      </c>
    </row>
    <row r="412" spans="1:18" ht="15.75">
      <c r="A412" s="52"/>
      <c r="B412" s="51"/>
      <c r="C412" s="48"/>
      <c r="E412" s="17"/>
      <c r="F412" s="48"/>
      <c r="G412" s="36"/>
      <c r="H412" s="36"/>
      <c r="I412" s="75"/>
      <c r="J412" s="36"/>
      <c r="K412" s="36"/>
      <c r="L412" s="36"/>
      <c r="N412" s="8"/>
      <c r="O412" s="8"/>
      <c r="P412" s="8"/>
      <c r="Q412" s="59"/>
      <c r="R412" s="66"/>
    </row>
    <row r="413" spans="1:18" ht="16.5" thickBot="1">
      <c r="A413" s="18"/>
      <c r="B413" s="55"/>
      <c r="C413" s="56"/>
      <c r="D413" s="74"/>
      <c r="E413" s="56"/>
      <c r="F413" s="57"/>
      <c r="G413" s="19">
        <f>SUM(G411:G412)</f>
        <v>0</v>
      </c>
      <c r="H413" s="19">
        <f t="shared" ref="H413:P413" si="59">SUM(H411:H412)</f>
        <v>0</v>
      </c>
      <c r="I413" s="19">
        <f t="shared" si="59"/>
        <v>0</v>
      </c>
      <c r="J413" s="19">
        <f t="shared" si="59"/>
        <v>0</v>
      </c>
      <c r="K413" s="19">
        <f t="shared" si="59"/>
        <v>0</v>
      </c>
      <c r="L413" s="19">
        <f t="shared" si="59"/>
        <v>750000</v>
      </c>
      <c r="M413" s="19">
        <f t="shared" si="59"/>
        <v>200000</v>
      </c>
      <c r="N413" s="19">
        <f t="shared" si="59"/>
        <v>950000</v>
      </c>
      <c r="O413" s="19">
        <f t="shared" si="59"/>
        <v>75000000</v>
      </c>
      <c r="P413" s="19">
        <f t="shared" si="59"/>
        <v>75950000</v>
      </c>
      <c r="Q413" s="68"/>
      <c r="R413" s="70"/>
    </row>
    <row r="414" spans="1:18" ht="16.5" hidden="1" thickTop="1">
      <c r="A414" s="23"/>
      <c r="B414" s="22"/>
      <c r="C414" s="22"/>
      <c r="D414" s="23"/>
      <c r="E414" s="22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2"/>
      <c r="Q414" s="69"/>
    </row>
    <row r="415" spans="1:18" ht="15.75" hidden="1">
      <c r="A415" s="23"/>
      <c r="B415" s="28" t="s">
        <v>476</v>
      </c>
      <c r="C415" s="22"/>
      <c r="D415" s="39"/>
      <c r="F415" s="27"/>
      <c r="G415" s="28"/>
      <c r="H415" s="28"/>
      <c r="I415" s="28"/>
      <c r="J415" s="28"/>
      <c r="K415" s="28"/>
      <c r="L415" s="28"/>
      <c r="Q415" s="51"/>
    </row>
    <row r="416" spans="1:18" ht="15.75" hidden="1">
      <c r="A416" s="38"/>
      <c r="B416" s="40" t="s">
        <v>32</v>
      </c>
      <c r="C416" s="28" t="s">
        <v>28</v>
      </c>
      <c r="D416" s="39"/>
      <c r="F416" s="41"/>
      <c r="G416" s="127" t="s">
        <v>26</v>
      </c>
      <c r="H416" s="127"/>
      <c r="I416" s="127"/>
      <c r="K416" s="41"/>
    </row>
    <row r="417" spans="1:18" ht="15.75" hidden="1">
      <c r="A417" s="38"/>
      <c r="B417" s="40"/>
      <c r="C417" s="28"/>
      <c r="D417" s="39"/>
      <c r="F417" s="28"/>
      <c r="G417" s="28"/>
      <c r="H417" s="28"/>
      <c r="I417" s="28"/>
      <c r="J417" s="28"/>
      <c r="K417" s="28"/>
      <c r="L417" s="28"/>
    </row>
    <row r="418" spans="1:18" ht="15.75" hidden="1">
      <c r="A418" s="38"/>
      <c r="B418" s="40"/>
      <c r="C418" s="28"/>
      <c r="D418" s="39"/>
      <c r="F418" s="28"/>
      <c r="G418" s="28"/>
      <c r="H418" s="28"/>
      <c r="I418" s="28"/>
      <c r="J418" s="28"/>
      <c r="K418" s="28"/>
      <c r="L418" s="28"/>
    </row>
    <row r="419" spans="1:18" ht="15.75" hidden="1">
      <c r="A419" s="38"/>
      <c r="B419" s="40"/>
      <c r="C419" s="28"/>
      <c r="D419" s="39"/>
      <c r="F419" s="28"/>
      <c r="G419" s="28"/>
      <c r="H419" s="28"/>
      <c r="I419" s="28"/>
      <c r="J419" s="28"/>
      <c r="K419" s="28"/>
    </row>
    <row r="420" spans="1:18" ht="15.75" hidden="1">
      <c r="A420" s="38"/>
      <c r="B420" s="40"/>
      <c r="C420" s="28"/>
      <c r="D420" s="39"/>
      <c r="F420" s="28"/>
      <c r="G420" s="28"/>
      <c r="H420" s="28"/>
      <c r="I420" s="28"/>
      <c r="J420" s="28"/>
      <c r="K420" s="28"/>
      <c r="L420" s="28"/>
    </row>
    <row r="421" spans="1:18" ht="15.75" hidden="1">
      <c r="A421" s="38" t="s">
        <v>23</v>
      </c>
      <c r="B421" s="42" t="s">
        <v>27</v>
      </c>
      <c r="C421" s="43" t="s">
        <v>24</v>
      </c>
      <c r="D421" s="39"/>
      <c r="F421" s="29"/>
      <c r="G421" s="29" t="s">
        <v>16</v>
      </c>
      <c r="H421" s="29"/>
      <c r="I421" s="29" t="s">
        <v>30</v>
      </c>
    </row>
    <row r="422" spans="1:18" ht="15.75" hidden="1">
      <c r="A422" s="38"/>
      <c r="B422" s="44" t="s">
        <v>31</v>
      </c>
      <c r="C422" s="45" t="s">
        <v>20</v>
      </c>
      <c r="D422" s="39"/>
      <c r="F422" s="46"/>
      <c r="G422" s="46" t="s">
        <v>17</v>
      </c>
      <c r="H422" s="46"/>
      <c r="I422" s="46" t="s">
        <v>25</v>
      </c>
    </row>
    <row r="423" spans="1:18" hidden="1"/>
    <row r="424" spans="1:18" ht="16.5" thickTop="1">
      <c r="A424" s="21" t="s">
        <v>0</v>
      </c>
      <c r="B424" s="22"/>
      <c r="C424" s="23"/>
      <c r="D424" s="23"/>
      <c r="E424" s="23"/>
      <c r="F424" s="24"/>
      <c r="G424" s="24"/>
      <c r="H424" s="24"/>
      <c r="I424" s="24"/>
      <c r="J424" s="24"/>
      <c r="K424" s="24"/>
      <c r="L424" s="25"/>
    </row>
    <row r="425" spans="1:18" ht="15.75">
      <c r="A425" s="26" t="s">
        <v>475</v>
      </c>
      <c r="B425" s="21"/>
      <c r="C425" s="21"/>
      <c r="D425" s="21"/>
      <c r="E425" s="21"/>
      <c r="F425" s="24"/>
      <c r="G425" s="24"/>
      <c r="H425" s="24"/>
      <c r="I425" s="24"/>
      <c r="J425" s="24"/>
      <c r="K425" s="24"/>
      <c r="L425" s="25"/>
    </row>
    <row r="426" spans="1:18">
      <c r="A426" s="62"/>
      <c r="B426" s="62" t="s">
        <v>1</v>
      </c>
      <c r="C426" s="93" t="s">
        <v>2</v>
      </c>
      <c r="D426" s="117" t="s">
        <v>34</v>
      </c>
      <c r="E426" s="95" t="s">
        <v>3</v>
      </c>
      <c r="F426" s="93" t="s">
        <v>4</v>
      </c>
      <c r="G426" s="96" t="s">
        <v>18</v>
      </c>
      <c r="H426" s="96" t="s">
        <v>18</v>
      </c>
      <c r="I426" s="96" t="s">
        <v>18</v>
      </c>
      <c r="J426" s="97" t="s">
        <v>7</v>
      </c>
      <c r="K426" s="96" t="s">
        <v>6</v>
      </c>
      <c r="L426" s="96" t="s">
        <v>29</v>
      </c>
      <c r="M426" s="96" t="s">
        <v>21</v>
      </c>
      <c r="N426" s="96" t="s">
        <v>8</v>
      </c>
      <c r="O426" s="96" t="s">
        <v>8</v>
      </c>
      <c r="P426" s="96" t="s">
        <v>9</v>
      </c>
      <c r="Q426" s="62" t="s">
        <v>10</v>
      </c>
      <c r="R426" s="98" t="s">
        <v>33</v>
      </c>
    </row>
    <row r="427" spans="1:18">
      <c r="A427" s="99"/>
      <c r="B427" s="99"/>
      <c r="C427" s="100"/>
      <c r="D427" s="101"/>
      <c r="E427" s="102"/>
      <c r="F427" s="100"/>
      <c r="G427" s="103" t="s">
        <v>12</v>
      </c>
      <c r="H427" s="103" t="s">
        <v>12</v>
      </c>
      <c r="I427" s="103" t="s">
        <v>12</v>
      </c>
      <c r="J427" s="119" t="s">
        <v>19</v>
      </c>
      <c r="K427" s="103" t="s">
        <v>35</v>
      </c>
      <c r="L427" s="103" t="s">
        <v>22</v>
      </c>
      <c r="M427" s="103" t="s">
        <v>15</v>
      </c>
      <c r="N427" s="103" t="s">
        <v>13</v>
      </c>
      <c r="O427" s="103" t="s">
        <v>14</v>
      </c>
      <c r="P427" s="103" t="s">
        <v>12</v>
      </c>
      <c r="Q427" s="99"/>
      <c r="R427" s="104"/>
    </row>
    <row r="428" spans="1:18">
      <c r="A428" s="99"/>
      <c r="B428" s="99"/>
      <c r="C428" s="105"/>
      <c r="D428" s="101"/>
      <c r="E428" s="102"/>
      <c r="F428" s="100"/>
      <c r="G428" s="103" t="s">
        <v>81</v>
      </c>
      <c r="H428" s="103" t="s">
        <v>41</v>
      </c>
      <c r="I428" s="103" t="s">
        <v>41</v>
      </c>
      <c r="J428" s="119" t="s">
        <v>5</v>
      </c>
      <c r="K428" s="103"/>
      <c r="L428" s="103"/>
      <c r="M428" s="103"/>
      <c r="N428" s="103"/>
      <c r="O428" s="103"/>
      <c r="P428" s="103"/>
      <c r="Q428" s="99"/>
      <c r="R428" s="104"/>
    </row>
    <row r="429" spans="1:18">
      <c r="A429" s="106"/>
      <c r="B429" s="106"/>
      <c r="C429" s="107"/>
      <c r="D429" s="108"/>
      <c r="E429" s="109"/>
      <c r="F429" s="110"/>
      <c r="G429" s="111"/>
      <c r="H429" s="112"/>
      <c r="I429" s="75"/>
      <c r="J429" s="120"/>
      <c r="K429" s="111"/>
      <c r="L429" s="113"/>
      <c r="M429" s="108"/>
      <c r="N429" s="111"/>
      <c r="O429" s="111"/>
      <c r="P429" s="111"/>
      <c r="Q429" s="106"/>
      <c r="R429" s="114"/>
    </row>
    <row r="430" spans="1:18" ht="15.75">
      <c r="A430" s="52"/>
      <c r="B430" s="47"/>
      <c r="C430" s="48"/>
      <c r="D430" s="73"/>
      <c r="E430" s="17"/>
      <c r="F430" s="48"/>
      <c r="G430" s="36"/>
      <c r="H430" s="36"/>
      <c r="I430" s="125"/>
      <c r="J430" s="36"/>
      <c r="K430" s="36"/>
      <c r="L430" s="8"/>
      <c r="N430" s="8"/>
      <c r="O430" s="8"/>
      <c r="P430" s="8"/>
      <c r="Q430" s="35"/>
      <c r="R430" s="37"/>
    </row>
    <row r="431" spans="1:18" ht="15.75">
      <c r="A431" s="52">
        <v>1</v>
      </c>
      <c r="B431" s="51" t="s">
        <v>489</v>
      </c>
      <c r="C431" s="48" t="s">
        <v>490</v>
      </c>
      <c r="D431" s="67" t="s">
        <v>491</v>
      </c>
      <c r="E431" s="17">
        <v>43235</v>
      </c>
      <c r="F431" s="20" t="s">
        <v>492</v>
      </c>
      <c r="G431" s="36">
        <v>0</v>
      </c>
      <c r="H431" s="36">
        <v>24880000</v>
      </c>
      <c r="I431" s="8">
        <v>0</v>
      </c>
      <c r="J431" s="8">
        <v>622000</v>
      </c>
      <c r="K431" s="8">
        <v>488387</v>
      </c>
      <c r="L431" s="8">
        <v>200000</v>
      </c>
      <c r="M431" s="8">
        <v>200000</v>
      </c>
      <c r="N431" s="8">
        <f>SUM(G431:M431)</f>
        <v>26390387</v>
      </c>
      <c r="O431" s="8">
        <f>50000000-N431</f>
        <v>23609613</v>
      </c>
      <c r="P431" s="8">
        <f t="shared" ref="P431" si="60">+N431+O431</f>
        <v>50000000</v>
      </c>
      <c r="Q431" s="59" t="s">
        <v>292</v>
      </c>
      <c r="R431" s="66" t="s">
        <v>52</v>
      </c>
    </row>
    <row r="432" spans="1:18" ht="15.75">
      <c r="A432" s="52"/>
      <c r="B432" s="51"/>
      <c r="C432" s="48"/>
      <c r="E432" s="17"/>
      <c r="F432" s="48"/>
      <c r="G432" s="36"/>
      <c r="H432" s="36"/>
      <c r="I432" s="75"/>
      <c r="J432" s="36"/>
      <c r="K432" s="36"/>
      <c r="L432" s="36"/>
      <c r="N432" s="8"/>
      <c r="O432" s="8"/>
      <c r="P432" s="8"/>
      <c r="Q432" s="59"/>
      <c r="R432" s="66"/>
    </row>
    <row r="433" spans="1:18" ht="16.5" thickBot="1">
      <c r="A433" s="18"/>
      <c r="B433" s="55"/>
      <c r="C433" s="56"/>
      <c r="D433" s="74"/>
      <c r="E433" s="56"/>
      <c r="F433" s="57"/>
      <c r="G433" s="19">
        <f>SUM(G431:G432)</f>
        <v>0</v>
      </c>
      <c r="H433" s="19">
        <f t="shared" ref="H433:P433" si="61">SUM(H431:H432)</f>
        <v>24880000</v>
      </c>
      <c r="I433" s="19">
        <f t="shared" si="61"/>
        <v>0</v>
      </c>
      <c r="J433" s="19">
        <f t="shared" si="61"/>
        <v>622000</v>
      </c>
      <c r="K433" s="19">
        <f t="shared" si="61"/>
        <v>488387</v>
      </c>
      <c r="L433" s="19">
        <f t="shared" si="61"/>
        <v>200000</v>
      </c>
      <c r="M433" s="19">
        <f t="shared" si="61"/>
        <v>200000</v>
      </c>
      <c r="N433" s="19">
        <f t="shared" si="61"/>
        <v>26390387</v>
      </c>
      <c r="O433" s="19">
        <f t="shared" si="61"/>
        <v>23609613</v>
      </c>
      <c r="P433" s="19">
        <f t="shared" si="61"/>
        <v>50000000</v>
      </c>
      <c r="Q433" s="68"/>
      <c r="R433" s="70"/>
    </row>
    <row r="434" spans="1:18" ht="16.5" hidden="1" thickTop="1">
      <c r="A434" s="23"/>
      <c r="B434" s="22"/>
      <c r="C434" s="22"/>
      <c r="D434" s="23"/>
      <c r="E434" s="22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2"/>
      <c r="Q434" s="69"/>
    </row>
    <row r="435" spans="1:18" ht="15.75" hidden="1">
      <c r="A435" s="23"/>
      <c r="B435" s="28" t="s">
        <v>476</v>
      </c>
      <c r="C435" s="22"/>
      <c r="D435" s="39"/>
      <c r="F435" s="27"/>
      <c r="G435" s="28"/>
      <c r="H435" s="28"/>
      <c r="I435" s="28"/>
      <c r="J435" s="28"/>
      <c r="K435" s="28"/>
      <c r="L435" s="28"/>
      <c r="Q435" s="51"/>
    </row>
    <row r="436" spans="1:18" ht="15.75" hidden="1">
      <c r="A436" s="38"/>
      <c r="B436" s="40" t="s">
        <v>32</v>
      </c>
      <c r="C436" s="28" t="s">
        <v>28</v>
      </c>
      <c r="D436" s="39"/>
      <c r="F436" s="41"/>
      <c r="G436" s="127" t="s">
        <v>26</v>
      </c>
      <c r="H436" s="127"/>
      <c r="I436" s="127"/>
      <c r="K436" s="41"/>
    </row>
    <row r="437" spans="1:18" ht="15.75" hidden="1">
      <c r="A437" s="38"/>
      <c r="B437" s="40"/>
      <c r="C437" s="28"/>
      <c r="D437" s="39"/>
      <c r="F437" s="28"/>
      <c r="G437" s="28"/>
      <c r="H437" s="28"/>
      <c r="I437" s="28"/>
      <c r="J437" s="28"/>
      <c r="K437" s="28"/>
      <c r="L437" s="28"/>
    </row>
    <row r="438" spans="1:18" ht="15.75" hidden="1">
      <c r="A438" s="38"/>
      <c r="B438" s="40"/>
      <c r="C438" s="28"/>
      <c r="D438" s="39"/>
      <c r="F438" s="28"/>
      <c r="G438" s="28"/>
      <c r="H438" s="28"/>
      <c r="I438" s="28"/>
      <c r="J438" s="28"/>
      <c r="K438" s="28"/>
      <c r="L438" s="28"/>
    </row>
    <row r="439" spans="1:18" ht="15.75" hidden="1">
      <c r="A439" s="38"/>
      <c r="B439" s="40"/>
      <c r="C439" s="28"/>
      <c r="D439" s="39"/>
      <c r="F439" s="28"/>
      <c r="G439" s="28"/>
      <c r="H439" s="28"/>
      <c r="I439" s="28"/>
      <c r="J439" s="28"/>
      <c r="K439" s="28"/>
    </row>
    <row r="440" spans="1:18" ht="15.75" hidden="1">
      <c r="A440" s="38"/>
      <c r="B440" s="40"/>
      <c r="C440" s="28"/>
      <c r="D440" s="39"/>
      <c r="F440" s="28"/>
      <c r="G440" s="28"/>
      <c r="H440" s="28"/>
      <c r="I440" s="28"/>
      <c r="J440" s="28"/>
      <c r="K440" s="28"/>
      <c r="L440" s="28"/>
    </row>
    <row r="441" spans="1:18" ht="15.75" hidden="1">
      <c r="A441" s="38" t="s">
        <v>23</v>
      </c>
      <c r="B441" s="42" t="s">
        <v>27</v>
      </c>
      <c r="C441" s="43" t="s">
        <v>24</v>
      </c>
      <c r="D441" s="39"/>
      <c r="F441" s="29"/>
      <c r="G441" s="29" t="s">
        <v>16</v>
      </c>
      <c r="H441" s="29"/>
      <c r="I441" s="29" t="s">
        <v>30</v>
      </c>
    </row>
    <row r="442" spans="1:18" ht="15.75" hidden="1">
      <c r="A442" s="38"/>
      <c r="B442" s="44" t="s">
        <v>31</v>
      </c>
      <c r="C442" s="45" t="s">
        <v>20</v>
      </c>
      <c r="D442" s="39"/>
      <c r="F442" s="46"/>
      <c r="G442" s="46" t="s">
        <v>17</v>
      </c>
      <c r="H442" s="46"/>
      <c r="I442" s="46" t="s">
        <v>25</v>
      </c>
    </row>
    <row r="443" spans="1:18" hidden="1"/>
    <row r="444" spans="1:18" ht="16.5" thickTop="1">
      <c r="A444" s="21" t="s">
        <v>0</v>
      </c>
      <c r="B444" s="22"/>
      <c r="C444" s="23"/>
      <c r="D444" s="23"/>
      <c r="E444" s="23"/>
      <c r="F444" s="24"/>
      <c r="G444" s="24"/>
      <c r="H444" s="24"/>
      <c r="I444" s="24"/>
      <c r="J444" s="24"/>
      <c r="K444" s="24"/>
      <c r="L444" s="25"/>
    </row>
    <row r="445" spans="1:18" ht="15.75">
      <c r="A445" s="26" t="s">
        <v>493</v>
      </c>
      <c r="B445" s="21"/>
      <c r="C445" s="21"/>
      <c r="D445" s="21"/>
      <c r="E445" s="21"/>
      <c r="F445" s="24"/>
      <c r="G445" s="24"/>
      <c r="H445" s="24"/>
      <c r="I445" s="24"/>
      <c r="J445" s="24"/>
      <c r="K445" s="24"/>
      <c r="L445" s="25"/>
    </row>
    <row r="446" spans="1:18">
      <c r="A446" s="62"/>
      <c r="B446" s="62" t="s">
        <v>1</v>
      </c>
      <c r="C446" s="93" t="s">
        <v>2</v>
      </c>
      <c r="D446" s="117" t="s">
        <v>34</v>
      </c>
      <c r="E446" s="95" t="s">
        <v>3</v>
      </c>
      <c r="F446" s="93" t="s">
        <v>4</v>
      </c>
      <c r="G446" s="96" t="s">
        <v>18</v>
      </c>
      <c r="H446" s="96" t="s">
        <v>18</v>
      </c>
      <c r="I446" s="96" t="s">
        <v>18</v>
      </c>
      <c r="J446" s="97" t="s">
        <v>7</v>
      </c>
      <c r="K446" s="96" t="s">
        <v>6</v>
      </c>
      <c r="L446" s="96" t="s">
        <v>29</v>
      </c>
      <c r="M446" s="96" t="s">
        <v>21</v>
      </c>
      <c r="N446" s="96" t="s">
        <v>8</v>
      </c>
      <c r="O446" s="96" t="s">
        <v>8</v>
      </c>
      <c r="P446" s="96" t="s">
        <v>9</v>
      </c>
      <c r="Q446" s="62" t="s">
        <v>10</v>
      </c>
      <c r="R446" s="98" t="s">
        <v>33</v>
      </c>
    </row>
    <row r="447" spans="1:18">
      <c r="A447" s="99"/>
      <c r="B447" s="99"/>
      <c r="C447" s="100"/>
      <c r="D447" s="101"/>
      <c r="E447" s="102"/>
      <c r="F447" s="100"/>
      <c r="G447" s="103" t="s">
        <v>12</v>
      </c>
      <c r="H447" s="103" t="s">
        <v>12</v>
      </c>
      <c r="I447" s="103" t="s">
        <v>12</v>
      </c>
      <c r="J447" s="119" t="s">
        <v>19</v>
      </c>
      <c r="K447" s="103" t="s">
        <v>35</v>
      </c>
      <c r="L447" s="103" t="s">
        <v>22</v>
      </c>
      <c r="M447" s="103" t="s">
        <v>15</v>
      </c>
      <c r="N447" s="103" t="s">
        <v>13</v>
      </c>
      <c r="O447" s="103" t="s">
        <v>14</v>
      </c>
      <c r="P447" s="103" t="s">
        <v>12</v>
      </c>
      <c r="Q447" s="99"/>
      <c r="R447" s="104"/>
    </row>
    <row r="448" spans="1:18">
      <c r="A448" s="99"/>
      <c r="B448" s="99"/>
      <c r="C448" s="105"/>
      <c r="D448" s="101"/>
      <c r="E448" s="102"/>
      <c r="F448" s="100"/>
      <c r="G448" s="103" t="s">
        <v>81</v>
      </c>
      <c r="H448" s="103" t="s">
        <v>41</v>
      </c>
      <c r="I448" s="103" t="s">
        <v>41</v>
      </c>
      <c r="J448" s="119" t="s">
        <v>5</v>
      </c>
      <c r="K448" s="103"/>
      <c r="L448" s="103"/>
      <c r="M448" s="103"/>
      <c r="N448" s="103"/>
      <c r="O448" s="103"/>
      <c r="P448" s="103"/>
      <c r="Q448" s="99"/>
      <c r="R448" s="104"/>
    </row>
    <row r="449" spans="1:18">
      <c r="A449" s="106"/>
      <c r="B449" s="106"/>
      <c r="C449" s="107"/>
      <c r="D449" s="108"/>
      <c r="E449" s="109"/>
      <c r="F449" s="110"/>
      <c r="G449" s="111"/>
      <c r="H449" s="112"/>
      <c r="I449" s="75"/>
      <c r="J449" s="120"/>
      <c r="K449" s="111"/>
      <c r="L449" s="113"/>
      <c r="M449" s="108"/>
      <c r="N449" s="111"/>
      <c r="O449" s="111"/>
      <c r="P449" s="111"/>
      <c r="Q449" s="106"/>
      <c r="R449" s="114"/>
    </row>
    <row r="450" spans="1:18" ht="15.75">
      <c r="A450" s="52"/>
      <c r="B450" s="47"/>
      <c r="C450" s="48"/>
      <c r="D450" s="73"/>
      <c r="E450" s="17"/>
      <c r="F450" s="48"/>
      <c r="G450" s="36"/>
      <c r="H450" s="36"/>
      <c r="I450" s="125"/>
      <c r="J450" s="36"/>
      <c r="K450" s="36"/>
      <c r="L450" s="8"/>
      <c r="N450" s="8"/>
      <c r="O450" s="8"/>
      <c r="P450" s="8"/>
      <c r="Q450" s="35"/>
      <c r="R450" s="37"/>
    </row>
    <row r="451" spans="1:18" ht="15.75">
      <c r="A451" s="52">
        <v>1</v>
      </c>
      <c r="B451" s="51" t="s">
        <v>494</v>
      </c>
      <c r="C451" s="48" t="s">
        <v>495</v>
      </c>
      <c r="D451" s="67" t="s">
        <v>496</v>
      </c>
      <c r="E451" s="17">
        <v>43236</v>
      </c>
      <c r="F451" s="20" t="s">
        <v>497</v>
      </c>
      <c r="G451" s="36">
        <v>0</v>
      </c>
      <c r="H451" s="36">
        <v>56240000</v>
      </c>
      <c r="I451" s="8">
        <v>0</v>
      </c>
      <c r="J451" s="8">
        <v>1406000</v>
      </c>
      <c r="K451" s="8">
        <v>764452</v>
      </c>
      <c r="L451" s="8">
        <v>337600</v>
      </c>
      <c r="M451" s="8">
        <v>200000</v>
      </c>
      <c r="N451" s="8">
        <f>SUM(G451:M451)</f>
        <v>58948052</v>
      </c>
      <c r="O451" s="8">
        <f>90000000-N451</f>
        <v>31051948</v>
      </c>
      <c r="P451" s="8">
        <f t="shared" ref="P451" si="62">+N451+O451</f>
        <v>90000000</v>
      </c>
      <c r="Q451" s="59" t="s">
        <v>292</v>
      </c>
      <c r="R451" s="66" t="s">
        <v>52</v>
      </c>
    </row>
    <row r="452" spans="1:18" ht="15.75">
      <c r="A452" s="52"/>
      <c r="B452" s="51"/>
      <c r="C452" s="48"/>
      <c r="E452" s="17"/>
      <c r="F452" s="48"/>
      <c r="G452" s="36"/>
      <c r="H452" s="36"/>
      <c r="I452" s="75"/>
      <c r="J452" s="36"/>
      <c r="K452" s="36"/>
      <c r="L452" s="36"/>
      <c r="N452" s="8"/>
      <c r="O452" s="8"/>
      <c r="P452" s="8"/>
      <c r="Q452" s="59"/>
      <c r="R452" s="66"/>
    </row>
    <row r="453" spans="1:18" ht="16.5" thickBot="1">
      <c r="A453" s="18"/>
      <c r="B453" s="55"/>
      <c r="C453" s="56"/>
      <c r="D453" s="74"/>
      <c r="E453" s="56"/>
      <c r="F453" s="57"/>
      <c r="G453" s="19">
        <f>SUM(G451:G452)</f>
        <v>0</v>
      </c>
      <c r="H453" s="19">
        <f t="shared" ref="H453:P453" si="63">SUM(H451:H452)</f>
        <v>56240000</v>
      </c>
      <c r="I453" s="19">
        <f t="shared" si="63"/>
        <v>0</v>
      </c>
      <c r="J453" s="19">
        <f t="shared" si="63"/>
        <v>1406000</v>
      </c>
      <c r="K453" s="19">
        <f t="shared" si="63"/>
        <v>764452</v>
      </c>
      <c r="L453" s="19">
        <f t="shared" si="63"/>
        <v>337600</v>
      </c>
      <c r="M453" s="19">
        <f t="shared" si="63"/>
        <v>200000</v>
      </c>
      <c r="N453" s="19">
        <f t="shared" si="63"/>
        <v>58948052</v>
      </c>
      <c r="O453" s="19">
        <f t="shared" si="63"/>
        <v>31051948</v>
      </c>
      <c r="P453" s="19">
        <f t="shared" si="63"/>
        <v>90000000</v>
      </c>
      <c r="Q453" s="68"/>
      <c r="R453" s="70"/>
    </row>
    <row r="454" spans="1:18" ht="16.5" hidden="1" thickTop="1">
      <c r="A454" s="23"/>
      <c r="B454" s="22"/>
      <c r="C454" s="22"/>
      <c r="D454" s="23"/>
      <c r="E454" s="22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2"/>
      <c r="Q454" s="69"/>
    </row>
    <row r="455" spans="1:18" ht="15.75" hidden="1">
      <c r="A455" s="23"/>
      <c r="B455" s="28" t="s">
        <v>498</v>
      </c>
      <c r="C455" s="22"/>
      <c r="D455" s="39"/>
      <c r="F455" s="27"/>
      <c r="G455" s="28"/>
      <c r="H455" s="28"/>
      <c r="I455" s="28"/>
      <c r="J455" s="28"/>
      <c r="K455" s="28"/>
      <c r="L455" s="28"/>
      <c r="Q455" s="51"/>
    </row>
    <row r="456" spans="1:18" ht="15.75" hidden="1">
      <c r="A456" s="38"/>
      <c r="B456" s="40" t="s">
        <v>32</v>
      </c>
      <c r="C456" s="28" t="s">
        <v>28</v>
      </c>
      <c r="D456" s="39"/>
      <c r="F456" s="41"/>
      <c r="G456" s="127" t="s">
        <v>26</v>
      </c>
      <c r="H456" s="127"/>
      <c r="I456" s="127"/>
      <c r="K456" s="41"/>
    </row>
    <row r="457" spans="1:18" ht="15.75" hidden="1">
      <c r="A457" s="38"/>
      <c r="B457" s="40"/>
      <c r="C457" s="28"/>
      <c r="D457" s="39"/>
      <c r="F457" s="28"/>
      <c r="G457" s="28"/>
      <c r="H457" s="28"/>
      <c r="I457" s="28"/>
      <c r="J457" s="28"/>
      <c r="K457" s="28"/>
      <c r="L457" s="28"/>
    </row>
    <row r="458" spans="1:18" ht="15.75" hidden="1">
      <c r="A458" s="38"/>
      <c r="B458" s="40"/>
      <c r="C458" s="28"/>
      <c r="D458" s="39"/>
      <c r="F458" s="28"/>
      <c r="G458" s="28"/>
      <c r="H458" s="28"/>
      <c r="I458" s="28"/>
      <c r="J458" s="28"/>
      <c r="K458" s="28"/>
      <c r="L458" s="28"/>
    </row>
    <row r="459" spans="1:18" ht="15.75" hidden="1">
      <c r="A459" s="38"/>
      <c r="B459" s="40"/>
      <c r="C459" s="28"/>
      <c r="D459" s="39"/>
      <c r="F459" s="28"/>
      <c r="G459" s="28"/>
      <c r="H459" s="28"/>
      <c r="I459" s="28"/>
      <c r="J459" s="28"/>
      <c r="K459" s="28"/>
    </row>
    <row r="460" spans="1:18" ht="15.75" hidden="1">
      <c r="A460" s="38"/>
      <c r="B460" s="40"/>
      <c r="C460" s="28"/>
      <c r="D460" s="39"/>
      <c r="F460" s="28"/>
      <c r="G460" s="28"/>
      <c r="H460" s="28"/>
      <c r="I460" s="28"/>
      <c r="J460" s="28"/>
      <c r="K460" s="28"/>
      <c r="L460" s="28"/>
    </row>
    <row r="461" spans="1:18" ht="15.75" hidden="1">
      <c r="A461" s="38" t="s">
        <v>23</v>
      </c>
      <c r="B461" s="42" t="s">
        <v>27</v>
      </c>
      <c r="C461" s="43" t="s">
        <v>24</v>
      </c>
      <c r="D461" s="39"/>
      <c r="F461" s="29"/>
      <c r="G461" s="29" t="s">
        <v>16</v>
      </c>
      <c r="H461" s="29"/>
      <c r="I461" s="29" t="s">
        <v>30</v>
      </c>
    </row>
    <row r="462" spans="1:18" ht="15.75" hidden="1">
      <c r="A462" s="38"/>
      <c r="B462" s="44" t="s">
        <v>31</v>
      </c>
      <c r="C462" s="45" t="s">
        <v>20</v>
      </c>
      <c r="D462" s="39"/>
      <c r="F462" s="46"/>
      <c r="G462" s="46" t="s">
        <v>17</v>
      </c>
      <c r="H462" s="46"/>
      <c r="I462" s="46" t="s">
        <v>25</v>
      </c>
    </row>
    <row r="463" spans="1:18" hidden="1"/>
    <row r="464" spans="1:18" ht="16.5" thickTop="1">
      <c r="A464" s="21" t="s">
        <v>0</v>
      </c>
      <c r="B464" s="22"/>
      <c r="C464" s="23"/>
      <c r="D464" s="23"/>
      <c r="E464" s="23"/>
      <c r="F464" s="24"/>
      <c r="G464" s="24"/>
      <c r="H464" s="24"/>
      <c r="I464" s="24"/>
      <c r="J464" s="24"/>
      <c r="K464" s="24"/>
      <c r="L464" s="25"/>
    </row>
    <row r="465" spans="1:18" ht="15.75">
      <c r="A465" s="26" t="s">
        <v>493</v>
      </c>
      <c r="B465" s="21"/>
      <c r="C465" s="21"/>
      <c r="D465" s="21"/>
      <c r="E465" s="21"/>
      <c r="F465" s="24"/>
      <c r="G465" s="24"/>
      <c r="H465" s="24"/>
      <c r="I465" s="24"/>
      <c r="J465" s="24"/>
      <c r="K465" s="24"/>
      <c r="L465" s="25"/>
    </row>
    <row r="466" spans="1:18">
      <c r="A466" s="62"/>
      <c r="B466" s="62" t="s">
        <v>1</v>
      </c>
      <c r="C466" s="93" t="s">
        <v>2</v>
      </c>
      <c r="D466" s="117" t="s">
        <v>34</v>
      </c>
      <c r="E466" s="95" t="s">
        <v>3</v>
      </c>
      <c r="F466" s="93" t="s">
        <v>4</v>
      </c>
      <c r="G466" s="96" t="s">
        <v>18</v>
      </c>
      <c r="H466" s="96" t="s">
        <v>18</v>
      </c>
      <c r="I466" s="96" t="s">
        <v>18</v>
      </c>
      <c r="J466" s="97" t="s">
        <v>7</v>
      </c>
      <c r="K466" s="96" t="s">
        <v>6</v>
      </c>
      <c r="L466" s="96" t="s">
        <v>29</v>
      </c>
      <c r="M466" s="96" t="s">
        <v>21</v>
      </c>
      <c r="N466" s="96" t="s">
        <v>8</v>
      </c>
      <c r="O466" s="96" t="s">
        <v>8</v>
      </c>
      <c r="P466" s="96" t="s">
        <v>9</v>
      </c>
      <c r="Q466" s="62" t="s">
        <v>10</v>
      </c>
      <c r="R466" s="98" t="s">
        <v>33</v>
      </c>
    </row>
    <row r="467" spans="1:18">
      <c r="A467" s="99"/>
      <c r="B467" s="99"/>
      <c r="C467" s="100"/>
      <c r="D467" s="101"/>
      <c r="E467" s="102"/>
      <c r="F467" s="100"/>
      <c r="G467" s="103" t="s">
        <v>12</v>
      </c>
      <c r="H467" s="103" t="s">
        <v>12</v>
      </c>
      <c r="I467" s="103" t="s">
        <v>12</v>
      </c>
      <c r="J467" s="119" t="s">
        <v>19</v>
      </c>
      <c r="K467" s="103" t="s">
        <v>35</v>
      </c>
      <c r="L467" s="103" t="s">
        <v>22</v>
      </c>
      <c r="M467" s="103" t="s">
        <v>15</v>
      </c>
      <c r="N467" s="103" t="s">
        <v>13</v>
      </c>
      <c r="O467" s="103" t="s">
        <v>14</v>
      </c>
      <c r="P467" s="103" t="s">
        <v>12</v>
      </c>
      <c r="Q467" s="99"/>
      <c r="R467" s="104"/>
    </row>
    <row r="468" spans="1:18">
      <c r="A468" s="99"/>
      <c r="B468" s="99"/>
      <c r="C468" s="105"/>
      <c r="D468" s="101"/>
      <c r="E468" s="102"/>
      <c r="F468" s="100"/>
      <c r="G468" s="103" t="s">
        <v>81</v>
      </c>
      <c r="H468" s="103" t="s">
        <v>41</v>
      </c>
      <c r="I468" s="103" t="s">
        <v>41</v>
      </c>
      <c r="J468" s="119" t="s">
        <v>5</v>
      </c>
      <c r="K468" s="103"/>
      <c r="L468" s="103"/>
      <c r="M468" s="103"/>
      <c r="N468" s="103"/>
      <c r="O468" s="103"/>
      <c r="P468" s="103"/>
      <c r="Q468" s="99"/>
      <c r="R468" s="104"/>
    </row>
    <row r="469" spans="1:18">
      <c r="A469" s="106"/>
      <c r="B469" s="106"/>
      <c r="C469" s="107"/>
      <c r="D469" s="108"/>
      <c r="E469" s="109"/>
      <c r="F469" s="110"/>
      <c r="G469" s="111"/>
      <c r="H469" s="112"/>
      <c r="I469" s="75"/>
      <c r="J469" s="120"/>
      <c r="K469" s="111"/>
      <c r="L469" s="113"/>
      <c r="M469" s="108"/>
      <c r="N469" s="111"/>
      <c r="O469" s="111"/>
      <c r="P469" s="111"/>
      <c r="Q469" s="106"/>
      <c r="R469" s="114"/>
    </row>
    <row r="470" spans="1:18" ht="15.75">
      <c r="A470" s="52"/>
      <c r="B470" s="47"/>
      <c r="C470" s="48"/>
      <c r="D470" s="73"/>
      <c r="E470" s="17"/>
      <c r="F470" s="48"/>
      <c r="G470" s="36"/>
      <c r="H470" s="36"/>
      <c r="I470" s="125"/>
      <c r="J470" s="36"/>
      <c r="K470" s="36"/>
      <c r="L470" s="8"/>
      <c r="N470" s="8"/>
      <c r="O470" s="8"/>
      <c r="P470" s="8"/>
      <c r="Q470" s="35"/>
      <c r="R470" s="37"/>
    </row>
    <row r="471" spans="1:18" ht="15.75">
      <c r="A471" s="52">
        <v>1</v>
      </c>
      <c r="B471" s="51" t="s">
        <v>499</v>
      </c>
      <c r="C471" s="48" t="s">
        <v>500</v>
      </c>
      <c r="D471" s="67" t="s">
        <v>501</v>
      </c>
      <c r="E471" s="17">
        <v>43236</v>
      </c>
      <c r="F471" s="20" t="s">
        <v>502</v>
      </c>
      <c r="G471" s="36">
        <v>0</v>
      </c>
      <c r="H471" s="36">
        <v>32920000</v>
      </c>
      <c r="I471" s="8">
        <v>0</v>
      </c>
      <c r="J471" s="8">
        <v>823000</v>
      </c>
      <c r="K471" s="8">
        <v>515935</v>
      </c>
      <c r="L471" s="8">
        <v>670800</v>
      </c>
      <c r="M471" s="8">
        <v>200000</v>
      </c>
      <c r="N471" s="8">
        <f>SUM(G471:M471)</f>
        <v>35129735</v>
      </c>
      <c r="O471" s="8">
        <f>100000000-N471</f>
        <v>64870265</v>
      </c>
      <c r="P471" s="8">
        <f t="shared" ref="P471" si="64">+N471+O471</f>
        <v>100000000</v>
      </c>
      <c r="Q471" s="59" t="s">
        <v>292</v>
      </c>
      <c r="R471" s="66" t="s">
        <v>52</v>
      </c>
    </row>
    <row r="472" spans="1:18" ht="15.75">
      <c r="A472" s="52"/>
      <c r="B472" s="51"/>
      <c r="C472" s="48"/>
      <c r="E472" s="17"/>
      <c r="F472" s="48"/>
      <c r="G472" s="36"/>
      <c r="H472" s="36"/>
      <c r="I472" s="75"/>
      <c r="J472" s="36"/>
      <c r="K472" s="36"/>
      <c r="L472" s="36"/>
      <c r="N472" s="8"/>
      <c r="O472" s="8"/>
      <c r="P472" s="8"/>
      <c r="Q472" s="59"/>
      <c r="R472" s="66"/>
    </row>
    <row r="473" spans="1:18" ht="16.5" thickBot="1">
      <c r="A473" s="18"/>
      <c r="B473" s="55"/>
      <c r="C473" s="56"/>
      <c r="D473" s="74"/>
      <c r="E473" s="56"/>
      <c r="F473" s="57"/>
      <c r="G473" s="19">
        <f>SUM(G471:G472)</f>
        <v>0</v>
      </c>
      <c r="H473" s="19">
        <f t="shared" ref="H473:P473" si="65">SUM(H471:H472)</f>
        <v>32920000</v>
      </c>
      <c r="I473" s="19">
        <f t="shared" si="65"/>
        <v>0</v>
      </c>
      <c r="J473" s="19">
        <f t="shared" si="65"/>
        <v>823000</v>
      </c>
      <c r="K473" s="19">
        <f t="shared" si="65"/>
        <v>515935</v>
      </c>
      <c r="L473" s="19">
        <f t="shared" si="65"/>
        <v>670800</v>
      </c>
      <c r="M473" s="19">
        <f t="shared" si="65"/>
        <v>200000</v>
      </c>
      <c r="N473" s="19">
        <f t="shared" si="65"/>
        <v>35129735</v>
      </c>
      <c r="O473" s="19">
        <f t="shared" si="65"/>
        <v>64870265</v>
      </c>
      <c r="P473" s="19">
        <f t="shared" si="65"/>
        <v>100000000</v>
      </c>
      <c r="Q473" s="68"/>
      <c r="R473" s="70"/>
    </row>
    <row r="474" spans="1:18" ht="16.5" thickTop="1">
      <c r="A474" s="23"/>
      <c r="B474" s="22"/>
      <c r="C474" s="22"/>
      <c r="D474" s="23"/>
      <c r="E474" s="22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2"/>
      <c r="Q474" s="69"/>
    </row>
    <row r="475" spans="1:18" ht="15.75">
      <c r="A475" s="23"/>
      <c r="B475" s="28" t="s">
        <v>498</v>
      </c>
      <c r="C475" s="22"/>
      <c r="D475" s="39"/>
      <c r="F475" s="27"/>
      <c r="G475" s="28"/>
      <c r="H475" s="28"/>
      <c r="I475" s="28"/>
      <c r="J475" s="28"/>
      <c r="K475" s="28"/>
      <c r="L475" s="28"/>
      <c r="Q475" s="51"/>
    </row>
    <row r="476" spans="1:18" ht="15.75">
      <c r="A476" s="38"/>
      <c r="B476" s="40" t="s">
        <v>32</v>
      </c>
      <c r="C476" s="28" t="s">
        <v>28</v>
      </c>
      <c r="D476" s="39"/>
      <c r="F476" s="41"/>
      <c r="G476" s="127" t="s">
        <v>26</v>
      </c>
      <c r="H476" s="127"/>
      <c r="I476" s="127"/>
      <c r="K476" s="41"/>
    </row>
    <row r="477" spans="1:18" ht="15.75">
      <c r="A477" s="38"/>
      <c r="B477" s="40"/>
      <c r="C477" s="28"/>
      <c r="D477" s="39"/>
      <c r="F477" s="28"/>
      <c r="G477" s="28"/>
      <c r="H477" s="28"/>
      <c r="I477" s="28"/>
      <c r="J477" s="28"/>
      <c r="K477" s="28"/>
      <c r="L477" s="28"/>
    </row>
    <row r="478" spans="1:18" ht="15.75">
      <c r="A478" s="38"/>
      <c r="B478" s="40"/>
      <c r="C478" s="28"/>
      <c r="D478" s="39"/>
      <c r="F478" s="28"/>
      <c r="G478" s="28"/>
      <c r="H478" s="28"/>
      <c r="I478" s="28"/>
      <c r="J478" s="28"/>
      <c r="K478" s="28"/>
      <c r="L478" s="28"/>
    </row>
    <row r="479" spans="1:18" ht="15.75">
      <c r="A479" s="38"/>
      <c r="B479" s="40"/>
      <c r="C479" s="28"/>
      <c r="D479" s="39"/>
      <c r="F479" s="28"/>
      <c r="G479" s="28"/>
      <c r="H479" s="28"/>
      <c r="I479" s="28"/>
      <c r="J479" s="28"/>
      <c r="K479" s="28"/>
    </row>
    <row r="480" spans="1:18" ht="15.75">
      <c r="A480" s="38"/>
      <c r="B480" s="40"/>
      <c r="C480" s="28"/>
      <c r="D480" s="39"/>
      <c r="F480" s="28"/>
      <c r="G480" s="28"/>
      <c r="H480" s="28"/>
      <c r="I480" s="28"/>
      <c r="J480" s="28"/>
      <c r="K480" s="28"/>
      <c r="L480" s="28"/>
    </row>
    <row r="481" spans="1:18" ht="15.75">
      <c r="A481" s="38" t="s">
        <v>23</v>
      </c>
      <c r="B481" s="42" t="s">
        <v>27</v>
      </c>
      <c r="C481" s="43" t="s">
        <v>24</v>
      </c>
      <c r="D481" s="39"/>
      <c r="F481" s="29"/>
      <c r="G481" s="29" t="s">
        <v>16</v>
      </c>
      <c r="H481" s="29"/>
      <c r="I481" s="29" t="s">
        <v>30</v>
      </c>
    </row>
    <row r="482" spans="1:18" ht="15.75">
      <c r="A482" s="38"/>
      <c r="B482" s="44" t="s">
        <v>31</v>
      </c>
      <c r="C482" s="45" t="s">
        <v>20</v>
      </c>
      <c r="D482" s="39"/>
      <c r="F482" s="46"/>
      <c r="G482" s="46" t="s">
        <v>17</v>
      </c>
      <c r="H482" s="46"/>
      <c r="I482" s="46" t="s">
        <v>25</v>
      </c>
    </row>
    <row r="484" spans="1:18" ht="15.75">
      <c r="A484" s="21" t="s">
        <v>0</v>
      </c>
      <c r="B484" s="22"/>
      <c r="C484" s="23"/>
      <c r="D484" s="23"/>
      <c r="E484" s="23"/>
      <c r="F484" s="24"/>
      <c r="G484" s="24"/>
      <c r="H484" s="24"/>
      <c r="I484" s="24"/>
      <c r="J484" s="24"/>
      <c r="K484" s="24"/>
      <c r="L484" s="25"/>
    </row>
    <row r="485" spans="1:18" ht="15.75">
      <c r="A485" s="26" t="s">
        <v>493</v>
      </c>
      <c r="B485" s="21"/>
      <c r="C485" s="21"/>
      <c r="D485" s="21"/>
      <c r="E485" s="21"/>
      <c r="F485" s="24"/>
      <c r="G485" s="24"/>
      <c r="H485" s="24"/>
      <c r="I485" s="24"/>
      <c r="J485" s="24"/>
      <c r="K485" s="24"/>
      <c r="L485" s="25"/>
    </row>
    <row r="486" spans="1:18">
      <c r="A486" s="62"/>
      <c r="B486" s="62" t="s">
        <v>1</v>
      </c>
      <c r="C486" s="93" t="s">
        <v>2</v>
      </c>
      <c r="D486" s="117" t="s">
        <v>34</v>
      </c>
      <c r="E486" s="95" t="s">
        <v>3</v>
      </c>
      <c r="F486" s="93" t="s">
        <v>4</v>
      </c>
      <c r="G486" s="96" t="s">
        <v>18</v>
      </c>
      <c r="H486" s="96" t="s">
        <v>18</v>
      </c>
      <c r="I486" s="96" t="s">
        <v>18</v>
      </c>
      <c r="J486" s="97" t="s">
        <v>7</v>
      </c>
      <c r="K486" s="96" t="s">
        <v>6</v>
      </c>
      <c r="L486" s="96" t="s">
        <v>29</v>
      </c>
      <c r="M486" s="96" t="s">
        <v>21</v>
      </c>
      <c r="N486" s="96" t="s">
        <v>8</v>
      </c>
      <c r="O486" s="96" t="s">
        <v>8</v>
      </c>
      <c r="P486" s="96" t="s">
        <v>9</v>
      </c>
      <c r="Q486" s="62" t="s">
        <v>10</v>
      </c>
      <c r="R486" s="98" t="s">
        <v>33</v>
      </c>
    </row>
    <row r="487" spans="1:18">
      <c r="A487" s="99"/>
      <c r="B487" s="99"/>
      <c r="C487" s="100"/>
      <c r="D487" s="101"/>
      <c r="E487" s="102"/>
      <c r="F487" s="100"/>
      <c r="G487" s="103" t="s">
        <v>12</v>
      </c>
      <c r="H487" s="103" t="s">
        <v>12</v>
      </c>
      <c r="I487" s="103" t="s">
        <v>12</v>
      </c>
      <c r="J487" s="119" t="s">
        <v>19</v>
      </c>
      <c r="K487" s="103" t="s">
        <v>35</v>
      </c>
      <c r="L487" s="103" t="s">
        <v>22</v>
      </c>
      <c r="M487" s="103" t="s">
        <v>15</v>
      </c>
      <c r="N487" s="103" t="s">
        <v>13</v>
      </c>
      <c r="O487" s="103" t="s">
        <v>14</v>
      </c>
      <c r="P487" s="103" t="s">
        <v>12</v>
      </c>
      <c r="Q487" s="99"/>
      <c r="R487" s="104"/>
    </row>
    <row r="488" spans="1:18">
      <c r="A488" s="99"/>
      <c r="B488" s="99"/>
      <c r="C488" s="105"/>
      <c r="D488" s="101"/>
      <c r="E488" s="102"/>
      <c r="F488" s="100"/>
      <c r="G488" s="103" t="s">
        <v>81</v>
      </c>
      <c r="H488" s="103" t="s">
        <v>41</v>
      </c>
      <c r="I488" s="103" t="s">
        <v>41</v>
      </c>
      <c r="J488" s="119" t="s">
        <v>5</v>
      </c>
      <c r="K488" s="103"/>
      <c r="L488" s="103"/>
      <c r="M488" s="103"/>
      <c r="N488" s="103"/>
      <c r="O488" s="103"/>
      <c r="P488" s="103"/>
      <c r="Q488" s="99"/>
      <c r="R488" s="104"/>
    </row>
    <row r="489" spans="1:18">
      <c r="A489" s="106"/>
      <c r="B489" s="106"/>
      <c r="C489" s="107"/>
      <c r="D489" s="108"/>
      <c r="E489" s="109"/>
      <c r="F489" s="110"/>
      <c r="G489" s="111"/>
      <c r="H489" s="112"/>
      <c r="I489" s="75"/>
      <c r="J489" s="120"/>
      <c r="K489" s="111"/>
      <c r="L489" s="113"/>
      <c r="M489" s="108"/>
      <c r="N489" s="111"/>
      <c r="O489" s="111"/>
      <c r="P489" s="111"/>
      <c r="Q489" s="106"/>
      <c r="R489" s="114"/>
    </row>
    <row r="490" spans="1:18" ht="15.75">
      <c r="A490" s="52"/>
      <c r="B490" s="47"/>
      <c r="C490" s="48"/>
      <c r="D490" s="73"/>
      <c r="E490" s="17"/>
      <c r="F490" s="48"/>
      <c r="G490" s="36"/>
      <c r="H490" s="36"/>
      <c r="I490" s="125"/>
      <c r="J490" s="36"/>
      <c r="K490" s="36"/>
      <c r="L490" s="8"/>
      <c r="N490" s="8"/>
      <c r="O490" s="8"/>
      <c r="P490" s="8"/>
      <c r="Q490" s="35"/>
      <c r="R490" s="37"/>
    </row>
    <row r="491" spans="1:18" ht="15.75">
      <c r="A491" s="52">
        <v>1</v>
      </c>
      <c r="B491" s="51" t="s">
        <v>503</v>
      </c>
      <c r="C491" s="48" t="s">
        <v>504</v>
      </c>
      <c r="D491" s="67" t="s">
        <v>505</v>
      </c>
      <c r="E491" s="17">
        <v>43236</v>
      </c>
      <c r="F491" s="20" t="s">
        <v>506</v>
      </c>
      <c r="G491" s="36">
        <v>1046100</v>
      </c>
      <c r="H491" s="36">
        <v>60840000</v>
      </c>
      <c r="I491" s="8">
        <v>0</v>
      </c>
      <c r="J491" s="8">
        <v>1547153</v>
      </c>
      <c r="K491" s="8">
        <v>766806</v>
      </c>
      <c r="L491" s="8">
        <v>381139</v>
      </c>
      <c r="M491" s="8">
        <v>200000</v>
      </c>
      <c r="N491" s="8">
        <f>SUM(G491:M491)</f>
        <v>64781198</v>
      </c>
      <c r="O491" s="8">
        <f>100000000-N491</f>
        <v>35218802</v>
      </c>
      <c r="P491" s="8">
        <f t="shared" ref="P491" si="66">+N491+O491</f>
        <v>100000000</v>
      </c>
      <c r="Q491" s="59" t="s">
        <v>507</v>
      </c>
      <c r="R491" s="66" t="s">
        <v>52</v>
      </c>
    </row>
    <row r="492" spans="1:18" ht="15.75">
      <c r="A492" s="52"/>
      <c r="B492" s="51"/>
      <c r="C492" s="48"/>
      <c r="E492" s="17"/>
      <c r="F492" s="48"/>
      <c r="G492" s="36"/>
      <c r="H492" s="36"/>
      <c r="I492" s="75"/>
      <c r="J492" s="36"/>
      <c r="K492" s="36"/>
      <c r="L492" s="36"/>
      <c r="N492" s="8"/>
      <c r="O492" s="8"/>
      <c r="P492" s="8"/>
      <c r="Q492" s="59"/>
      <c r="R492" s="66"/>
    </row>
    <row r="493" spans="1:18" ht="16.5" thickBot="1">
      <c r="A493" s="18"/>
      <c r="B493" s="55"/>
      <c r="C493" s="56"/>
      <c r="D493" s="74"/>
      <c r="E493" s="56"/>
      <c r="F493" s="57"/>
      <c r="G493" s="19">
        <f>SUM(G491:G492)</f>
        <v>1046100</v>
      </c>
      <c r="H493" s="19">
        <f t="shared" ref="H493:P493" si="67">SUM(H491:H492)</f>
        <v>60840000</v>
      </c>
      <c r="I493" s="19">
        <f t="shared" si="67"/>
        <v>0</v>
      </c>
      <c r="J493" s="19">
        <f t="shared" si="67"/>
        <v>1547153</v>
      </c>
      <c r="K493" s="19">
        <f t="shared" si="67"/>
        <v>766806</v>
      </c>
      <c r="L493" s="19">
        <f t="shared" si="67"/>
        <v>381139</v>
      </c>
      <c r="M493" s="19">
        <f t="shared" si="67"/>
        <v>200000</v>
      </c>
      <c r="N493" s="19">
        <f t="shared" si="67"/>
        <v>64781198</v>
      </c>
      <c r="O493" s="19">
        <f t="shared" si="67"/>
        <v>35218802</v>
      </c>
      <c r="P493" s="19">
        <f t="shared" si="67"/>
        <v>100000000</v>
      </c>
      <c r="Q493" s="68"/>
      <c r="R493" s="70"/>
    </row>
    <row r="494" spans="1:18" ht="16.5" thickTop="1">
      <c r="A494" s="23"/>
      <c r="B494" s="22"/>
      <c r="C494" s="22"/>
      <c r="D494" s="23"/>
      <c r="E494" s="22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2"/>
      <c r="Q494" s="69"/>
    </row>
    <row r="495" spans="1:18" ht="15.75">
      <c r="A495" s="23"/>
      <c r="B495" s="28" t="s">
        <v>498</v>
      </c>
      <c r="C495" s="22"/>
      <c r="D495" s="39"/>
      <c r="F495" s="27"/>
      <c r="G495" s="28"/>
      <c r="H495" s="28"/>
      <c r="I495" s="28"/>
      <c r="J495" s="28"/>
      <c r="K495" s="28"/>
      <c r="L495" s="28"/>
      <c r="Q495" s="51"/>
    </row>
    <row r="496" spans="1:18" ht="15.75">
      <c r="A496" s="38"/>
      <c r="B496" s="40" t="s">
        <v>32</v>
      </c>
      <c r="C496" s="28" t="s">
        <v>28</v>
      </c>
      <c r="D496" s="39"/>
      <c r="F496" s="41"/>
      <c r="G496" s="127" t="s">
        <v>26</v>
      </c>
      <c r="H496" s="127"/>
      <c r="I496" s="127"/>
      <c r="K496" s="41"/>
    </row>
    <row r="497" spans="1:18" ht="15.75">
      <c r="A497" s="38"/>
      <c r="B497" s="40"/>
      <c r="C497" s="28"/>
      <c r="D497" s="39"/>
      <c r="F497" s="28"/>
      <c r="G497" s="28"/>
      <c r="H497" s="28"/>
      <c r="I497" s="28"/>
      <c r="J497" s="28"/>
      <c r="K497" s="28"/>
      <c r="L497" s="28"/>
    </row>
    <row r="498" spans="1:18" ht="15.75">
      <c r="A498" s="38"/>
      <c r="B498" s="40"/>
      <c r="C498" s="28"/>
      <c r="D498" s="39"/>
      <c r="F498" s="28"/>
      <c r="G498" s="28"/>
      <c r="H498" s="28"/>
      <c r="I498" s="28"/>
      <c r="J498" s="28"/>
      <c r="K498" s="28"/>
      <c r="L498" s="28"/>
    </row>
    <row r="499" spans="1:18" ht="15.75">
      <c r="A499" s="38"/>
      <c r="B499" s="40"/>
      <c r="C499" s="28"/>
      <c r="D499" s="39"/>
      <c r="F499" s="28"/>
      <c r="G499" s="28"/>
      <c r="H499" s="28"/>
      <c r="I499" s="28"/>
      <c r="J499" s="28"/>
      <c r="K499" s="28"/>
    </row>
    <row r="500" spans="1:18" ht="15.75">
      <c r="A500" s="38"/>
      <c r="B500" s="40"/>
      <c r="C500" s="28"/>
      <c r="D500" s="39"/>
      <c r="F500" s="28"/>
      <c r="G500" s="28"/>
      <c r="H500" s="28"/>
      <c r="I500" s="28"/>
      <c r="J500" s="28"/>
      <c r="K500" s="28"/>
      <c r="L500" s="28"/>
    </row>
    <row r="501" spans="1:18" ht="15.75">
      <c r="A501" s="38" t="s">
        <v>23</v>
      </c>
      <c r="B501" s="42" t="s">
        <v>27</v>
      </c>
      <c r="C501" s="43" t="s">
        <v>24</v>
      </c>
      <c r="D501" s="39"/>
      <c r="F501" s="29"/>
      <c r="G501" s="29" t="s">
        <v>16</v>
      </c>
      <c r="H501" s="29"/>
      <c r="I501" s="29" t="s">
        <v>30</v>
      </c>
    </row>
    <row r="502" spans="1:18" ht="15.75">
      <c r="A502" s="38"/>
      <c r="B502" s="44" t="s">
        <v>31</v>
      </c>
      <c r="C502" s="45" t="s">
        <v>20</v>
      </c>
      <c r="D502" s="39"/>
      <c r="F502" s="46"/>
      <c r="G502" s="46" t="s">
        <v>17</v>
      </c>
      <c r="H502" s="46"/>
      <c r="I502" s="46" t="s">
        <v>25</v>
      </c>
    </row>
    <row r="504" spans="1:18" ht="15.75">
      <c r="A504" s="21" t="s">
        <v>0</v>
      </c>
      <c r="B504" s="22"/>
      <c r="C504" s="23"/>
      <c r="D504" s="23"/>
      <c r="E504" s="23"/>
      <c r="F504" s="24"/>
      <c r="G504" s="24"/>
      <c r="H504" s="24"/>
      <c r="I504" s="24"/>
      <c r="J504" s="24"/>
      <c r="K504" s="24"/>
      <c r="L504" s="25"/>
    </row>
    <row r="505" spans="1:18" ht="15.75">
      <c r="A505" s="26" t="s">
        <v>508</v>
      </c>
      <c r="B505" s="21"/>
      <c r="C505" s="21"/>
      <c r="D505" s="21"/>
      <c r="E505" s="21"/>
      <c r="F505" s="24"/>
      <c r="G505" s="24"/>
      <c r="H505" s="24"/>
      <c r="I505" s="24"/>
      <c r="J505" s="24"/>
      <c r="K505" s="24"/>
      <c r="L505" s="25"/>
    </row>
    <row r="506" spans="1:18">
      <c r="A506" s="62"/>
      <c r="B506" s="62" t="s">
        <v>1</v>
      </c>
      <c r="C506" s="93" t="s">
        <v>2</v>
      </c>
      <c r="D506" s="117" t="s">
        <v>34</v>
      </c>
      <c r="E506" s="95" t="s">
        <v>3</v>
      </c>
      <c r="F506" s="93" t="s">
        <v>4</v>
      </c>
      <c r="G506" s="96" t="s">
        <v>18</v>
      </c>
      <c r="H506" s="96" t="s">
        <v>18</v>
      </c>
      <c r="I506" s="96" t="s">
        <v>18</v>
      </c>
      <c r="J506" s="97" t="s">
        <v>7</v>
      </c>
      <c r="K506" s="96" t="s">
        <v>6</v>
      </c>
      <c r="L506" s="96" t="s">
        <v>29</v>
      </c>
      <c r="M506" s="96" t="s">
        <v>21</v>
      </c>
      <c r="N506" s="96" t="s">
        <v>8</v>
      </c>
      <c r="O506" s="96" t="s">
        <v>8</v>
      </c>
      <c r="P506" s="96" t="s">
        <v>9</v>
      </c>
      <c r="Q506" s="62" t="s">
        <v>10</v>
      </c>
      <c r="R506" s="98" t="s">
        <v>33</v>
      </c>
    </row>
    <row r="507" spans="1:18">
      <c r="A507" s="99"/>
      <c r="B507" s="99"/>
      <c r="C507" s="100"/>
      <c r="D507" s="101"/>
      <c r="E507" s="102"/>
      <c r="F507" s="100"/>
      <c r="G507" s="103" t="s">
        <v>12</v>
      </c>
      <c r="H507" s="103" t="s">
        <v>12</v>
      </c>
      <c r="I507" s="103" t="s">
        <v>12</v>
      </c>
      <c r="J507" s="119" t="s">
        <v>19</v>
      </c>
      <c r="K507" s="103" t="s">
        <v>35</v>
      </c>
      <c r="L507" s="103" t="s">
        <v>22</v>
      </c>
      <c r="M507" s="103" t="s">
        <v>15</v>
      </c>
      <c r="N507" s="103" t="s">
        <v>13</v>
      </c>
      <c r="O507" s="103" t="s">
        <v>14</v>
      </c>
      <c r="P507" s="103" t="s">
        <v>12</v>
      </c>
      <c r="Q507" s="99"/>
      <c r="R507" s="104"/>
    </row>
    <row r="508" spans="1:18">
      <c r="A508" s="99"/>
      <c r="B508" s="99"/>
      <c r="C508" s="105"/>
      <c r="D508" s="101"/>
      <c r="E508" s="102"/>
      <c r="F508" s="100"/>
      <c r="G508" s="103" t="s">
        <v>81</v>
      </c>
      <c r="H508" s="103" t="s">
        <v>41</v>
      </c>
      <c r="I508" s="103" t="s">
        <v>41</v>
      </c>
      <c r="J508" s="119" t="s">
        <v>5</v>
      </c>
      <c r="K508" s="103"/>
      <c r="L508" s="103"/>
      <c r="M508" s="103"/>
      <c r="N508" s="103"/>
      <c r="O508" s="103"/>
      <c r="P508" s="103"/>
      <c r="Q508" s="99"/>
      <c r="R508" s="104"/>
    </row>
    <row r="509" spans="1:18">
      <c r="A509" s="106"/>
      <c r="B509" s="106"/>
      <c r="C509" s="107"/>
      <c r="D509" s="108"/>
      <c r="E509" s="109"/>
      <c r="F509" s="110"/>
      <c r="G509" s="111"/>
      <c r="H509" s="112"/>
      <c r="I509" s="75"/>
      <c r="J509" s="120"/>
      <c r="K509" s="111"/>
      <c r="L509" s="113"/>
      <c r="M509" s="108"/>
      <c r="N509" s="111"/>
      <c r="O509" s="111"/>
      <c r="P509" s="111"/>
      <c r="Q509" s="106"/>
      <c r="R509" s="114"/>
    </row>
    <row r="510" spans="1:18" ht="15.75">
      <c r="A510" s="52"/>
      <c r="B510" s="47"/>
      <c r="C510" s="48"/>
      <c r="D510" s="73"/>
      <c r="E510" s="17"/>
      <c r="F510" s="48"/>
      <c r="G510" s="36"/>
      <c r="H510" s="36"/>
      <c r="I510" s="125"/>
      <c r="J510" s="36"/>
      <c r="K510" s="36"/>
      <c r="L510" s="8"/>
      <c r="N510" s="8"/>
      <c r="O510" s="8"/>
      <c r="P510" s="8"/>
      <c r="Q510" s="35"/>
      <c r="R510" s="37"/>
    </row>
    <row r="511" spans="1:18" ht="15.75">
      <c r="A511" s="52">
        <v>1</v>
      </c>
      <c r="B511" s="51" t="s">
        <v>509</v>
      </c>
      <c r="C511" s="48" t="s">
        <v>510</v>
      </c>
      <c r="D511" s="67" t="s">
        <v>511</v>
      </c>
      <c r="E511" s="17">
        <v>43237</v>
      </c>
      <c r="F511" s="20" t="s">
        <v>512</v>
      </c>
      <c r="G511" s="36">
        <v>0</v>
      </c>
      <c r="H511" s="36">
        <v>125147468</v>
      </c>
      <c r="I511" s="8">
        <v>0</v>
      </c>
      <c r="J511" s="8">
        <v>3128687</v>
      </c>
      <c r="K511" s="8">
        <v>1811174</v>
      </c>
      <c r="L511" s="8">
        <v>1038000</v>
      </c>
      <c r="M511" s="8">
        <v>200000</v>
      </c>
      <c r="N511" s="8">
        <f>SUM(G511:M511)</f>
        <v>131325329</v>
      </c>
      <c r="O511" s="8">
        <f>235125329-N511</f>
        <v>103800000</v>
      </c>
      <c r="P511" s="8">
        <f t="shared" ref="P511" si="68">+N511+O511</f>
        <v>235125329</v>
      </c>
      <c r="Q511" s="59" t="s">
        <v>441</v>
      </c>
      <c r="R511" s="66" t="s">
        <v>52</v>
      </c>
    </row>
    <row r="512" spans="1:18" ht="15.75">
      <c r="A512" s="52"/>
      <c r="B512" s="51"/>
      <c r="C512" s="48"/>
      <c r="E512" s="17"/>
      <c r="F512" s="48"/>
      <c r="G512" s="36"/>
      <c r="H512" s="36"/>
      <c r="I512" s="75"/>
      <c r="J512" s="36"/>
      <c r="K512" s="36"/>
      <c r="L512" s="36"/>
      <c r="N512" s="8"/>
      <c r="O512" s="8"/>
      <c r="P512" s="8"/>
      <c r="Q512" s="59"/>
      <c r="R512" s="66"/>
    </row>
    <row r="513" spans="1:18" ht="16.5" thickBot="1">
      <c r="A513" s="18"/>
      <c r="B513" s="55"/>
      <c r="C513" s="56"/>
      <c r="D513" s="74"/>
      <c r="E513" s="56"/>
      <c r="F513" s="57"/>
      <c r="G513" s="19">
        <f>SUM(G511:G512)</f>
        <v>0</v>
      </c>
      <c r="H513" s="19">
        <f t="shared" ref="H513:P513" si="69">SUM(H511:H512)</f>
        <v>125147468</v>
      </c>
      <c r="I513" s="19">
        <f t="shared" si="69"/>
        <v>0</v>
      </c>
      <c r="J513" s="19">
        <f t="shared" si="69"/>
        <v>3128687</v>
      </c>
      <c r="K513" s="19">
        <f t="shared" si="69"/>
        <v>1811174</v>
      </c>
      <c r="L513" s="19">
        <f t="shared" si="69"/>
        <v>1038000</v>
      </c>
      <c r="M513" s="19">
        <f t="shared" si="69"/>
        <v>200000</v>
      </c>
      <c r="N513" s="19">
        <f t="shared" si="69"/>
        <v>131325329</v>
      </c>
      <c r="O513" s="19">
        <f t="shared" si="69"/>
        <v>103800000</v>
      </c>
      <c r="P513" s="19">
        <f t="shared" si="69"/>
        <v>235125329</v>
      </c>
      <c r="Q513" s="68"/>
      <c r="R513" s="70"/>
    </row>
    <row r="514" spans="1:18" ht="16.5" thickTop="1">
      <c r="A514" s="23"/>
      <c r="B514" s="22"/>
      <c r="C514" s="22"/>
      <c r="D514" s="23"/>
      <c r="E514" s="22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2"/>
      <c r="Q514" s="69"/>
    </row>
    <row r="515" spans="1:18" ht="15.75">
      <c r="A515" s="23"/>
      <c r="B515" s="28" t="s">
        <v>513</v>
      </c>
      <c r="C515" s="22"/>
      <c r="D515" s="39"/>
      <c r="F515" s="27"/>
      <c r="G515" s="28"/>
      <c r="H515" s="28"/>
      <c r="I515" s="28"/>
      <c r="J515" s="28"/>
      <c r="K515" s="28"/>
      <c r="L515" s="28"/>
      <c r="Q515" s="51"/>
    </row>
    <row r="516" spans="1:18" ht="15.75">
      <c r="A516" s="38"/>
      <c r="B516" s="40" t="s">
        <v>32</v>
      </c>
      <c r="C516" s="28" t="s">
        <v>28</v>
      </c>
      <c r="D516" s="39"/>
      <c r="F516" s="41"/>
      <c r="G516" s="127" t="s">
        <v>26</v>
      </c>
      <c r="H516" s="127"/>
      <c r="I516" s="127"/>
      <c r="K516" s="41"/>
    </row>
    <row r="517" spans="1:18" ht="15.75">
      <c r="A517" s="38"/>
      <c r="B517" s="40"/>
      <c r="C517" s="28"/>
      <c r="D517" s="39"/>
      <c r="F517" s="28"/>
      <c r="G517" s="28"/>
      <c r="H517" s="28"/>
      <c r="I517" s="28"/>
      <c r="J517" s="28"/>
      <c r="K517" s="28"/>
      <c r="L517" s="28"/>
    </row>
    <row r="518" spans="1:18" ht="15.75">
      <c r="A518" s="38"/>
      <c r="B518" s="40"/>
      <c r="C518" s="28"/>
      <c r="D518" s="39"/>
      <c r="F518" s="28"/>
      <c r="G518" s="28"/>
      <c r="H518" s="28"/>
      <c r="I518" s="28"/>
      <c r="J518" s="28"/>
      <c r="K518" s="28"/>
      <c r="L518" s="28"/>
    </row>
    <row r="519" spans="1:18" ht="15.75">
      <c r="A519" s="38"/>
      <c r="B519" s="40"/>
      <c r="C519" s="28"/>
      <c r="D519" s="39"/>
      <c r="F519" s="28"/>
      <c r="G519" s="28"/>
      <c r="H519" s="28"/>
      <c r="I519" s="28"/>
      <c r="J519" s="28"/>
      <c r="K519" s="28"/>
    </row>
    <row r="520" spans="1:18" ht="15.75">
      <c r="A520" s="38"/>
      <c r="B520" s="40"/>
      <c r="C520" s="28"/>
      <c r="D520" s="39"/>
      <c r="F520" s="28"/>
      <c r="G520" s="28"/>
      <c r="H520" s="28"/>
      <c r="I520" s="28"/>
      <c r="J520" s="28"/>
      <c r="K520" s="28"/>
      <c r="L520" s="28"/>
    </row>
    <row r="521" spans="1:18" ht="15.75">
      <c r="A521" s="38" t="s">
        <v>23</v>
      </c>
      <c r="B521" s="42" t="s">
        <v>27</v>
      </c>
      <c r="C521" s="43" t="s">
        <v>24</v>
      </c>
      <c r="D521" s="39"/>
      <c r="F521" s="29"/>
      <c r="G521" s="29" t="s">
        <v>16</v>
      </c>
      <c r="H521" s="29"/>
      <c r="I521" s="29" t="s">
        <v>30</v>
      </c>
    </row>
    <row r="522" spans="1:18" ht="15.75">
      <c r="A522" s="38"/>
      <c r="B522" s="44" t="s">
        <v>31</v>
      </c>
      <c r="C522" s="45" t="s">
        <v>20</v>
      </c>
      <c r="D522" s="39"/>
      <c r="F522" s="46"/>
      <c r="G522" s="46" t="s">
        <v>17</v>
      </c>
      <c r="H522" s="46"/>
      <c r="I522" s="46" t="s">
        <v>25</v>
      </c>
    </row>
    <row r="523" spans="1:18" ht="15.75">
      <c r="A523" s="38"/>
      <c r="B523" s="44"/>
      <c r="C523" s="45"/>
      <c r="D523" s="39"/>
      <c r="F523" s="46"/>
      <c r="G523" s="46"/>
      <c r="H523" s="46"/>
      <c r="I523" s="46"/>
    </row>
    <row r="524" spans="1:18" ht="15.75">
      <c r="H524" s="36">
        <v>61412679</v>
      </c>
      <c r="I524" s="8">
        <v>1535317</v>
      </c>
    </row>
    <row r="525" spans="1:18" ht="15.75">
      <c r="A525" s="21" t="s">
        <v>0</v>
      </c>
      <c r="B525" s="22"/>
      <c r="C525" s="23"/>
      <c r="D525" s="23"/>
      <c r="E525" s="23"/>
      <c r="F525" s="24"/>
      <c r="G525" s="24"/>
      <c r="H525" s="24"/>
      <c r="I525" s="24"/>
      <c r="J525" s="24"/>
      <c r="K525" s="24"/>
      <c r="L525" s="25"/>
    </row>
    <row r="526" spans="1:18" ht="15.75">
      <c r="A526" s="26" t="s">
        <v>508</v>
      </c>
      <c r="B526" s="21"/>
      <c r="C526" s="21"/>
      <c r="D526" s="21"/>
      <c r="E526" s="21"/>
      <c r="F526" s="24"/>
      <c r="G526" s="24"/>
      <c r="H526" s="24"/>
      <c r="I526" s="24"/>
      <c r="J526" s="24"/>
      <c r="K526" s="24"/>
      <c r="L526" s="25"/>
    </row>
    <row r="527" spans="1:18">
      <c r="A527" s="62"/>
      <c r="B527" s="62" t="s">
        <v>1</v>
      </c>
      <c r="C527" s="93" t="s">
        <v>2</v>
      </c>
      <c r="D527" s="117" t="s">
        <v>34</v>
      </c>
      <c r="E527" s="95" t="s">
        <v>3</v>
      </c>
      <c r="F527" s="93" t="s">
        <v>4</v>
      </c>
      <c r="G527" s="96" t="s">
        <v>18</v>
      </c>
      <c r="H527" s="96" t="s">
        <v>18</v>
      </c>
      <c r="I527" s="97" t="s">
        <v>7</v>
      </c>
      <c r="J527" s="96" t="s">
        <v>6</v>
      </c>
      <c r="K527" s="96" t="s">
        <v>6</v>
      </c>
      <c r="L527" s="96" t="s">
        <v>458</v>
      </c>
      <c r="M527" s="96" t="s">
        <v>21</v>
      </c>
      <c r="N527" s="96" t="s">
        <v>8</v>
      </c>
      <c r="O527" s="96" t="s">
        <v>8</v>
      </c>
      <c r="P527" s="96" t="s">
        <v>9</v>
      </c>
      <c r="Q527" s="62" t="s">
        <v>10</v>
      </c>
      <c r="R527" s="98" t="s">
        <v>33</v>
      </c>
    </row>
    <row r="528" spans="1:18">
      <c r="A528" s="99"/>
      <c r="B528" s="99"/>
      <c r="C528" s="100"/>
      <c r="D528" s="101"/>
      <c r="E528" s="102"/>
      <c r="F528" s="100"/>
      <c r="G528" s="103" t="s">
        <v>12</v>
      </c>
      <c r="H528" s="103" t="s">
        <v>12</v>
      </c>
      <c r="I528" s="119" t="s">
        <v>19</v>
      </c>
      <c r="J528" s="103" t="s">
        <v>35</v>
      </c>
      <c r="K528" s="103" t="s">
        <v>517</v>
      </c>
      <c r="L528" s="103" t="s">
        <v>517</v>
      </c>
      <c r="M528" s="103" t="s">
        <v>15</v>
      </c>
      <c r="N528" s="103" t="s">
        <v>13</v>
      </c>
      <c r="O528" s="103" t="s">
        <v>14</v>
      </c>
      <c r="P528" s="103" t="s">
        <v>12</v>
      </c>
      <c r="Q528" s="99"/>
      <c r="R528" s="104"/>
    </row>
    <row r="529" spans="1:18">
      <c r="A529" s="99"/>
      <c r="B529" s="99"/>
      <c r="C529" s="105"/>
      <c r="D529" s="101"/>
      <c r="E529" s="102"/>
      <c r="F529" s="100"/>
      <c r="G529" s="103" t="s">
        <v>81</v>
      </c>
      <c r="H529" s="103" t="s">
        <v>41</v>
      </c>
      <c r="I529" s="119" t="s">
        <v>5</v>
      </c>
      <c r="J529" s="103"/>
      <c r="K529" s="103"/>
      <c r="L529" s="103"/>
      <c r="M529" s="103"/>
      <c r="N529" s="103"/>
      <c r="O529" s="103"/>
      <c r="P529" s="103"/>
      <c r="Q529" s="99"/>
      <c r="R529" s="104"/>
    </row>
    <row r="530" spans="1:18">
      <c r="A530" s="106"/>
      <c r="B530" s="106"/>
      <c r="C530" s="107"/>
      <c r="D530" s="108"/>
      <c r="E530" s="109"/>
      <c r="F530" s="110"/>
      <c r="G530" s="111"/>
      <c r="H530" s="112"/>
      <c r="I530" s="75"/>
      <c r="J530" s="120"/>
      <c r="K530" s="111"/>
      <c r="L530" s="113"/>
      <c r="M530" s="108"/>
      <c r="N530" s="111"/>
      <c r="O530" s="111"/>
      <c r="P530" s="111"/>
      <c r="Q530" s="106"/>
      <c r="R530" s="114"/>
    </row>
    <row r="531" spans="1:18" ht="15.75">
      <c r="A531" s="52"/>
      <c r="B531" s="47"/>
      <c r="C531" s="48"/>
      <c r="D531" s="73"/>
      <c r="E531" s="17"/>
      <c r="F531" s="48"/>
      <c r="G531" s="36"/>
      <c r="H531" s="36"/>
      <c r="I531" s="125"/>
      <c r="J531" s="36"/>
      <c r="K531" s="36"/>
      <c r="L531" s="8"/>
      <c r="N531" s="8"/>
      <c r="O531" s="8"/>
      <c r="P531" s="8"/>
      <c r="Q531" s="35"/>
      <c r="R531" s="37"/>
    </row>
    <row r="532" spans="1:18" ht="15.75">
      <c r="A532" s="52">
        <v>1</v>
      </c>
      <c r="B532" s="51" t="s">
        <v>514</v>
      </c>
      <c r="C532" s="48" t="s">
        <v>515</v>
      </c>
      <c r="D532" s="67" t="s">
        <v>516</v>
      </c>
      <c r="E532" s="17">
        <v>43237</v>
      </c>
      <c r="F532" s="20" t="s">
        <v>337</v>
      </c>
      <c r="G532" s="36">
        <v>0</v>
      </c>
      <c r="H532" s="36">
        <v>60719629</v>
      </c>
      <c r="I532" s="8">
        <v>1517991</v>
      </c>
      <c r="J532" s="8">
        <v>1007490</v>
      </c>
      <c r="K532" s="8">
        <v>1288811</v>
      </c>
      <c r="L532" s="8">
        <v>200000</v>
      </c>
      <c r="M532" s="8">
        <v>200000</v>
      </c>
      <c r="N532" s="8">
        <f>SUM(G532:M532)</f>
        <v>64933921</v>
      </c>
      <c r="O532" s="8">
        <f>64933921-N532</f>
        <v>0</v>
      </c>
      <c r="P532" s="8">
        <f t="shared" ref="P532" si="70">+N532+O532</f>
        <v>64933921</v>
      </c>
      <c r="Q532" s="77" t="s">
        <v>518</v>
      </c>
      <c r="R532" s="66" t="s">
        <v>519</v>
      </c>
    </row>
    <row r="533" spans="1:18" ht="15.75">
      <c r="A533" s="52"/>
      <c r="B533" s="51"/>
      <c r="C533" s="48"/>
      <c r="E533" s="17"/>
      <c r="F533" s="48"/>
      <c r="G533" s="36"/>
      <c r="H533" s="36"/>
      <c r="I533" s="75"/>
      <c r="J533" s="36"/>
      <c r="K533" s="36"/>
      <c r="L533" s="36"/>
      <c r="N533" s="8"/>
      <c r="O533" s="8"/>
      <c r="P533" s="8"/>
      <c r="Q533" s="59"/>
      <c r="R533" s="66" t="s">
        <v>520</v>
      </c>
    </row>
    <row r="534" spans="1:18" ht="16.5" thickBot="1">
      <c r="A534" s="18"/>
      <c r="B534" s="55"/>
      <c r="C534" s="56"/>
      <c r="D534" s="74"/>
      <c r="E534" s="56"/>
      <c r="F534" s="57"/>
      <c r="G534" s="19">
        <f>SUM(G532:G533)</f>
        <v>0</v>
      </c>
      <c r="H534" s="19">
        <f t="shared" ref="H534:P534" si="71">SUM(H532:H533)</f>
        <v>60719629</v>
      </c>
      <c r="I534" s="19">
        <f t="shared" si="71"/>
        <v>1517991</v>
      </c>
      <c r="J534" s="19">
        <f t="shared" si="71"/>
        <v>1007490</v>
      </c>
      <c r="K534" s="19">
        <f t="shared" si="71"/>
        <v>1288811</v>
      </c>
      <c r="L534" s="19">
        <f t="shared" si="71"/>
        <v>200000</v>
      </c>
      <c r="M534" s="19">
        <f t="shared" si="71"/>
        <v>200000</v>
      </c>
      <c r="N534" s="19">
        <f t="shared" si="71"/>
        <v>64933921</v>
      </c>
      <c r="O534" s="19">
        <f t="shared" si="71"/>
        <v>0</v>
      </c>
      <c r="P534" s="19">
        <f t="shared" si="71"/>
        <v>64933921</v>
      </c>
      <c r="Q534" s="68"/>
      <c r="R534" s="70"/>
    </row>
    <row r="535" spans="1:18" ht="16.5" thickTop="1">
      <c r="A535" s="23"/>
      <c r="B535" s="22"/>
      <c r="C535" s="22"/>
      <c r="D535" s="23"/>
      <c r="E535" s="22"/>
      <c r="F535" s="27"/>
      <c r="G535" s="27"/>
      <c r="H535" s="36"/>
      <c r="I535" s="8"/>
      <c r="J535" s="27"/>
      <c r="K535" s="27"/>
      <c r="L535" s="27"/>
      <c r="M535" s="27"/>
      <c r="N535" s="27"/>
      <c r="O535" s="27"/>
      <c r="P535" s="22"/>
      <c r="Q535" s="69"/>
    </row>
    <row r="536" spans="1:18" ht="15.75">
      <c r="A536" s="23"/>
      <c r="B536" s="28" t="s">
        <v>513</v>
      </c>
      <c r="C536" s="22"/>
      <c r="D536" s="39"/>
      <c r="F536" s="27"/>
      <c r="G536" s="28"/>
      <c r="H536" s="28"/>
      <c r="I536" s="28"/>
      <c r="J536" s="28"/>
      <c r="K536" s="28"/>
      <c r="L536" s="28"/>
      <c r="Q536" s="51"/>
    </row>
    <row r="537" spans="1:18" ht="15.75">
      <c r="A537" s="38"/>
      <c r="B537" s="40" t="s">
        <v>32</v>
      </c>
      <c r="C537" s="28" t="s">
        <v>28</v>
      </c>
      <c r="D537" s="39"/>
      <c r="F537" s="41"/>
      <c r="G537" s="127" t="s">
        <v>26</v>
      </c>
      <c r="H537" s="127"/>
      <c r="I537" s="127"/>
      <c r="K537" s="41"/>
    </row>
    <row r="538" spans="1:18" ht="15.75">
      <c r="A538" s="38"/>
      <c r="B538" s="40"/>
      <c r="C538" s="28"/>
      <c r="D538" s="39"/>
      <c r="F538" s="28"/>
      <c r="G538" s="28"/>
      <c r="H538" s="28"/>
      <c r="I538" s="28"/>
      <c r="J538" s="28"/>
      <c r="K538" s="28"/>
      <c r="L538" s="28"/>
    </row>
    <row r="539" spans="1:18" ht="15.75">
      <c r="A539" s="38"/>
      <c r="B539" s="40"/>
      <c r="C539" s="28"/>
      <c r="D539" s="39"/>
      <c r="F539" s="28"/>
      <c r="G539" s="28"/>
      <c r="H539" s="28"/>
      <c r="I539" s="28"/>
      <c r="J539" s="28"/>
      <c r="K539" s="28"/>
      <c r="L539" s="28"/>
    </row>
    <row r="540" spans="1:18" ht="15.75">
      <c r="A540" s="38"/>
      <c r="B540" s="40"/>
      <c r="C540" s="28"/>
      <c r="D540" s="39"/>
      <c r="F540" s="28"/>
      <c r="G540" s="28"/>
      <c r="H540" s="28"/>
      <c r="I540" s="28"/>
      <c r="J540" s="28"/>
      <c r="K540" s="28"/>
    </row>
    <row r="541" spans="1:18" ht="15.75">
      <c r="A541" s="38"/>
      <c r="B541" s="40"/>
      <c r="C541" s="28"/>
      <c r="D541" s="39"/>
      <c r="F541" s="28"/>
      <c r="G541" s="28"/>
      <c r="H541" s="28"/>
      <c r="I541" s="28"/>
      <c r="J541" s="28"/>
      <c r="K541" s="28"/>
      <c r="L541" s="28"/>
    </row>
    <row r="542" spans="1:18" ht="15.75">
      <c r="A542" s="38" t="s">
        <v>23</v>
      </c>
      <c r="B542" s="42" t="s">
        <v>27</v>
      </c>
      <c r="C542" s="43" t="s">
        <v>24</v>
      </c>
      <c r="D542" s="39"/>
      <c r="F542" s="29"/>
      <c r="G542" s="29" t="s">
        <v>16</v>
      </c>
      <c r="H542" s="29"/>
      <c r="I542" s="29" t="s">
        <v>30</v>
      </c>
    </row>
    <row r="543" spans="1:18" ht="15.75">
      <c r="A543" s="38"/>
      <c r="B543" s="44" t="s">
        <v>31</v>
      </c>
      <c r="C543" s="45" t="s">
        <v>20</v>
      </c>
      <c r="D543" s="39"/>
      <c r="F543" s="46"/>
      <c r="G543" s="46" t="s">
        <v>17</v>
      </c>
      <c r="H543" s="46"/>
      <c r="I543" s="46" t="s">
        <v>25</v>
      </c>
    </row>
    <row r="545" spans="1:18" ht="15.75">
      <c r="A545" s="21" t="s">
        <v>0</v>
      </c>
      <c r="B545" s="22"/>
      <c r="C545" s="23"/>
      <c r="D545" s="23"/>
      <c r="E545" s="23"/>
      <c r="F545" s="24"/>
      <c r="G545" s="24"/>
      <c r="H545" s="24"/>
      <c r="I545" s="24"/>
      <c r="J545" s="24"/>
      <c r="K545" s="24"/>
      <c r="L545" s="25"/>
    </row>
    <row r="546" spans="1:18" ht="15.75">
      <c r="A546" s="26" t="s">
        <v>521</v>
      </c>
      <c r="B546" s="21"/>
      <c r="C546" s="21"/>
      <c r="D546" s="21"/>
      <c r="E546" s="21"/>
      <c r="F546" s="24"/>
      <c r="G546" s="24"/>
      <c r="H546" s="24"/>
      <c r="I546" s="24"/>
      <c r="J546" s="24"/>
      <c r="K546" s="24"/>
      <c r="L546" s="25"/>
    </row>
    <row r="547" spans="1:18">
      <c r="A547" s="62"/>
      <c r="B547" s="62" t="s">
        <v>1</v>
      </c>
      <c r="C547" s="93" t="s">
        <v>2</v>
      </c>
      <c r="D547" s="117" t="s">
        <v>34</v>
      </c>
      <c r="E547" s="95" t="s">
        <v>3</v>
      </c>
      <c r="F547" s="93" t="s">
        <v>4</v>
      </c>
      <c r="G547" s="96" t="s">
        <v>18</v>
      </c>
      <c r="H547" s="96" t="s">
        <v>18</v>
      </c>
      <c r="I547" s="96" t="s">
        <v>18</v>
      </c>
      <c r="J547" s="97" t="s">
        <v>7</v>
      </c>
      <c r="K547" s="96" t="s">
        <v>6</v>
      </c>
      <c r="L547" s="96" t="s">
        <v>29</v>
      </c>
      <c r="M547" s="96" t="s">
        <v>21</v>
      </c>
      <c r="N547" s="96" t="s">
        <v>8</v>
      </c>
      <c r="O547" s="96" t="s">
        <v>8</v>
      </c>
      <c r="P547" s="96" t="s">
        <v>9</v>
      </c>
      <c r="Q547" s="62" t="s">
        <v>10</v>
      </c>
      <c r="R547" s="98" t="s">
        <v>33</v>
      </c>
    </row>
    <row r="548" spans="1:18">
      <c r="A548" s="99"/>
      <c r="B548" s="99"/>
      <c r="C548" s="100"/>
      <c r="D548" s="101"/>
      <c r="E548" s="102"/>
      <c r="F548" s="100"/>
      <c r="G548" s="103" t="s">
        <v>12</v>
      </c>
      <c r="H548" s="103" t="s">
        <v>12</v>
      </c>
      <c r="I548" s="103" t="s">
        <v>12</v>
      </c>
      <c r="J548" s="119" t="s">
        <v>19</v>
      </c>
      <c r="K548" s="103" t="s">
        <v>35</v>
      </c>
      <c r="L548" s="103" t="s">
        <v>22</v>
      </c>
      <c r="M548" s="103" t="s">
        <v>15</v>
      </c>
      <c r="N548" s="103" t="s">
        <v>13</v>
      </c>
      <c r="O548" s="103" t="s">
        <v>14</v>
      </c>
      <c r="P548" s="103" t="s">
        <v>12</v>
      </c>
      <c r="Q548" s="99"/>
      <c r="R548" s="104"/>
    </row>
    <row r="549" spans="1:18">
      <c r="A549" s="99"/>
      <c r="B549" s="99"/>
      <c r="C549" s="105"/>
      <c r="D549" s="101"/>
      <c r="E549" s="102"/>
      <c r="F549" s="100"/>
      <c r="G549" s="103" t="s">
        <v>81</v>
      </c>
      <c r="H549" s="103" t="s">
        <v>41</v>
      </c>
      <c r="I549" s="103" t="s">
        <v>41</v>
      </c>
      <c r="J549" s="119" t="s">
        <v>5</v>
      </c>
      <c r="K549" s="103"/>
      <c r="L549" s="103"/>
      <c r="M549" s="103"/>
      <c r="N549" s="103"/>
      <c r="O549" s="103"/>
      <c r="P549" s="103"/>
      <c r="Q549" s="99"/>
      <c r="R549" s="104"/>
    </row>
    <row r="550" spans="1:18">
      <c r="A550" s="106"/>
      <c r="B550" s="106"/>
      <c r="C550" s="107"/>
      <c r="D550" s="108"/>
      <c r="E550" s="109"/>
      <c r="F550" s="110"/>
      <c r="G550" s="111"/>
      <c r="H550" s="112"/>
      <c r="I550" s="75"/>
      <c r="J550" s="120"/>
      <c r="K550" s="111"/>
      <c r="L550" s="113"/>
      <c r="M550" s="108"/>
      <c r="N550" s="111"/>
      <c r="O550" s="111"/>
      <c r="P550" s="111"/>
      <c r="Q550" s="106"/>
      <c r="R550" s="114"/>
    </row>
    <row r="551" spans="1:18" ht="15.75">
      <c r="A551" s="52"/>
      <c r="B551" s="47"/>
      <c r="C551" s="48"/>
      <c r="D551" s="73"/>
      <c r="E551" s="17"/>
      <c r="F551" s="48"/>
      <c r="G551" s="36"/>
      <c r="H551" s="36"/>
      <c r="I551" s="125"/>
      <c r="J551" s="36"/>
      <c r="K551" s="36"/>
      <c r="L551" s="8"/>
      <c r="N551" s="8"/>
      <c r="O551" s="8"/>
      <c r="P551" s="8"/>
      <c r="Q551" s="35"/>
      <c r="R551" s="37"/>
    </row>
    <row r="552" spans="1:18" ht="15.75">
      <c r="A552" s="52">
        <v>1</v>
      </c>
      <c r="B552" s="51" t="s">
        <v>63</v>
      </c>
      <c r="C552" s="48" t="s">
        <v>64</v>
      </c>
      <c r="D552" s="67" t="s">
        <v>522</v>
      </c>
      <c r="E552" s="17">
        <v>43238</v>
      </c>
      <c r="F552" s="20" t="s">
        <v>337</v>
      </c>
      <c r="G552" s="36">
        <v>0</v>
      </c>
      <c r="H552" s="36">
        <v>73983622</v>
      </c>
      <c r="I552" s="8">
        <v>0</v>
      </c>
      <c r="J552" s="8">
        <v>1849591</v>
      </c>
      <c r="K552" s="8">
        <v>1069932</v>
      </c>
      <c r="L552" s="8">
        <v>0</v>
      </c>
      <c r="M552" s="8">
        <v>200000</v>
      </c>
      <c r="N552" s="8">
        <f>SUM(G552:M552)</f>
        <v>77103145</v>
      </c>
      <c r="O552" s="8">
        <f>77103145-N552</f>
        <v>0</v>
      </c>
      <c r="P552" s="8">
        <f t="shared" ref="P552" si="72">+N552+O552</f>
        <v>77103145</v>
      </c>
      <c r="Q552" s="59" t="s">
        <v>67</v>
      </c>
      <c r="R552" s="66" t="s">
        <v>338</v>
      </c>
    </row>
    <row r="553" spans="1:18" ht="15.75">
      <c r="A553" s="52"/>
      <c r="B553" s="51"/>
      <c r="C553" s="48"/>
      <c r="E553" s="17"/>
      <c r="F553" s="48"/>
      <c r="G553" s="36"/>
      <c r="H553" s="36"/>
      <c r="I553" s="75"/>
      <c r="J553" s="36"/>
      <c r="K553" s="36"/>
      <c r="L553" s="36"/>
      <c r="N553" s="8"/>
      <c r="O553" s="8"/>
      <c r="P553" s="8"/>
      <c r="Q553" s="59"/>
      <c r="R553" s="66"/>
    </row>
    <row r="554" spans="1:18" ht="16.5" thickBot="1">
      <c r="A554" s="18"/>
      <c r="B554" s="55"/>
      <c r="C554" s="56"/>
      <c r="D554" s="74"/>
      <c r="E554" s="56"/>
      <c r="F554" s="57"/>
      <c r="G554" s="19">
        <f>SUM(G552:G553)</f>
        <v>0</v>
      </c>
      <c r="H554" s="19">
        <f t="shared" ref="H554:P554" si="73">SUM(H552:H553)</f>
        <v>73983622</v>
      </c>
      <c r="I554" s="19">
        <f t="shared" si="73"/>
        <v>0</v>
      </c>
      <c r="J554" s="19">
        <f t="shared" si="73"/>
        <v>1849591</v>
      </c>
      <c r="K554" s="19">
        <f t="shared" si="73"/>
        <v>1069932</v>
      </c>
      <c r="L554" s="19">
        <f t="shared" si="73"/>
        <v>0</v>
      </c>
      <c r="M554" s="19">
        <f t="shared" si="73"/>
        <v>200000</v>
      </c>
      <c r="N554" s="19">
        <f t="shared" si="73"/>
        <v>77103145</v>
      </c>
      <c r="O554" s="19">
        <f t="shared" si="73"/>
        <v>0</v>
      </c>
      <c r="P554" s="19">
        <f t="shared" si="73"/>
        <v>77103145</v>
      </c>
      <c r="Q554" s="68"/>
      <c r="R554" s="70"/>
    </row>
    <row r="555" spans="1:18" ht="16.5" thickTop="1">
      <c r="A555" s="23"/>
      <c r="B555" s="22"/>
      <c r="C555" s="22"/>
      <c r="D555" s="23"/>
      <c r="E555" s="22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2"/>
      <c r="Q555" s="69"/>
    </row>
    <row r="556" spans="1:18" ht="15.75">
      <c r="A556" s="23"/>
      <c r="B556" s="28" t="s">
        <v>523</v>
      </c>
      <c r="C556" s="22"/>
      <c r="D556" s="39"/>
      <c r="F556" s="27"/>
      <c r="G556" s="28"/>
      <c r="H556" s="28"/>
      <c r="I556" s="28"/>
      <c r="J556" s="28"/>
      <c r="K556" s="28"/>
      <c r="L556" s="28"/>
      <c r="Q556" s="51"/>
    </row>
    <row r="557" spans="1:18" ht="15.75">
      <c r="A557" s="38"/>
      <c r="B557" s="40" t="s">
        <v>32</v>
      </c>
      <c r="C557" s="28" t="s">
        <v>28</v>
      </c>
      <c r="D557" s="39"/>
      <c r="F557" s="41"/>
      <c r="G557" s="127" t="s">
        <v>26</v>
      </c>
      <c r="H557" s="127"/>
      <c r="I557" s="127"/>
      <c r="K557" s="41"/>
    </row>
    <row r="558" spans="1:18" ht="15.75">
      <c r="A558" s="38"/>
      <c r="B558" s="40"/>
      <c r="C558" s="28"/>
      <c r="D558" s="39"/>
      <c r="F558" s="28"/>
      <c r="G558" s="28"/>
      <c r="H558" s="28"/>
      <c r="I558" s="28"/>
      <c r="J558" s="28"/>
      <c r="K558" s="28"/>
      <c r="L558" s="28"/>
    </row>
    <row r="559" spans="1:18" ht="15.75">
      <c r="A559" s="38"/>
      <c r="B559" s="40"/>
      <c r="C559" s="28"/>
      <c r="D559" s="39"/>
      <c r="F559" s="28"/>
      <c r="G559" s="28"/>
      <c r="H559" s="28"/>
      <c r="I559" s="28"/>
      <c r="J559" s="28"/>
      <c r="K559" s="28"/>
      <c r="L559" s="28"/>
    </row>
    <row r="560" spans="1:18" ht="15.75">
      <c r="A560" s="38"/>
      <c r="B560" s="40"/>
      <c r="C560" s="28"/>
      <c r="D560" s="39"/>
      <c r="F560" s="28"/>
      <c r="G560" s="28"/>
      <c r="H560" s="28"/>
      <c r="I560" s="28"/>
      <c r="J560" s="28"/>
      <c r="K560" s="28"/>
    </row>
    <row r="561" spans="1:18" ht="15.75">
      <c r="A561" s="38"/>
      <c r="B561" s="40"/>
      <c r="C561" s="28"/>
      <c r="D561" s="39"/>
      <c r="F561" s="28"/>
      <c r="G561" s="28"/>
      <c r="H561" s="28"/>
      <c r="I561" s="28"/>
      <c r="J561" s="28"/>
      <c r="K561" s="28"/>
      <c r="L561" s="28"/>
    </row>
    <row r="562" spans="1:18" ht="15.75">
      <c r="A562" s="38" t="s">
        <v>23</v>
      </c>
      <c r="B562" s="42" t="s">
        <v>27</v>
      </c>
      <c r="C562" s="43" t="s">
        <v>24</v>
      </c>
      <c r="D562" s="39"/>
      <c r="F562" s="29"/>
      <c r="G562" s="29" t="s">
        <v>16</v>
      </c>
      <c r="H562" s="29"/>
      <c r="I562" s="29" t="s">
        <v>30</v>
      </c>
    </row>
    <row r="563" spans="1:18" ht="15.75">
      <c r="A563" s="38"/>
      <c r="B563" s="44" t="s">
        <v>31</v>
      </c>
      <c r="C563" s="45" t="s">
        <v>20</v>
      </c>
      <c r="D563" s="39"/>
      <c r="F563" s="46"/>
      <c r="G563" s="46" t="s">
        <v>17</v>
      </c>
      <c r="H563" s="46"/>
      <c r="I563" s="46" t="s">
        <v>25</v>
      </c>
    </row>
    <row r="565" spans="1:18" ht="15.75">
      <c r="A565" s="21" t="s">
        <v>0</v>
      </c>
      <c r="B565" s="22"/>
      <c r="C565" s="23"/>
      <c r="D565" s="23"/>
      <c r="E565" s="23"/>
      <c r="F565" s="24"/>
      <c r="G565" s="24"/>
      <c r="H565" s="24"/>
      <c r="I565" s="24"/>
      <c r="J565" s="24"/>
      <c r="K565" s="24"/>
      <c r="L565" s="25"/>
    </row>
    <row r="566" spans="1:18" ht="15.75">
      <c r="A566" s="26" t="s">
        <v>521</v>
      </c>
      <c r="B566" s="21"/>
      <c r="C566" s="21"/>
      <c r="D566" s="21"/>
      <c r="E566" s="21"/>
      <c r="F566" s="24"/>
      <c r="G566" s="24"/>
      <c r="H566" s="24"/>
      <c r="I566" s="24"/>
      <c r="J566" s="24"/>
      <c r="K566" s="24"/>
      <c r="L566" s="25"/>
    </row>
    <row r="567" spans="1:18">
      <c r="A567" s="62"/>
      <c r="B567" s="62" t="s">
        <v>1</v>
      </c>
      <c r="C567" s="93" t="s">
        <v>2</v>
      </c>
      <c r="D567" s="117" t="s">
        <v>34</v>
      </c>
      <c r="E567" s="95" t="s">
        <v>3</v>
      </c>
      <c r="F567" s="93" t="s">
        <v>4</v>
      </c>
      <c r="G567" s="96" t="s">
        <v>18</v>
      </c>
      <c r="H567" s="96" t="s">
        <v>18</v>
      </c>
      <c r="I567" s="96" t="s">
        <v>527</v>
      </c>
      <c r="J567" s="97" t="s">
        <v>7</v>
      </c>
      <c r="K567" s="96" t="s">
        <v>6</v>
      </c>
      <c r="L567" s="96" t="s">
        <v>29</v>
      </c>
      <c r="M567" s="96" t="s">
        <v>21</v>
      </c>
      <c r="N567" s="96" t="s">
        <v>8</v>
      </c>
      <c r="O567" s="96" t="s">
        <v>8</v>
      </c>
      <c r="P567" s="96" t="s">
        <v>9</v>
      </c>
      <c r="Q567" s="62" t="s">
        <v>10</v>
      </c>
      <c r="R567" s="98" t="s">
        <v>33</v>
      </c>
    </row>
    <row r="568" spans="1:18">
      <c r="A568" s="99"/>
      <c r="B568" s="99"/>
      <c r="C568" s="100"/>
      <c r="D568" s="101"/>
      <c r="E568" s="102"/>
      <c r="F568" s="100"/>
      <c r="G568" s="103" t="s">
        <v>12</v>
      </c>
      <c r="H568" s="103" t="s">
        <v>12</v>
      </c>
      <c r="I568" s="101" t="s">
        <v>528</v>
      </c>
      <c r="J568" s="119" t="s">
        <v>19</v>
      </c>
      <c r="K568" s="103" t="s">
        <v>35</v>
      </c>
      <c r="L568" s="103" t="s">
        <v>22</v>
      </c>
      <c r="M568" s="103" t="s">
        <v>15</v>
      </c>
      <c r="N568" s="103" t="s">
        <v>13</v>
      </c>
      <c r="O568" s="103" t="s">
        <v>14</v>
      </c>
      <c r="P568" s="103" t="s">
        <v>12</v>
      </c>
      <c r="Q568" s="99"/>
      <c r="R568" s="104"/>
    </row>
    <row r="569" spans="1:18">
      <c r="A569" s="99"/>
      <c r="B569" s="99"/>
      <c r="C569" s="105"/>
      <c r="D569" s="101"/>
      <c r="E569" s="102"/>
      <c r="F569" s="100"/>
      <c r="G569" s="103" t="s">
        <v>81</v>
      </c>
      <c r="H569" s="103" t="s">
        <v>41</v>
      </c>
      <c r="I569" s="103" t="s">
        <v>529</v>
      </c>
      <c r="J569" s="119" t="s">
        <v>5</v>
      </c>
      <c r="K569" s="103"/>
      <c r="L569" s="103"/>
      <c r="M569" s="103"/>
      <c r="N569" s="103"/>
      <c r="O569" s="103"/>
      <c r="P569" s="103"/>
      <c r="Q569" s="99"/>
      <c r="R569" s="104"/>
    </row>
    <row r="570" spans="1:18">
      <c r="A570" s="106"/>
      <c r="B570" s="106"/>
      <c r="C570" s="107"/>
      <c r="D570" s="108"/>
      <c r="E570" s="109"/>
      <c r="F570" s="110"/>
      <c r="G570" s="111"/>
      <c r="H570" s="112"/>
      <c r="I570" s="75"/>
      <c r="J570" s="120"/>
      <c r="K570" s="111"/>
      <c r="L570" s="113"/>
      <c r="M570" s="108"/>
      <c r="N570" s="111"/>
      <c r="O570" s="111"/>
      <c r="P570" s="111"/>
      <c r="Q570" s="106"/>
      <c r="R570" s="114"/>
    </row>
    <row r="571" spans="1:18" ht="15.75">
      <c r="A571" s="52"/>
      <c r="B571" s="47"/>
      <c r="C571" s="48"/>
      <c r="D571" s="73"/>
      <c r="E571" s="17"/>
      <c r="F571" s="48"/>
      <c r="G571" s="36"/>
      <c r="H571" s="36"/>
      <c r="I571" s="125"/>
      <c r="J571" s="36"/>
      <c r="K571" s="36"/>
      <c r="L571" s="8"/>
      <c r="N571" s="8"/>
      <c r="O571" s="8"/>
      <c r="P571" s="8"/>
      <c r="Q571" s="35"/>
      <c r="R571" s="37"/>
    </row>
    <row r="572" spans="1:18" ht="15.75">
      <c r="A572" s="52">
        <v>1</v>
      </c>
      <c r="B572" s="51" t="s">
        <v>524</v>
      </c>
      <c r="C572" s="48" t="s">
        <v>525</v>
      </c>
      <c r="D572" s="67" t="s">
        <v>526</v>
      </c>
      <c r="E572" s="17">
        <v>43238</v>
      </c>
      <c r="F572" s="20" t="s">
        <v>337</v>
      </c>
      <c r="G572" s="36">
        <v>3055500</v>
      </c>
      <c r="H572" s="36">
        <v>253150706</v>
      </c>
      <c r="I572" s="8">
        <v>10000000</v>
      </c>
      <c r="J572" s="8">
        <v>0</v>
      </c>
      <c r="K572" s="8">
        <v>0</v>
      </c>
      <c r="L572" s="8">
        <v>0</v>
      </c>
      <c r="M572" s="8">
        <v>0</v>
      </c>
      <c r="N572" s="8">
        <f>SUM(G572:M572)</f>
        <v>266206206</v>
      </c>
      <c r="O572" s="8">
        <f>266206206-N572</f>
        <v>0</v>
      </c>
      <c r="P572" s="8">
        <f t="shared" ref="P572" si="74">+N572+O572</f>
        <v>266206206</v>
      </c>
      <c r="Q572" s="59" t="s">
        <v>124</v>
      </c>
      <c r="R572" s="66" t="s">
        <v>338</v>
      </c>
    </row>
    <row r="573" spans="1:18" ht="15.75">
      <c r="A573" s="52"/>
      <c r="B573" s="51"/>
      <c r="C573" s="48"/>
      <c r="E573" s="17"/>
      <c r="F573" s="48"/>
      <c r="G573" s="36"/>
      <c r="H573" s="36"/>
      <c r="I573" s="75"/>
      <c r="J573" s="36"/>
      <c r="K573" s="36"/>
      <c r="L573" s="36"/>
      <c r="N573" s="8"/>
      <c r="O573" s="8"/>
      <c r="P573" s="8"/>
      <c r="Q573" s="59"/>
      <c r="R573" s="66"/>
    </row>
    <row r="574" spans="1:18" ht="16.5" thickBot="1">
      <c r="A574" s="18"/>
      <c r="B574" s="55"/>
      <c r="C574" s="56"/>
      <c r="D574" s="74"/>
      <c r="E574" s="56"/>
      <c r="F574" s="57"/>
      <c r="G574" s="19">
        <f>SUM(G572:G573)</f>
        <v>3055500</v>
      </c>
      <c r="H574" s="19">
        <f t="shared" ref="H574:P574" si="75">SUM(H572:H573)</f>
        <v>253150706</v>
      </c>
      <c r="I574" s="19">
        <f t="shared" si="75"/>
        <v>10000000</v>
      </c>
      <c r="J574" s="19">
        <f t="shared" si="75"/>
        <v>0</v>
      </c>
      <c r="K574" s="19">
        <f t="shared" si="75"/>
        <v>0</v>
      </c>
      <c r="L574" s="19">
        <f t="shared" si="75"/>
        <v>0</v>
      </c>
      <c r="M574" s="19">
        <f t="shared" si="75"/>
        <v>0</v>
      </c>
      <c r="N574" s="19">
        <f t="shared" si="75"/>
        <v>266206206</v>
      </c>
      <c r="O574" s="19">
        <f t="shared" si="75"/>
        <v>0</v>
      </c>
      <c r="P574" s="19">
        <f t="shared" si="75"/>
        <v>266206206</v>
      </c>
      <c r="Q574" s="68"/>
      <c r="R574" s="70"/>
    </row>
    <row r="575" spans="1:18" ht="16.5" thickTop="1">
      <c r="A575" s="23"/>
      <c r="B575" s="22"/>
      <c r="C575" s="22"/>
      <c r="D575" s="23"/>
      <c r="E575" s="22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2"/>
      <c r="Q575" s="69"/>
    </row>
    <row r="576" spans="1:18" ht="15.75">
      <c r="A576" s="23"/>
      <c r="B576" s="28" t="s">
        <v>523</v>
      </c>
      <c r="C576" s="22"/>
      <c r="D576" s="39"/>
      <c r="F576" s="27"/>
      <c r="G576" s="28"/>
      <c r="H576" s="28"/>
      <c r="I576" s="28"/>
      <c r="J576" s="28"/>
      <c r="K576" s="28"/>
      <c r="L576" s="28"/>
      <c r="Q576" s="51"/>
    </row>
    <row r="577" spans="1:12" ht="15.75">
      <c r="A577" s="38"/>
      <c r="B577" s="40" t="s">
        <v>32</v>
      </c>
      <c r="C577" s="28" t="s">
        <v>28</v>
      </c>
      <c r="D577" s="39"/>
      <c r="F577" s="41"/>
      <c r="G577" s="127" t="s">
        <v>26</v>
      </c>
      <c r="H577" s="127"/>
      <c r="I577" s="127"/>
      <c r="K577" s="41"/>
    </row>
    <row r="578" spans="1:12" ht="15.75">
      <c r="A578" s="38"/>
      <c r="B578" s="40"/>
      <c r="C578" s="28"/>
      <c r="D578" s="39"/>
      <c r="F578" s="28"/>
      <c r="G578" s="28"/>
      <c r="H578" s="28"/>
      <c r="I578" s="28"/>
      <c r="J578" s="28"/>
      <c r="K578" s="28"/>
      <c r="L578" s="28"/>
    </row>
    <row r="579" spans="1:12" ht="15.75">
      <c r="A579" s="38"/>
      <c r="B579" s="40"/>
      <c r="C579" s="28"/>
      <c r="D579" s="39"/>
      <c r="F579" s="28"/>
      <c r="G579" s="28"/>
      <c r="H579" s="28"/>
      <c r="I579" s="28"/>
      <c r="J579" s="28"/>
      <c r="K579" s="28"/>
      <c r="L579" s="28"/>
    </row>
    <row r="580" spans="1:12" ht="15.75">
      <c r="A580" s="38"/>
      <c r="B580" s="40"/>
      <c r="C580" s="28"/>
      <c r="D580" s="39"/>
      <c r="F580" s="28"/>
      <c r="G580" s="28"/>
      <c r="H580" s="28"/>
      <c r="I580" s="28"/>
      <c r="J580" s="28"/>
      <c r="K580" s="28"/>
    </row>
    <row r="581" spans="1:12" ht="15.75">
      <c r="A581" s="38"/>
      <c r="B581" s="40"/>
      <c r="C581" s="28"/>
      <c r="D581" s="39"/>
      <c r="F581" s="28"/>
      <c r="G581" s="28"/>
      <c r="H581" s="28"/>
      <c r="I581" s="28"/>
      <c r="J581" s="28"/>
      <c r="K581" s="28"/>
      <c r="L581" s="28"/>
    </row>
    <row r="582" spans="1:12" ht="15.75">
      <c r="A582" s="38" t="s">
        <v>23</v>
      </c>
      <c r="B582" s="42" t="s">
        <v>27</v>
      </c>
      <c r="C582" s="43" t="s">
        <v>24</v>
      </c>
      <c r="D582" s="39"/>
      <c r="F582" s="29"/>
      <c r="G582" s="29" t="s">
        <v>16</v>
      </c>
      <c r="H582" s="29"/>
      <c r="I582" s="29" t="s">
        <v>30</v>
      </c>
    </row>
    <row r="583" spans="1:12" ht="15.75">
      <c r="A583" s="38"/>
      <c r="B583" s="44" t="s">
        <v>31</v>
      </c>
      <c r="C583" s="45" t="s">
        <v>20</v>
      </c>
      <c r="D583" s="39"/>
      <c r="F583" s="46"/>
      <c r="G583" s="46" t="s">
        <v>17</v>
      </c>
      <c r="H583" s="46"/>
      <c r="I583" s="46" t="s">
        <v>25</v>
      </c>
    </row>
  </sheetData>
  <mergeCells count="29">
    <mergeCell ref="G135:I135"/>
    <mergeCell ref="G155:I155"/>
    <mergeCell ref="G115:I115"/>
    <mergeCell ref="G14:I14"/>
    <mergeCell ref="G34:I34"/>
    <mergeCell ref="G54:I54"/>
    <mergeCell ref="G74:I74"/>
    <mergeCell ref="G94:I94"/>
    <mergeCell ref="G175:I175"/>
    <mergeCell ref="G195:I195"/>
    <mergeCell ref="G215:I215"/>
    <mergeCell ref="G256:I256"/>
    <mergeCell ref="G235:I235"/>
    <mergeCell ref="G557:I557"/>
    <mergeCell ref="G577:I577"/>
    <mergeCell ref="G276:I276"/>
    <mergeCell ref="G296:I296"/>
    <mergeCell ref="G316:I316"/>
    <mergeCell ref="G336:I336"/>
    <mergeCell ref="G356:I356"/>
    <mergeCell ref="G516:I516"/>
    <mergeCell ref="G537:I537"/>
    <mergeCell ref="G476:I476"/>
    <mergeCell ref="G496:I496"/>
    <mergeCell ref="G376:I376"/>
    <mergeCell ref="G396:I396"/>
    <mergeCell ref="G416:I416"/>
    <mergeCell ref="G436:I436"/>
    <mergeCell ref="G456:I456"/>
  </mergeCells>
  <pageMargins left="0.11811023622047245" right="0.70866141732283472" top="0.74803149606299213" bottom="0.74803149606299213" header="0.31496062992125984" footer="0.31496062992125984"/>
  <pageSetup paperSize="5" scale="6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JAN'18</vt:lpstr>
      <vt:lpstr>FEB'18</vt:lpstr>
      <vt:lpstr>MAR'18</vt:lpstr>
      <vt:lpstr>APRIL'18</vt:lpstr>
      <vt:lpstr>MEI'18</vt:lpstr>
      <vt:lpstr>'FEB''18'!Print_Area</vt:lpstr>
      <vt:lpstr>'MEI''18'!Print_Area</vt:lpstr>
    </vt:vector>
  </TitlesOfParts>
  <Company>Kopkar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Wanda</cp:lastModifiedBy>
  <cp:lastPrinted>2018-05-21T04:32:04Z</cp:lastPrinted>
  <dcterms:created xsi:type="dcterms:W3CDTF">2013-01-02T04:45:29Z</dcterms:created>
  <dcterms:modified xsi:type="dcterms:W3CDTF">2018-05-21T04:32:29Z</dcterms:modified>
</cp:coreProperties>
</file>