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10" windowHeight="9765" activeTab="1"/>
  </bookViews>
  <sheets>
    <sheet name="pinj baru akhr" sheetId="4" r:id="rId1"/>
    <sheet name="DN" sheetId="1" r:id="rId2"/>
    <sheet name="DEND DN" sheetId="2" r:id="rId3"/>
    <sheet name="BG DN" sheetId="3" r:id="rId4"/>
  </sheets>
  <externalReferences>
    <externalReference r:id="rId5"/>
    <externalReference r:id="rId6"/>
  </externalReferences>
  <definedNames>
    <definedName name="_xlnm.Print_Area" localSheetId="0">'pinj baru akhr'!$A$1:$P$37</definedName>
  </definedNames>
  <calcPr calcId="124519"/>
</workbook>
</file>

<file path=xl/calcChain.xml><?xml version="1.0" encoding="utf-8"?>
<calcChain xmlns="http://schemas.openxmlformats.org/spreadsheetml/2006/main">
  <c r="A29" i="4"/>
  <c r="A30" s="1"/>
  <c r="A31" s="1"/>
  <c r="A32" s="1"/>
  <c r="A33" s="1"/>
  <c r="A34" s="1"/>
  <c r="A35" s="1"/>
  <c r="A36" s="1"/>
  <c r="A37" s="1"/>
  <c r="M16"/>
  <c r="L16"/>
  <c r="G16"/>
  <c r="F16"/>
  <c r="N16" s="1"/>
  <c r="A16"/>
  <c r="K14"/>
  <c r="J14"/>
  <c r="F12"/>
  <c r="Q11"/>
  <c r="N11"/>
  <c r="M11"/>
  <c r="L11"/>
  <c r="G11"/>
  <c r="M10"/>
  <c r="L10"/>
  <c r="G10"/>
  <c r="F10"/>
  <c r="N10" s="1"/>
  <c r="Q10" s="1"/>
  <c r="N9"/>
  <c r="F9"/>
  <c r="Q9" s="1"/>
  <c r="L8"/>
  <c r="M8" s="1"/>
  <c r="F8"/>
  <c r="N8" s="1"/>
  <c r="I7"/>
  <c r="H7" s="1"/>
  <c r="L7" s="1"/>
  <c r="F7"/>
  <c r="A7"/>
  <c r="A8" s="1"/>
  <c r="A9" s="1"/>
  <c r="A10" s="1"/>
  <c r="A11" s="1"/>
  <c r="A12" s="1"/>
  <c r="F6"/>
  <c r="A6"/>
  <c r="F5"/>
  <c r="F14" s="1"/>
  <c r="Q355" i="3"/>
  <c r="M355"/>
  <c r="P355" s="1"/>
  <c r="K355"/>
  <c r="L355" s="1"/>
  <c r="G355"/>
  <c r="F355"/>
  <c r="M354"/>
  <c r="P354" s="1"/>
  <c r="R354" s="1"/>
  <c r="K354"/>
  <c r="L354" s="1"/>
  <c r="G354"/>
  <c r="F354"/>
  <c r="A354"/>
  <c r="A355" s="1"/>
  <c r="J352"/>
  <c r="I352"/>
  <c r="H352"/>
  <c r="Q350"/>
  <c r="G350"/>
  <c r="M350" s="1"/>
  <c r="P350" s="1"/>
  <c r="Q349"/>
  <c r="M349"/>
  <c r="P349" s="1"/>
  <c r="R349" s="1"/>
  <c r="K349"/>
  <c r="L349" s="1"/>
  <c r="G349"/>
  <c r="F349"/>
  <c r="Q348"/>
  <c r="G348"/>
  <c r="M348" s="1"/>
  <c r="P348" s="1"/>
  <c r="Q347"/>
  <c r="M347"/>
  <c r="P347" s="1"/>
  <c r="R347" s="1"/>
  <c r="K347"/>
  <c r="L347" s="1"/>
  <c r="G347"/>
  <c r="F347"/>
  <c r="Q346"/>
  <c r="G346"/>
  <c r="M346" s="1"/>
  <c r="P346" s="1"/>
  <c r="R346" s="1"/>
  <c r="Q345"/>
  <c r="M345"/>
  <c r="P345" s="1"/>
  <c r="R345" s="1"/>
  <c r="K345"/>
  <c r="L345" s="1"/>
  <c r="G345"/>
  <c r="F345"/>
  <c r="Q344"/>
  <c r="G344"/>
  <c r="M344" s="1"/>
  <c r="P344" s="1"/>
  <c r="R344" s="1"/>
  <c r="Q343"/>
  <c r="M343"/>
  <c r="P343" s="1"/>
  <c r="K343"/>
  <c r="L343" s="1"/>
  <c r="G343"/>
  <c r="F343"/>
  <c r="Q342"/>
  <c r="G342"/>
  <c r="M342" s="1"/>
  <c r="P342" s="1"/>
  <c r="R342" s="1"/>
  <c r="Q341"/>
  <c r="M341"/>
  <c r="P341" s="1"/>
  <c r="R341" s="1"/>
  <c r="K341"/>
  <c r="L341" s="1"/>
  <c r="G341"/>
  <c r="F341"/>
  <c r="Q340"/>
  <c r="G340"/>
  <c r="M340" s="1"/>
  <c r="P340" s="1"/>
  <c r="Q339"/>
  <c r="M339"/>
  <c r="P339" s="1"/>
  <c r="R339" s="1"/>
  <c r="K339"/>
  <c r="L339" s="1"/>
  <c r="G339"/>
  <c r="F339"/>
  <c r="Q338"/>
  <c r="G338"/>
  <c r="M338" s="1"/>
  <c r="P338" s="1"/>
  <c r="R338" s="1"/>
  <c r="Q337"/>
  <c r="M337"/>
  <c r="P337" s="1"/>
  <c r="R337" s="1"/>
  <c r="K337"/>
  <c r="L337" s="1"/>
  <c r="G337"/>
  <c r="F337"/>
  <c r="Q336"/>
  <c r="G336"/>
  <c r="M336" s="1"/>
  <c r="P336" s="1"/>
  <c r="R336" s="1"/>
  <c r="Q335"/>
  <c r="M335"/>
  <c r="P335" s="1"/>
  <c r="K335"/>
  <c r="L335" s="1"/>
  <c r="G335"/>
  <c r="F335"/>
  <c r="Q334"/>
  <c r="G334"/>
  <c r="M334" s="1"/>
  <c r="P334" s="1"/>
  <c r="R334" s="1"/>
  <c r="Q333"/>
  <c r="M333"/>
  <c r="P333" s="1"/>
  <c r="R333" s="1"/>
  <c r="K333"/>
  <c r="L333" s="1"/>
  <c r="G333"/>
  <c r="F333"/>
  <c r="Q332"/>
  <c r="G332"/>
  <c r="Q331"/>
  <c r="M331"/>
  <c r="P331" s="1"/>
  <c r="R331" s="1"/>
  <c r="K331"/>
  <c r="L331" s="1"/>
  <c r="G331"/>
  <c r="F331"/>
  <c r="Q330"/>
  <c r="G330"/>
  <c r="Q329"/>
  <c r="M329"/>
  <c r="P329" s="1"/>
  <c r="R329" s="1"/>
  <c r="K329"/>
  <c r="L329" s="1"/>
  <c r="G329"/>
  <c r="F329"/>
  <c r="Q328"/>
  <c r="G328"/>
  <c r="M328" s="1"/>
  <c r="P328" s="1"/>
  <c r="R328" s="1"/>
  <c r="Q327"/>
  <c r="M327"/>
  <c r="P327" s="1"/>
  <c r="K327"/>
  <c r="L327" s="1"/>
  <c r="G327"/>
  <c r="F327"/>
  <c r="Q326"/>
  <c r="G326"/>
  <c r="M326" s="1"/>
  <c r="P326" s="1"/>
  <c r="R326" s="1"/>
  <c r="Q325"/>
  <c r="M325"/>
  <c r="P325" s="1"/>
  <c r="R325" s="1"/>
  <c r="K325"/>
  <c r="L325" s="1"/>
  <c r="G325"/>
  <c r="F325"/>
  <c r="Q324"/>
  <c r="G324"/>
  <c r="M324" s="1"/>
  <c r="P324" s="1"/>
  <c r="Q323"/>
  <c r="M323"/>
  <c r="P323" s="1"/>
  <c r="R323" s="1"/>
  <c r="K323"/>
  <c r="L323" s="1"/>
  <c r="G323"/>
  <c r="F323"/>
  <c r="Q322"/>
  <c r="G322"/>
  <c r="M322" s="1"/>
  <c r="P322" s="1"/>
  <c r="R322" s="1"/>
  <c r="Q321"/>
  <c r="M321"/>
  <c r="P321" s="1"/>
  <c r="K321"/>
  <c r="L321" s="1"/>
  <c r="G321"/>
  <c r="F321"/>
  <c r="Q320"/>
  <c r="M320"/>
  <c r="P320" s="1"/>
  <c r="R320" s="1"/>
  <c r="K320"/>
  <c r="L320" s="1"/>
  <c r="G320"/>
  <c r="F320"/>
  <c r="Q319"/>
  <c r="G319"/>
  <c r="M319" s="1"/>
  <c r="P319" s="1"/>
  <c r="Q318"/>
  <c r="M318"/>
  <c r="P318" s="1"/>
  <c r="R318" s="1"/>
  <c r="K318"/>
  <c r="L318" s="1"/>
  <c r="G318"/>
  <c r="F318"/>
  <c r="Q317"/>
  <c r="G317"/>
  <c r="M317" s="1"/>
  <c r="P317" s="1"/>
  <c r="Q316"/>
  <c r="M316"/>
  <c r="P316" s="1"/>
  <c r="K316"/>
  <c r="L316" s="1"/>
  <c r="G316"/>
  <c r="F316"/>
  <c r="Q315"/>
  <c r="G315"/>
  <c r="M315" s="1"/>
  <c r="P315" s="1"/>
  <c r="R315" s="1"/>
  <c r="Q314"/>
  <c r="M314"/>
  <c r="P314" s="1"/>
  <c r="K314"/>
  <c r="L314" s="1"/>
  <c r="G314"/>
  <c r="F314"/>
  <c r="Q313"/>
  <c r="G313"/>
  <c r="M313" s="1"/>
  <c r="P313" s="1"/>
  <c r="Q312"/>
  <c r="M312"/>
  <c r="P312" s="1"/>
  <c r="R312" s="1"/>
  <c r="K312"/>
  <c r="L312" s="1"/>
  <c r="G312"/>
  <c r="F312"/>
  <c r="Q311"/>
  <c r="G311"/>
  <c r="M311" s="1"/>
  <c r="P311" s="1"/>
  <c r="Q310"/>
  <c r="M310"/>
  <c r="P310" s="1"/>
  <c r="R310" s="1"/>
  <c r="K310"/>
  <c r="L310" s="1"/>
  <c r="G310"/>
  <c r="F310"/>
  <c r="Q309"/>
  <c r="G309"/>
  <c r="M309" s="1"/>
  <c r="P309" s="1"/>
  <c r="R309" s="1"/>
  <c r="Q308"/>
  <c r="M308"/>
  <c r="P308" s="1"/>
  <c r="K308"/>
  <c r="L308" s="1"/>
  <c r="G308"/>
  <c r="F308"/>
  <c r="Q307"/>
  <c r="G307"/>
  <c r="M307" s="1"/>
  <c r="P307" s="1"/>
  <c r="R307" s="1"/>
  <c r="Q306"/>
  <c r="M306"/>
  <c r="P306" s="1"/>
  <c r="K306"/>
  <c r="L306" s="1"/>
  <c r="G306"/>
  <c r="F306"/>
  <c r="Q305"/>
  <c r="G305"/>
  <c r="M305" s="1"/>
  <c r="P305" s="1"/>
  <c r="Q304"/>
  <c r="M304"/>
  <c r="P304" s="1"/>
  <c r="R304" s="1"/>
  <c r="K304"/>
  <c r="L304" s="1"/>
  <c r="G304"/>
  <c r="F304"/>
  <c r="Q303"/>
  <c r="G303"/>
  <c r="Q302"/>
  <c r="G302"/>
  <c r="M302" s="1"/>
  <c r="P302" s="1"/>
  <c r="R302" s="1"/>
  <c r="Q301"/>
  <c r="G301"/>
  <c r="M301" s="1"/>
  <c r="P301" s="1"/>
  <c r="Q300"/>
  <c r="K300"/>
  <c r="L300" s="1"/>
  <c r="G300"/>
  <c r="M300" s="1"/>
  <c r="P300" s="1"/>
  <c r="R300" s="1"/>
  <c r="F300"/>
  <c r="Q299"/>
  <c r="G299"/>
  <c r="M299" s="1"/>
  <c r="P299" s="1"/>
  <c r="Q298"/>
  <c r="E298"/>
  <c r="G298" s="1"/>
  <c r="Q297"/>
  <c r="M297"/>
  <c r="P297" s="1"/>
  <c r="K297"/>
  <c r="L297" s="1"/>
  <c r="G297"/>
  <c r="F297"/>
  <c r="Q296"/>
  <c r="G296"/>
  <c r="M296" s="1"/>
  <c r="P296" s="1"/>
  <c r="R296" s="1"/>
  <c r="Q295"/>
  <c r="M295"/>
  <c r="P295" s="1"/>
  <c r="R295" s="1"/>
  <c r="K295"/>
  <c r="L295" s="1"/>
  <c r="G295"/>
  <c r="F295"/>
  <c r="Q294"/>
  <c r="G294"/>
  <c r="M294" s="1"/>
  <c r="P294" s="1"/>
  <c r="Q293"/>
  <c r="M293"/>
  <c r="P293" s="1"/>
  <c r="K293"/>
  <c r="L293" s="1"/>
  <c r="G293"/>
  <c r="F293"/>
  <c r="Q292"/>
  <c r="G292"/>
  <c r="M292" s="1"/>
  <c r="P292" s="1"/>
  <c r="R292" s="1"/>
  <c r="Q291"/>
  <c r="M291"/>
  <c r="P291" s="1"/>
  <c r="R291" s="1"/>
  <c r="K291"/>
  <c r="L291" s="1"/>
  <c r="G291"/>
  <c r="F291"/>
  <c r="Q290"/>
  <c r="G290"/>
  <c r="M290" s="1"/>
  <c r="P290" s="1"/>
  <c r="Q289"/>
  <c r="M289"/>
  <c r="P289" s="1"/>
  <c r="K289"/>
  <c r="L289" s="1"/>
  <c r="G289"/>
  <c r="F289"/>
  <c r="Q288"/>
  <c r="G288"/>
  <c r="M288" s="1"/>
  <c r="P288" s="1"/>
  <c r="R288" s="1"/>
  <c r="Q287"/>
  <c r="G287"/>
  <c r="M287" s="1"/>
  <c r="P287" s="1"/>
  <c r="R287" s="1"/>
  <c r="Q286"/>
  <c r="G286"/>
  <c r="M286" s="1"/>
  <c r="P286" s="1"/>
  <c r="R286" s="1"/>
  <c r="Q285"/>
  <c r="M285"/>
  <c r="P285" s="1"/>
  <c r="R285" s="1"/>
  <c r="K285"/>
  <c r="L285" s="1"/>
  <c r="G285"/>
  <c r="F285"/>
  <c r="Q284"/>
  <c r="G284"/>
  <c r="M284" s="1"/>
  <c r="P284" s="1"/>
  <c r="Q283"/>
  <c r="M283"/>
  <c r="P283" s="1"/>
  <c r="K283"/>
  <c r="L283" s="1"/>
  <c r="G283"/>
  <c r="F283"/>
  <c r="Q282"/>
  <c r="G282"/>
  <c r="M282" s="1"/>
  <c r="P282" s="1"/>
  <c r="R282" s="1"/>
  <c r="Q281"/>
  <c r="M281"/>
  <c r="P281" s="1"/>
  <c r="R281" s="1"/>
  <c r="K281"/>
  <c r="L281" s="1"/>
  <c r="G281"/>
  <c r="F281"/>
  <c r="Q280"/>
  <c r="G280"/>
  <c r="M280" s="1"/>
  <c r="P280" s="1"/>
  <c r="Q279"/>
  <c r="M279"/>
  <c r="P279" s="1"/>
  <c r="R279" s="1"/>
  <c r="K279"/>
  <c r="L279" s="1"/>
  <c r="G279"/>
  <c r="F279"/>
  <c r="Q278"/>
  <c r="G278"/>
  <c r="M278" s="1"/>
  <c r="P278" s="1"/>
  <c r="R278" s="1"/>
  <c r="Q277"/>
  <c r="M277"/>
  <c r="P277" s="1"/>
  <c r="K277"/>
  <c r="L277" s="1"/>
  <c r="G277"/>
  <c r="F277"/>
  <c r="Q276"/>
  <c r="G276"/>
  <c r="M276" s="1"/>
  <c r="P276" s="1"/>
  <c r="R276" s="1"/>
  <c r="Q275"/>
  <c r="M275"/>
  <c r="P275" s="1"/>
  <c r="K275"/>
  <c r="L275" s="1"/>
  <c r="G275"/>
  <c r="F275"/>
  <c r="Q274"/>
  <c r="G274"/>
  <c r="M274" s="1"/>
  <c r="P274" s="1"/>
  <c r="Q273"/>
  <c r="M273"/>
  <c r="P273" s="1"/>
  <c r="K273"/>
  <c r="L273" s="1"/>
  <c r="G273"/>
  <c r="F273"/>
  <c r="Q272"/>
  <c r="M272"/>
  <c r="P272" s="1"/>
  <c r="R272" s="1"/>
  <c r="K272"/>
  <c r="L272" s="1"/>
  <c r="G272"/>
  <c r="F272"/>
  <c r="Q271"/>
  <c r="G271"/>
  <c r="M271" s="1"/>
  <c r="P271" s="1"/>
  <c r="Q270"/>
  <c r="E270"/>
  <c r="G270" s="1"/>
  <c r="Q269"/>
  <c r="M269"/>
  <c r="P269" s="1"/>
  <c r="K269"/>
  <c r="L269" s="1"/>
  <c r="G269"/>
  <c r="F269"/>
  <c r="Q268"/>
  <c r="G268"/>
  <c r="M268" s="1"/>
  <c r="P268" s="1"/>
  <c r="Q267"/>
  <c r="M267"/>
  <c r="P267" s="1"/>
  <c r="R267" s="1"/>
  <c r="K267"/>
  <c r="L267" s="1"/>
  <c r="G267"/>
  <c r="F267"/>
  <c r="Q266"/>
  <c r="G266"/>
  <c r="M266" s="1"/>
  <c r="P266" s="1"/>
  <c r="Q265"/>
  <c r="M265"/>
  <c r="P265" s="1"/>
  <c r="K265"/>
  <c r="L265" s="1"/>
  <c r="G265"/>
  <c r="F265"/>
  <c r="Q264"/>
  <c r="G264"/>
  <c r="M264" s="1"/>
  <c r="P264" s="1"/>
  <c r="R264" s="1"/>
  <c r="Q263"/>
  <c r="M263"/>
  <c r="P263" s="1"/>
  <c r="K263"/>
  <c r="L263" s="1"/>
  <c r="G263"/>
  <c r="F263"/>
  <c r="Q262"/>
  <c r="G262"/>
  <c r="M262" s="1"/>
  <c r="P262" s="1"/>
  <c r="Q261"/>
  <c r="M261"/>
  <c r="P261" s="1"/>
  <c r="R261" s="1"/>
  <c r="K261"/>
  <c r="L261" s="1"/>
  <c r="G261"/>
  <c r="F261"/>
  <c r="Q260"/>
  <c r="G260"/>
  <c r="M260" s="1"/>
  <c r="P260" s="1"/>
  <c r="R260" s="1"/>
  <c r="Q259"/>
  <c r="G259"/>
  <c r="M259" s="1"/>
  <c r="P259" s="1"/>
  <c r="R259" s="1"/>
  <c r="Q258"/>
  <c r="G258"/>
  <c r="M258" s="1"/>
  <c r="P258" s="1"/>
  <c r="R258" s="1"/>
  <c r="Q257"/>
  <c r="G257"/>
  <c r="M257" s="1"/>
  <c r="P257" s="1"/>
  <c r="R257" s="1"/>
  <c r="Q256"/>
  <c r="M256"/>
  <c r="P256" s="1"/>
  <c r="R256" s="1"/>
  <c r="K256"/>
  <c r="L256" s="1"/>
  <c r="G256"/>
  <c r="F256"/>
  <c r="Q255"/>
  <c r="G255"/>
  <c r="M255" s="1"/>
  <c r="P255" s="1"/>
  <c r="Q254"/>
  <c r="M254"/>
  <c r="P254" s="1"/>
  <c r="K254"/>
  <c r="L254" s="1"/>
  <c r="G254"/>
  <c r="F254"/>
  <c r="Q253"/>
  <c r="G253"/>
  <c r="M253" s="1"/>
  <c r="P253" s="1"/>
  <c r="R253" s="1"/>
  <c r="Q252"/>
  <c r="M252"/>
  <c r="P252" s="1"/>
  <c r="R252" s="1"/>
  <c r="K252"/>
  <c r="L252" s="1"/>
  <c r="G252"/>
  <c r="F252"/>
  <c r="Q251"/>
  <c r="G251"/>
  <c r="M251" s="1"/>
  <c r="P251" s="1"/>
  <c r="Q250"/>
  <c r="M250"/>
  <c r="P250" s="1"/>
  <c r="K250"/>
  <c r="L250" s="1"/>
  <c r="G250"/>
  <c r="F250"/>
  <c r="Q249"/>
  <c r="G249"/>
  <c r="Q248"/>
  <c r="M248"/>
  <c r="P248" s="1"/>
  <c r="R248" s="1"/>
  <c r="K248"/>
  <c r="L248" s="1"/>
  <c r="G248"/>
  <c r="F248"/>
  <c r="Q247"/>
  <c r="G247"/>
  <c r="M247" s="1"/>
  <c r="P247" s="1"/>
  <c r="Q246"/>
  <c r="M246"/>
  <c r="P246" s="1"/>
  <c r="R246" s="1"/>
  <c r="K246"/>
  <c r="L246" s="1"/>
  <c r="G246"/>
  <c r="F246"/>
  <c r="Q245"/>
  <c r="G245"/>
  <c r="M245" s="1"/>
  <c r="P245" s="1"/>
  <c r="Q244"/>
  <c r="M244"/>
  <c r="P244" s="1"/>
  <c r="K244"/>
  <c r="L244" s="1"/>
  <c r="G244"/>
  <c r="F244"/>
  <c r="Q243"/>
  <c r="G243"/>
  <c r="M243" s="1"/>
  <c r="P243" s="1"/>
  <c r="R243" s="1"/>
  <c r="Q242"/>
  <c r="M242"/>
  <c r="P242" s="1"/>
  <c r="K242"/>
  <c r="L242" s="1"/>
  <c r="G242"/>
  <c r="F242"/>
  <c r="Q241"/>
  <c r="G241"/>
  <c r="M241" s="1"/>
  <c r="P241" s="1"/>
  <c r="Q240"/>
  <c r="M240"/>
  <c r="P240" s="1"/>
  <c r="R240" s="1"/>
  <c r="K240"/>
  <c r="L240" s="1"/>
  <c r="G240"/>
  <c r="F240"/>
  <c r="Q239"/>
  <c r="G239"/>
  <c r="M239" s="1"/>
  <c r="P239" s="1"/>
  <c r="Q238"/>
  <c r="M238"/>
  <c r="P238" s="1"/>
  <c r="R238" s="1"/>
  <c r="K238"/>
  <c r="L238" s="1"/>
  <c r="G238"/>
  <c r="F238"/>
  <c r="Q237"/>
  <c r="G237"/>
  <c r="M237" s="1"/>
  <c r="P237" s="1"/>
  <c r="R237" s="1"/>
  <c r="Q236"/>
  <c r="M236"/>
  <c r="P236" s="1"/>
  <c r="K236"/>
  <c r="L236" s="1"/>
  <c r="G236"/>
  <c r="F236"/>
  <c r="Q235"/>
  <c r="G235"/>
  <c r="M235" s="1"/>
  <c r="P235" s="1"/>
  <c r="Q234"/>
  <c r="M234"/>
  <c r="P234" s="1"/>
  <c r="K234"/>
  <c r="L234" s="1"/>
  <c r="G234"/>
  <c r="F234"/>
  <c r="Q233"/>
  <c r="G233"/>
  <c r="M233" s="1"/>
  <c r="P233" s="1"/>
  <c r="R233" s="1"/>
  <c r="Q232"/>
  <c r="M232"/>
  <c r="P232" s="1"/>
  <c r="R232" s="1"/>
  <c r="K232"/>
  <c r="L232" s="1"/>
  <c r="G232"/>
  <c r="F232"/>
  <c r="Q231"/>
  <c r="G231"/>
  <c r="M231" s="1"/>
  <c r="P231" s="1"/>
  <c r="Q230"/>
  <c r="M230"/>
  <c r="P230" s="1"/>
  <c r="K230"/>
  <c r="L230" s="1"/>
  <c r="G230"/>
  <c r="F230"/>
  <c r="Q229"/>
  <c r="G229"/>
  <c r="M229" s="1"/>
  <c r="P229" s="1"/>
  <c r="R229" s="1"/>
  <c r="Q228"/>
  <c r="M228"/>
  <c r="P228" s="1"/>
  <c r="R228" s="1"/>
  <c r="K228"/>
  <c r="L228" s="1"/>
  <c r="G228"/>
  <c r="F228"/>
  <c r="Q227"/>
  <c r="G227"/>
  <c r="M227" s="1"/>
  <c r="P227" s="1"/>
  <c r="Q226"/>
  <c r="M226"/>
  <c r="P226" s="1"/>
  <c r="K226"/>
  <c r="L226" s="1"/>
  <c r="G226"/>
  <c r="F226"/>
  <c r="Q225"/>
  <c r="G225"/>
  <c r="M225" s="1"/>
  <c r="P225" s="1"/>
  <c r="R225" s="1"/>
  <c r="Q224"/>
  <c r="M224"/>
  <c r="P224" s="1"/>
  <c r="R224" s="1"/>
  <c r="K224"/>
  <c r="L224" s="1"/>
  <c r="G224"/>
  <c r="F224"/>
  <c r="Q223"/>
  <c r="G223"/>
  <c r="M223" s="1"/>
  <c r="P223" s="1"/>
  <c r="Q222"/>
  <c r="M222"/>
  <c r="P222" s="1"/>
  <c r="K222"/>
  <c r="L222" s="1"/>
  <c r="G222"/>
  <c r="F222"/>
  <c r="Q221"/>
  <c r="G221"/>
  <c r="M221" s="1"/>
  <c r="P221" s="1"/>
  <c r="Q220"/>
  <c r="M220"/>
  <c r="P220" s="1"/>
  <c r="R220" s="1"/>
  <c r="K220"/>
  <c r="L220" s="1"/>
  <c r="G220"/>
  <c r="F220"/>
  <c r="Q219"/>
  <c r="G219"/>
  <c r="M219" s="1"/>
  <c r="P219" s="1"/>
  <c r="Q218"/>
  <c r="M218"/>
  <c r="P218" s="1"/>
  <c r="K218"/>
  <c r="L218" s="1"/>
  <c r="G218"/>
  <c r="F218"/>
  <c r="Q217"/>
  <c r="G217"/>
  <c r="M217" s="1"/>
  <c r="P217" s="1"/>
  <c r="R217" s="1"/>
  <c r="Q216"/>
  <c r="M216"/>
  <c r="P216" s="1"/>
  <c r="R216" s="1"/>
  <c r="K216"/>
  <c r="L216" s="1"/>
  <c r="G216"/>
  <c r="F216"/>
  <c r="Q215"/>
  <c r="G215"/>
  <c r="M215" s="1"/>
  <c r="P215" s="1"/>
  <c r="Q214"/>
  <c r="M214"/>
  <c r="P214" s="1"/>
  <c r="K214"/>
  <c r="L214" s="1"/>
  <c r="G214"/>
  <c r="F214"/>
  <c r="Q213"/>
  <c r="G213"/>
  <c r="M213" s="1"/>
  <c r="P213" s="1"/>
  <c r="R213" s="1"/>
  <c r="Q212"/>
  <c r="M212"/>
  <c r="P212" s="1"/>
  <c r="R212" s="1"/>
  <c r="K212"/>
  <c r="L212" s="1"/>
  <c r="G212"/>
  <c r="F212"/>
  <c r="Q211"/>
  <c r="G211"/>
  <c r="M211" s="1"/>
  <c r="P211" s="1"/>
  <c r="Q210"/>
  <c r="M210"/>
  <c r="P210" s="1"/>
  <c r="K210"/>
  <c r="L210" s="1"/>
  <c r="G210"/>
  <c r="F210"/>
  <c r="Q209"/>
  <c r="G209"/>
  <c r="M209" s="1"/>
  <c r="P209" s="1"/>
  <c r="R209" s="1"/>
  <c r="Q208"/>
  <c r="M208"/>
  <c r="P208" s="1"/>
  <c r="R208" s="1"/>
  <c r="K208"/>
  <c r="L208" s="1"/>
  <c r="G208"/>
  <c r="F208"/>
  <c r="Q207"/>
  <c r="G207"/>
  <c r="M207" s="1"/>
  <c r="P207" s="1"/>
  <c r="Q206"/>
  <c r="M206"/>
  <c r="P206" s="1"/>
  <c r="R206" s="1"/>
  <c r="K206"/>
  <c r="L206" s="1"/>
  <c r="G206"/>
  <c r="F206"/>
  <c r="Q205"/>
  <c r="G205"/>
  <c r="M205" s="1"/>
  <c r="P205" s="1"/>
  <c r="Q204"/>
  <c r="M204"/>
  <c r="P204" s="1"/>
  <c r="R204" s="1"/>
  <c r="K204"/>
  <c r="L204" s="1"/>
  <c r="G204"/>
  <c r="F204"/>
  <c r="Q203"/>
  <c r="G203"/>
  <c r="M203" s="1"/>
  <c r="P203" s="1"/>
  <c r="R203" s="1"/>
  <c r="Q202"/>
  <c r="M202"/>
  <c r="P202" s="1"/>
  <c r="K202"/>
  <c r="L202" s="1"/>
  <c r="G202"/>
  <c r="F202"/>
  <c r="Q201"/>
  <c r="G201"/>
  <c r="M201" s="1"/>
  <c r="P201" s="1"/>
  <c r="R201" s="1"/>
  <c r="Q200"/>
  <c r="M200"/>
  <c r="P200" s="1"/>
  <c r="K200"/>
  <c r="L200" s="1"/>
  <c r="G200"/>
  <c r="F200"/>
  <c r="Q199"/>
  <c r="G199"/>
  <c r="M199" s="1"/>
  <c r="P199" s="1"/>
  <c r="Q198"/>
  <c r="M198"/>
  <c r="P198" s="1"/>
  <c r="R198" s="1"/>
  <c r="K198"/>
  <c r="L198" s="1"/>
  <c r="G198"/>
  <c r="F198"/>
  <c r="Q197"/>
  <c r="G197"/>
  <c r="M197" s="1"/>
  <c r="P197" s="1"/>
  <c r="Q196"/>
  <c r="M196"/>
  <c r="P196" s="1"/>
  <c r="R196" s="1"/>
  <c r="K196"/>
  <c r="L196" s="1"/>
  <c r="G196"/>
  <c r="F196"/>
  <c r="Q195"/>
  <c r="G195"/>
  <c r="M195" s="1"/>
  <c r="P195" s="1"/>
  <c r="Q194"/>
  <c r="M194"/>
  <c r="P194" s="1"/>
  <c r="K194"/>
  <c r="L194" s="1"/>
  <c r="G194"/>
  <c r="F194"/>
  <c r="Q193"/>
  <c r="G193"/>
  <c r="M193" s="1"/>
  <c r="P193" s="1"/>
  <c r="Q192"/>
  <c r="M192"/>
  <c r="P192" s="1"/>
  <c r="R192" s="1"/>
  <c r="K192"/>
  <c r="L192" s="1"/>
  <c r="G192"/>
  <c r="F192"/>
  <c r="Q191"/>
  <c r="G191"/>
  <c r="M191" s="1"/>
  <c r="P191" s="1"/>
  <c r="Q190"/>
  <c r="M190"/>
  <c r="P190" s="1"/>
  <c r="K190"/>
  <c r="L190" s="1"/>
  <c r="G190"/>
  <c r="F190"/>
  <c r="Q189"/>
  <c r="G189"/>
  <c r="M189" s="1"/>
  <c r="P189" s="1"/>
  <c r="R189" s="1"/>
  <c r="Q188"/>
  <c r="M188"/>
  <c r="P188" s="1"/>
  <c r="R188" s="1"/>
  <c r="K188"/>
  <c r="L188" s="1"/>
  <c r="G188"/>
  <c r="F188"/>
  <c r="Q187"/>
  <c r="G187"/>
  <c r="M187" s="1"/>
  <c r="P187" s="1"/>
  <c r="Q186"/>
  <c r="M186"/>
  <c r="P186" s="1"/>
  <c r="K186"/>
  <c r="L186" s="1"/>
  <c r="G186"/>
  <c r="F186"/>
  <c r="Q185"/>
  <c r="G185"/>
  <c r="M185" s="1"/>
  <c r="P185" s="1"/>
  <c r="Q184"/>
  <c r="M184"/>
  <c r="P184" s="1"/>
  <c r="R184" s="1"/>
  <c r="K184"/>
  <c r="L184" s="1"/>
  <c r="G184"/>
  <c r="F184"/>
  <c r="Q183"/>
  <c r="G183"/>
  <c r="M183" s="1"/>
  <c r="P183" s="1"/>
  <c r="Q182"/>
  <c r="M182"/>
  <c r="P182" s="1"/>
  <c r="K182"/>
  <c r="L182" s="1"/>
  <c r="G182"/>
  <c r="F182"/>
  <c r="Q181"/>
  <c r="G181"/>
  <c r="M181" s="1"/>
  <c r="P181" s="1"/>
  <c r="R181" s="1"/>
  <c r="Q180"/>
  <c r="M180"/>
  <c r="P180" s="1"/>
  <c r="R180" s="1"/>
  <c r="K180"/>
  <c r="L180" s="1"/>
  <c r="G180"/>
  <c r="F180"/>
  <c r="Q179"/>
  <c r="G179"/>
  <c r="M179" s="1"/>
  <c r="P179" s="1"/>
  <c r="R179" s="1"/>
  <c r="Q178"/>
  <c r="M178"/>
  <c r="P178" s="1"/>
  <c r="R178" s="1"/>
  <c r="K178"/>
  <c r="L178" s="1"/>
  <c r="G178"/>
  <c r="F178"/>
  <c r="Q177"/>
  <c r="G177"/>
  <c r="M177" s="1"/>
  <c r="P177" s="1"/>
  <c r="Q176"/>
  <c r="M176"/>
  <c r="P176" s="1"/>
  <c r="K176"/>
  <c r="L176" s="1"/>
  <c r="G176"/>
  <c r="F176"/>
  <c r="Q175"/>
  <c r="G175"/>
  <c r="M175" s="1"/>
  <c r="P175" s="1"/>
  <c r="R175" s="1"/>
  <c r="Q174"/>
  <c r="M174"/>
  <c r="P174" s="1"/>
  <c r="R174" s="1"/>
  <c r="K174"/>
  <c r="L174" s="1"/>
  <c r="G174"/>
  <c r="F174"/>
  <c r="Q173"/>
  <c r="G173"/>
  <c r="M173" s="1"/>
  <c r="P173" s="1"/>
  <c r="Q172"/>
  <c r="M172"/>
  <c r="P172" s="1"/>
  <c r="K172"/>
  <c r="L172" s="1"/>
  <c r="G172"/>
  <c r="F172"/>
  <c r="Q171"/>
  <c r="E171"/>
  <c r="G171" s="1"/>
  <c r="Q170"/>
  <c r="G170"/>
  <c r="M170" s="1"/>
  <c r="P170" s="1"/>
  <c r="Q169"/>
  <c r="M169"/>
  <c r="P169" s="1"/>
  <c r="K169"/>
  <c r="L169" s="1"/>
  <c r="G169"/>
  <c r="F169"/>
  <c r="Q168"/>
  <c r="G168"/>
  <c r="M168" s="1"/>
  <c r="P168" s="1"/>
  <c r="Q167"/>
  <c r="M167"/>
  <c r="P167" s="1"/>
  <c r="R167" s="1"/>
  <c r="K167"/>
  <c r="L167" s="1"/>
  <c r="G167"/>
  <c r="F167"/>
  <c r="Q166"/>
  <c r="G166"/>
  <c r="M166" s="1"/>
  <c r="P166" s="1"/>
  <c r="Q165"/>
  <c r="M165"/>
  <c r="P165" s="1"/>
  <c r="K165"/>
  <c r="L165" s="1"/>
  <c r="G165"/>
  <c r="F165"/>
  <c r="Q164"/>
  <c r="M164"/>
  <c r="P164" s="1"/>
  <c r="R164" s="1"/>
  <c r="K164"/>
  <c r="L164" s="1"/>
  <c r="G164"/>
  <c r="F164"/>
  <c r="Q163"/>
  <c r="G163"/>
  <c r="M163" s="1"/>
  <c r="P163" s="1"/>
  <c r="Q162"/>
  <c r="M162"/>
  <c r="P162" s="1"/>
  <c r="R162" s="1"/>
  <c r="K162"/>
  <c r="L162" s="1"/>
  <c r="G162"/>
  <c r="F162"/>
  <c r="Q161"/>
  <c r="G161"/>
  <c r="M161" s="1"/>
  <c r="P161" s="1"/>
  <c r="R161" s="1"/>
  <c r="Q160"/>
  <c r="M160"/>
  <c r="P160" s="1"/>
  <c r="R160" s="1"/>
  <c r="K160"/>
  <c r="L160" s="1"/>
  <c r="G160"/>
  <c r="F160"/>
  <c r="Q159"/>
  <c r="G159"/>
  <c r="M159" s="1"/>
  <c r="P159" s="1"/>
  <c r="Q158"/>
  <c r="M158"/>
  <c r="P158" s="1"/>
  <c r="K158"/>
  <c r="L158" s="1"/>
  <c r="G158"/>
  <c r="F158"/>
  <c r="Q157"/>
  <c r="G157"/>
  <c r="M157" s="1"/>
  <c r="P157" s="1"/>
  <c r="R157" s="1"/>
  <c r="Q156"/>
  <c r="M156"/>
  <c r="P156" s="1"/>
  <c r="R156" s="1"/>
  <c r="K156"/>
  <c r="L156" s="1"/>
  <c r="G156"/>
  <c r="F156"/>
  <c r="Q155"/>
  <c r="G155"/>
  <c r="M155" s="1"/>
  <c r="P155" s="1"/>
  <c r="Q154"/>
  <c r="M154"/>
  <c r="P154" s="1"/>
  <c r="R154" s="1"/>
  <c r="K154"/>
  <c r="L154" s="1"/>
  <c r="G154"/>
  <c r="F154"/>
  <c r="Q153"/>
  <c r="G153"/>
  <c r="M153" s="1"/>
  <c r="P153" s="1"/>
  <c r="R153" s="1"/>
  <c r="Q152"/>
  <c r="M152"/>
  <c r="P152" s="1"/>
  <c r="R152" s="1"/>
  <c r="K152"/>
  <c r="L152" s="1"/>
  <c r="G152"/>
  <c r="F152"/>
  <c r="Q151"/>
  <c r="G151"/>
  <c r="M151" s="1"/>
  <c r="P151" s="1"/>
  <c r="R151" s="1"/>
  <c r="Q150"/>
  <c r="M150"/>
  <c r="P150" s="1"/>
  <c r="K150"/>
  <c r="L150" s="1"/>
  <c r="G150"/>
  <c r="F150"/>
  <c r="Q149"/>
  <c r="G149"/>
  <c r="M149" s="1"/>
  <c r="P149" s="1"/>
  <c r="Q148"/>
  <c r="M148"/>
  <c r="P148" s="1"/>
  <c r="R148" s="1"/>
  <c r="K148"/>
  <c r="L148" s="1"/>
  <c r="G148"/>
  <c r="F148"/>
  <c r="Q147"/>
  <c r="G147"/>
  <c r="M147" s="1"/>
  <c r="P147" s="1"/>
  <c r="Q146"/>
  <c r="M146"/>
  <c r="P146" s="1"/>
  <c r="R146" s="1"/>
  <c r="K146"/>
  <c r="L146" s="1"/>
  <c r="G146"/>
  <c r="F146"/>
  <c r="Q145"/>
  <c r="G145"/>
  <c r="M145" s="1"/>
  <c r="P145" s="1"/>
  <c r="R145" s="1"/>
  <c r="Q144"/>
  <c r="M144"/>
  <c r="P144" s="1"/>
  <c r="R144" s="1"/>
  <c r="K144"/>
  <c r="L144" s="1"/>
  <c r="G144"/>
  <c r="F144"/>
  <c r="Q143"/>
  <c r="G143"/>
  <c r="M143" s="1"/>
  <c r="P143" s="1"/>
  <c r="R143" s="1"/>
  <c r="Q142"/>
  <c r="M142"/>
  <c r="P142" s="1"/>
  <c r="K142"/>
  <c r="L142" s="1"/>
  <c r="G142"/>
  <c r="F142"/>
  <c r="Q141"/>
  <c r="G141"/>
  <c r="M141" s="1"/>
  <c r="P141" s="1"/>
  <c r="R141" s="1"/>
  <c r="Q140"/>
  <c r="M140"/>
  <c r="P140" s="1"/>
  <c r="R140" s="1"/>
  <c r="K140"/>
  <c r="L140" s="1"/>
  <c r="G140"/>
  <c r="F140"/>
  <c r="Q139"/>
  <c r="G139"/>
  <c r="M139" s="1"/>
  <c r="P139" s="1"/>
  <c r="Q138"/>
  <c r="M138"/>
  <c r="P138" s="1"/>
  <c r="R138" s="1"/>
  <c r="K138"/>
  <c r="L138" s="1"/>
  <c r="G138"/>
  <c r="F138"/>
  <c r="Q137"/>
  <c r="G137"/>
  <c r="M137" s="1"/>
  <c r="P137" s="1"/>
  <c r="Q136"/>
  <c r="M136"/>
  <c r="P136" s="1"/>
  <c r="R136" s="1"/>
  <c r="K136"/>
  <c r="L136" s="1"/>
  <c r="G136"/>
  <c r="F136"/>
  <c r="Q135"/>
  <c r="G135"/>
  <c r="M135" s="1"/>
  <c r="P135" s="1"/>
  <c r="R135" s="1"/>
  <c r="Q134"/>
  <c r="M134"/>
  <c r="P134" s="1"/>
  <c r="K134"/>
  <c r="L134" s="1"/>
  <c r="G134"/>
  <c r="F134"/>
  <c r="Q133"/>
  <c r="G133"/>
  <c r="M133" s="1"/>
  <c r="P133" s="1"/>
  <c r="R133" s="1"/>
  <c r="Q132"/>
  <c r="M132"/>
  <c r="P132" s="1"/>
  <c r="R132" s="1"/>
  <c r="K132"/>
  <c r="L132" s="1"/>
  <c r="G132"/>
  <c r="F132"/>
  <c r="Q131"/>
  <c r="G131"/>
  <c r="M131" s="1"/>
  <c r="P131" s="1"/>
  <c r="Q130"/>
  <c r="M130"/>
  <c r="P130" s="1"/>
  <c r="K130"/>
  <c r="L130" s="1"/>
  <c r="G130"/>
  <c r="F130"/>
  <c r="Q129"/>
  <c r="G129"/>
  <c r="M129" s="1"/>
  <c r="P129" s="1"/>
  <c r="R129" s="1"/>
  <c r="Q128"/>
  <c r="M128"/>
  <c r="P128" s="1"/>
  <c r="R128" s="1"/>
  <c r="K128"/>
  <c r="L128" s="1"/>
  <c r="G128"/>
  <c r="F128"/>
  <c r="Q127"/>
  <c r="G127"/>
  <c r="M127" s="1"/>
  <c r="P127" s="1"/>
  <c r="Q126"/>
  <c r="M126"/>
  <c r="P126" s="1"/>
  <c r="K126"/>
  <c r="L126" s="1"/>
  <c r="G126"/>
  <c r="F126"/>
  <c r="Q125"/>
  <c r="G125"/>
  <c r="M125" s="1"/>
  <c r="P125" s="1"/>
  <c r="R125" s="1"/>
  <c r="Q124"/>
  <c r="M124"/>
  <c r="P124" s="1"/>
  <c r="R124" s="1"/>
  <c r="K124"/>
  <c r="L124" s="1"/>
  <c r="G124"/>
  <c r="F124"/>
  <c r="Q123"/>
  <c r="G123"/>
  <c r="M123" s="1"/>
  <c r="P123" s="1"/>
  <c r="Q122"/>
  <c r="M122"/>
  <c r="P122" s="1"/>
  <c r="K122"/>
  <c r="L122" s="1"/>
  <c r="G122"/>
  <c r="F122"/>
  <c r="Q121"/>
  <c r="G121"/>
  <c r="M121" s="1"/>
  <c r="P121" s="1"/>
  <c r="R121" s="1"/>
  <c r="Q120"/>
  <c r="M120"/>
  <c r="P120" s="1"/>
  <c r="R120" s="1"/>
  <c r="K120"/>
  <c r="L120" s="1"/>
  <c r="G120"/>
  <c r="F120"/>
  <c r="Q119"/>
  <c r="G119"/>
  <c r="M119" s="1"/>
  <c r="P119" s="1"/>
  <c r="Q118"/>
  <c r="M118"/>
  <c r="P118" s="1"/>
  <c r="K118"/>
  <c r="L118" s="1"/>
  <c r="G118"/>
  <c r="F118"/>
  <c r="Q117"/>
  <c r="G117"/>
  <c r="M117" s="1"/>
  <c r="P117" s="1"/>
  <c r="R117" s="1"/>
  <c r="Q116"/>
  <c r="M116"/>
  <c r="P116" s="1"/>
  <c r="R116" s="1"/>
  <c r="K116"/>
  <c r="L116" s="1"/>
  <c r="G116"/>
  <c r="F116"/>
  <c r="Q115"/>
  <c r="G115"/>
  <c r="M115" s="1"/>
  <c r="P115" s="1"/>
  <c r="Q114"/>
  <c r="M114"/>
  <c r="P114" s="1"/>
  <c r="K114"/>
  <c r="L114" s="1"/>
  <c r="G114"/>
  <c r="F114"/>
  <c r="Q113"/>
  <c r="G113"/>
  <c r="M113" s="1"/>
  <c r="P113" s="1"/>
  <c r="R113" s="1"/>
  <c r="Q112"/>
  <c r="M112"/>
  <c r="P112" s="1"/>
  <c r="R112" s="1"/>
  <c r="K112"/>
  <c r="L112" s="1"/>
  <c r="G112"/>
  <c r="F112"/>
  <c r="Q111"/>
  <c r="G111"/>
  <c r="M111" s="1"/>
  <c r="P111" s="1"/>
  <c r="Q110"/>
  <c r="M110"/>
  <c r="P110" s="1"/>
  <c r="K110"/>
  <c r="L110" s="1"/>
  <c r="G110"/>
  <c r="F110"/>
  <c r="Q109"/>
  <c r="G109"/>
  <c r="M109" s="1"/>
  <c r="P109" s="1"/>
  <c r="Q108"/>
  <c r="M108"/>
  <c r="P108" s="1"/>
  <c r="K108"/>
  <c r="L108" s="1"/>
  <c r="G108"/>
  <c r="F108"/>
  <c r="Q107"/>
  <c r="G107"/>
  <c r="M107" s="1"/>
  <c r="P107" s="1"/>
  <c r="Q106"/>
  <c r="M106"/>
  <c r="P106" s="1"/>
  <c r="K106"/>
  <c r="L106" s="1"/>
  <c r="G106"/>
  <c r="F106"/>
  <c r="Q105"/>
  <c r="G105"/>
  <c r="M105" s="1"/>
  <c r="P105" s="1"/>
  <c r="R105" s="1"/>
  <c r="Q104"/>
  <c r="M104"/>
  <c r="P104" s="1"/>
  <c r="R104" s="1"/>
  <c r="K104"/>
  <c r="L104" s="1"/>
  <c r="G104"/>
  <c r="F104"/>
  <c r="Q103"/>
  <c r="G103"/>
  <c r="M103" s="1"/>
  <c r="P103" s="1"/>
  <c r="Q102"/>
  <c r="M102"/>
  <c r="P102" s="1"/>
  <c r="K102"/>
  <c r="L102" s="1"/>
  <c r="G102"/>
  <c r="F102"/>
  <c r="Q101"/>
  <c r="G101"/>
  <c r="M101" s="1"/>
  <c r="P101" s="1"/>
  <c r="R101" s="1"/>
  <c r="Q100"/>
  <c r="M100"/>
  <c r="P100" s="1"/>
  <c r="R100" s="1"/>
  <c r="K100"/>
  <c r="L100" s="1"/>
  <c r="G100"/>
  <c r="F100"/>
  <c r="Q99"/>
  <c r="G99"/>
  <c r="M99" s="1"/>
  <c r="P99" s="1"/>
  <c r="Q98"/>
  <c r="M98"/>
  <c r="P98" s="1"/>
  <c r="K98"/>
  <c r="L98" s="1"/>
  <c r="G98"/>
  <c r="F98"/>
  <c r="Q97"/>
  <c r="G97"/>
  <c r="M97" s="1"/>
  <c r="P97" s="1"/>
  <c r="R97" s="1"/>
  <c r="Q96"/>
  <c r="M96"/>
  <c r="P96" s="1"/>
  <c r="R96" s="1"/>
  <c r="K96"/>
  <c r="L96" s="1"/>
  <c r="G96"/>
  <c r="F96"/>
  <c r="Q95"/>
  <c r="G95"/>
  <c r="M95" s="1"/>
  <c r="P95" s="1"/>
  <c r="Q94"/>
  <c r="M94"/>
  <c r="P94" s="1"/>
  <c r="K94"/>
  <c r="L94" s="1"/>
  <c r="G94"/>
  <c r="F94"/>
  <c r="Q93"/>
  <c r="G93"/>
  <c r="M93" s="1"/>
  <c r="P93" s="1"/>
  <c r="R93" s="1"/>
  <c r="Q92"/>
  <c r="M92"/>
  <c r="P92" s="1"/>
  <c r="R92" s="1"/>
  <c r="K92"/>
  <c r="L92" s="1"/>
  <c r="G92"/>
  <c r="F92"/>
  <c r="Q91"/>
  <c r="G91"/>
  <c r="M91" s="1"/>
  <c r="P91" s="1"/>
  <c r="Q90"/>
  <c r="M90"/>
  <c r="P90" s="1"/>
  <c r="R90" s="1"/>
  <c r="K90"/>
  <c r="L90" s="1"/>
  <c r="G90"/>
  <c r="F90"/>
  <c r="Q89"/>
  <c r="G89"/>
  <c r="M89" s="1"/>
  <c r="P89" s="1"/>
  <c r="Q88"/>
  <c r="M88"/>
  <c r="P88" s="1"/>
  <c r="K88"/>
  <c r="L88" s="1"/>
  <c r="G88"/>
  <c r="F88"/>
  <c r="Q87"/>
  <c r="G87"/>
  <c r="M87" s="1"/>
  <c r="P87" s="1"/>
  <c r="R87" s="1"/>
  <c r="Q86"/>
  <c r="M86"/>
  <c r="P86" s="1"/>
  <c r="R86" s="1"/>
  <c r="K86"/>
  <c r="L86" s="1"/>
  <c r="G86"/>
  <c r="F86"/>
  <c r="Q85"/>
  <c r="G85"/>
  <c r="M85" s="1"/>
  <c r="P85" s="1"/>
  <c r="Q84"/>
  <c r="M84"/>
  <c r="P84" s="1"/>
  <c r="K84"/>
  <c r="L84" s="1"/>
  <c r="G84"/>
  <c r="F84"/>
  <c r="Q83"/>
  <c r="G83"/>
  <c r="M83" s="1"/>
  <c r="P83" s="1"/>
  <c r="R83" s="1"/>
  <c r="Q82"/>
  <c r="M82"/>
  <c r="P82" s="1"/>
  <c r="R82" s="1"/>
  <c r="K82"/>
  <c r="L82" s="1"/>
  <c r="G82"/>
  <c r="F82"/>
  <c r="Q81"/>
  <c r="G81"/>
  <c r="M81" s="1"/>
  <c r="P81" s="1"/>
  <c r="Q80"/>
  <c r="M80"/>
  <c r="P80" s="1"/>
  <c r="K80"/>
  <c r="L80" s="1"/>
  <c r="G80"/>
  <c r="F80"/>
  <c r="Q79"/>
  <c r="G79"/>
  <c r="M79" s="1"/>
  <c r="P79" s="1"/>
  <c r="R79" s="1"/>
  <c r="Q78"/>
  <c r="M78"/>
  <c r="P78" s="1"/>
  <c r="R78" s="1"/>
  <c r="K78"/>
  <c r="L78" s="1"/>
  <c r="G78"/>
  <c r="F78"/>
  <c r="Q77"/>
  <c r="G77"/>
  <c r="M77" s="1"/>
  <c r="P77" s="1"/>
  <c r="Q76"/>
  <c r="M76"/>
  <c r="P76" s="1"/>
  <c r="K76"/>
  <c r="L76" s="1"/>
  <c r="G76"/>
  <c r="F76"/>
  <c r="Q75"/>
  <c r="G75"/>
  <c r="M75" s="1"/>
  <c r="P75" s="1"/>
  <c r="R75" s="1"/>
  <c r="Q74"/>
  <c r="M74"/>
  <c r="P74" s="1"/>
  <c r="R74" s="1"/>
  <c r="K74"/>
  <c r="L74" s="1"/>
  <c r="G74"/>
  <c r="F74"/>
  <c r="Q73"/>
  <c r="G73"/>
  <c r="Q72"/>
  <c r="M72"/>
  <c r="P72" s="1"/>
  <c r="K72"/>
  <c r="L72" s="1"/>
  <c r="G72"/>
  <c r="F72"/>
  <c r="Q71"/>
  <c r="G71"/>
  <c r="Q70"/>
  <c r="M70"/>
  <c r="P70" s="1"/>
  <c r="K70"/>
  <c r="L70" s="1"/>
  <c r="G70"/>
  <c r="F70"/>
  <c r="Q69"/>
  <c r="G69"/>
  <c r="Q68"/>
  <c r="M68"/>
  <c r="P68" s="1"/>
  <c r="K68"/>
  <c r="L68" s="1"/>
  <c r="G68"/>
  <c r="F68"/>
  <c r="Q67"/>
  <c r="G67"/>
  <c r="M67" s="1"/>
  <c r="P67" s="1"/>
  <c r="R67" s="1"/>
  <c r="Q66"/>
  <c r="M66"/>
  <c r="P66" s="1"/>
  <c r="R66" s="1"/>
  <c r="K66"/>
  <c r="L66" s="1"/>
  <c r="G66"/>
  <c r="F66"/>
  <c r="Q65"/>
  <c r="G65"/>
  <c r="M65" s="1"/>
  <c r="P65" s="1"/>
  <c r="Q64"/>
  <c r="M64"/>
  <c r="P64" s="1"/>
  <c r="K64"/>
  <c r="L64" s="1"/>
  <c r="G64"/>
  <c r="F64"/>
  <c r="Q63"/>
  <c r="G63"/>
  <c r="M63" s="1"/>
  <c r="P63" s="1"/>
  <c r="R63" s="1"/>
  <c r="Q62"/>
  <c r="M62"/>
  <c r="P62" s="1"/>
  <c r="R62" s="1"/>
  <c r="K62"/>
  <c r="L62" s="1"/>
  <c r="G62"/>
  <c r="F62"/>
  <c r="Q61"/>
  <c r="G61"/>
  <c r="M61" s="1"/>
  <c r="P61" s="1"/>
  <c r="Q60"/>
  <c r="M60"/>
  <c r="P60" s="1"/>
  <c r="K60"/>
  <c r="L60" s="1"/>
  <c r="G60"/>
  <c r="F60"/>
  <c r="Q59"/>
  <c r="G59"/>
  <c r="M59" s="1"/>
  <c r="P59" s="1"/>
  <c r="R59" s="1"/>
  <c r="Q58"/>
  <c r="M58"/>
  <c r="P58" s="1"/>
  <c r="R58" s="1"/>
  <c r="K58"/>
  <c r="L58" s="1"/>
  <c r="G58"/>
  <c r="F58"/>
  <c r="Q57"/>
  <c r="G57"/>
  <c r="M57" s="1"/>
  <c r="P57" s="1"/>
  <c r="Q56"/>
  <c r="M56"/>
  <c r="P56" s="1"/>
  <c r="K56"/>
  <c r="L56" s="1"/>
  <c r="G56"/>
  <c r="F56"/>
  <c r="Q55"/>
  <c r="G55"/>
  <c r="M55" s="1"/>
  <c r="P55" s="1"/>
  <c r="R55" s="1"/>
  <c r="Q54"/>
  <c r="M54"/>
  <c r="P54" s="1"/>
  <c r="R54" s="1"/>
  <c r="K54"/>
  <c r="L54" s="1"/>
  <c r="G54"/>
  <c r="F54"/>
  <c r="Q53"/>
  <c r="G53"/>
  <c r="M53" s="1"/>
  <c r="P53" s="1"/>
  <c r="Q52"/>
  <c r="M52"/>
  <c r="P52" s="1"/>
  <c r="K52"/>
  <c r="L52" s="1"/>
  <c r="G52"/>
  <c r="F52"/>
  <c r="Q51"/>
  <c r="G51"/>
  <c r="M51" s="1"/>
  <c r="P51" s="1"/>
  <c r="R51" s="1"/>
  <c r="Q50"/>
  <c r="M50"/>
  <c r="P50" s="1"/>
  <c r="R50" s="1"/>
  <c r="K50"/>
  <c r="L50" s="1"/>
  <c r="G50"/>
  <c r="F50"/>
  <c r="Q49"/>
  <c r="G49"/>
  <c r="M49" s="1"/>
  <c r="P49" s="1"/>
  <c r="Q48"/>
  <c r="M48"/>
  <c r="P48" s="1"/>
  <c r="K48"/>
  <c r="L48" s="1"/>
  <c r="G48"/>
  <c r="F48"/>
  <c r="Q47"/>
  <c r="G47"/>
  <c r="M47" s="1"/>
  <c r="P47" s="1"/>
  <c r="R47" s="1"/>
  <c r="Q46"/>
  <c r="M46"/>
  <c r="P46" s="1"/>
  <c r="K46"/>
  <c r="L46" s="1"/>
  <c r="G46"/>
  <c r="F46"/>
  <c r="Q45"/>
  <c r="G45"/>
  <c r="M45" s="1"/>
  <c r="P45" s="1"/>
  <c r="Q44"/>
  <c r="M44"/>
  <c r="P44" s="1"/>
  <c r="K44"/>
  <c r="L44" s="1"/>
  <c r="G44"/>
  <c r="F44"/>
  <c r="Q43"/>
  <c r="G43"/>
  <c r="M43" s="1"/>
  <c r="P43" s="1"/>
  <c r="R43" s="1"/>
  <c r="Q42"/>
  <c r="M42"/>
  <c r="P42" s="1"/>
  <c r="R42" s="1"/>
  <c r="K42"/>
  <c r="L42" s="1"/>
  <c r="G42"/>
  <c r="F42"/>
  <c r="Q41"/>
  <c r="G41"/>
  <c r="M41" s="1"/>
  <c r="P41" s="1"/>
  <c r="Q40"/>
  <c r="M40"/>
  <c r="P40" s="1"/>
  <c r="K40"/>
  <c r="L40" s="1"/>
  <c r="G40"/>
  <c r="F40"/>
  <c r="Q39"/>
  <c r="G39"/>
  <c r="M39" s="1"/>
  <c r="P39" s="1"/>
  <c r="R39" s="1"/>
  <c r="Q38"/>
  <c r="M38"/>
  <c r="P38" s="1"/>
  <c r="R38" s="1"/>
  <c r="K38"/>
  <c r="L38" s="1"/>
  <c r="G38"/>
  <c r="F38"/>
  <c r="Q37"/>
  <c r="G37"/>
  <c r="M37" s="1"/>
  <c r="P37" s="1"/>
  <c r="Q36"/>
  <c r="M36"/>
  <c r="P36" s="1"/>
  <c r="R36" s="1"/>
  <c r="K36"/>
  <c r="L36" s="1"/>
  <c r="G36"/>
  <c r="F36"/>
  <c r="Q35"/>
  <c r="G35"/>
  <c r="M35" s="1"/>
  <c r="P35" s="1"/>
  <c r="Q34"/>
  <c r="M34"/>
  <c r="P34" s="1"/>
  <c r="R34" s="1"/>
  <c r="K34"/>
  <c r="L34" s="1"/>
  <c r="G34"/>
  <c r="F34"/>
  <c r="Q33"/>
  <c r="G33"/>
  <c r="M33" s="1"/>
  <c r="P33" s="1"/>
  <c r="R33" s="1"/>
  <c r="Q32"/>
  <c r="M32"/>
  <c r="P32" s="1"/>
  <c r="K32"/>
  <c r="L32" s="1"/>
  <c r="G32"/>
  <c r="F32"/>
  <c r="Q31"/>
  <c r="G31"/>
  <c r="M31" s="1"/>
  <c r="P31" s="1"/>
  <c r="R31" s="1"/>
  <c r="Q30"/>
  <c r="M30"/>
  <c r="P30" s="1"/>
  <c r="R30" s="1"/>
  <c r="K30"/>
  <c r="L30" s="1"/>
  <c r="G30"/>
  <c r="F30"/>
  <c r="Q29"/>
  <c r="G29"/>
  <c r="M29" s="1"/>
  <c r="P29" s="1"/>
  <c r="Q28"/>
  <c r="M28"/>
  <c r="P28" s="1"/>
  <c r="K28"/>
  <c r="L28" s="1"/>
  <c r="G28"/>
  <c r="F28"/>
  <c r="Q27"/>
  <c r="G27"/>
  <c r="M27" s="1"/>
  <c r="P27" s="1"/>
  <c r="R27" s="1"/>
  <c r="Q26"/>
  <c r="M26"/>
  <c r="P26" s="1"/>
  <c r="R26" s="1"/>
  <c r="K26"/>
  <c r="L26" s="1"/>
  <c r="G26"/>
  <c r="F26"/>
  <c r="Q25"/>
  <c r="G25"/>
  <c r="M25" s="1"/>
  <c r="P25" s="1"/>
  <c r="Q24"/>
  <c r="M24"/>
  <c r="P24" s="1"/>
  <c r="K24"/>
  <c r="L24" s="1"/>
  <c r="G24"/>
  <c r="F24"/>
  <c r="Q23"/>
  <c r="G23"/>
  <c r="M23" s="1"/>
  <c r="P23" s="1"/>
  <c r="R23" s="1"/>
  <c r="Q22"/>
  <c r="M22"/>
  <c r="P22" s="1"/>
  <c r="R22" s="1"/>
  <c r="K22"/>
  <c r="L22" s="1"/>
  <c r="G22"/>
  <c r="F22"/>
  <c r="Q21"/>
  <c r="G21"/>
  <c r="M21" s="1"/>
  <c r="P21" s="1"/>
  <c r="Q20"/>
  <c r="M20"/>
  <c r="P20" s="1"/>
  <c r="K20"/>
  <c r="L20" s="1"/>
  <c r="G20"/>
  <c r="F20"/>
  <c r="Q19"/>
  <c r="G19"/>
  <c r="M19" s="1"/>
  <c r="P19" s="1"/>
  <c r="R19" s="1"/>
  <c r="Q18"/>
  <c r="M18"/>
  <c r="P18" s="1"/>
  <c r="R18" s="1"/>
  <c r="K18"/>
  <c r="L18" s="1"/>
  <c r="G18"/>
  <c r="F18"/>
  <c r="Q17"/>
  <c r="G17"/>
  <c r="M17" s="1"/>
  <c r="P17" s="1"/>
  <c r="Q16"/>
  <c r="M16"/>
  <c r="P16" s="1"/>
  <c r="R16" s="1"/>
  <c r="K16"/>
  <c r="L16" s="1"/>
  <c r="G16"/>
  <c r="F16"/>
  <c r="Q15"/>
  <c r="G15"/>
  <c r="M15" s="1"/>
  <c r="P15" s="1"/>
  <c r="R15" s="1"/>
  <c r="Q14"/>
  <c r="M14"/>
  <c r="P14" s="1"/>
  <c r="R14" s="1"/>
  <c r="K14"/>
  <c r="L14" s="1"/>
  <c r="G14"/>
  <c r="F14"/>
  <c r="Q13"/>
  <c r="G13"/>
  <c r="M13" s="1"/>
  <c r="P13" s="1"/>
  <c r="Q12"/>
  <c r="M12"/>
  <c r="P12" s="1"/>
  <c r="K12"/>
  <c r="L12" s="1"/>
  <c r="G12"/>
  <c r="F12"/>
  <c r="Q11"/>
  <c r="G11"/>
  <c r="M11" s="1"/>
  <c r="P11" s="1"/>
  <c r="R11" s="1"/>
  <c r="Q10"/>
  <c r="M10"/>
  <c r="P10" s="1"/>
  <c r="R10" s="1"/>
  <c r="K10"/>
  <c r="F10" s="1"/>
  <c r="G10"/>
  <c r="Q9"/>
  <c r="G9"/>
  <c r="M9" s="1"/>
  <c r="P9" s="1"/>
  <c r="R9" s="1"/>
  <c r="Q8"/>
  <c r="M8"/>
  <c r="P8" s="1"/>
  <c r="R8" s="1"/>
  <c r="K8"/>
  <c r="L8" s="1"/>
  <c r="G8"/>
  <c r="F8"/>
  <c r="Q7"/>
  <c r="G7"/>
  <c r="M7" s="1"/>
  <c r="P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Q6"/>
  <c r="M6"/>
  <c r="P6" s="1"/>
  <c r="R6" s="1"/>
  <c r="K6"/>
  <c r="L6" s="1"/>
  <c r="G6"/>
  <c r="A6"/>
  <c r="Q5"/>
  <c r="E5"/>
  <c r="E352" s="1"/>
  <c r="Q178" i="2"/>
  <c r="K178"/>
  <c r="L178" s="1"/>
  <c r="G178"/>
  <c r="M178" s="1"/>
  <c r="P178" s="1"/>
  <c r="F178"/>
  <c r="Q177"/>
  <c r="K177"/>
  <c r="L177" s="1"/>
  <c r="G177"/>
  <c r="M177" s="1"/>
  <c r="P177" s="1"/>
  <c r="F177"/>
  <c r="A177"/>
  <c r="A178" s="1"/>
  <c r="J175"/>
  <c r="I175"/>
  <c r="H175"/>
  <c r="E175"/>
  <c r="Q173"/>
  <c r="M173"/>
  <c r="P173" s="1"/>
  <c r="R173" s="1"/>
  <c r="K173"/>
  <c r="L173" s="1"/>
  <c r="G173"/>
  <c r="F173"/>
  <c r="Q172"/>
  <c r="G172"/>
  <c r="M172" s="1"/>
  <c r="P172" s="1"/>
  <c r="Q171"/>
  <c r="M171"/>
  <c r="P171" s="1"/>
  <c r="K171"/>
  <c r="L171" s="1"/>
  <c r="G171"/>
  <c r="F171"/>
  <c r="Q170"/>
  <c r="G170"/>
  <c r="M170" s="1"/>
  <c r="P170" s="1"/>
  <c r="R170" s="1"/>
  <c r="Q169"/>
  <c r="G169"/>
  <c r="M169" s="1"/>
  <c r="P169" s="1"/>
  <c r="R169" s="1"/>
  <c r="Q168"/>
  <c r="M168"/>
  <c r="P168" s="1"/>
  <c r="R168" s="1"/>
  <c r="K168"/>
  <c r="L168" s="1"/>
  <c r="G168"/>
  <c r="F168"/>
  <c r="Q167"/>
  <c r="M167"/>
  <c r="P167" s="1"/>
  <c r="K167"/>
  <c r="L167" s="1"/>
  <c r="G167"/>
  <c r="F167"/>
  <c r="Q166"/>
  <c r="M166"/>
  <c r="P166" s="1"/>
  <c r="R166" s="1"/>
  <c r="K166"/>
  <c r="L166" s="1"/>
  <c r="G166"/>
  <c r="F166"/>
  <c r="Q165"/>
  <c r="M165"/>
  <c r="P165" s="1"/>
  <c r="K165"/>
  <c r="L165" s="1"/>
  <c r="G165"/>
  <c r="F165"/>
  <c r="Q164"/>
  <c r="G164"/>
  <c r="M164" s="1"/>
  <c r="P164" s="1"/>
  <c r="R164" s="1"/>
  <c r="Q163"/>
  <c r="M163"/>
  <c r="P163" s="1"/>
  <c r="R163" s="1"/>
  <c r="K163"/>
  <c r="L163" s="1"/>
  <c r="G163"/>
  <c r="F163"/>
  <c r="Q162"/>
  <c r="G162"/>
  <c r="M162" s="1"/>
  <c r="P162" s="1"/>
  <c r="Q161"/>
  <c r="M161"/>
  <c r="P161" s="1"/>
  <c r="K161"/>
  <c r="L161" s="1"/>
  <c r="G161"/>
  <c r="F161"/>
  <c r="Q160"/>
  <c r="G160"/>
  <c r="M160" s="1"/>
  <c r="P160" s="1"/>
  <c r="R160" s="1"/>
  <c r="Q159"/>
  <c r="M159"/>
  <c r="P159" s="1"/>
  <c r="R159" s="1"/>
  <c r="K159"/>
  <c r="L159" s="1"/>
  <c r="G159"/>
  <c r="F159"/>
  <c r="Q158"/>
  <c r="G158"/>
  <c r="M158" s="1"/>
  <c r="P158" s="1"/>
  <c r="Q157"/>
  <c r="M157"/>
  <c r="P157" s="1"/>
  <c r="K157"/>
  <c r="L157" s="1"/>
  <c r="G157"/>
  <c r="F157"/>
  <c r="Q156"/>
  <c r="G156"/>
  <c r="M156" s="1"/>
  <c r="P156" s="1"/>
  <c r="R156" s="1"/>
  <c r="Q155"/>
  <c r="M155"/>
  <c r="P155" s="1"/>
  <c r="R155" s="1"/>
  <c r="K155"/>
  <c r="L155" s="1"/>
  <c r="G155"/>
  <c r="F155"/>
  <c r="Q154"/>
  <c r="G154"/>
  <c r="M154" s="1"/>
  <c r="P154" s="1"/>
  <c r="Q153"/>
  <c r="M153"/>
  <c r="P153" s="1"/>
  <c r="K153"/>
  <c r="L153" s="1"/>
  <c r="G153"/>
  <c r="F153"/>
  <c r="Q152"/>
  <c r="G152"/>
  <c r="M152" s="1"/>
  <c r="P152" s="1"/>
  <c r="R152" s="1"/>
  <c r="Q151"/>
  <c r="G151"/>
  <c r="M151" s="1"/>
  <c r="P151" s="1"/>
  <c r="R151" s="1"/>
  <c r="Q150"/>
  <c r="M150"/>
  <c r="P150" s="1"/>
  <c r="R150" s="1"/>
  <c r="K150"/>
  <c r="L150" s="1"/>
  <c r="G150"/>
  <c r="F150"/>
  <c r="Q149"/>
  <c r="G149"/>
  <c r="Q148"/>
  <c r="M148"/>
  <c r="P148" s="1"/>
  <c r="K148"/>
  <c r="L148" s="1"/>
  <c r="G148"/>
  <c r="F148"/>
  <c r="Q147"/>
  <c r="P147"/>
  <c r="R147" s="1"/>
  <c r="K147"/>
  <c r="L147" s="1"/>
  <c r="G147"/>
  <c r="M147" s="1"/>
  <c r="F147"/>
  <c r="Q146"/>
  <c r="G146"/>
  <c r="M146" s="1"/>
  <c r="P146" s="1"/>
  <c r="Q145"/>
  <c r="M145"/>
  <c r="P145" s="1"/>
  <c r="K145"/>
  <c r="L145" s="1"/>
  <c r="G145"/>
  <c r="F145"/>
  <c r="Q144"/>
  <c r="G144"/>
  <c r="M144" s="1"/>
  <c r="P144" s="1"/>
  <c r="R144" s="1"/>
  <c r="Q143"/>
  <c r="M143"/>
  <c r="P143" s="1"/>
  <c r="R143" s="1"/>
  <c r="K143"/>
  <c r="L143" s="1"/>
  <c r="G143"/>
  <c r="F143"/>
  <c r="Q142"/>
  <c r="G142"/>
  <c r="M142" s="1"/>
  <c r="P142" s="1"/>
  <c r="Q141"/>
  <c r="M141"/>
  <c r="P141" s="1"/>
  <c r="K141"/>
  <c r="L141" s="1"/>
  <c r="G141"/>
  <c r="F141"/>
  <c r="Q140"/>
  <c r="G140"/>
  <c r="Q139"/>
  <c r="M139"/>
  <c r="P139" s="1"/>
  <c r="R139" s="1"/>
  <c r="K139"/>
  <c r="L139" s="1"/>
  <c r="G139"/>
  <c r="F139"/>
  <c r="Q138"/>
  <c r="G138"/>
  <c r="Q137"/>
  <c r="M137"/>
  <c r="P137" s="1"/>
  <c r="K137"/>
  <c r="L137" s="1"/>
  <c r="G137"/>
  <c r="F137"/>
  <c r="Q136"/>
  <c r="G136"/>
  <c r="Q135"/>
  <c r="M135"/>
  <c r="P135" s="1"/>
  <c r="R135" s="1"/>
  <c r="K135"/>
  <c r="L135" s="1"/>
  <c r="G135"/>
  <c r="F135"/>
  <c r="Q134"/>
  <c r="G134"/>
  <c r="Q133"/>
  <c r="M133"/>
  <c r="P133" s="1"/>
  <c r="K133"/>
  <c r="L133" s="1"/>
  <c r="G133"/>
  <c r="F133"/>
  <c r="Q132"/>
  <c r="G132"/>
  <c r="Q131"/>
  <c r="M131"/>
  <c r="P131" s="1"/>
  <c r="R131" s="1"/>
  <c r="K131"/>
  <c r="L131" s="1"/>
  <c r="G131"/>
  <c r="F131"/>
  <c r="Q130"/>
  <c r="G130"/>
  <c r="Q129"/>
  <c r="M129"/>
  <c r="P129" s="1"/>
  <c r="K129"/>
  <c r="L129" s="1"/>
  <c r="G129"/>
  <c r="F129"/>
  <c r="Q128"/>
  <c r="G128"/>
  <c r="Q127"/>
  <c r="M127"/>
  <c r="P127" s="1"/>
  <c r="R127" s="1"/>
  <c r="K127"/>
  <c r="L127" s="1"/>
  <c r="G127"/>
  <c r="F127"/>
  <c r="Q126"/>
  <c r="G126"/>
  <c r="Q125"/>
  <c r="M125"/>
  <c r="P125" s="1"/>
  <c r="K125"/>
  <c r="L125" s="1"/>
  <c r="G125"/>
  <c r="F125"/>
  <c r="Q124"/>
  <c r="G124"/>
  <c r="Q123"/>
  <c r="M123"/>
  <c r="P123" s="1"/>
  <c r="R123" s="1"/>
  <c r="K123"/>
  <c r="L123" s="1"/>
  <c r="G123"/>
  <c r="F123"/>
  <c r="Q122"/>
  <c r="G122"/>
  <c r="M122" s="1"/>
  <c r="P122" s="1"/>
  <c r="Q121"/>
  <c r="M121"/>
  <c r="P121" s="1"/>
  <c r="K121"/>
  <c r="L121" s="1"/>
  <c r="G121"/>
  <c r="F121"/>
  <c r="Q120"/>
  <c r="G120"/>
  <c r="M120" s="1"/>
  <c r="P120" s="1"/>
  <c r="R120" s="1"/>
  <c r="Q119"/>
  <c r="M119"/>
  <c r="P119" s="1"/>
  <c r="R119" s="1"/>
  <c r="K119"/>
  <c r="L119" s="1"/>
  <c r="G119"/>
  <c r="F119"/>
  <c r="Q118"/>
  <c r="G118"/>
  <c r="M118" s="1"/>
  <c r="P118" s="1"/>
  <c r="Q117"/>
  <c r="M117"/>
  <c r="P117" s="1"/>
  <c r="K117"/>
  <c r="L117" s="1"/>
  <c r="G117"/>
  <c r="F117"/>
  <c r="Q116"/>
  <c r="G116"/>
  <c r="M116" s="1"/>
  <c r="P116" s="1"/>
  <c r="R116" s="1"/>
  <c r="Q115"/>
  <c r="M115"/>
  <c r="P115" s="1"/>
  <c r="R115" s="1"/>
  <c r="K115"/>
  <c r="L115" s="1"/>
  <c r="G115"/>
  <c r="F115"/>
  <c r="Q114"/>
  <c r="G114"/>
  <c r="M114" s="1"/>
  <c r="P114" s="1"/>
  <c r="Q113"/>
  <c r="M113"/>
  <c r="P113" s="1"/>
  <c r="K113"/>
  <c r="L113" s="1"/>
  <c r="G113"/>
  <c r="F113"/>
  <c r="Q112"/>
  <c r="G112"/>
  <c r="M112" s="1"/>
  <c r="P112" s="1"/>
  <c r="R112" s="1"/>
  <c r="Q111"/>
  <c r="M111"/>
  <c r="P111" s="1"/>
  <c r="R111" s="1"/>
  <c r="K111"/>
  <c r="L111" s="1"/>
  <c r="G111"/>
  <c r="F111"/>
  <c r="Q110"/>
  <c r="G110"/>
  <c r="M110" s="1"/>
  <c r="P110" s="1"/>
  <c r="Q109"/>
  <c r="M109"/>
  <c r="P109" s="1"/>
  <c r="K109"/>
  <c r="L109" s="1"/>
  <c r="G109"/>
  <c r="F109"/>
  <c r="Q108"/>
  <c r="G108"/>
  <c r="M108" s="1"/>
  <c r="P108" s="1"/>
  <c r="R108" s="1"/>
  <c r="Q107"/>
  <c r="M107"/>
  <c r="P107" s="1"/>
  <c r="R107" s="1"/>
  <c r="K107"/>
  <c r="L107" s="1"/>
  <c r="G107"/>
  <c r="F107"/>
  <c r="Q106"/>
  <c r="G106"/>
  <c r="M106" s="1"/>
  <c r="P106" s="1"/>
  <c r="Q105"/>
  <c r="M105"/>
  <c r="P105" s="1"/>
  <c r="K105"/>
  <c r="L105" s="1"/>
  <c r="G105"/>
  <c r="F105"/>
  <c r="Q104"/>
  <c r="G104"/>
  <c r="M104" s="1"/>
  <c r="P104" s="1"/>
  <c r="R104" s="1"/>
  <c r="Q103"/>
  <c r="M103"/>
  <c r="P103" s="1"/>
  <c r="R103" s="1"/>
  <c r="K103"/>
  <c r="L103" s="1"/>
  <c r="G103"/>
  <c r="F103"/>
  <c r="Q102"/>
  <c r="G102"/>
  <c r="M102" s="1"/>
  <c r="P102" s="1"/>
  <c r="Q101"/>
  <c r="M101"/>
  <c r="P101" s="1"/>
  <c r="K101"/>
  <c r="L101" s="1"/>
  <c r="G101"/>
  <c r="F101"/>
  <c r="Q100"/>
  <c r="G100"/>
  <c r="M100" s="1"/>
  <c r="P100" s="1"/>
  <c r="R100" s="1"/>
  <c r="Q99"/>
  <c r="M99"/>
  <c r="P99" s="1"/>
  <c r="R99" s="1"/>
  <c r="K99"/>
  <c r="L99" s="1"/>
  <c r="G99"/>
  <c r="F99"/>
  <c r="Q98"/>
  <c r="G98"/>
  <c r="M98" s="1"/>
  <c r="P98" s="1"/>
  <c r="Q97"/>
  <c r="M97"/>
  <c r="P97" s="1"/>
  <c r="K97"/>
  <c r="L97" s="1"/>
  <c r="G97"/>
  <c r="F97"/>
  <c r="Q96"/>
  <c r="G96"/>
  <c r="M96" s="1"/>
  <c r="P96" s="1"/>
  <c r="R96" s="1"/>
  <c r="Q95"/>
  <c r="M95"/>
  <c r="P95" s="1"/>
  <c r="R95" s="1"/>
  <c r="K95"/>
  <c r="L95" s="1"/>
  <c r="G95"/>
  <c r="F95"/>
  <c r="Q94"/>
  <c r="G94"/>
  <c r="M94" s="1"/>
  <c r="P94" s="1"/>
  <c r="Q93"/>
  <c r="M93"/>
  <c r="P93" s="1"/>
  <c r="K93"/>
  <c r="L93" s="1"/>
  <c r="G93"/>
  <c r="F93"/>
  <c r="Q92"/>
  <c r="G92"/>
  <c r="M92" s="1"/>
  <c r="P92" s="1"/>
  <c r="R92" s="1"/>
  <c r="Q91"/>
  <c r="M91"/>
  <c r="P91" s="1"/>
  <c r="R91" s="1"/>
  <c r="K91"/>
  <c r="L91" s="1"/>
  <c r="G91"/>
  <c r="F91"/>
  <c r="Q90"/>
  <c r="G90"/>
  <c r="Q89"/>
  <c r="M89"/>
  <c r="P89" s="1"/>
  <c r="K89"/>
  <c r="L89" s="1"/>
  <c r="G89"/>
  <c r="F89"/>
  <c r="Q88"/>
  <c r="G88"/>
  <c r="Q87"/>
  <c r="M87"/>
  <c r="P87" s="1"/>
  <c r="K87"/>
  <c r="L87" s="1"/>
  <c r="G87"/>
  <c r="F87"/>
  <c r="Q86"/>
  <c r="G86"/>
  <c r="Q85"/>
  <c r="M85"/>
  <c r="P85" s="1"/>
  <c r="K85"/>
  <c r="L85" s="1"/>
  <c r="G85"/>
  <c r="F85"/>
  <c r="Q84"/>
  <c r="G84"/>
  <c r="Q83"/>
  <c r="M83"/>
  <c r="P83" s="1"/>
  <c r="K83"/>
  <c r="L83" s="1"/>
  <c r="G83"/>
  <c r="F83"/>
  <c r="Q82"/>
  <c r="G82"/>
  <c r="Q81"/>
  <c r="M81"/>
  <c r="P81" s="1"/>
  <c r="K81"/>
  <c r="L81" s="1"/>
  <c r="G81"/>
  <c r="F81"/>
  <c r="Q80"/>
  <c r="G80"/>
  <c r="M80" s="1"/>
  <c r="P80" s="1"/>
  <c r="R80" s="1"/>
  <c r="Q79"/>
  <c r="M79"/>
  <c r="P79" s="1"/>
  <c r="R79" s="1"/>
  <c r="K79"/>
  <c r="L79" s="1"/>
  <c r="G79"/>
  <c r="F79"/>
  <c r="Q78"/>
  <c r="G78"/>
  <c r="M78" s="1"/>
  <c r="P78" s="1"/>
  <c r="Q77"/>
  <c r="M77"/>
  <c r="P77" s="1"/>
  <c r="K77"/>
  <c r="L77" s="1"/>
  <c r="G77"/>
  <c r="F77"/>
  <c r="Q76"/>
  <c r="G76"/>
  <c r="M76" s="1"/>
  <c r="P76" s="1"/>
  <c r="R76" s="1"/>
  <c r="Q75"/>
  <c r="M75"/>
  <c r="P75" s="1"/>
  <c r="R75" s="1"/>
  <c r="K75"/>
  <c r="L75" s="1"/>
  <c r="G75"/>
  <c r="F75"/>
  <c r="Q74"/>
  <c r="G74"/>
  <c r="M74" s="1"/>
  <c r="P74" s="1"/>
  <c r="Q73"/>
  <c r="M73"/>
  <c r="P73" s="1"/>
  <c r="K73"/>
  <c r="L73" s="1"/>
  <c r="G73"/>
  <c r="F73"/>
  <c r="Q72"/>
  <c r="G72"/>
  <c r="M72" s="1"/>
  <c r="P72" s="1"/>
  <c r="Q71"/>
  <c r="M71"/>
  <c r="P71" s="1"/>
  <c r="R71" s="1"/>
  <c r="K71"/>
  <c r="L71" s="1"/>
  <c r="G71"/>
  <c r="F71"/>
  <c r="Q70"/>
  <c r="G70"/>
  <c r="M70" s="1"/>
  <c r="P70" s="1"/>
  <c r="R70" s="1"/>
  <c r="Q69"/>
  <c r="M69"/>
  <c r="P69" s="1"/>
  <c r="K69"/>
  <c r="L69" s="1"/>
  <c r="G69"/>
  <c r="F69"/>
  <c r="Q68"/>
  <c r="G68"/>
  <c r="M68" s="1"/>
  <c r="P68" s="1"/>
  <c r="R68" s="1"/>
  <c r="Q67"/>
  <c r="M67"/>
  <c r="P67" s="1"/>
  <c r="K67"/>
  <c r="L67" s="1"/>
  <c r="G67"/>
  <c r="F67"/>
  <c r="Q66"/>
  <c r="G66"/>
  <c r="M66" s="1"/>
  <c r="P66" s="1"/>
  <c r="Q65"/>
  <c r="M65"/>
  <c r="P65" s="1"/>
  <c r="R65" s="1"/>
  <c r="K65"/>
  <c r="L65" s="1"/>
  <c r="G65"/>
  <c r="F65"/>
  <c r="Q64"/>
  <c r="G64"/>
  <c r="M64" s="1"/>
  <c r="P64" s="1"/>
  <c r="Q63"/>
  <c r="M63"/>
  <c r="P63" s="1"/>
  <c r="R63" s="1"/>
  <c r="K63"/>
  <c r="L63" s="1"/>
  <c r="G63"/>
  <c r="F63"/>
  <c r="Q62"/>
  <c r="G62"/>
  <c r="M62" s="1"/>
  <c r="P62" s="1"/>
  <c r="R62" s="1"/>
  <c r="Q61"/>
  <c r="M61"/>
  <c r="P61" s="1"/>
  <c r="K61"/>
  <c r="L61" s="1"/>
  <c r="G61"/>
  <c r="F61"/>
  <c r="Q60"/>
  <c r="G60"/>
  <c r="M60" s="1"/>
  <c r="P60" s="1"/>
  <c r="R60" s="1"/>
  <c r="Q59"/>
  <c r="M59"/>
  <c r="P59" s="1"/>
  <c r="K59"/>
  <c r="L59" s="1"/>
  <c r="G59"/>
  <c r="F59"/>
  <c r="Q58"/>
  <c r="G58"/>
  <c r="M58" s="1"/>
  <c r="P58" s="1"/>
  <c r="Q57"/>
  <c r="M57"/>
  <c r="P57" s="1"/>
  <c r="R57" s="1"/>
  <c r="K57"/>
  <c r="L57" s="1"/>
  <c r="G57"/>
  <c r="F57"/>
  <c r="Q56"/>
  <c r="G56"/>
  <c r="M56" s="1"/>
  <c r="P56" s="1"/>
  <c r="Q55"/>
  <c r="M55"/>
  <c r="P55" s="1"/>
  <c r="R55" s="1"/>
  <c r="K55"/>
  <c r="L55" s="1"/>
  <c r="G55"/>
  <c r="F55"/>
  <c r="Q54"/>
  <c r="G54"/>
  <c r="M54" s="1"/>
  <c r="P54" s="1"/>
  <c r="R54" s="1"/>
  <c r="Q53"/>
  <c r="M53"/>
  <c r="P53" s="1"/>
  <c r="K53"/>
  <c r="L53" s="1"/>
  <c r="G53"/>
  <c r="F53"/>
  <c r="Q52"/>
  <c r="G52"/>
  <c r="M52" s="1"/>
  <c r="P52" s="1"/>
  <c r="R52" s="1"/>
  <c r="Q51"/>
  <c r="M51"/>
  <c r="P51" s="1"/>
  <c r="K51"/>
  <c r="L51" s="1"/>
  <c r="G51"/>
  <c r="F51"/>
  <c r="Q50"/>
  <c r="G50"/>
  <c r="M50" s="1"/>
  <c r="P50" s="1"/>
  <c r="Q49"/>
  <c r="M49"/>
  <c r="P49" s="1"/>
  <c r="R49" s="1"/>
  <c r="K49"/>
  <c r="L49" s="1"/>
  <c r="G49"/>
  <c r="F49"/>
  <c r="Q48"/>
  <c r="G48"/>
  <c r="M48" s="1"/>
  <c r="P48" s="1"/>
  <c r="Q47"/>
  <c r="M47"/>
  <c r="P47" s="1"/>
  <c r="R47" s="1"/>
  <c r="K47"/>
  <c r="L47" s="1"/>
  <c r="G47"/>
  <c r="F47"/>
  <c r="Q46"/>
  <c r="G46"/>
  <c r="M46" s="1"/>
  <c r="P46" s="1"/>
  <c r="R46" s="1"/>
  <c r="Q45"/>
  <c r="M45"/>
  <c r="P45" s="1"/>
  <c r="K45"/>
  <c r="L45" s="1"/>
  <c r="G45"/>
  <c r="F45"/>
  <c r="Q44"/>
  <c r="G44"/>
  <c r="M44" s="1"/>
  <c r="P44" s="1"/>
  <c r="R44" s="1"/>
  <c r="Q43"/>
  <c r="M43"/>
  <c r="P43" s="1"/>
  <c r="K43"/>
  <c r="L43" s="1"/>
  <c r="G43"/>
  <c r="F43"/>
  <c r="Q42"/>
  <c r="G42"/>
  <c r="M42" s="1"/>
  <c r="P42" s="1"/>
  <c r="Q41"/>
  <c r="M41"/>
  <c r="P41" s="1"/>
  <c r="R41" s="1"/>
  <c r="K41"/>
  <c r="L41" s="1"/>
  <c r="G41"/>
  <c r="F41"/>
  <c r="Q40"/>
  <c r="G40"/>
  <c r="M40" s="1"/>
  <c r="P40" s="1"/>
  <c r="Q39"/>
  <c r="M39"/>
  <c r="P39" s="1"/>
  <c r="R39" s="1"/>
  <c r="K39"/>
  <c r="L39" s="1"/>
  <c r="G39"/>
  <c r="F39"/>
  <c r="Q38"/>
  <c r="G38"/>
  <c r="M38" s="1"/>
  <c r="P38" s="1"/>
  <c r="R38" s="1"/>
  <c r="Q37"/>
  <c r="M37"/>
  <c r="P37" s="1"/>
  <c r="K37"/>
  <c r="L37" s="1"/>
  <c r="G37"/>
  <c r="F37"/>
  <c r="Q36"/>
  <c r="G36"/>
  <c r="M36" s="1"/>
  <c r="P36" s="1"/>
  <c r="R36" s="1"/>
  <c r="Q35"/>
  <c r="M35"/>
  <c r="P35" s="1"/>
  <c r="K35"/>
  <c r="L35" s="1"/>
  <c r="G35"/>
  <c r="F35"/>
  <c r="Q34"/>
  <c r="G34"/>
  <c r="M34" s="1"/>
  <c r="P34" s="1"/>
  <c r="Q33"/>
  <c r="M33"/>
  <c r="P33" s="1"/>
  <c r="R33" s="1"/>
  <c r="K33"/>
  <c r="L33" s="1"/>
  <c r="G33"/>
  <c r="F33"/>
  <c r="Q32"/>
  <c r="G32"/>
  <c r="M32" s="1"/>
  <c r="P32" s="1"/>
  <c r="Q31"/>
  <c r="M31"/>
  <c r="P31" s="1"/>
  <c r="R31" s="1"/>
  <c r="K31"/>
  <c r="L31" s="1"/>
  <c r="G31"/>
  <c r="F31"/>
  <c r="Q30"/>
  <c r="G30"/>
  <c r="M30" s="1"/>
  <c r="P30" s="1"/>
  <c r="R30" s="1"/>
  <c r="Q29"/>
  <c r="M29"/>
  <c r="P29" s="1"/>
  <c r="K29"/>
  <c r="L29" s="1"/>
  <c r="G29"/>
  <c r="F29"/>
  <c r="Q28"/>
  <c r="G28"/>
  <c r="M28" s="1"/>
  <c r="P28" s="1"/>
  <c r="R28" s="1"/>
  <c r="Q27"/>
  <c r="M27"/>
  <c r="P27" s="1"/>
  <c r="K27"/>
  <c r="L27" s="1"/>
  <c r="G27"/>
  <c r="F27"/>
  <c r="Q26"/>
  <c r="G26"/>
  <c r="M26" s="1"/>
  <c r="P26" s="1"/>
  <c r="Q25"/>
  <c r="M25"/>
  <c r="P25" s="1"/>
  <c r="R25" s="1"/>
  <c r="K25"/>
  <c r="L25" s="1"/>
  <c r="G25"/>
  <c r="F25"/>
  <c r="Q24"/>
  <c r="G24"/>
  <c r="M24" s="1"/>
  <c r="P24" s="1"/>
  <c r="Q23"/>
  <c r="M23"/>
  <c r="P23" s="1"/>
  <c r="R23" s="1"/>
  <c r="K23"/>
  <c r="L23" s="1"/>
  <c r="G23"/>
  <c r="F23"/>
  <c r="Q22"/>
  <c r="G22"/>
  <c r="M22" s="1"/>
  <c r="P22" s="1"/>
  <c r="R22" s="1"/>
  <c r="Q21"/>
  <c r="M21"/>
  <c r="P21" s="1"/>
  <c r="K21"/>
  <c r="L21" s="1"/>
  <c r="G21"/>
  <c r="F21"/>
  <c r="Q20"/>
  <c r="G20"/>
  <c r="M20" s="1"/>
  <c r="P20" s="1"/>
  <c r="R20" s="1"/>
  <c r="Q19"/>
  <c r="M19"/>
  <c r="P19" s="1"/>
  <c r="K19"/>
  <c r="L19" s="1"/>
  <c r="G19"/>
  <c r="F19"/>
  <c r="Q18"/>
  <c r="G18"/>
  <c r="M18" s="1"/>
  <c r="P18" s="1"/>
  <c r="Q17"/>
  <c r="M17"/>
  <c r="P17" s="1"/>
  <c r="R17" s="1"/>
  <c r="K17"/>
  <c r="L17" s="1"/>
  <c r="G17"/>
  <c r="F17"/>
  <c r="Q16"/>
  <c r="G16"/>
  <c r="M16" s="1"/>
  <c r="P16" s="1"/>
  <c r="Q15"/>
  <c r="M15"/>
  <c r="P15" s="1"/>
  <c r="R15" s="1"/>
  <c r="K15"/>
  <c r="L15" s="1"/>
  <c r="G15"/>
  <c r="F15"/>
  <c r="Q14"/>
  <c r="G14"/>
  <c r="M14" s="1"/>
  <c r="P14" s="1"/>
  <c r="R14" s="1"/>
  <c r="Q13"/>
  <c r="M13"/>
  <c r="P13" s="1"/>
  <c r="K13"/>
  <c r="L13" s="1"/>
  <c r="G13"/>
  <c r="F13"/>
  <c r="Q12"/>
  <c r="G12"/>
  <c r="M12" s="1"/>
  <c r="P12" s="1"/>
  <c r="R12" s="1"/>
  <c r="Q11"/>
  <c r="M11"/>
  <c r="P11" s="1"/>
  <c r="K11"/>
  <c r="L11" s="1"/>
  <c r="G11"/>
  <c r="F11"/>
  <c r="Q10"/>
  <c r="G10"/>
  <c r="M10" s="1"/>
  <c r="P10" s="1"/>
  <c r="Q9"/>
  <c r="M9"/>
  <c r="P9" s="1"/>
  <c r="R9" s="1"/>
  <c r="K9"/>
  <c r="L9" s="1"/>
  <c r="G9"/>
  <c r="F9"/>
  <c r="Q8"/>
  <c r="G8"/>
  <c r="M8" s="1"/>
  <c r="P8" s="1"/>
  <c r="Q7"/>
  <c r="M7"/>
  <c r="P7" s="1"/>
  <c r="R7" s="1"/>
  <c r="K7"/>
  <c r="L7" s="1"/>
  <c r="G7"/>
  <c r="F7"/>
  <c r="Q6"/>
  <c r="G6"/>
  <c r="M6" s="1"/>
  <c r="P6" s="1"/>
  <c r="R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Q5"/>
  <c r="M5"/>
  <c r="P5" s="1"/>
  <c r="K5"/>
  <c r="L5" s="1"/>
  <c r="G5"/>
  <c r="F5"/>
  <c r="R16" l="1"/>
  <c r="R19"/>
  <c r="R24"/>
  <c r="R27"/>
  <c r="R32"/>
  <c r="R35"/>
  <c r="R40"/>
  <c r="R43"/>
  <c r="R48"/>
  <c r="R51"/>
  <c r="R56"/>
  <c r="R59"/>
  <c r="R64"/>
  <c r="R67"/>
  <c r="R72"/>
  <c r="R95" i="3"/>
  <c r="R98"/>
  <c r="R103"/>
  <c r="R106"/>
  <c r="R111"/>
  <c r="R114"/>
  <c r="R119"/>
  <c r="R122"/>
  <c r="R127"/>
  <c r="R130"/>
  <c r="R159"/>
  <c r="R170"/>
  <c r="R183"/>
  <c r="R186"/>
  <c r="R191"/>
  <c r="R194"/>
  <c r="R199"/>
  <c r="R202"/>
  <c r="R207"/>
  <c r="R210"/>
  <c r="R215"/>
  <c r="R218"/>
  <c r="R223"/>
  <c r="R226"/>
  <c r="R231"/>
  <c r="R234"/>
  <c r="R239"/>
  <c r="R242"/>
  <c r="R247"/>
  <c r="R250"/>
  <c r="R255"/>
  <c r="R262"/>
  <c r="R265"/>
  <c r="R273"/>
  <c r="R317"/>
  <c r="Q175" i="2"/>
  <c r="R10"/>
  <c r="R13"/>
  <c r="R18"/>
  <c r="R21"/>
  <c r="R26"/>
  <c r="R29"/>
  <c r="R34"/>
  <c r="R37"/>
  <c r="R42"/>
  <c r="R45"/>
  <c r="R50"/>
  <c r="R53"/>
  <c r="R58"/>
  <c r="R61"/>
  <c r="R66"/>
  <c r="R69"/>
  <c r="R74"/>
  <c r="R77"/>
  <c r="R85"/>
  <c r="R93"/>
  <c r="R98"/>
  <c r="R101"/>
  <c r="R106"/>
  <c r="R109"/>
  <c r="R114"/>
  <c r="R117"/>
  <c r="R122"/>
  <c r="R141"/>
  <c r="R146"/>
  <c r="R154"/>
  <c r="R157"/>
  <c r="R162"/>
  <c r="R165"/>
  <c r="R171"/>
  <c r="R12" i="3"/>
  <c r="R17"/>
  <c r="R20"/>
  <c r="R25"/>
  <c r="R28"/>
  <c r="R41"/>
  <c r="R44"/>
  <c r="R49"/>
  <c r="R52"/>
  <c r="R57"/>
  <c r="R60"/>
  <c r="R65"/>
  <c r="R68"/>
  <c r="R76"/>
  <c r="R81"/>
  <c r="R84"/>
  <c r="R89"/>
  <c r="R108"/>
  <c r="R137"/>
  <c r="R172"/>
  <c r="R177"/>
  <c r="R185"/>
  <c r="R193"/>
  <c r="R236"/>
  <c r="R241"/>
  <c r="R244"/>
  <c r="R275"/>
  <c r="R280"/>
  <c r="R283"/>
  <c r="R290"/>
  <c r="R293"/>
  <c r="R301"/>
  <c r="R306"/>
  <c r="R311"/>
  <c r="R314"/>
  <c r="R319"/>
  <c r="R8" i="2"/>
  <c r="R11"/>
  <c r="R177"/>
  <c r="R178"/>
  <c r="R35" i="3"/>
  <c r="R46"/>
  <c r="R91"/>
  <c r="R94"/>
  <c r="R99"/>
  <c r="R102"/>
  <c r="R107"/>
  <c r="R110"/>
  <c r="R115"/>
  <c r="R118"/>
  <c r="R123"/>
  <c r="R126"/>
  <c r="R131"/>
  <c r="R134"/>
  <c r="R139"/>
  <c r="R142"/>
  <c r="R147"/>
  <c r="R150"/>
  <c r="R155"/>
  <c r="R158"/>
  <c r="R163"/>
  <c r="R166"/>
  <c r="R169"/>
  <c r="R182"/>
  <c r="R187"/>
  <c r="R190"/>
  <c r="R195"/>
  <c r="R211"/>
  <c r="R214"/>
  <c r="R219"/>
  <c r="R222"/>
  <c r="R227"/>
  <c r="R230"/>
  <c r="R235"/>
  <c r="R251"/>
  <c r="R254"/>
  <c r="R266"/>
  <c r="R269"/>
  <c r="R271"/>
  <c r="R274"/>
  <c r="R277"/>
  <c r="R305"/>
  <c r="R308"/>
  <c r="R313"/>
  <c r="R316"/>
  <c r="R324"/>
  <c r="R327"/>
  <c r="R335"/>
  <c r="R340"/>
  <c r="R343"/>
  <c r="R348"/>
  <c r="R355"/>
  <c r="R73" i="2"/>
  <c r="R78"/>
  <c r="R81"/>
  <c r="R89"/>
  <c r="R94"/>
  <c r="R97"/>
  <c r="R102"/>
  <c r="R105"/>
  <c r="R110"/>
  <c r="R113"/>
  <c r="R118"/>
  <c r="R121"/>
  <c r="R142"/>
  <c r="R145"/>
  <c r="R148"/>
  <c r="R153"/>
  <c r="R158"/>
  <c r="R161"/>
  <c r="R167"/>
  <c r="R172"/>
  <c r="R7" i="3"/>
  <c r="R13"/>
  <c r="R21"/>
  <c r="R24"/>
  <c r="R29"/>
  <c r="R32"/>
  <c r="R37"/>
  <c r="R40"/>
  <c r="R45"/>
  <c r="R48"/>
  <c r="R53"/>
  <c r="R56"/>
  <c r="R61"/>
  <c r="R64"/>
  <c r="R72"/>
  <c r="R77"/>
  <c r="R80"/>
  <c r="R85"/>
  <c r="R88"/>
  <c r="R109"/>
  <c r="R149"/>
  <c r="R168"/>
  <c r="R173"/>
  <c r="R176"/>
  <c r="R197"/>
  <c r="R200"/>
  <c r="R205"/>
  <c r="R221"/>
  <c r="R245"/>
  <c r="R263"/>
  <c r="R268"/>
  <c r="R284"/>
  <c r="R289"/>
  <c r="R294"/>
  <c r="R297"/>
  <c r="R299"/>
  <c r="R321"/>
  <c r="R350"/>
  <c r="N7" i="4"/>
  <c r="Q7" s="1"/>
  <c r="M7"/>
  <c r="G7"/>
  <c r="N12"/>
  <c r="N5"/>
  <c r="I6"/>
  <c r="H6" s="1"/>
  <c r="G8"/>
  <c r="Q8"/>
  <c r="I9"/>
  <c r="L9" s="1"/>
  <c r="I12"/>
  <c r="H12" s="1"/>
  <c r="L12" s="1"/>
  <c r="Q12"/>
  <c r="I5"/>
  <c r="Q5"/>
  <c r="F6" i="3"/>
  <c r="Q352"/>
  <c r="K7"/>
  <c r="K9"/>
  <c r="L10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M69"/>
  <c r="P69" s="1"/>
  <c r="R69" s="1"/>
  <c r="K69"/>
  <c r="R70"/>
  <c r="M73"/>
  <c r="P73" s="1"/>
  <c r="R73" s="1"/>
  <c r="K73"/>
  <c r="G5"/>
  <c r="M71"/>
  <c r="P71" s="1"/>
  <c r="R71" s="1"/>
  <c r="K71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K141"/>
  <c r="K143"/>
  <c r="K145"/>
  <c r="K147"/>
  <c r="K149"/>
  <c r="K151"/>
  <c r="K153"/>
  <c r="K155"/>
  <c r="K157"/>
  <c r="K159"/>
  <c r="K161"/>
  <c r="K163"/>
  <c r="R165"/>
  <c r="M171"/>
  <c r="P171" s="1"/>
  <c r="R171" s="1"/>
  <c r="K171"/>
  <c r="K166"/>
  <c r="K168"/>
  <c r="K170"/>
  <c r="K173"/>
  <c r="K175"/>
  <c r="K177"/>
  <c r="K179"/>
  <c r="K181"/>
  <c r="K183"/>
  <c r="K185"/>
  <c r="K187"/>
  <c r="K189"/>
  <c r="K191"/>
  <c r="K193"/>
  <c r="K195"/>
  <c r="K197"/>
  <c r="K199"/>
  <c r="K201"/>
  <c r="K203"/>
  <c r="K205"/>
  <c r="K207"/>
  <c r="K209"/>
  <c r="K211"/>
  <c r="K213"/>
  <c r="K215"/>
  <c r="K217"/>
  <c r="K219"/>
  <c r="K221"/>
  <c r="K223"/>
  <c r="K225"/>
  <c r="K227"/>
  <c r="K229"/>
  <c r="K231"/>
  <c r="K233"/>
  <c r="K235"/>
  <c r="K237"/>
  <c r="K239"/>
  <c r="K241"/>
  <c r="K243"/>
  <c r="K245"/>
  <c r="K247"/>
  <c r="M249"/>
  <c r="P249" s="1"/>
  <c r="R249" s="1"/>
  <c r="K249"/>
  <c r="M270"/>
  <c r="P270" s="1"/>
  <c r="R270" s="1"/>
  <c r="K270"/>
  <c r="M298"/>
  <c r="P298" s="1"/>
  <c r="R298" s="1"/>
  <c r="K298"/>
  <c r="K251"/>
  <c r="K253"/>
  <c r="K255"/>
  <c r="K257"/>
  <c r="K259"/>
  <c r="K274"/>
  <c r="K276"/>
  <c r="K278"/>
  <c r="K280"/>
  <c r="K282"/>
  <c r="K284"/>
  <c r="K286"/>
  <c r="K288"/>
  <c r="K290"/>
  <c r="K292"/>
  <c r="K294"/>
  <c r="K296"/>
  <c r="K299"/>
  <c r="K301"/>
  <c r="M303"/>
  <c r="P303" s="1"/>
  <c r="R303" s="1"/>
  <c r="K303"/>
  <c r="K258"/>
  <c r="K260"/>
  <c r="K262"/>
  <c r="K264"/>
  <c r="K266"/>
  <c r="K268"/>
  <c r="K271"/>
  <c r="K287"/>
  <c r="K302"/>
  <c r="K305"/>
  <c r="K307"/>
  <c r="K309"/>
  <c r="K311"/>
  <c r="K313"/>
  <c r="K315"/>
  <c r="K317"/>
  <c r="K319"/>
  <c r="M330"/>
  <c r="P330" s="1"/>
  <c r="R330" s="1"/>
  <c r="K330"/>
  <c r="K322"/>
  <c r="K324"/>
  <c r="K326"/>
  <c r="K328"/>
  <c r="M332"/>
  <c r="P332" s="1"/>
  <c r="R332" s="1"/>
  <c r="K332"/>
  <c r="K334"/>
  <c r="K336"/>
  <c r="K338"/>
  <c r="K340"/>
  <c r="K342"/>
  <c r="K344"/>
  <c r="K346"/>
  <c r="K348"/>
  <c r="K350"/>
  <c r="R5" i="2"/>
  <c r="G175"/>
  <c r="K6"/>
  <c r="K175" s="1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M82"/>
  <c r="P82" s="1"/>
  <c r="R82" s="1"/>
  <c r="K82"/>
  <c r="R83"/>
  <c r="M86"/>
  <c r="P86" s="1"/>
  <c r="R86" s="1"/>
  <c r="K86"/>
  <c r="R87"/>
  <c r="M90"/>
  <c r="P90" s="1"/>
  <c r="R90" s="1"/>
  <c r="K90"/>
  <c r="M84"/>
  <c r="P84" s="1"/>
  <c r="R84" s="1"/>
  <c r="K84"/>
  <c r="M88"/>
  <c r="P88" s="1"/>
  <c r="R88" s="1"/>
  <c r="K88"/>
  <c r="K92"/>
  <c r="K94"/>
  <c r="K96"/>
  <c r="K98"/>
  <c r="K100"/>
  <c r="K102"/>
  <c r="K104"/>
  <c r="K106"/>
  <c r="K108"/>
  <c r="K110"/>
  <c r="K112"/>
  <c r="K114"/>
  <c r="K116"/>
  <c r="K118"/>
  <c r="K120"/>
  <c r="K122"/>
  <c r="M124"/>
  <c r="P124" s="1"/>
  <c r="R124" s="1"/>
  <c r="K124"/>
  <c r="R125"/>
  <c r="M128"/>
  <c r="P128" s="1"/>
  <c r="R128" s="1"/>
  <c r="K128"/>
  <c r="R129"/>
  <c r="M132"/>
  <c r="P132" s="1"/>
  <c r="R132" s="1"/>
  <c r="K132"/>
  <c r="R133"/>
  <c r="M136"/>
  <c r="P136" s="1"/>
  <c r="R136" s="1"/>
  <c r="K136"/>
  <c r="R137"/>
  <c r="M140"/>
  <c r="P140" s="1"/>
  <c r="R140" s="1"/>
  <c r="K140"/>
  <c r="M126"/>
  <c r="P126" s="1"/>
  <c r="R126" s="1"/>
  <c r="K126"/>
  <c r="M130"/>
  <c r="P130" s="1"/>
  <c r="R130" s="1"/>
  <c r="K130"/>
  <c r="M134"/>
  <c r="P134" s="1"/>
  <c r="R134" s="1"/>
  <c r="K134"/>
  <c r="M138"/>
  <c r="P138" s="1"/>
  <c r="R138" s="1"/>
  <c r="K138"/>
  <c r="K142"/>
  <c r="K144"/>
  <c r="K146"/>
  <c r="M149"/>
  <c r="P149" s="1"/>
  <c r="R149" s="1"/>
  <c r="K149"/>
  <c r="K151"/>
  <c r="K169"/>
  <c r="K152"/>
  <c r="K154"/>
  <c r="K156"/>
  <c r="K158"/>
  <c r="K160"/>
  <c r="K162"/>
  <c r="K164"/>
  <c r="K170"/>
  <c r="K172"/>
  <c r="L578" i="1"/>
  <c r="A583"/>
  <c r="A584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F587"/>
  <c r="G587"/>
  <c r="H587"/>
  <c r="F605"/>
  <c r="G605"/>
  <c r="H605"/>
  <c r="F607"/>
  <c r="F608"/>
  <c r="F676"/>
  <c r="F677"/>
  <c r="F682"/>
  <c r="F697"/>
  <c r="G697"/>
  <c r="H697"/>
  <c r="F707"/>
  <c r="F708"/>
  <c r="G715"/>
  <c r="H715"/>
  <c r="F724"/>
  <c r="F725"/>
  <c r="G746"/>
  <c r="H746"/>
  <c r="F786"/>
  <c r="F787"/>
  <c r="G793"/>
  <c r="F827"/>
  <c r="G827"/>
  <c r="H827"/>
  <c r="G899"/>
  <c r="H899"/>
  <c r="J576"/>
  <c r="F574"/>
  <c r="N573"/>
  <c r="L573"/>
  <c r="M573" s="1"/>
  <c r="L572"/>
  <c r="F572"/>
  <c r="N572" s="1"/>
  <c r="F571"/>
  <c r="L570"/>
  <c r="M570" s="1"/>
  <c r="F570"/>
  <c r="N570" s="1"/>
  <c r="F569"/>
  <c r="I569" s="1"/>
  <c r="H569" s="1"/>
  <c r="L569" s="1"/>
  <c r="F568"/>
  <c r="F567"/>
  <c r="N566"/>
  <c r="L566"/>
  <c r="M566" s="1"/>
  <c r="I565"/>
  <c r="L565" s="1"/>
  <c r="F565"/>
  <c r="N565" s="1"/>
  <c r="N564"/>
  <c r="I564"/>
  <c r="L564" s="1"/>
  <c r="G564" s="1"/>
  <c r="N563"/>
  <c r="F563"/>
  <c r="I563" s="1"/>
  <c r="L563" s="1"/>
  <c r="F562"/>
  <c r="I562" s="1"/>
  <c r="H562" s="1"/>
  <c r="L562" s="1"/>
  <c r="F561"/>
  <c r="I561" s="1"/>
  <c r="H561" s="1"/>
  <c r="L561" s="1"/>
  <c r="F560"/>
  <c r="F559"/>
  <c r="I559" s="1"/>
  <c r="H559" s="1"/>
  <c r="N559" s="1"/>
  <c r="F558"/>
  <c r="F557"/>
  <c r="N556"/>
  <c r="I556"/>
  <c r="L556" s="1"/>
  <c r="F555"/>
  <c r="N555" s="1"/>
  <c r="F554"/>
  <c r="N554" s="1"/>
  <c r="F553"/>
  <c r="N553" s="1"/>
  <c r="F552"/>
  <c r="N552" s="1"/>
  <c r="F551"/>
  <c r="N551" s="1"/>
  <c r="L550"/>
  <c r="M550" s="1"/>
  <c r="F550"/>
  <c r="N550" s="1"/>
  <c r="L549"/>
  <c r="F549"/>
  <c r="N549" s="1"/>
  <c r="F548"/>
  <c r="L547"/>
  <c r="F547"/>
  <c r="N547" s="1"/>
  <c r="L546"/>
  <c r="K546"/>
  <c r="G546"/>
  <c r="F546"/>
  <c r="N546" s="1"/>
  <c r="L545"/>
  <c r="M545" s="1"/>
  <c r="F545"/>
  <c r="N545" s="1"/>
  <c r="F544"/>
  <c r="I544" s="1"/>
  <c r="L544" s="1"/>
  <c r="L543"/>
  <c r="F543"/>
  <c r="N543" s="1"/>
  <c r="N542"/>
  <c r="K542"/>
  <c r="I542"/>
  <c r="L542" s="1"/>
  <c r="G542" s="1"/>
  <c r="K541"/>
  <c r="F541"/>
  <c r="N541" s="1"/>
  <c r="N540"/>
  <c r="F540"/>
  <c r="I540" s="1"/>
  <c r="L540" s="1"/>
  <c r="N539"/>
  <c r="L539"/>
  <c r="L538"/>
  <c r="F538"/>
  <c r="N538" s="1"/>
  <c r="M537"/>
  <c r="L537"/>
  <c r="G537"/>
  <c r="F537"/>
  <c r="N537" s="1"/>
  <c r="N536"/>
  <c r="F536"/>
  <c r="I536" s="1"/>
  <c r="L536" s="1"/>
  <c r="N535"/>
  <c r="F535"/>
  <c r="I535" s="1"/>
  <c r="L535" s="1"/>
  <c r="N534"/>
  <c r="I534"/>
  <c r="L534" s="1"/>
  <c r="I533"/>
  <c r="L533" s="1"/>
  <c r="G533" s="1"/>
  <c r="F533"/>
  <c r="N533" s="1"/>
  <c r="N532"/>
  <c r="I532"/>
  <c r="L532" s="1"/>
  <c r="N531"/>
  <c r="I531"/>
  <c r="L531" s="1"/>
  <c r="F530"/>
  <c r="F529"/>
  <c r="L528"/>
  <c r="F528"/>
  <c r="N528" s="1"/>
  <c r="F527"/>
  <c r="F526"/>
  <c r="N525"/>
  <c r="I525"/>
  <c r="L525" s="1"/>
  <c r="G525" s="1"/>
  <c r="H524"/>
  <c r="F524"/>
  <c r="I524" s="1"/>
  <c r="N523"/>
  <c r="I523"/>
  <c r="L523" s="1"/>
  <c r="F522"/>
  <c r="L521"/>
  <c r="F521"/>
  <c r="N521" s="1"/>
  <c r="N520"/>
  <c r="L520"/>
  <c r="M520" s="1"/>
  <c r="L519"/>
  <c r="F519"/>
  <c r="N519" s="1"/>
  <c r="N518"/>
  <c r="I518"/>
  <c r="L518" s="1"/>
  <c r="F517"/>
  <c r="N517" s="1"/>
  <c r="F516"/>
  <c r="N516" s="1"/>
  <c r="L515"/>
  <c r="F515"/>
  <c r="N515" s="1"/>
  <c r="F514"/>
  <c r="F513"/>
  <c r="N512"/>
  <c r="I512"/>
  <c r="L512" s="1"/>
  <c r="F511"/>
  <c r="L510"/>
  <c r="F510"/>
  <c r="N510" s="1"/>
  <c r="F509"/>
  <c r="N508"/>
  <c r="L508"/>
  <c r="L507"/>
  <c r="F507"/>
  <c r="N507" s="1"/>
  <c r="K506"/>
  <c r="F506"/>
  <c r="N506" s="1"/>
  <c r="N505"/>
  <c r="L505"/>
  <c r="K505"/>
  <c r="G505"/>
  <c r="L504"/>
  <c r="K504"/>
  <c r="G504"/>
  <c r="F504"/>
  <c r="N504" s="1"/>
  <c r="F503"/>
  <c r="N503" s="1"/>
  <c r="F502"/>
  <c r="H502" s="1"/>
  <c r="F501"/>
  <c r="N501" s="1"/>
  <c r="H500"/>
  <c r="L499"/>
  <c r="F499"/>
  <c r="N499" s="1"/>
  <c r="F498"/>
  <c r="N498" s="1"/>
  <c r="F497"/>
  <c r="N497" s="1"/>
  <c r="L496"/>
  <c r="K496"/>
  <c r="G496"/>
  <c r="F496"/>
  <c r="N496" s="1"/>
  <c r="F495"/>
  <c r="N495" s="1"/>
  <c r="N494"/>
  <c r="I494"/>
  <c r="L494" s="1"/>
  <c r="G494" s="1"/>
  <c r="F493"/>
  <c r="I493" s="1"/>
  <c r="L493" s="1"/>
  <c r="F492"/>
  <c r="I492" s="1"/>
  <c r="L492" s="1"/>
  <c r="F491"/>
  <c r="I491" s="1"/>
  <c r="L491" s="1"/>
  <c r="N490"/>
  <c r="I490"/>
  <c r="L490" s="1"/>
  <c r="F489"/>
  <c r="N489" s="1"/>
  <c r="F488"/>
  <c r="N488" s="1"/>
  <c r="N487"/>
  <c r="L487"/>
  <c r="I486"/>
  <c r="L486" s="1"/>
  <c r="G486" s="1"/>
  <c r="F486"/>
  <c r="N486" s="1"/>
  <c r="N485"/>
  <c r="I485"/>
  <c r="L485" s="1"/>
  <c r="F484"/>
  <c r="F483"/>
  <c r="L482"/>
  <c r="F482"/>
  <c r="N482" s="1"/>
  <c r="L481"/>
  <c r="F481"/>
  <c r="N481" s="1"/>
  <c r="F480"/>
  <c r="L479"/>
  <c r="K479"/>
  <c r="G479"/>
  <c r="F479"/>
  <c r="N479" s="1"/>
  <c r="N478"/>
  <c r="L478"/>
  <c r="K478"/>
  <c r="G478"/>
  <c r="N477"/>
  <c r="L477"/>
  <c r="F476"/>
  <c r="N476" s="1"/>
  <c r="F475"/>
  <c r="N475" s="1"/>
  <c r="F474"/>
  <c r="N474" s="1"/>
  <c r="L473"/>
  <c r="M473" s="1"/>
  <c r="F473"/>
  <c r="N473" s="1"/>
  <c r="N472"/>
  <c r="L472"/>
  <c r="F471"/>
  <c r="I471" s="1"/>
  <c r="F470"/>
  <c r="I470" s="1"/>
  <c r="F469"/>
  <c r="N468"/>
  <c r="I468"/>
  <c r="L468" s="1"/>
  <c r="F467"/>
  <c r="F466"/>
  <c r="F465"/>
  <c r="N464"/>
  <c r="I464"/>
  <c r="L464" s="1"/>
  <c r="G464" s="1"/>
  <c r="F463"/>
  <c r="I463" s="1"/>
  <c r="L463" s="1"/>
  <c r="F462"/>
  <c r="I462" s="1"/>
  <c r="L462" s="1"/>
  <c r="F461"/>
  <c r="N461" s="1"/>
  <c r="F460"/>
  <c r="I460" s="1"/>
  <c r="L460" s="1"/>
  <c r="N459"/>
  <c r="L459"/>
  <c r="L458"/>
  <c r="M458" s="1"/>
  <c r="F458"/>
  <c r="N458" s="1"/>
  <c r="L457"/>
  <c r="M457" s="1"/>
  <c r="F457"/>
  <c r="N457" s="1"/>
  <c r="F456"/>
  <c r="I456" s="1"/>
  <c r="L456" s="1"/>
  <c r="F455"/>
  <c r="I455" s="1"/>
  <c r="L455" s="1"/>
  <c r="F454"/>
  <c r="I454" s="1"/>
  <c r="L454" s="1"/>
  <c r="N453"/>
  <c r="L453"/>
  <c r="M453" s="1"/>
  <c r="F452"/>
  <c r="I452" s="1"/>
  <c r="L452" s="1"/>
  <c r="F451"/>
  <c r="I451" s="1"/>
  <c r="H451" s="1"/>
  <c r="L451" s="1"/>
  <c r="F450"/>
  <c r="F449"/>
  <c r="F448"/>
  <c r="F447"/>
  <c r="I447" s="1"/>
  <c r="L447" s="1"/>
  <c r="F446"/>
  <c r="I446" s="1"/>
  <c r="L446" s="1"/>
  <c r="L445"/>
  <c r="M445" s="1"/>
  <c r="F445"/>
  <c r="N445" s="1"/>
  <c r="N444"/>
  <c r="L444"/>
  <c r="M444" s="1"/>
  <c r="L443"/>
  <c r="M443" s="1"/>
  <c r="F443"/>
  <c r="N443" s="1"/>
  <c r="F442"/>
  <c r="I442" s="1"/>
  <c r="L442" s="1"/>
  <c r="N441"/>
  <c r="L441"/>
  <c r="M441" s="1"/>
  <c r="L440"/>
  <c r="F440"/>
  <c r="N440" s="1"/>
  <c r="F439"/>
  <c r="N438"/>
  <c r="I438"/>
  <c r="L438" s="1"/>
  <c r="F437"/>
  <c r="N437" s="1"/>
  <c r="L436"/>
  <c r="M436" s="1"/>
  <c r="F436"/>
  <c r="N436" s="1"/>
  <c r="N435"/>
  <c r="L435"/>
  <c r="L434"/>
  <c r="F434"/>
  <c r="N434" s="1"/>
  <c r="N433"/>
  <c r="L433"/>
  <c r="K433"/>
  <c r="G433"/>
  <c r="L432"/>
  <c r="K432"/>
  <c r="G432"/>
  <c r="F432"/>
  <c r="N432" s="1"/>
  <c r="F431"/>
  <c r="F430"/>
  <c r="F429"/>
  <c r="F428"/>
  <c r="K427"/>
  <c r="F427"/>
  <c r="N427" s="1"/>
  <c r="N426"/>
  <c r="L426"/>
  <c r="K426"/>
  <c r="G426"/>
  <c r="L425"/>
  <c r="K425"/>
  <c r="G425"/>
  <c r="F425"/>
  <c r="N425" s="1"/>
  <c r="F424"/>
  <c r="I424" s="1"/>
  <c r="N423"/>
  <c r="I423"/>
  <c r="L423" s="1"/>
  <c r="F422"/>
  <c r="F421"/>
  <c r="N420"/>
  <c r="L420"/>
  <c r="K420"/>
  <c r="G420"/>
  <c r="L419"/>
  <c r="F419"/>
  <c r="N419" s="1"/>
  <c r="F418"/>
  <c r="L417"/>
  <c r="F417"/>
  <c r="N417" s="1"/>
  <c r="F416"/>
  <c r="N415"/>
  <c r="K415"/>
  <c r="I415"/>
  <c r="L415" s="1"/>
  <c r="I414"/>
  <c r="L414" s="1"/>
  <c r="G414" s="1"/>
  <c r="F414"/>
  <c r="N414" s="1"/>
  <c r="M413"/>
  <c r="L413"/>
  <c r="G413"/>
  <c r="F413"/>
  <c r="N413" s="1"/>
  <c r="F412"/>
  <c r="I412" s="1"/>
  <c r="H412" s="1"/>
  <c r="L412" s="1"/>
  <c r="F411"/>
  <c r="N411" s="1"/>
  <c r="M410"/>
  <c r="L410"/>
  <c r="G410"/>
  <c r="F410"/>
  <c r="N410" s="1"/>
  <c r="L409"/>
  <c r="F409"/>
  <c r="N409" s="1"/>
  <c r="M408"/>
  <c r="L408"/>
  <c r="G408"/>
  <c r="F408"/>
  <c r="N408" s="1"/>
  <c r="N407"/>
  <c r="I407"/>
  <c r="L407" s="1"/>
  <c r="F406"/>
  <c r="I406" s="1"/>
  <c r="L406" s="1"/>
  <c r="L405"/>
  <c r="F405"/>
  <c r="N405" s="1"/>
  <c r="N404"/>
  <c r="L404"/>
  <c r="M404" s="1"/>
  <c r="I404"/>
  <c r="G404"/>
  <c r="F403"/>
  <c r="I403" s="1"/>
  <c r="L403" s="1"/>
  <c r="F402"/>
  <c r="I402" s="1"/>
  <c r="L402" s="1"/>
  <c r="N401"/>
  <c r="M401"/>
  <c r="L401"/>
  <c r="G401"/>
  <c r="L400"/>
  <c r="F400"/>
  <c r="N400" s="1"/>
  <c r="F399"/>
  <c r="H399" s="1"/>
  <c r="N398"/>
  <c r="I398"/>
  <c r="L398" s="1"/>
  <c r="N397"/>
  <c r="F397"/>
  <c r="I397" s="1"/>
  <c r="L397" s="1"/>
  <c r="N396"/>
  <c r="I396"/>
  <c r="L396" s="1"/>
  <c r="F395"/>
  <c r="I395" s="1"/>
  <c r="L395" s="1"/>
  <c r="F394"/>
  <c r="I394" s="1"/>
  <c r="L394" s="1"/>
  <c r="N393"/>
  <c r="I393"/>
  <c r="L393" s="1"/>
  <c r="F392"/>
  <c r="I392" s="1"/>
  <c r="L392" s="1"/>
  <c r="L391"/>
  <c r="M391" s="1"/>
  <c r="F391"/>
  <c r="N391" s="1"/>
  <c r="F390"/>
  <c r="I390" s="1"/>
  <c r="L390" s="1"/>
  <c r="F389"/>
  <c r="I389" s="1"/>
  <c r="L389" s="1"/>
  <c r="N388"/>
  <c r="L388"/>
  <c r="M388" s="1"/>
  <c r="L387"/>
  <c r="M387" s="1"/>
  <c r="F387"/>
  <c r="N387" s="1"/>
  <c r="N386"/>
  <c r="L386"/>
  <c r="K386"/>
  <c r="G386"/>
  <c r="L385"/>
  <c r="K385"/>
  <c r="G385"/>
  <c r="F385"/>
  <c r="N385" s="1"/>
  <c r="L384"/>
  <c r="M384" s="1"/>
  <c r="F384"/>
  <c r="N384" s="1"/>
  <c r="L383"/>
  <c r="M383" s="1"/>
  <c r="F383"/>
  <c r="N383" s="1"/>
  <c r="N382"/>
  <c r="L382"/>
  <c r="M382" s="1"/>
  <c r="L381"/>
  <c r="M381" s="1"/>
  <c r="F381"/>
  <c r="N381" s="1"/>
  <c r="F380"/>
  <c r="I380" s="1"/>
  <c r="L380" s="1"/>
  <c r="F379"/>
  <c r="I379" s="1"/>
  <c r="L379" s="1"/>
  <c r="N378"/>
  <c r="I378"/>
  <c r="L378" s="1"/>
  <c r="H377"/>
  <c r="F377"/>
  <c r="F376"/>
  <c r="I376" s="1"/>
  <c r="L376" s="1"/>
  <c r="H375"/>
  <c r="F375"/>
  <c r="F374"/>
  <c r="I374" s="1"/>
  <c r="L374" s="1"/>
  <c r="L373"/>
  <c r="K373"/>
  <c r="G373"/>
  <c r="F373"/>
  <c r="N373" s="1"/>
  <c r="F372"/>
  <c r="I372" s="1"/>
  <c r="L372" s="1"/>
  <c r="F371"/>
  <c r="I371" s="1"/>
  <c r="L371" s="1"/>
  <c r="F370"/>
  <c r="I370" s="1"/>
  <c r="L370" s="1"/>
  <c r="L369"/>
  <c r="M369" s="1"/>
  <c r="G369"/>
  <c r="F369"/>
  <c r="N369" s="1"/>
  <c r="F368"/>
  <c r="I368" s="1"/>
  <c r="L368" s="1"/>
  <c r="N367"/>
  <c r="K367"/>
  <c r="I367"/>
  <c r="L367" s="1"/>
  <c r="G367" s="1"/>
  <c r="L366"/>
  <c r="M366" s="1"/>
  <c r="F366"/>
  <c r="N366" s="1"/>
  <c r="F365"/>
  <c r="I365" s="1"/>
  <c r="H365" s="1"/>
  <c r="L365" s="1"/>
  <c r="F364"/>
  <c r="I364" s="1"/>
  <c r="L364" s="1"/>
  <c r="F363"/>
  <c r="I363" s="1"/>
  <c r="L363" s="1"/>
  <c r="N362"/>
  <c r="L362"/>
  <c r="M362" s="1"/>
  <c r="I361"/>
  <c r="L361" s="1"/>
  <c r="F361"/>
  <c r="N361" s="1"/>
  <c r="N360"/>
  <c r="I360"/>
  <c r="L360" s="1"/>
  <c r="F359"/>
  <c r="I359" s="1"/>
  <c r="L359" s="1"/>
  <c r="N358"/>
  <c r="I358"/>
  <c r="L358" s="1"/>
  <c r="L357"/>
  <c r="M357" s="1"/>
  <c r="F357"/>
  <c r="N357" s="1"/>
  <c r="F356"/>
  <c r="I356" s="1"/>
  <c r="L356" s="1"/>
  <c r="L355"/>
  <c r="M355" s="1"/>
  <c r="F355"/>
  <c r="N355" s="1"/>
  <c r="F354"/>
  <c r="I354" s="1"/>
  <c r="L354" s="1"/>
  <c r="F353"/>
  <c r="I353" s="1"/>
  <c r="L353" s="1"/>
  <c r="L352"/>
  <c r="M352" s="1"/>
  <c r="F352"/>
  <c r="N352" s="1"/>
  <c r="F351"/>
  <c r="I351" s="1"/>
  <c r="L351" s="1"/>
  <c r="H350"/>
  <c r="N350" s="1"/>
  <c r="L349"/>
  <c r="M349" s="1"/>
  <c r="F349"/>
  <c r="N349" s="1"/>
  <c r="F348"/>
  <c r="I348" s="1"/>
  <c r="L348" s="1"/>
  <c r="L347"/>
  <c r="M347" s="1"/>
  <c r="F347"/>
  <c r="N347" s="1"/>
  <c r="L346"/>
  <c r="M346" s="1"/>
  <c r="F346"/>
  <c r="N346" s="1"/>
  <c r="N345"/>
  <c r="I345"/>
  <c r="L345" s="1"/>
  <c r="F344"/>
  <c r="I344" s="1"/>
  <c r="L344" s="1"/>
  <c r="L343"/>
  <c r="M343" s="1"/>
  <c r="F343"/>
  <c r="N343" s="1"/>
  <c r="L342"/>
  <c r="M342" s="1"/>
  <c r="F342"/>
  <c r="N342" s="1"/>
  <c r="F341"/>
  <c r="I341" s="1"/>
  <c r="L341" s="1"/>
  <c r="K340"/>
  <c r="F340"/>
  <c r="N340" s="1"/>
  <c r="L339"/>
  <c r="M339" s="1"/>
  <c r="F339"/>
  <c r="N339" s="1"/>
  <c r="N338"/>
  <c r="L338"/>
  <c r="M338" s="1"/>
  <c r="L337"/>
  <c r="M337" s="1"/>
  <c r="F337"/>
  <c r="N337" s="1"/>
  <c r="N336"/>
  <c r="M336"/>
  <c r="L336"/>
  <c r="G336"/>
  <c r="L335"/>
  <c r="M335" s="1"/>
  <c r="F335"/>
  <c r="N335" s="1"/>
  <c r="F334"/>
  <c r="I334" s="1"/>
  <c r="L334" s="1"/>
  <c r="F333"/>
  <c r="I333" s="1"/>
  <c r="L333" s="1"/>
  <c r="F332"/>
  <c r="I332" s="1"/>
  <c r="L332" s="1"/>
  <c r="F331"/>
  <c r="N330"/>
  <c r="I330"/>
  <c r="L330" s="1"/>
  <c r="F329"/>
  <c r="I329" s="1"/>
  <c r="L329" s="1"/>
  <c r="L328"/>
  <c r="K328"/>
  <c r="M328" s="1"/>
  <c r="G328"/>
  <c r="F328"/>
  <c r="N328" s="1"/>
  <c r="K327"/>
  <c r="H327"/>
  <c r="N327" s="1"/>
  <c r="F326"/>
  <c r="I326" s="1"/>
  <c r="L326" s="1"/>
  <c r="N325"/>
  <c r="K325"/>
  <c r="I325"/>
  <c r="L325" s="1"/>
  <c r="G325" s="1"/>
  <c r="H324"/>
  <c r="F324"/>
  <c r="F323"/>
  <c r="I323" s="1"/>
  <c r="L323" s="1"/>
  <c r="F322"/>
  <c r="I322" s="1"/>
  <c r="L322" s="1"/>
  <c r="F321"/>
  <c r="I321" s="1"/>
  <c r="L321" s="1"/>
  <c r="N320"/>
  <c r="K320"/>
  <c r="I320"/>
  <c r="L320" s="1"/>
  <c r="G320" s="1"/>
  <c r="K319"/>
  <c r="F319"/>
  <c r="N319" s="1"/>
  <c r="F318"/>
  <c r="I318" s="1"/>
  <c r="L318" s="1"/>
  <c r="F317"/>
  <c r="I317" s="1"/>
  <c r="L317" s="1"/>
  <c r="F316"/>
  <c r="L315"/>
  <c r="M315" s="1"/>
  <c r="F315"/>
  <c r="N315" s="1"/>
  <c r="N314"/>
  <c r="I314"/>
  <c r="L314" s="1"/>
  <c r="F313"/>
  <c r="I313" s="1"/>
  <c r="L313" s="1"/>
  <c r="N312"/>
  <c r="L312"/>
  <c r="M312" s="1"/>
  <c r="L311"/>
  <c r="M311" s="1"/>
  <c r="F311"/>
  <c r="N311" s="1"/>
  <c r="F310"/>
  <c r="I310" s="1"/>
  <c r="L310" s="1"/>
  <c r="N309"/>
  <c r="L309"/>
  <c r="M309" s="1"/>
  <c r="L308"/>
  <c r="M308" s="1"/>
  <c r="F308"/>
  <c r="N308" s="1"/>
  <c r="F307"/>
  <c r="I307" s="1"/>
  <c r="L307" s="1"/>
  <c r="L306"/>
  <c r="M306" s="1"/>
  <c r="F306"/>
  <c r="N306" s="1"/>
  <c r="N305"/>
  <c r="I305"/>
  <c r="L305" s="1"/>
  <c r="F304"/>
  <c r="I304" s="1"/>
  <c r="L304" s="1"/>
  <c r="N303"/>
  <c r="I303"/>
  <c r="L303" s="1"/>
  <c r="F302"/>
  <c r="I302" s="1"/>
  <c r="L302" s="1"/>
  <c r="F301"/>
  <c r="I301" s="1"/>
  <c r="L301" s="1"/>
  <c r="N300"/>
  <c r="I300"/>
  <c r="L300" s="1"/>
  <c r="F299"/>
  <c r="I299" s="1"/>
  <c r="L299" s="1"/>
  <c r="L298"/>
  <c r="M298" s="1"/>
  <c r="F298"/>
  <c r="N298" s="1"/>
  <c r="H297"/>
  <c r="L297" s="1"/>
  <c r="F297"/>
  <c r="N297" s="1"/>
  <c r="N296"/>
  <c r="I296"/>
  <c r="L296" s="1"/>
  <c r="F295"/>
  <c r="I295" s="1"/>
  <c r="L295" s="1"/>
  <c r="H294"/>
  <c r="L294" s="1"/>
  <c r="F294"/>
  <c r="N294" s="1"/>
  <c r="L293"/>
  <c r="M293" s="1"/>
  <c r="F293"/>
  <c r="N293" s="1"/>
  <c r="F292"/>
  <c r="H292" s="1"/>
  <c r="L292" s="1"/>
  <c r="N291"/>
  <c r="L291"/>
  <c r="L290"/>
  <c r="F290"/>
  <c r="N290" s="1"/>
  <c r="F289"/>
  <c r="I289" s="1"/>
  <c r="H289" s="1"/>
  <c r="L289" s="1"/>
  <c r="M289" s="1"/>
  <c r="N288"/>
  <c r="I288"/>
  <c r="L288" s="1"/>
  <c r="F287"/>
  <c r="N287" s="1"/>
  <c r="N286"/>
  <c r="I286"/>
  <c r="L286" s="1"/>
  <c r="G286" s="1"/>
  <c r="F285"/>
  <c r="I285" s="1"/>
  <c r="L285" s="1"/>
  <c r="F284"/>
  <c r="I284" s="1"/>
  <c r="L284" s="1"/>
  <c r="F283"/>
  <c r="I283" s="1"/>
  <c r="L283" s="1"/>
  <c r="F282"/>
  <c r="I282" s="1"/>
  <c r="L282" s="1"/>
  <c r="F281"/>
  <c r="I281" s="1"/>
  <c r="L281" s="1"/>
  <c r="L280"/>
  <c r="F280"/>
  <c r="N280" s="1"/>
  <c r="L279"/>
  <c r="M279" s="1"/>
  <c r="F279"/>
  <c r="N279" s="1"/>
  <c r="F278"/>
  <c r="I278" s="1"/>
  <c r="L278" s="1"/>
  <c r="F277"/>
  <c r="I277" s="1"/>
  <c r="L277" s="1"/>
  <c r="F276"/>
  <c r="I276" s="1"/>
  <c r="L276" s="1"/>
  <c r="N275"/>
  <c r="I275"/>
  <c r="L275" s="1"/>
  <c r="F274"/>
  <c r="N274" s="1"/>
  <c r="N273"/>
  <c r="L273"/>
  <c r="M273" s="1"/>
  <c r="L272"/>
  <c r="M272" s="1"/>
  <c r="F272"/>
  <c r="N272" s="1"/>
  <c r="N271"/>
  <c r="I271"/>
  <c r="L271" s="1"/>
  <c r="F270"/>
  <c r="N270" s="1"/>
  <c r="F269"/>
  <c r="N269" s="1"/>
  <c r="F268"/>
  <c r="N268" s="1"/>
  <c r="L267"/>
  <c r="M267" s="1"/>
  <c r="F267"/>
  <c r="N267" s="1"/>
  <c r="L266"/>
  <c r="F266"/>
  <c r="N266" s="1"/>
  <c r="L265"/>
  <c r="M265" s="1"/>
  <c r="F265"/>
  <c r="N265" s="1"/>
  <c r="L264"/>
  <c r="F264"/>
  <c r="N264" s="1"/>
  <c r="F263"/>
  <c r="N263" s="1"/>
  <c r="L262"/>
  <c r="M262" s="1"/>
  <c r="F262"/>
  <c r="N262" s="1"/>
  <c r="N261"/>
  <c r="L261"/>
  <c r="F260"/>
  <c r="I260" s="1"/>
  <c r="L260" s="1"/>
  <c r="L259"/>
  <c r="F259"/>
  <c r="N259" s="1"/>
  <c r="L258"/>
  <c r="K258"/>
  <c r="G258"/>
  <c r="F258"/>
  <c r="N258" s="1"/>
  <c r="N257"/>
  <c r="I257"/>
  <c r="L257" s="1"/>
  <c r="G257" s="1"/>
  <c r="I256"/>
  <c r="H256"/>
  <c r="L255"/>
  <c r="K255"/>
  <c r="G255"/>
  <c r="F255"/>
  <c r="N255" s="1"/>
  <c r="F254"/>
  <c r="I254" s="1"/>
  <c r="L254" s="1"/>
  <c r="F253"/>
  <c r="I253" s="1"/>
  <c r="L253" s="1"/>
  <c r="F252"/>
  <c r="I252" s="1"/>
  <c r="H252" s="1"/>
  <c r="L252" s="1"/>
  <c r="F251"/>
  <c r="F250"/>
  <c r="I250" s="1"/>
  <c r="L250" s="1"/>
  <c r="F249"/>
  <c r="I249" s="1"/>
  <c r="L249" s="1"/>
  <c r="F248"/>
  <c r="I248" s="1"/>
  <c r="H248" s="1"/>
  <c r="L248" s="1"/>
  <c r="N247"/>
  <c r="L247"/>
  <c r="M247" s="1"/>
  <c r="I247"/>
  <c r="G247"/>
  <c r="F246"/>
  <c r="I246" s="1"/>
  <c r="L246" s="1"/>
  <c r="N245"/>
  <c r="L245"/>
  <c r="M245" s="1"/>
  <c r="L244"/>
  <c r="M244" s="1"/>
  <c r="G244"/>
  <c r="F244"/>
  <c r="N244" s="1"/>
  <c r="N243"/>
  <c r="L243"/>
  <c r="M243" s="1"/>
  <c r="I242"/>
  <c r="H242"/>
  <c r="F242"/>
  <c r="N242" s="1"/>
  <c r="F241"/>
  <c r="I241" s="1"/>
  <c r="L241" s="1"/>
  <c r="F240"/>
  <c r="I240" s="1"/>
  <c r="L240" s="1"/>
  <c r="N239"/>
  <c r="K239"/>
  <c r="I239"/>
  <c r="L239" s="1"/>
  <c r="G239" s="1"/>
  <c r="K238"/>
  <c r="F238"/>
  <c r="N238" s="1"/>
  <c r="L237"/>
  <c r="M237" s="1"/>
  <c r="F237"/>
  <c r="N237" s="1"/>
  <c r="F236"/>
  <c r="I236" s="1"/>
  <c r="L236" s="1"/>
  <c r="N235"/>
  <c r="I235"/>
  <c r="L235" s="1"/>
  <c r="F234"/>
  <c r="I234" s="1"/>
  <c r="L234" s="1"/>
  <c r="N233"/>
  <c r="I233"/>
  <c r="L233" s="1"/>
  <c r="F232"/>
  <c r="I232" s="1"/>
  <c r="L232" s="1"/>
  <c r="L231"/>
  <c r="K231"/>
  <c r="G231"/>
  <c r="F231"/>
  <c r="N231" s="1"/>
  <c r="N230"/>
  <c r="L230"/>
  <c r="K230"/>
  <c r="G230"/>
  <c r="L229"/>
  <c r="M229" s="1"/>
  <c r="F229"/>
  <c r="N229" s="1"/>
  <c r="F228"/>
  <c r="I228" s="1"/>
  <c r="L228" s="1"/>
  <c r="F227"/>
  <c r="I227" s="1"/>
  <c r="L227" s="1"/>
  <c r="F226"/>
  <c r="I226" s="1"/>
  <c r="L226" s="1"/>
  <c r="N225"/>
  <c r="L225"/>
  <c r="M225" s="1"/>
  <c r="F224"/>
  <c r="I224" s="1"/>
  <c r="L224" s="1"/>
  <c r="N223"/>
  <c r="I223"/>
  <c r="L223" s="1"/>
  <c r="F222"/>
  <c r="I222" s="1"/>
  <c r="L222" s="1"/>
  <c r="L221"/>
  <c r="M221" s="1"/>
  <c r="F221"/>
  <c r="N221" s="1"/>
  <c r="N220"/>
  <c r="I220"/>
  <c r="L220" s="1"/>
  <c r="F219"/>
  <c r="I219" s="1"/>
  <c r="L219" s="1"/>
  <c r="L218"/>
  <c r="M218" s="1"/>
  <c r="F218"/>
  <c r="N218" s="1"/>
  <c r="F217"/>
  <c r="I217" s="1"/>
  <c r="L217" s="1"/>
  <c r="L216"/>
  <c r="M216" s="1"/>
  <c r="F216"/>
  <c r="N216" s="1"/>
  <c r="N215"/>
  <c r="I215"/>
  <c r="L215" s="1"/>
  <c r="F214"/>
  <c r="I214" s="1"/>
  <c r="L214" s="1"/>
  <c r="L213"/>
  <c r="M213" s="1"/>
  <c r="F213"/>
  <c r="N213" s="1"/>
  <c r="L212"/>
  <c r="M212" s="1"/>
  <c r="F212"/>
  <c r="N212" s="1"/>
  <c r="F211"/>
  <c r="I211" s="1"/>
  <c r="L211" s="1"/>
  <c r="N210"/>
  <c r="I210"/>
  <c r="L210" s="1"/>
  <c r="F209"/>
  <c r="I209" s="1"/>
  <c r="L209" s="1"/>
  <c r="N208"/>
  <c r="L208"/>
  <c r="M208" s="1"/>
  <c r="I207"/>
  <c r="L207" s="1"/>
  <c r="F207"/>
  <c r="N207" s="1"/>
  <c r="F206"/>
  <c r="I206" s="1"/>
  <c r="L206" s="1"/>
  <c r="F205"/>
  <c r="I205" s="1"/>
  <c r="L205" s="1"/>
  <c r="F204"/>
  <c r="I204" s="1"/>
  <c r="L204" s="1"/>
  <c r="F203"/>
  <c r="I203" s="1"/>
  <c r="L203" s="1"/>
  <c r="K202"/>
  <c r="F202"/>
  <c r="H202" s="1"/>
  <c r="N201"/>
  <c r="L201"/>
  <c r="K201"/>
  <c r="G201"/>
  <c r="K200"/>
  <c r="F200"/>
  <c r="N200" s="1"/>
  <c r="N199"/>
  <c r="I199"/>
  <c r="L199" s="1"/>
  <c r="F198"/>
  <c r="I198" s="1"/>
  <c r="L198" s="1"/>
  <c r="F197"/>
  <c r="I197" s="1"/>
  <c r="L197" s="1"/>
  <c r="F196"/>
  <c r="I196" s="1"/>
  <c r="L196" s="1"/>
  <c r="N195"/>
  <c r="I195"/>
  <c r="L195" s="1"/>
  <c r="F194"/>
  <c r="I194" s="1"/>
  <c r="L194" s="1"/>
  <c r="L193"/>
  <c r="M193" s="1"/>
  <c r="F193"/>
  <c r="N193" s="1"/>
  <c r="K192"/>
  <c r="F192"/>
  <c r="L191"/>
  <c r="K191"/>
  <c r="G191"/>
  <c r="F191"/>
  <c r="N191" s="1"/>
  <c r="N190"/>
  <c r="L190"/>
  <c r="K190"/>
  <c r="G190"/>
  <c r="F189"/>
  <c r="I189" s="1"/>
  <c r="L189" s="1"/>
  <c r="N188"/>
  <c r="I188"/>
  <c r="L188" s="1"/>
  <c r="F187"/>
  <c r="I187" s="1"/>
  <c r="L187" s="1"/>
  <c r="F186"/>
  <c r="I186" s="1"/>
  <c r="L186" s="1"/>
  <c r="F185"/>
  <c r="I185" s="1"/>
  <c r="L185" s="1"/>
  <c r="F184"/>
  <c r="I184" s="1"/>
  <c r="L184" s="1"/>
  <c r="F183"/>
  <c r="I183" s="1"/>
  <c r="H183" s="1"/>
  <c r="L183" s="1"/>
  <c r="F182"/>
  <c r="I182" s="1"/>
  <c r="L182" s="1"/>
  <c r="F181"/>
  <c r="I181" s="1"/>
  <c r="L181" s="1"/>
  <c r="N180"/>
  <c r="I180"/>
  <c r="L180" s="1"/>
  <c r="F179"/>
  <c r="I179" s="1"/>
  <c r="L179" s="1"/>
  <c r="L178"/>
  <c r="M178" s="1"/>
  <c r="F178"/>
  <c r="N178" s="1"/>
  <c r="F177"/>
  <c r="I177" s="1"/>
  <c r="L177" s="1"/>
  <c r="N176"/>
  <c r="L176"/>
  <c r="M176" s="1"/>
  <c r="F175"/>
  <c r="I175" s="1"/>
  <c r="L175" s="1"/>
  <c r="L174"/>
  <c r="K174"/>
  <c r="G174"/>
  <c r="F174"/>
  <c r="N174" s="1"/>
  <c r="F173"/>
  <c r="H173" s="1"/>
  <c r="F172"/>
  <c r="I172" s="1"/>
  <c r="L172" s="1"/>
  <c r="F171"/>
  <c r="I171" s="1"/>
  <c r="L171" s="1"/>
  <c r="N170"/>
  <c r="L170"/>
  <c r="M170" s="1"/>
  <c r="L169"/>
  <c r="M169" s="1"/>
  <c r="F169"/>
  <c r="N169" s="1"/>
  <c r="F168"/>
  <c r="I168" s="1"/>
  <c r="L168" s="1"/>
  <c r="F167"/>
  <c r="I167" s="1"/>
  <c r="L167" s="1"/>
  <c r="L166"/>
  <c r="M166" s="1"/>
  <c r="F166"/>
  <c r="N166" s="1"/>
  <c r="N165"/>
  <c r="I165"/>
  <c r="L165" s="1"/>
  <c r="F164"/>
  <c r="I164" s="1"/>
  <c r="L164" s="1"/>
  <c r="F163"/>
  <c r="H163" s="1"/>
  <c r="N162"/>
  <c r="I162"/>
  <c r="L162" s="1"/>
  <c r="F161"/>
  <c r="I161" s="1"/>
  <c r="L161" s="1"/>
  <c r="F160"/>
  <c r="I160" s="1"/>
  <c r="L160" s="1"/>
  <c r="F159"/>
  <c r="I159" s="1"/>
  <c r="L159" s="1"/>
  <c r="L158"/>
  <c r="M158" s="1"/>
  <c r="F158"/>
  <c r="N158" s="1"/>
  <c r="L157"/>
  <c r="M157" s="1"/>
  <c r="F157"/>
  <c r="N157" s="1"/>
  <c r="N156"/>
  <c r="I156"/>
  <c r="L156" s="1"/>
  <c r="F155"/>
  <c r="I155" s="1"/>
  <c r="L155" s="1"/>
  <c r="F154"/>
  <c r="I154" s="1"/>
  <c r="L154" s="1"/>
  <c r="F153"/>
  <c r="I153" s="1"/>
  <c r="L153" s="1"/>
  <c r="N152"/>
  <c r="L152"/>
  <c r="M152" s="1"/>
  <c r="L151"/>
  <c r="M151" s="1"/>
  <c r="F151"/>
  <c r="N151" s="1"/>
  <c r="L150"/>
  <c r="M150" s="1"/>
  <c r="F150"/>
  <c r="N150" s="1"/>
  <c r="K149"/>
  <c r="F149"/>
  <c r="I149" s="1"/>
  <c r="L149" s="1"/>
  <c r="G149" s="1"/>
  <c r="L148"/>
  <c r="K148"/>
  <c r="G148"/>
  <c r="F148"/>
  <c r="N148" s="1"/>
  <c r="F147"/>
  <c r="I147" s="1"/>
  <c r="L147" s="1"/>
  <c r="F146"/>
  <c r="I146" s="1"/>
  <c r="L146" s="1"/>
  <c r="N145"/>
  <c r="L145"/>
  <c r="M145" s="1"/>
  <c r="L144"/>
  <c r="M144" s="1"/>
  <c r="F144"/>
  <c r="N144" s="1"/>
  <c r="K143"/>
  <c r="F143"/>
  <c r="L142"/>
  <c r="K142"/>
  <c r="G142"/>
  <c r="F142"/>
  <c r="N142" s="1"/>
  <c r="N141"/>
  <c r="L141"/>
  <c r="K141"/>
  <c r="G141"/>
  <c r="N140"/>
  <c r="L140"/>
  <c r="M140" s="1"/>
  <c r="L139"/>
  <c r="M139" s="1"/>
  <c r="F139"/>
  <c r="N139" s="1"/>
  <c r="L138"/>
  <c r="M138" s="1"/>
  <c r="F138"/>
  <c r="N138" s="1"/>
  <c r="F137"/>
  <c r="H137" s="1"/>
  <c r="F136"/>
  <c r="I136" s="1"/>
  <c r="L136" s="1"/>
  <c r="F135"/>
  <c r="H135" s="1"/>
  <c r="I134"/>
  <c r="L134" s="1"/>
  <c r="F134"/>
  <c r="N134" s="1"/>
  <c r="L133"/>
  <c r="M133" s="1"/>
  <c r="F133"/>
  <c r="N133" s="1"/>
  <c r="N132"/>
  <c r="L132"/>
  <c r="M132" s="1"/>
  <c r="L131"/>
  <c r="M131" s="1"/>
  <c r="F131"/>
  <c r="N131" s="1"/>
  <c r="H130"/>
  <c r="F130"/>
  <c r="F129"/>
  <c r="I129" s="1"/>
  <c r="L129" s="1"/>
  <c r="F128"/>
  <c r="I128" s="1"/>
  <c r="H128" s="1"/>
  <c r="L128" s="1"/>
  <c r="N127"/>
  <c r="L127"/>
  <c r="K127"/>
  <c r="L126"/>
  <c r="K126"/>
  <c r="G126"/>
  <c r="F126"/>
  <c r="N126" s="1"/>
  <c r="F125"/>
  <c r="I125" s="1"/>
  <c r="L125" s="1"/>
  <c r="N124"/>
  <c r="L124"/>
  <c r="M124" s="1"/>
  <c r="L123"/>
  <c r="M123" s="1"/>
  <c r="F123"/>
  <c r="N123" s="1"/>
  <c r="L122"/>
  <c r="M122" s="1"/>
  <c r="F122"/>
  <c r="N122" s="1"/>
  <c r="F121"/>
  <c r="L120"/>
  <c r="K120"/>
  <c r="G120"/>
  <c r="F120"/>
  <c r="N120" s="1"/>
  <c r="L119"/>
  <c r="K119"/>
  <c r="G119"/>
  <c r="F119"/>
  <c r="N119" s="1"/>
  <c r="N118"/>
  <c r="I118"/>
  <c r="L118" s="1"/>
  <c r="F117"/>
  <c r="I117" s="1"/>
  <c r="L117" s="1"/>
  <c r="N116"/>
  <c r="I116"/>
  <c r="L116" s="1"/>
  <c r="H115"/>
  <c r="F115"/>
  <c r="F114"/>
  <c r="I114" s="1"/>
  <c r="H114" s="1"/>
  <c r="N114" s="1"/>
  <c r="F113"/>
  <c r="N113" s="1"/>
  <c r="F112"/>
  <c r="N112" s="1"/>
  <c r="N111"/>
  <c r="I111"/>
  <c r="L111" s="1"/>
  <c r="G111" s="1"/>
  <c r="F110"/>
  <c r="I110" s="1"/>
  <c r="L110" s="1"/>
  <c r="F109"/>
  <c r="I109" s="1"/>
  <c r="L109" s="1"/>
  <c r="N108"/>
  <c r="K108"/>
  <c r="I108"/>
  <c r="L108" s="1"/>
  <c r="G108" s="1"/>
  <c r="F107"/>
  <c r="I107" s="1"/>
  <c r="L107" s="1"/>
  <c r="F106"/>
  <c r="I106" s="1"/>
  <c r="L106" s="1"/>
  <c r="N105"/>
  <c r="K105"/>
  <c r="I105"/>
  <c r="L105" s="1"/>
  <c r="G105" s="1"/>
  <c r="F104"/>
  <c r="I104" s="1"/>
  <c r="L104" s="1"/>
  <c r="H103"/>
  <c r="L103" s="1"/>
  <c r="F103"/>
  <c r="N103" s="1"/>
  <c r="F102"/>
  <c r="I102" s="1"/>
  <c r="L102" s="1"/>
  <c r="F101"/>
  <c r="I101" s="1"/>
  <c r="H101" s="1"/>
  <c r="L101" s="1"/>
  <c r="H100"/>
  <c r="L100" s="1"/>
  <c r="G100" s="1"/>
  <c r="F100"/>
  <c r="N99"/>
  <c r="I99"/>
  <c r="L99" s="1"/>
  <c r="G99" s="1"/>
  <c r="F98"/>
  <c r="I98" s="1"/>
  <c r="L98" s="1"/>
  <c r="L97"/>
  <c r="F97"/>
  <c r="N97" s="1"/>
  <c r="N96"/>
  <c r="L96"/>
  <c r="M96" s="1"/>
  <c r="L95"/>
  <c r="M95" s="1"/>
  <c r="F95"/>
  <c r="N95" s="1"/>
  <c r="F94"/>
  <c r="I94" s="1"/>
  <c r="L94" s="1"/>
  <c r="F93"/>
  <c r="I93" s="1"/>
  <c r="L93" s="1"/>
  <c r="F92"/>
  <c r="I92" s="1"/>
  <c r="H92" s="1"/>
  <c r="N92" s="1"/>
  <c r="F91"/>
  <c r="I91" s="1"/>
  <c r="H91" s="1"/>
  <c r="L91" s="1"/>
  <c r="M91" s="1"/>
  <c r="N90"/>
  <c r="I90"/>
  <c r="L90" s="1"/>
  <c r="F89"/>
  <c r="N89" s="1"/>
  <c r="F88"/>
  <c r="N88" s="1"/>
  <c r="F87"/>
  <c r="N87" s="1"/>
  <c r="F86"/>
  <c r="H86" s="1"/>
  <c r="N85"/>
  <c r="I85"/>
  <c r="L85" s="1"/>
  <c r="F84"/>
  <c r="I84" s="1"/>
  <c r="L84" s="1"/>
  <c r="F83"/>
  <c r="I83" s="1"/>
  <c r="L83" s="1"/>
  <c r="L82"/>
  <c r="M82" s="1"/>
  <c r="F82"/>
  <c r="N82" s="1"/>
  <c r="F81"/>
  <c r="H81" s="1"/>
  <c r="N80"/>
  <c r="I80"/>
  <c r="L80" s="1"/>
  <c r="F79"/>
  <c r="I79" s="1"/>
  <c r="L79" s="1"/>
  <c r="N78"/>
  <c r="L78"/>
  <c r="M78" s="1"/>
  <c r="L77"/>
  <c r="M77" s="1"/>
  <c r="F77"/>
  <c r="N77" s="1"/>
  <c r="F76"/>
  <c r="I76" s="1"/>
  <c r="H76" s="1"/>
  <c r="L76" s="1"/>
  <c r="N75"/>
  <c r="I75"/>
  <c r="L75" s="1"/>
  <c r="F74"/>
  <c r="I74" s="1"/>
  <c r="L74" s="1"/>
  <c r="F73"/>
  <c r="I73" s="1"/>
  <c r="L73" s="1"/>
  <c r="F72"/>
  <c r="I72" s="1"/>
  <c r="L72" s="1"/>
  <c r="H71"/>
  <c r="L71" s="1"/>
  <c r="F71"/>
  <c r="F70"/>
  <c r="I70" s="1"/>
  <c r="L70" s="1"/>
  <c r="F69"/>
  <c r="I69" s="1"/>
  <c r="L69" s="1"/>
  <c r="F68"/>
  <c r="I68" s="1"/>
  <c r="L68" s="1"/>
  <c r="L67"/>
  <c r="M67" s="1"/>
  <c r="F67"/>
  <c r="N67" s="1"/>
  <c r="F66"/>
  <c r="I66" s="1"/>
  <c r="L66" s="1"/>
  <c r="F65"/>
  <c r="I65" s="1"/>
  <c r="L65" s="1"/>
  <c r="N64"/>
  <c r="I64"/>
  <c r="L64" s="1"/>
  <c r="F63"/>
  <c r="I63" s="1"/>
  <c r="L63" s="1"/>
  <c r="L62"/>
  <c r="M62" s="1"/>
  <c r="F62"/>
  <c r="N62" s="1"/>
  <c r="F61"/>
  <c r="I61" s="1"/>
  <c r="L61" s="1"/>
  <c r="F60"/>
  <c r="I60" s="1"/>
  <c r="L60" s="1"/>
  <c r="N59"/>
  <c r="L59"/>
  <c r="K59"/>
  <c r="G59"/>
  <c r="L58"/>
  <c r="M58" s="1"/>
  <c r="F58"/>
  <c r="N58" s="1"/>
  <c r="N57"/>
  <c r="I57"/>
  <c r="L57" s="1"/>
  <c r="F56"/>
  <c r="I56" s="1"/>
  <c r="L56" s="1"/>
  <c r="F55"/>
  <c r="I55" s="1"/>
  <c r="L55" s="1"/>
  <c r="L54"/>
  <c r="K54"/>
  <c r="G54"/>
  <c r="F54"/>
  <c r="N54" s="1"/>
  <c r="K53"/>
  <c r="F53"/>
  <c r="H53" s="1"/>
  <c r="K52"/>
  <c r="F52"/>
  <c r="H52" s="1"/>
  <c r="H51"/>
  <c r="L51" s="1"/>
  <c r="F51"/>
  <c r="H50"/>
  <c r="F50"/>
  <c r="N50" s="1"/>
  <c r="F49"/>
  <c r="I49" s="1"/>
  <c r="L49" s="1"/>
  <c r="F48"/>
  <c r="I48" s="1"/>
  <c r="L48" s="1"/>
  <c r="L47"/>
  <c r="M47" s="1"/>
  <c r="F47"/>
  <c r="N47" s="1"/>
  <c r="K46"/>
  <c r="F46"/>
  <c r="N46" s="1"/>
  <c r="F45"/>
  <c r="F44"/>
  <c r="I44" s="1"/>
  <c r="L44" s="1"/>
  <c r="F43"/>
  <c r="I43" s="1"/>
  <c r="L43" s="1"/>
  <c r="L42"/>
  <c r="K42"/>
  <c r="G42"/>
  <c r="F42"/>
  <c r="N42" s="1"/>
  <c r="K41"/>
  <c r="F41"/>
  <c r="N41" s="1"/>
  <c r="K40"/>
  <c r="F40"/>
  <c r="N40" s="1"/>
  <c r="L39"/>
  <c r="K39"/>
  <c r="G39"/>
  <c r="F39"/>
  <c r="N39" s="1"/>
  <c r="F38"/>
  <c r="I38" s="1"/>
  <c r="L38" s="1"/>
  <c r="K37"/>
  <c r="F37"/>
  <c r="N37" s="1"/>
  <c r="N36"/>
  <c r="L36"/>
  <c r="K36"/>
  <c r="G36"/>
  <c r="N35"/>
  <c r="L35"/>
  <c r="K35"/>
  <c r="G35"/>
  <c r="N34"/>
  <c r="L34"/>
  <c r="M34" s="1"/>
  <c r="L33"/>
  <c r="M33" s="1"/>
  <c r="F33"/>
  <c r="N33" s="1"/>
  <c r="N32"/>
  <c r="M32"/>
  <c r="L32"/>
  <c r="G32"/>
  <c r="L31"/>
  <c r="M31" s="1"/>
  <c r="F31"/>
  <c r="N31" s="1"/>
  <c r="N30"/>
  <c r="L30"/>
  <c r="M30" s="1"/>
  <c r="I30"/>
  <c r="G30"/>
  <c r="F29"/>
  <c r="I29" s="1"/>
  <c r="L29" s="1"/>
  <c r="L28"/>
  <c r="M28" s="1"/>
  <c r="F28"/>
  <c r="N28" s="1"/>
  <c r="F27"/>
  <c r="I27" s="1"/>
  <c r="L27" s="1"/>
  <c r="F26"/>
  <c r="I26" s="1"/>
  <c r="L26" s="1"/>
  <c r="F25"/>
  <c r="H25" s="1"/>
  <c r="L24"/>
  <c r="M24" s="1"/>
  <c r="F24"/>
  <c r="N24" s="1"/>
  <c r="F23"/>
  <c r="I23" s="1"/>
  <c r="L23" s="1"/>
  <c r="N22"/>
  <c r="I22"/>
  <c r="L22" s="1"/>
  <c r="G22" s="1"/>
  <c r="F21"/>
  <c r="I21" s="1"/>
  <c r="L21" s="1"/>
  <c r="F20"/>
  <c r="I20" s="1"/>
  <c r="H20" s="1"/>
  <c r="N19"/>
  <c r="I19"/>
  <c r="L19" s="1"/>
  <c r="M19" s="1"/>
  <c r="F18"/>
  <c r="I18" s="1"/>
  <c r="L18" s="1"/>
  <c r="F17"/>
  <c r="I17" s="1"/>
  <c r="L17" s="1"/>
  <c r="N16"/>
  <c r="I16"/>
  <c r="L16" s="1"/>
  <c r="F15"/>
  <c r="I15" s="1"/>
  <c r="L15" s="1"/>
  <c r="F14"/>
  <c r="I14" s="1"/>
  <c r="L14" s="1"/>
  <c r="F13"/>
  <c r="I13" s="1"/>
  <c r="L13" s="1"/>
  <c r="F12"/>
  <c r="I12" s="1"/>
  <c r="L12" s="1"/>
  <c r="F11"/>
  <c r="I11" s="1"/>
  <c r="L11" s="1"/>
  <c r="F10"/>
  <c r="I10" s="1"/>
  <c r="L10" s="1"/>
  <c r="L9"/>
  <c r="M9" s="1"/>
  <c r="F9"/>
  <c r="N9" s="1"/>
  <c r="F8"/>
  <c r="N8" s="1"/>
  <c r="N7"/>
  <c r="I7"/>
  <c r="L7" s="1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F5"/>
  <c r="N5" s="1"/>
  <c r="I14" i="4" l="1"/>
  <c r="L5"/>
  <c r="M12"/>
  <c r="G12"/>
  <c r="G9"/>
  <c r="M9"/>
  <c r="H14"/>
  <c r="L6"/>
  <c r="N6"/>
  <c r="Q6" s="1"/>
  <c r="Q14" s="1"/>
  <c r="F350" i="3"/>
  <c r="L350"/>
  <c r="F346"/>
  <c r="L346"/>
  <c r="F342"/>
  <c r="L342"/>
  <c r="F338"/>
  <c r="L338"/>
  <c r="F334"/>
  <c r="L334"/>
  <c r="F326"/>
  <c r="L326"/>
  <c r="F322"/>
  <c r="L322"/>
  <c r="L317"/>
  <c r="F317"/>
  <c r="L313"/>
  <c r="F313"/>
  <c r="L309"/>
  <c r="F309"/>
  <c r="L305"/>
  <c r="F305"/>
  <c r="F287"/>
  <c r="L287"/>
  <c r="F268"/>
  <c r="L268"/>
  <c r="F264"/>
  <c r="L264"/>
  <c r="F260"/>
  <c r="L260"/>
  <c r="F303"/>
  <c r="L303"/>
  <c r="L301"/>
  <c r="F301"/>
  <c r="L296"/>
  <c r="F296"/>
  <c r="L292"/>
  <c r="F292"/>
  <c r="L288"/>
  <c r="F288"/>
  <c r="L284"/>
  <c r="F284"/>
  <c r="L280"/>
  <c r="F280"/>
  <c r="L276"/>
  <c r="F276"/>
  <c r="L259"/>
  <c r="F259"/>
  <c r="L255"/>
  <c r="F255"/>
  <c r="L251"/>
  <c r="F251"/>
  <c r="L245"/>
  <c r="F245"/>
  <c r="L241"/>
  <c r="F241"/>
  <c r="L237"/>
  <c r="F237"/>
  <c r="L233"/>
  <c r="F233"/>
  <c r="L229"/>
  <c r="F229"/>
  <c r="L225"/>
  <c r="F225"/>
  <c r="L221"/>
  <c r="F221"/>
  <c r="L217"/>
  <c r="F217"/>
  <c r="L213"/>
  <c r="F213"/>
  <c r="L209"/>
  <c r="F209"/>
  <c r="L205"/>
  <c r="F205"/>
  <c r="L201"/>
  <c r="F201"/>
  <c r="L197"/>
  <c r="F197"/>
  <c r="L193"/>
  <c r="F193"/>
  <c r="L189"/>
  <c r="F189"/>
  <c r="L185"/>
  <c r="F185"/>
  <c r="L181"/>
  <c r="F181"/>
  <c r="L177"/>
  <c r="F177"/>
  <c r="L173"/>
  <c r="F173"/>
  <c r="L168"/>
  <c r="F168"/>
  <c r="L171"/>
  <c r="F171"/>
  <c r="L161"/>
  <c r="F161"/>
  <c r="L157"/>
  <c r="F157"/>
  <c r="L153"/>
  <c r="F153"/>
  <c r="L149"/>
  <c r="F149"/>
  <c r="L145"/>
  <c r="F145"/>
  <c r="L141"/>
  <c r="F141"/>
  <c r="L137"/>
  <c r="F137"/>
  <c r="L133"/>
  <c r="F133"/>
  <c r="L129"/>
  <c r="F129"/>
  <c r="L125"/>
  <c r="F125"/>
  <c r="L121"/>
  <c r="F121"/>
  <c r="L117"/>
  <c r="F117"/>
  <c r="L113"/>
  <c r="F113"/>
  <c r="L109"/>
  <c r="F109"/>
  <c r="L105"/>
  <c r="F105"/>
  <c r="L101"/>
  <c r="F101"/>
  <c r="L97"/>
  <c r="F97"/>
  <c r="L93"/>
  <c r="F93"/>
  <c r="L89"/>
  <c r="F89"/>
  <c r="L85"/>
  <c r="F85"/>
  <c r="L81"/>
  <c r="F81"/>
  <c r="L77"/>
  <c r="F77"/>
  <c r="F71"/>
  <c r="L71"/>
  <c r="G352"/>
  <c r="M5"/>
  <c r="K5"/>
  <c r="F69"/>
  <c r="L69"/>
  <c r="L67"/>
  <c r="F67"/>
  <c r="L63"/>
  <c r="F63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L23"/>
  <c r="F23"/>
  <c r="L19"/>
  <c r="F19"/>
  <c r="L15"/>
  <c r="F15"/>
  <c r="L11"/>
  <c r="F11"/>
  <c r="L9"/>
  <c r="F9"/>
  <c r="F348"/>
  <c r="L348"/>
  <c r="F344"/>
  <c r="L344"/>
  <c r="F340"/>
  <c r="L340"/>
  <c r="F336"/>
  <c r="L336"/>
  <c r="F332"/>
  <c r="L332"/>
  <c r="F328"/>
  <c r="L328"/>
  <c r="F324"/>
  <c r="L324"/>
  <c r="F330"/>
  <c r="L330"/>
  <c r="L319"/>
  <c r="F319"/>
  <c r="L315"/>
  <c r="F315"/>
  <c r="L311"/>
  <c r="F311"/>
  <c r="L307"/>
  <c r="F307"/>
  <c r="F302"/>
  <c r="L302"/>
  <c r="F271"/>
  <c r="L271"/>
  <c r="F266"/>
  <c r="L266"/>
  <c r="F262"/>
  <c r="L262"/>
  <c r="F258"/>
  <c r="L258"/>
  <c r="L299"/>
  <c r="F299"/>
  <c r="L294"/>
  <c r="F294"/>
  <c r="L290"/>
  <c r="F290"/>
  <c r="L286"/>
  <c r="F286"/>
  <c r="L282"/>
  <c r="F282"/>
  <c r="L278"/>
  <c r="F278"/>
  <c r="L274"/>
  <c r="F274"/>
  <c r="L257"/>
  <c r="F257"/>
  <c r="L253"/>
  <c r="F253"/>
  <c r="F298"/>
  <c r="L298"/>
  <c r="L270"/>
  <c r="F270"/>
  <c r="F249"/>
  <c r="L249"/>
  <c r="L247"/>
  <c r="F247"/>
  <c r="L243"/>
  <c r="F243"/>
  <c r="L239"/>
  <c r="F239"/>
  <c r="L235"/>
  <c r="F235"/>
  <c r="L231"/>
  <c r="F231"/>
  <c r="L227"/>
  <c r="F227"/>
  <c r="L223"/>
  <c r="F223"/>
  <c r="L219"/>
  <c r="F219"/>
  <c r="L215"/>
  <c r="F215"/>
  <c r="L211"/>
  <c r="F211"/>
  <c r="L207"/>
  <c r="F207"/>
  <c r="L203"/>
  <c r="F203"/>
  <c r="L199"/>
  <c r="F199"/>
  <c r="L195"/>
  <c r="F195"/>
  <c r="L191"/>
  <c r="F191"/>
  <c r="L187"/>
  <c r="F187"/>
  <c r="L183"/>
  <c r="F183"/>
  <c r="L179"/>
  <c r="F179"/>
  <c r="L175"/>
  <c r="F175"/>
  <c r="L170"/>
  <c r="F170"/>
  <c r="L166"/>
  <c r="F166"/>
  <c r="L163"/>
  <c r="F163"/>
  <c r="L159"/>
  <c r="F159"/>
  <c r="L155"/>
  <c r="F155"/>
  <c r="L151"/>
  <c r="F151"/>
  <c r="L147"/>
  <c r="F147"/>
  <c r="L143"/>
  <c r="F143"/>
  <c r="L139"/>
  <c r="F139"/>
  <c r="L135"/>
  <c r="F135"/>
  <c r="L131"/>
  <c r="F131"/>
  <c r="L127"/>
  <c r="F127"/>
  <c r="L123"/>
  <c r="F123"/>
  <c r="L119"/>
  <c r="F119"/>
  <c r="L115"/>
  <c r="F115"/>
  <c r="L111"/>
  <c r="F111"/>
  <c r="L107"/>
  <c r="F107"/>
  <c r="L103"/>
  <c r="F103"/>
  <c r="L99"/>
  <c r="F99"/>
  <c r="L95"/>
  <c r="F95"/>
  <c r="L91"/>
  <c r="F91"/>
  <c r="L87"/>
  <c r="F87"/>
  <c r="L83"/>
  <c r="F83"/>
  <c r="L79"/>
  <c r="F79"/>
  <c r="L75"/>
  <c r="F75"/>
  <c r="F73"/>
  <c r="L73"/>
  <c r="L65"/>
  <c r="F65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1"/>
  <c r="F21"/>
  <c r="L17"/>
  <c r="F17"/>
  <c r="L13"/>
  <c r="F13"/>
  <c r="L7"/>
  <c r="F7"/>
  <c r="F170" i="2"/>
  <c r="L170"/>
  <c r="F162"/>
  <c r="L162"/>
  <c r="F158"/>
  <c r="L158"/>
  <c r="F154"/>
  <c r="L154"/>
  <c r="L169"/>
  <c r="F169"/>
  <c r="F149"/>
  <c r="L149"/>
  <c r="L146"/>
  <c r="F146"/>
  <c r="L142"/>
  <c r="F142"/>
  <c r="F136"/>
  <c r="L136"/>
  <c r="F128"/>
  <c r="L128"/>
  <c r="L120"/>
  <c r="F120"/>
  <c r="L116"/>
  <c r="F116"/>
  <c r="L112"/>
  <c r="F112"/>
  <c r="L108"/>
  <c r="F108"/>
  <c r="L104"/>
  <c r="F104"/>
  <c r="L100"/>
  <c r="F100"/>
  <c r="L96"/>
  <c r="F96"/>
  <c r="L92"/>
  <c r="F92"/>
  <c r="L90"/>
  <c r="F90"/>
  <c r="F82"/>
  <c r="L82"/>
  <c r="L80"/>
  <c r="F80"/>
  <c r="L76"/>
  <c r="F76"/>
  <c r="L72"/>
  <c r="F72"/>
  <c r="L68"/>
  <c r="F68"/>
  <c r="L64"/>
  <c r="F64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F8"/>
  <c r="L8"/>
  <c r="R175"/>
  <c r="F172"/>
  <c r="L172"/>
  <c r="F164"/>
  <c r="L164"/>
  <c r="F160"/>
  <c r="L160"/>
  <c r="F156"/>
  <c r="L156"/>
  <c r="F152"/>
  <c r="L152"/>
  <c r="L151"/>
  <c r="F151"/>
  <c r="L144"/>
  <c r="F144"/>
  <c r="F138"/>
  <c r="L138"/>
  <c r="F134"/>
  <c r="L134"/>
  <c r="F130"/>
  <c r="L130"/>
  <c r="F126"/>
  <c r="L126"/>
  <c r="F140"/>
  <c r="L140"/>
  <c r="F132"/>
  <c r="L132"/>
  <c r="F124"/>
  <c r="L124"/>
  <c r="L122"/>
  <c r="F122"/>
  <c r="L118"/>
  <c r="F118"/>
  <c r="L114"/>
  <c r="F114"/>
  <c r="L110"/>
  <c r="F110"/>
  <c r="L106"/>
  <c r="F106"/>
  <c r="L102"/>
  <c r="F102"/>
  <c r="L98"/>
  <c r="F98"/>
  <c r="L94"/>
  <c r="F94"/>
  <c r="F88"/>
  <c r="L88"/>
  <c r="F84"/>
  <c r="L84"/>
  <c r="M175"/>
  <c r="F86"/>
  <c r="L86"/>
  <c r="L78"/>
  <c r="F78"/>
  <c r="L74"/>
  <c r="F74"/>
  <c r="L70"/>
  <c r="F70"/>
  <c r="L66"/>
  <c r="F66"/>
  <c r="L62"/>
  <c r="F62"/>
  <c r="L58"/>
  <c r="F58"/>
  <c r="L54"/>
  <c r="F54"/>
  <c r="L50"/>
  <c r="F50"/>
  <c r="L46"/>
  <c r="F46"/>
  <c r="L42"/>
  <c r="F42"/>
  <c r="L38"/>
  <c r="F38"/>
  <c r="L34"/>
  <c r="F34"/>
  <c r="L30"/>
  <c r="F30"/>
  <c r="L26"/>
  <c r="F26"/>
  <c r="L22"/>
  <c r="F22"/>
  <c r="L18"/>
  <c r="F18"/>
  <c r="L14"/>
  <c r="F14"/>
  <c r="F10"/>
  <c r="L10"/>
  <c r="L6"/>
  <c r="F6"/>
  <c r="F175" s="1"/>
  <c r="P175"/>
  <c r="M199" i="1"/>
  <c r="G199"/>
  <c r="M275"/>
  <c r="G275"/>
  <c r="M468"/>
  <c r="G468"/>
  <c r="M556"/>
  <c r="G556"/>
  <c r="M64"/>
  <c r="G64"/>
  <c r="M75"/>
  <c r="G75"/>
  <c r="M297"/>
  <c r="G297"/>
  <c r="N26"/>
  <c r="N27"/>
  <c r="G28"/>
  <c r="I112"/>
  <c r="L112" s="1"/>
  <c r="G112" s="1"/>
  <c r="I113"/>
  <c r="L113" s="1"/>
  <c r="G113" s="1"/>
  <c r="M119"/>
  <c r="M120"/>
  <c r="G122"/>
  <c r="N125"/>
  <c r="N159"/>
  <c r="N160"/>
  <c r="N161"/>
  <c r="N181"/>
  <c r="N182"/>
  <c r="N189"/>
  <c r="M190"/>
  <c r="N194"/>
  <c r="M239"/>
  <c r="N260"/>
  <c r="G262"/>
  <c r="G272"/>
  <c r="G382"/>
  <c r="G441"/>
  <c r="G445"/>
  <c r="G473"/>
  <c r="I474"/>
  <c r="L474" s="1"/>
  <c r="G474" s="1"/>
  <c r="I475"/>
  <c r="L475" s="1"/>
  <c r="G475" s="1"/>
  <c r="I476"/>
  <c r="L476" s="1"/>
  <c r="G476" s="1"/>
  <c r="N10"/>
  <c r="N11"/>
  <c r="N12"/>
  <c r="N13"/>
  <c r="N14"/>
  <c r="N15"/>
  <c r="G58"/>
  <c r="M59"/>
  <c r="N60"/>
  <c r="N61"/>
  <c r="G62"/>
  <c r="G82"/>
  <c r="N93"/>
  <c r="N94"/>
  <c r="G95"/>
  <c r="N98"/>
  <c r="I135"/>
  <c r="G138"/>
  <c r="M141"/>
  <c r="N146"/>
  <c r="N147"/>
  <c r="G550"/>
  <c r="M103"/>
  <c r="G103"/>
  <c r="M116"/>
  <c r="G116"/>
  <c r="M207"/>
  <c r="G207"/>
  <c r="M215"/>
  <c r="G215"/>
  <c r="M233"/>
  <c r="G233"/>
  <c r="M305"/>
  <c r="G305"/>
  <c r="M438"/>
  <c r="G438"/>
  <c r="M531"/>
  <c r="G531"/>
  <c r="M314"/>
  <c r="G314"/>
  <c r="M361"/>
  <c r="G361"/>
  <c r="M378"/>
  <c r="G378"/>
  <c r="M512"/>
  <c r="G512"/>
  <c r="M518"/>
  <c r="G518"/>
  <c r="G170"/>
  <c r="N203"/>
  <c r="N204"/>
  <c r="N205"/>
  <c r="N206"/>
  <c r="G213"/>
  <c r="N219"/>
  <c r="N222"/>
  <c r="G225"/>
  <c r="M230"/>
  <c r="N353"/>
  <c r="N354"/>
  <c r="G355"/>
  <c r="N368"/>
  <c r="M373"/>
  <c r="N376"/>
  <c r="H424"/>
  <c r="N424" s="1"/>
  <c r="M433"/>
  <c r="G436"/>
  <c r="G453"/>
  <c r="G458"/>
  <c r="N462"/>
  <c r="N463"/>
  <c r="M464"/>
  <c r="N491"/>
  <c r="N492"/>
  <c r="N493"/>
  <c r="M496"/>
  <c r="M504"/>
  <c r="G520"/>
  <c r="N524"/>
  <c r="M525"/>
  <c r="N544"/>
  <c r="G545"/>
  <c r="G566"/>
  <c r="G573"/>
  <c r="N102"/>
  <c r="N106"/>
  <c r="N107"/>
  <c r="M127"/>
  <c r="N130"/>
  <c r="G132"/>
  <c r="G152"/>
  <c r="G157"/>
  <c r="N301"/>
  <c r="N302"/>
  <c r="N310"/>
  <c r="G311"/>
  <c r="N317"/>
  <c r="N318"/>
  <c r="M320"/>
  <c r="M325"/>
  <c r="N329"/>
  <c r="M385"/>
  <c r="G388"/>
  <c r="N392"/>
  <c r="M134"/>
  <c r="G134"/>
  <c r="M156"/>
  <c r="G156"/>
  <c r="M180"/>
  <c r="G180"/>
  <c r="M188"/>
  <c r="G188"/>
  <c r="M300"/>
  <c r="G300"/>
  <c r="M57"/>
  <c r="G57"/>
  <c r="M85"/>
  <c r="G85"/>
  <c r="M90"/>
  <c r="G90"/>
  <c r="M271"/>
  <c r="G271"/>
  <c r="M288"/>
  <c r="G288"/>
  <c r="M296"/>
  <c r="G296"/>
  <c r="M360"/>
  <c r="G360"/>
  <c r="N6"/>
  <c r="N23"/>
  <c r="G24"/>
  <c r="G31"/>
  <c r="K576"/>
  <c r="M36"/>
  <c r="M39"/>
  <c r="M42"/>
  <c r="N48"/>
  <c r="N49"/>
  <c r="N51"/>
  <c r="M54"/>
  <c r="N65"/>
  <c r="N66"/>
  <c r="G67"/>
  <c r="N71"/>
  <c r="N79"/>
  <c r="N91"/>
  <c r="G96"/>
  <c r="N100"/>
  <c r="M100"/>
  <c r="N104"/>
  <c r="N109"/>
  <c r="N110"/>
  <c r="M111"/>
  <c r="N115"/>
  <c r="I115"/>
  <c r="L115" s="1"/>
  <c r="N117"/>
  <c r="M126"/>
  <c r="N128"/>
  <c r="G131"/>
  <c r="M142"/>
  <c r="M148"/>
  <c r="G151"/>
  <c r="N164"/>
  <c r="N167"/>
  <c r="N168"/>
  <c r="G169"/>
  <c r="M174"/>
  <c r="N175"/>
  <c r="N177"/>
  <c r="G178"/>
  <c r="M191"/>
  <c r="M201"/>
  <c r="I202"/>
  <c r="N209"/>
  <c r="G216"/>
  <c r="M231"/>
  <c r="N234"/>
  <c r="L242"/>
  <c r="G245"/>
  <c r="N252"/>
  <c r="M255"/>
  <c r="L256"/>
  <c r="M258"/>
  <c r="G265"/>
  <c r="G267"/>
  <c r="G273"/>
  <c r="N276"/>
  <c r="N277"/>
  <c r="N278"/>
  <c r="G279"/>
  <c r="N281"/>
  <c r="N282"/>
  <c r="N283"/>
  <c r="N284"/>
  <c r="N285"/>
  <c r="N289"/>
  <c r="G293"/>
  <c r="G298"/>
  <c r="G306"/>
  <c r="G312"/>
  <c r="G315"/>
  <c r="N324"/>
  <c r="N326"/>
  <c r="N332"/>
  <c r="N333"/>
  <c r="N334"/>
  <c r="G335"/>
  <c r="G339"/>
  <c r="N341"/>
  <c r="G342"/>
  <c r="N344"/>
  <c r="G347"/>
  <c r="N363"/>
  <c r="N364"/>
  <c r="N375"/>
  <c r="N377"/>
  <c r="I377"/>
  <c r="L377" s="1"/>
  <c r="N379"/>
  <c r="N380"/>
  <c r="G381"/>
  <c r="G384"/>
  <c r="M386"/>
  <c r="G387"/>
  <c r="M396"/>
  <c r="G396"/>
  <c r="M400"/>
  <c r="G400"/>
  <c r="M405"/>
  <c r="G405"/>
  <c r="M407"/>
  <c r="G407"/>
  <c r="I418"/>
  <c r="L418" s="1"/>
  <c r="N418"/>
  <c r="M419"/>
  <c r="G419"/>
  <c r="I422"/>
  <c r="L422" s="1"/>
  <c r="N422"/>
  <c r="I429"/>
  <c r="L429" s="1"/>
  <c r="N429"/>
  <c r="I431"/>
  <c r="L431" s="1"/>
  <c r="N431"/>
  <c r="H449"/>
  <c r="I449"/>
  <c r="M459"/>
  <c r="G459"/>
  <c r="N466"/>
  <c r="I466"/>
  <c r="L466" s="1"/>
  <c r="G466" s="1"/>
  <c r="I469"/>
  <c r="L469" s="1"/>
  <c r="N469"/>
  <c r="I483"/>
  <c r="L483" s="1"/>
  <c r="N483"/>
  <c r="G485"/>
  <c r="M485"/>
  <c r="M487"/>
  <c r="G487"/>
  <c r="M490"/>
  <c r="G490"/>
  <c r="N511"/>
  <c r="I511"/>
  <c r="L511" s="1"/>
  <c r="G511" s="1"/>
  <c r="I514"/>
  <c r="L514" s="1"/>
  <c r="N514"/>
  <c r="M515"/>
  <c r="G515"/>
  <c r="M519"/>
  <c r="G519"/>
  <c r="G523"/>
  <c r="M523"/>
  <c r="N527"/>
  <c r="I527"/>
  <c r="L527" s="1"/>
  <c r="G527" s="1"/>
  <c r="N530"/>
  <c r="I530"/>
  <c r="L530" s="1"/>
  <c r="G530" s="1"/>
  <c r="I557"/>
  <c r="L557" s="1"/>
  <c r="N557"/>
  <c r="N561"/>
  <c r="G565"/>
  <c r="M565"/>
  <c r="I571"/>
  <c r="L571" s="1"/>
  <c r="N571"/>
  <c r="M572"/>
  <c r="G572"/>
  <c r="N20"/>
  <c r="I50"/>
  <c r="L50" s="1"/>
  <c r="N76"/>
  <c r="N365"/>
  <c r="N416"/>
  <c r="I416"/>
  <c r="L416" s="1"/>
  <c r="G416" s="1"/>
  <c r="I421"/>
  <c r="L421" s="1"/>
  <c r="N421"/>
  <c r="G423"/>
  <c r="M423"/>
  <c r="I428"/>
  <c r="L428" s="1"/>
  <c r="N428"/>
  <c r="I430"/>
  <c r="L430" s="1"/>
  <c r="N430"/>
  <c r="I439"/>
  <c r="L439" s="1"/>
  <c r="N439"/>
  <c r="M440"/>
  <c r="G440"/>
  <c r="N465"/>
  <c r="I465"/>
  <c r="L465" s="1"/>
  <c r="G465" s="1"/>
  <c r="N467"/>
  <c r="I467"/>
  <c r="L467" s="1"/>
  <c r="G467" s="1"/>
  <c r="M477"/>
  <c r="G477"/>
  <c r="I480"/>
  <c r="L480" s="1"/>
  <c r="N480"/>
  <c r="M481"/>
  <c r="G481"/>
  <c r="I484"/>
  <c r="L484" s="1"/>
  <c r="N484"/>
  <c r="I509"/>
  <c r="L509" s="1"/>
  <c r="N509"/>
  <c r="M510"/>
  <c r="G510"/>
  <c r="I513"/>
  <c r="L513" s="1"/>
  <c r="N513"/>
  <c r="I522"/>
  <c r="L522" s="1"/>
  <c r="N522"/>
  <c r="N526"/>
  <c r="I526"/>
  <c r="L526" s="1"/>
  <c r="G526" s="1"/>
  <c r="H529"/>
  <c r="I529"/>
  <c r="G532"/>
  <c r="M532"/>
  <c r="M534"/>
  <c r="G534"/>
  <c r="I558"/>
  <c r="H558" s="1"/>
  <c r="L558" s="1"/>
  <c r="M558" s="1"/>
  <c r="I560"/>
  <c r="L560" s="1"/>
  <c r="N560"/>
  <c r="M561"/>
  <c r="G561"/>
  <c r="M415"/>
  <c r="M420"/>
  <c r="M426"/>
  <c r="N451"/>
  <c r="M479"/>
  <c r="M542"/>
  <c r="M546"/>
  <c r="N548"/>
  <c r="I548"/>
  <c r="H548" s="1"/>
  <c r="L548" s="1"/>
  <c r="G7"/>
  <c r="M7"/>
  <c r="M11"/>
  <c r="G11"/>
  <c r="M13"/>
  <c r="G13"/>
  <c r="M15"/>
  <c r="G15"/>
  <c r="L20"/>
  <c r="G21"/>
  <c r="M21"/>
  <c r="M23"/>
  <c r="G23"/>
  <c r="N25"/>
  <c r="M26"/>
  <c r="G26"/>
  <c r="G49"/>
  <c r="M49"/>
  <c r="M51"/>
  <c r="G51"/>
  <c r="N52"/>
  <c r="G60"/>
  <c r="M60"/>
  <c r="G65"/>
  <c r="M65"/>
  <c r="M71"/>
  <c r="G71"/>
  <c r="M72"/>
  <c r="G72"/>
  <c r="M73"/>
  <c r="G73"/>
  <c r="M74"/>
  <c r="G74"/>
  <c r="M76"/>
  <c r="G76"/>
  <c r="G79"/>
  <c r="M79"/>
  <c r="M83"/>
  <c r="G83"/>
  <c r="M84"/>
  <c r="G84"/>
  <c r="M93"/>
  <c r="G93"/>
  <c r="M98"/>
  <c r="G98"/>
  <c r="M104"/>
  <c r="G104"/>
  <c r="M107"/>
  <c r="G107"/>
  <c r="M110"/>
  <c r="G110"/>
  <c r="M6"/>
  <c r="G6"/>
  <c r="G10"/>
  <c r="M10"/>
  <c r="G12"/>
  <c r="M12"/>
  <c r="M14"/>
  <c r="G14"/>
  <c r="G16"/>
  <c r="M16"/>
  <c r="G17"/>
  <c r="M17"/>
  <c r="G18"/>
  <c r="M18"/>
  <c r="M27"/>
  <c r="G27"/>
  <c r="G29"/>
  <c r="M29"/>
  <c r="M38"/>
  <c r="G38"/>
  <c r="M43"/>
  <c r="G43"/>
  <c r="M44"/>
  <c r="G44"/>
  <c r="G48"/>
  <c r="M48"/>
  <c r="N53"/>
  <c r="M55"/>
  <c r="G55"/>
  <c r="M56"/>
  <c r="G56"/>
  <c r="G61"/>
  <c r="M61"/>
  <c r="M63"/>
  <c r="G63"/>
  <c r="G66"/>
  <c r="M66"/>
  <c r="M68"/>
  <c r="G68"/>
  <c r="M69"/>
  <c r="G69"/>
  <c r="M70"/>
  <c r="G70"/>
  <c r="M80"/>
  <c r="G80"/>
  <c r="N81"/>
  <c r="N86"/>
  <c r="L86"/>
  <c r="M94"/>
  <c r="G94"/>
  <c r="M101"/>
  <c r="G101"/>
  <c r="M102"/>
  <c r="G102"/>
  <c r="M106"/>
  <c r="G106"/>
  <c r="M109"/>
  <c r="G109"/>
  <c r="I8"/>
  <c r="L8" s="1"/>
  <c r="G19"/>
  <c r="F576"/>
  <c r="I5"/>
  <c r="G9"/>
  <c r="N17"/>
  <c r="N18"/>
  <c r="N21"/>
  <c r="M22"/>
  <c r="I25"/>
  <c r="L25" s="1"/>
  <c r="N29"/>
  <c r="G33"/>
  <c r="G34"/>
  <c r="I37"/>
  <c r="L37" s="1"/>
  <c r="G37" s="1"/>
  <c r="N38"/>
  <c r="I41"/>
  <c r="L41" s="1"/>
  <c r="G41" s="1"/>
  <c r="N43"/>
  <c r="N44"/>
  <c r="I45"/>
  <c r="H45" s="1"/>
  <c r="L45" s="1"/>
  <c r="I46"/>
  <c r="L46" s="1"/>
  <c r="G46" s="1"/>
  <c r="G47"/>
  <c r="I52"/>
  <c r="L52" s="1"/>
  <c r="I53"/>
  <c r="L53" s="1"/>
  <c r="N55"/>
  <c r="N56"/>
  <c r="N63"/>
  <c r="N68"/>
  <c r="N69"/>
  <c r="N70"/>
  <c r="N72"/>
  <c r="N73"/>
  <c r="N74"/>
  <c r="G77"/>
  <c r="G78"/>
  <c r="I81"/>
  <c r="L81" s="1"/>
  <c r="N83"/>
  <c r="N84"/>
  <c r="I87"/>
  <c r="L87" s="1"/>
  <c r="I88"/>
  <c r="L88" s="1"/>
  <c r="I89"/>
  <c r="L89" s="1"/>
  <c r="G91"/>
  <c r="L92"/>
  <c r="M99"/>
  <c r="N101"/>
  <c r="M112"/>
  <c r="M113"/>
  <c r="L114"/>
  <c r="G117"/>
  <c r="M117"/>
  <c r="G125"/>
  <c r="M125"/>
  <c r="M128"/>
  <c r="G128"/>
  <c r="M129"/>
  <c r="G129"/>
  <c r="M136"/>
  <c r="G136"/>
  <c r="N137"/>
  <c r="G147"/>
  <c r="M147"/>
  <c r="M149"/>
  <c r="M153"/>
  <c r="G153"/>
  <c r="M154"/>
  <c r="G154"/>
  <c r="M155"/>
  <c r="G155"/>
  <c r="G160"/>
  <c r="M160"/>
  <c r="M162"/>
  <c r="G162"/>
  <c r="N163"/>
  <c r="G164"/>
  <c r="M164"/>
  <c r="G167"/>
  <c r="M167"/>
  <c r="G181"/>
  <c r="M181"/>
  <c r="N183"/>
  <c r="G189"/>
  <c r="M189"/>
  <c r="G194"/>
  <c r="M194"/>
  <c r="N202"/>
  <c r="L202"/>
  <c r="G202" s="1"/>
  <c r="G203"/>
  <c r="M203"/>
  <c r="G205"/>
  <c r="M205"/>
  <c r="M210"/>
  <c r="G210"/>
  <c r="M211"/>
  <c r="G211"/>
  <c r="M214"/>
  <c r="G214"/>
  <c r="M217"/>
  <c r="G217"/>
  <c r="M220"/>
  <c r="G220"/>
  <c r="M223"/>
  <c r="G223"/>
  <c r="M224"/>
  <c r="G224"/>
  <c r="M226"/>
  <c r="G226"/>
  <c r="M227"/>
  <c r="G227"/>
  <c r="M228"/>
  <c r="G228"/>
  <c r="M232"/>
  <c r="G232"/>
  <c r="M235"/>
  <c r="G235"/>
  <c r="M236"/>
  <c r="G236"/>
  <c r="M242"/>
  <c r="G242"/>
  <c r="N248"/>
  <c r="M252"/>
  <c r="G252"/>
  <c r="M253"/>
  <c r="G253"/>
  <c r="M254"/>
  <c r="G254"/>
  <c r="M260"/>
  <c r="G260"/>
  <c r="M276"/>
  <c r="G276"/>
  <c r="M278"/>
  <c r="G278"/>
  <c r="M282"/>
  <c r="G282"/>
  <c r="M284"/>
  <c r="G284"/>
  <c r="M292"/>
  <c r="G292"/>
  <c r="M35"/>
  <c r="I40"/>
  <c r="L40" s="1"/>
  <c r="G40" s="1"/>
  <c r="M97"/>
  <c r="G97"/>
  <c r="M105"/>
  <c r="M108"/>
  <c r="M118"/>
  <c r="G118"/>
  <c r="N135"/>
  <c r="L135"/>
  <c r="G146"/>
  <c r="M146"/>
  <c r="G159"/>
  <c r="M159"/>
  <c r="G161"/>
  <c r="M161"/>
  <c r="M165"/>
  <c r="G165"/>
  <c r="G168"/>
  <c r="M168"/>
  <c r="M171"/>
  <c r="G171"/>
  <c r="M172"/>
  <c r="G172"/>
  <c r="N173"/>
  <c r="G175"/>
  <c r="M175"/>
  <c r="G177"/>
  <c r="M177"/>
  <c r="M179"/>
  <c r="G179"/>
  <c r="G182"/>
  <c r="M182"/>
  <c r="M183"/>
  <c r="G183"/>
  <c r="M184"/>
  <c r="G184"/>
  <c r="M185"/>
  <c r="G185"/>
  <c r="M186"/>
  <c r="G186"/>
  <c r="M187"/>
  <c r="G187"/>
  <c r="M195"/>
  <c r="G195"/>
  <c r="M196"/>
  <c r="G196"/>
  <c r="M197"/>
  <c r="G197"/>
  <c r="M198"/>
  <c r="G198"/>
  <c r="G204"/>
  <c r="M204"/>
  <c r="G206"/>
  <c r="M206"/>
  <c r="G209"/>
  <c r="M209"/>
  <c r="G219"/>
  <c r="M219"/>
  <c r="G222"/>
  <c r="M222"/>
  <c r="G234"/>
  <c r="M234"/>
  <c r="M240"/>
  <c r="G240"/>
  <c r="M241"/>
  <c r="G241"/>
  <c r="M246"/>
  <c r="G246"/>
  <c r="M248"/>
  <c r="G248"/>
  <c r="M249"/>
  <c r="G249"/>
  <c r="M250"/>
  <c r="G250"/>
  <c r="M256"/>
  <c r="G256"/>
  <c r="M277"/>
  <c r="G277"/>
  <c r="M281"/>
  <c r="G281"/>
  <c r="M283"/>
  <c r="G283"/>
  <c r="M285"/>
  <c r="G285"/>
  <c r="I121"/>
  <c r="H121" s="1"/>
  <c r="L121" s="1"/>
  <c r="G123"/>
  <c r="G124"/>
  <c r="N129"/>
  <c r="I130"/>
  <c r="L130" s="1"/>
  <c r="G133"/>
  <c r="N136"/>
  <c r="I137"/>
  <c r="L137" s="1"/>
  <c r="G139"/>
  <c r="G140"/>
  <c r="I143"/>
  <c r="H143" s="1"/>
  <c r="L143" s="1"/>
  <c r="G143" s="1"/>
  <c r="G144"/>
  <c r="G145"/>
  <c r="N149"/>
  <c r="G150"/>
  <c r="N153"/>
  <c r="N154"/>
  <c r="N155"/>
  <c r="G158"/>
  <c r="I163"/>
  <c r="L163" s="1"/>
  <c r="G166"/>
  <c r="N171"/>
  <c r="N172"/>
  <c r="I173"/>
  <c r="L173" s="1"/>
  <c r="G176"/>
  <c r="N179"/>
  <c r="N184"/>
  <c r="N185"/>
  <c r="N186"/>
  <c r="N187"/>
  <c r="I192"/>
  <c r="H192" s="1"/>
  <c r="L192" s="1"/>
  <c r="G192" s="1"/>
  <c r="G193"/>
  <c r="N196"/>
  <c r="N197"/>
  <c r="N198"/>
  <c r="I200"/>
  <c r="L200" s="1"/>
  <c r="G200" s="1"/>
  <c r="G208"/>
  <c r="N211"/>
  <c r="G212"/>
  <c r="N214"/>
  <c r="N217"/>
  <c r="G218"/>
  <c r="G221"/>
  <c r="N224"/>
  <c r="N226"/>
  <c r="N227"/>
  <c r="N228"/>
  <c r="G229"/>
  <c r="N232"/>
  <c r="N236"/>
  <c r="G237"/>
  <c r="I238"/>
  <c r="L238" s="1"/>
  <c r="G238" s="1"/>
  <c r="N240"/>
  <c r="N241"/>
  <c r="G243"/>
  <c r="N246"/>
  <c r="N249"/>
  <c r="N250"/>
  <c r="I251"/>
  <c r="H251" s="1"/>
  <c r="L251" s="1"/>
  <c r="N253"/>
  <c r="N254"/>
  <c r="N256"/>
  <c r="M257"/>
  <c r="M259"/>
  <c r="G259"/>
  <c r="M261"/>
  <c r="G261"/>
  <c r="I263"/>
  <c r="L263" s="1"/>
  <c r="M264"/>
  <c r="G264"/>
  <c r="M266"/>
  <c r="G266"/>
  <c r="I268"/>
  <c r="L268" s="1"/>
  <c r="I269"/>
  <c r="L269" s="1"/>
  <c r="I270"/>
  <c r="L270" s="1"/>
  <c r="I274"/>
  <c r="L274" s="1"/>
  <c r="M286"/>
  <c r="I287"/>
  <c r="L287" s="1"/>
  <c r="G289"/>
  <c r="N292"/>
  <c r="M294"/>
  <c r="G294"/>
  <c r="M295"/>
  <c r="G295"/>
  <c r="M299"/>
  <c r="G299"/>
  <c r="G302"/>
  <c r="M302"/>
  <c r="G318"/>
  <c r="M318"/>
  <c r="G326"/>
  <c r="M326"/>
  <c r="G329"/>
  <c r="M329"/>
  <c r="G333"/>
  <c r="M333"/>
  <c r="G344"/>
  <c r="M344"/>
  <c r="M351"/>
  <c r="G351"/>
  <c r="G354"/>
  <c r="M354"/>
  <c r="M356"/>
  <c r="G356"/>
  <c r="G364"/>
  <c r="M364"/>
  <c r="M365"/>
  <c r="G365"/>
  <c r="M367"/>
  <c r="M374"/>
  <c r="G374"/>
  <c r="G380"/>
  <c r="M380"/>
  <c r="G392"/>
  <c r="M392"/>
  <c r="G397"/>
  <c r="M397"/>
  <c r="M402"/>
  <c r="G402"/>
  <c r="M403"/>
  <c r="G403"/>
  <c r="M406"/>
  <c r="G406"/>
  <c r="M412"/>
  <c r="G412"/>
  <c r="M421"/>
  <c r="G421"/>
  <c r="M429"/>
  <c r="G429"/>
  <c r="M431"/>
  <c r="G431"/>
  <c r="M280"/>
  <c r="G280"/>
  <c r="M290"/>
  <c r="G290"/>
  <c r="M291"/>
  <c r="G291"/>
  <c r="G301"/>
  <c r="M301"/>
  <c r="M303"/>
  <c r="G303"/>
  <c r="M304"/>
  <c r="G304"/>
  <c r="M307"/>
  <c r="G307"/>
  <c r="G310"/>
  <c r="M310"/>
  <c r="M313"/>
  <c r="G313"/>
  <c r="G317"/>
  <c r="M317"/>
  <c r="M321"/>
  <c r="G321"/>
  <c r="M322"/>
  <c r="G322"/>
  <c r="M323"/>
  <c r="G323"/>
  <c r="M330"/>
  <c r="G330"/>
  <c r="G332"/>
  <c r="M332"/>
  <c r="G334"/>
  <c r="M334"/>
  <c r="G341"/>
  <c r="M341"/>
  <c r="M345"/>
  <c r="G345"/>
  <c r="M348"/>
  <c r="G348"/>
  <c r="G353"/>
  <c r="M353"/>
  <c r="M358"/>
  <c r="G358"/>
  <c r="M359"/>
  <c r="G359"/>
  <c r="G363"/>
  <c r="M363"/>
  <c r="G368"/>
  <c r="M368"/>
  <c r="M370"/>
  <c r="G370"/>
  <c r="M371"/>
  <c r="G371"/>
  <c r="M372"/>
  <c r="G372"/>
  <c r="G376"/>
  <c r="M376"/>
  <c r="G379"/>
  <c r="M379"/>
  <c r="M389"/>
  <c r="G389"/>
  <c r="M390"/>
  <c r="G390"/>
  <c r="M393"/>
  <c r="G393"/>
  <c r="M394"/>
  <c r="G394"/>
  <c r="M395"/>
  <c r="G395"/>
  <c r="M398"/>
  <c r="G398"/>
  <c r="N399"/>
  <c r="M418"/>
  <c r="G418"/>
  <c r="M422"/>
  <c r="G422"/>
  <c r="M428"/>
  <c r="G428"/>
  <c r="M430"/>
  <c r="G430"/>
  <c r="N295"/>
  <c r="N299"/>
  <c r="N304"/>
  <c r="N307"/>
  <c r="G308"/>
  <c r="G309"/>
  <c r="N313"/>
  <c r="I316"/>
  <c r="H316" s="1"/>
  <c r="L316" s="1"/>
  <c r="I319"/>
  <c r="L319" s="1"/>
  <c r="G319" s="1"/>
  <c r="N321"/>
  <c r="N322"/>
  <c r="N323"/>
  <c r="I324"/>
  <c r="L324" s="1"/>
  <c r="I331"/>
  <c r="H331" s="1"/>
  <c r="L331" s="1"/>
  <c r="G337"/>
  <c r="G338"/>
  <c r="G343"/>
  <c r="G346"/>
  <c r="N348"/>
  <c r="G349"/>
  <c r="L350"/>
  <c r="N351"/>
  <c r="G352"/>
  <c r="N356"/>
  <c r="G357"/>
  <c r="N359"/>
  <c r="G362"/>
  <c r="G366"/>
  <c r="N370"/>
  <c r="N371"/>
  <c r="N372"/>
  <c r="N374"/>
  <c r="I375"/>
  <c r="L375" s="1"/>
  <c r="G383"/>
  <c r="N389"/>
  <c r="N390"/>
  <c r="G391"/>
  <c r="N394"/>
  <c r="N395"/>
  <c r="I399"/>
  <c r="L399" s="1"/>
  <c r="N402"/>
  <c r="N403"/>
  <c r="N406"/>
  <c r="M409"/>
  <c r="G409"/>
  <c r="I411"/>
  <c r="L411" s="1"/>
  <c r="N412"/>
  <c r="M414"/>
  <c r="G415"/>
  <c r="M416"/>
  <c r="L424"/>
  <c r="M425"/>
  <c r="I427"/>
  <c r="L427" s="1"/>
  <c r="G427" s="1"/>
  <c r="M432"/>
  <c r="M434"/>
  <c r="G434"/>
  <c r="M435"/>
  <c r="G435"/>
  <c r="I437"/>
  <c r="L437" s="1"/>
  <c r="M446"/>
  <c r="G446"/>
  <c r="M447"/>
  <c r="G447"/>
  <c r="N449"/>
  <c r="L449"/>
  <c r="M451"/>
  <c r="G451"/>
  <c r="M452"/>
  <c r="G452"/>
  <c r="M454"/>
  <c r="G454"/>
  <c r="M455"/>
  <c r="G455"/>
  <c r="M456"/>
  <c r="G456"/>
  <c r="M460"/>
  <c r="G460"/>
  <c r="M462"/>
  <c r="G462"/>
  <c r="M469"/>
  <c r="G469"/>
  <c r="M483"/>
  <c r="G483"/>
  <c r="M491"/>
  <c r="G491"/>
  <c r="M493"/>
  <c r="G493"/>
  <c r="M509"/>
  <c r="G509"/>
  <c r="M514"/>
  <c r="G514"/>
  <c r="M535"/>
  <c r="G535"/>
  <c r="M544"/>
  <c r="G544"/>
  <c r="L327"/>
  <c r="G327" s="1"/>
  <c r="I340"/>
  <c r="L340" s="1"/>
  <c r="G340" s="1"/>
  <c r="M417"/>
  <c r="G417"/>
  <c r="G439"/>
  <c r="M439"/>
  <c r="M442"/>
  <c r="G442"/>
  <c r="M463"/>
  <c r="G463"/>
  <c r="M480"/>
  <c r="G480"/>
  <c r="M484"/>
  <c r="G484"/>
  <c r="M492"/>
  <c r="G492"/>
  <c r="N502"/>
  <c r="L502"/>
  <c r="M513"/>
  <c r="G513"/>
  <c r="M522"/>
  <c r="G522"/>
  <c r="M536"/>
  <c r="G536"/>
  <c r="M540"/>
  <c r="G540"/>
  <c r="N442"/>
  <c r="G443"/>
  <c r="G444"/>
  <c r="N446"/>
  <c r="N447"/>
  <c r="I448"/>
  <c r="H448" s="1"/>
  <c r="L448" s="1"/>
  <c r="I450"/>
  <c r="H450" s="1"/>
  <c r="L450" s="1"/>
  <c r="N452"/>
  <c r="N454"/>
  <c r="N455"/>
  <c r="N456"/>
  <c r="G457"/>
  <c r="N460"/>
  <c r="M465"/>
  <c r="M466"/>
  <c r="M467"/>
  <c r="H471"/>
  <c r="M474"/>
  <c r="M475"/>
  <c r="M476"/>
  <c r="M478"/>
  <c r="M482"/>
  <c r="G482"/>
  <c r="M486"/>
  <c r="I488"/>
  <c r="L488" s="1"/>
  <c r="I489"/>
  <c r="L489" s="1"/>
  <c r="M494"/>
  <c r="I495"/>
  <c r="L495" s="1"/>
  <c r="I497"/>
  <c r="L497" s="1"/>
  <c r="I498"/>
  <c r="L498" s="1"/>
  <c r="M499"/>
  <c r="G499"/>
  <c r="N500"/>
  <c r="L500"/>
  <c r="I501"/>
  <c r="L501" s="1"/>
  <c r="I503"/>
  <c r="L503" s="1"/>
  <c r="M505"/>
  <c r="M511"/>
  <c r="I516"/>
  <c r="L516" s="1"/>
  <c r="I517"/>
  <c r="L517" s="1"/>
  <c r="M521"/>
  <c r="G521"/>
  <c r="L524"/>
  <c r="M526"/>
  <c r="M527"/>
  <c r="M530"/>
  <c r="M533"/>
  <c r="M538"/>
  <c r="G538"/>
  <c r="M539"/>
  <c r="G539"/>
  <c r="M543"/>
  <c r="G543"/>
  <c r="M557"/>
  <c r="G557"/>
  <c r="I461"/>
  <c r="L461" s="1"/>
  <c r="M472"/>
  <c r="G472"/>
  <c r="M507"/>
  <c r="G507"/>
  <c r="M508"/>
  <c r="G508"/>
  <c r="M528"/>
  <c r="G528"/>
  <c r="N529"/>
  <c r="L529"/>
  <c r="M560"/>
  <c r="G560"/>
  <c r="M562"/>
  <c r="G562"/>
  <c r="M563"/>
  <c r="G563"/>
  <c r="H470"/>
  <c r="L470" s="1"/>
  <c r="I506"/>
  <c r="L506" s="1"/>
  <c r="G506" s="1"/>
  <c r="I541"/>
  <c r="L541" s="1"/>
  <c r="M547"/>
  <c r="G547"/>
  <c r="M549"/>
  <c r="G549"/>
  <c r="I551"/>
  <c r="L551" s="1"/>
  <c r="I552"/>
  <c r="L552" s="1"/>
  <c r="I553"/>
  <c r="L553" s="1"/>
  <c r="I554"/>
  <c r="L554" s="1"/>
  <c r="I555"/>
  <c r="L555" s="1"/>
  <c r="G558"/>
  <c r="L559"/>
  <c r="N562"/>
  <c r="M564"/>
  <c r="I567"/>
  <c r="L567" s="1"/>
  <c r="N567"/>
  <c r="N569"/>
  <c r="G571"/>
  <c r="M571"/>
  <c r="M569"/>
  <c r="G569"/>
  <c r="I568"/>
  <c r="H568" s="1"/>
  <c r="L568" s="1"/>
  <c r="G570"/>
  <c r="I574"/>
  <c r="H574" s="1"/>
  <c r="L574" s="1"/>
  <c r="M6" i="4" l="1"/>
  <c r="G6"/>
  <c r="L14"/>
  <c r="M5"/>
  <c r="G5"/>
  <c r="G14" s="1"/>
  <c r="N14"/>
  <c r="M352" i="3"/>
  <c r="P5"/>
  <c r="K352"/>
  <c r="F5"/>
  <c r="F352" s="1"/>
  <c r="L5"/>
  <c r="L352" s="1"/>
  <c r="L175" i="2"/>
  <c r="G377" i="1"/>
  <c r="M377"/>
  <c r="M115"/>
  <c r="G115"/>
  <c r="M427"/>
  <c r="M50"/>
  <c r="G50"/>
  <c r="N450"/>
  <c r="M192"/>
  <c r="G548"/>
  <c r="M548"/>
  <c r="N558"/>
  <c r="M324"/>
  <c r="G324"/>
  <c r="M173"/>
  <c r="G173"/>
  <c r="M163"/>
  <c r="G163"/>
  <c r="M137"/>
  <c r="G137"/>
  <c r="G52"/>
  <c r="M52"/>
  <c r="M25"/>
  <c r="G25"/>
  <c r="M399"/>
  <c r="G399"/>
  <c r="M81"/>
  <c r="G81"/>
  <c r="G53"/>
  <c r="M53"/>
  <c r="N574"/>
  <c r="N568"/>
  <c r="M567"/>
  <c r="G567"/>
  <c r="M559"/>
  <c r="G559"/>
  <c r="G555"/>
  <c r="M555"/>
  <c r="G553"/>
  <c r="M553"/>
  <c r="G551"/>
  <c r="M551"/>
  <c r="M529"/>
  <c r="G529"/>
  <c r="M461"/>
  <c r="G461"/>
  <c r="G516"/>
  <c r="M516"/>
  <c r="G503"/>
  <c r="M503"/>
  <c r="G500"/>
  <c r="M500"/>
  <c r="G498"/>
  <c r="M498"/>
  <c r="G495"/>
  <c r="M495"/>
  <c r="G489"/>
  <c r="M489"/>
  <c r="N470"/>
  <c r="M450"/>
  <c r="G450"/>
  <c r="M449"/>
  <c r="G449"/>
  <c r="N448"/>
  <c r="M350"/>
  <c r="G350"/>
  <c r="M340"/>
  <c r="N316"/>
  <c r="M327"/>
  <c r="M319"/>
  <c r="G274"/>
  <c r="M274"/>
  <c r="G270"/>
  <c r="M270"/>
  <c r="G268"/>
  <c r="M268"/>
  <c r="M251"/>
  <c r="G251"/>
  <c r="M121"/>
  <c r="G121"/>
  <c r="M200"/>
  <c r="M143"/>
  <c r="N121"/>
  <c r="M202"/>
  <c r="N143"/>
  <c r="M92"/>
  <c r="G92"/>
  <c r="G88"/>
  <c r="M88"/>
  <c r="M45"/>
  <c r="G45"/>
  <c r="M8"/>
  <c r="G8"/>
  <c r="N45"/>
  <c r="M37"/>
  <c r="M46"/>
  <c r="M20"/>
  <c r="G20"/>
  <c r="M574"/>
  <c r="G574"/>
  <c r="M568"/>
  <c r="G568"/>
  <c r="G554"/>
  <c r="M554"/>
  <c r="G552"/>
  <c r="M552"/>
  <c r="M541"/>
  <c r="G541"/>
  <c r="M470"/>
  <c r="G470"/>
  <c r="M524"/>
  <c r="G524"/>
  <c r="G517"/>
  <c r="M517"/>
  <c r="G501"/>
  <c r="M501"/>
  <c r="G497"/>
  <c r="M497"/>
  <c r="G488"/>
  <c r="M488"/>
  <c r="L471"/>
  <c r="N471"/>
  <c r="M448"/>
  <c r="G448"/>
  <c r="G502"/>
  <c r="M502"/>
  <c r="M506"/>
  <c r="G437"/>
  <c r="M437"/>
  <c r="M424"/>
  <c r="G424"/>
  <c r="G411"/>
  <c r="M411"/>
  <c r="M331"/>
  <c r="G331"/>
  <c r="M316"/>
  <c r="G316"/>
  <c r="M375"/>
  <c r="G375"/>
  <c r="N331"/>
  <c r="G287"/>
  <c r="M287"/>
  <c r="G269"/>
  <c r="M269"/>
  <c r="G263"/>
  <c r="M263"/>
  <c r="N251"/>
  <c r="M135"/>
  <c r="G135"/>
  <c r="M130"/>
  <c r="G130"/>
  <c r="M238"/>
  <c r="N192"/>
  <c r="M114"/>
  <c r="G114"/>
  <c r="G89"/>
  <c r="M89"/>
  <c r="M87"/>
  <c r="G87"/>
  <c r="I576"/>
  <c r="L5"/>
  <c r="G86"/>
  <c r="M86"/>
  <c r="M40"/>
  <c r="M41"/>
  <c r="H576"/>
  <c r="M14" i="4" l="1"/>
  <c r="P352" i="3"/>
  <c r="R5"/>
  <c r="R352" s="1"/>
  <c r="L576" i="1"/>
  <c r="G5"/>
  <c r="M5"/>
  <c r="M576" s="1"/>
  <c r="M471"/>
  <c r="G471"/>
  <c r="N576"/>
  <c r="G576" l="1"/>
</calcChain>
</file>

<file path=xl/sharedStrings.xml><?xml version="1.0" encoding="utf-8"?>
<sst xmlns="http://schemas.openxmlformats.org/spreadsheetml/2006/main" count="5946" uniqueCount="1805">
  <si>
    <t>KOPERASI KARYAWAN BCA " MITRA SEJAHTERA " SURABAYA</t>
  </si>
  <si>
    <t>DAFTAR PINJAMAN DILUAR NORMATIF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</si>
  <si>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</si>
  <si>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</si>
  <si>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</si>
  <si>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</si>
  <si>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</si>
  <si>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</si>
  <si>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</si>
  <si>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</si>
  <si>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</si>
  <si>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</si>
  <si>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</si>
  <si>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</si>
  <si>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</si>
  <si>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</si>
  <si>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</si>
  <si>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</si>
  <si>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</si>
  <si>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</si>
  <si>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</si>
  <si>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</si>
  <si>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</si>
  <si>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</si>
  <si>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</si>
  <si>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</si>
  <si>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</si>
  <si>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</si>
  <si>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</si>
  <si>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</si>
  <si>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</si>
  <si>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</si>
  <si>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</si>
  <si>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</si>
  <si>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</si>
  <si>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</si>
  <si>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</si>
  <si>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</si>
  <si>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</si>
  <si>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</si>
  <si>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</si>
  <si>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</si>
  <si>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</si>
  <si>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</si>
  <si>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</si>
  <si>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</si>
  <si>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</si>
  <si>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</si>
  <si>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</si>
  <si>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</si>
  <si>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</si>
  <si>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</si>
  <si>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</si>
  <si>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</si>
  <si>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</si>
  <si>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</si>
  <si>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GERADINA ROSA</t>
  </si>
  <si>
    <t>005979</t>
  </si>
  <si>
    <t>009043</t>
  </si>
  <si>
    <t>BCA MAYJEND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</si>
  <si>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</si>
  <si>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</si>
  <si>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</si>
  <si>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</si>
  <si>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</si>
  <si>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</si>
  <si>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</si>
  <si>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</si>
  <si>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</si>
  <si>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</si>
  <si>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</si>
  <si>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</si>
  <si>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</si>
  <si>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</si>
  <si>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</si>
  <si>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</si>
  <si>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</si>
  <si>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</si>
  <si>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</si>
  <si>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</si>
  <si>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</si>
  <si>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</si>
  <si>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</si>
  <si>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</si>
  <si>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</si>
  <si>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</si>
  <si>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</si>
  <si>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</si>
  <si>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</si>
  <si>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</si>
  <si>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CATUR GANJAR S</t>
  </si>
  <si>
    <t>001700</t>
  </si>
  <si>
    <t>SATPAM KOPERASI</t>
  </si>
  <si>
    <t>PIJ DILUAR NOR TMBHN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</si>
  <si>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</si>
  <si>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</si>
  <si>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</si>
  <si>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</si>
  <si>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</si>
  <si>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</si>
  <si>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</si>
  <si>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</si>
  <si>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</si>
  <si>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</si>
  <si>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</si>
  <si>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</si>
  <si>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</si>
  <si>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</si>
  <si>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</si>
  <si>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</si>
  <si>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</si>
  <si>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</si>
  <si>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</si>
  <si>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</si>
  <si>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</si>
  <si>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</si>
  <si>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</si>
  <si>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</si>
  <si>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</si>
  <si>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</si>
  <si>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</si>
  <si>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</si>
  <si>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</si>
  <si>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</si>
  <si>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</si>
  <si>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</si>
  <si>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</si>
  <si>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</si>
  <si>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</si>
  <si>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</si>
  <si>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</si>
  <si>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</si>
  <si>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</si>
  <si>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</si>
  <si>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009605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</si>
  <si>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</si>
  <si>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</si>
  <si>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</si>
  <si>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</si>
  <si>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</si>
  <si>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</si>
  <si>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</si>
  <si>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</si>
  <si>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</si>
  <si>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</si>
  <si>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</si>
  <si>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</si>
  <si>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</si>
  <si>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</si>
  <si>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</si>
  <si>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</si>
  <si>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</si>
  <si>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</si>
  <si>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</si>
  <si>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</si>
  <si>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</si>
  <si>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</si>
  <si>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</si>
  <si>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</si>
  <si>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</si>
  <si>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</si>
  <si>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</si>
  <si>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</si>
  <si>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</si>
  <si>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</si>
  <si>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</si>
  <si>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</si>
  <si>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</si>
  <si>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</si>
  <si>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</si>
  <si>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</si>
  <si>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</si>
  <si>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</si>
  <si>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</si>
  <si>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</si>
  <si>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</si>
  <si>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</si>
  <si>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</si>
  <si>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</si>
  <si>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</si>
  <si>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</si>
  <si>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</si>
  <si>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</si>
  <si>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</si>
  <si>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SOEPARIADJI</t>
  </si>
  <si>
    <t>853365</t>
  </si>
  <si>
    <t>007608</t>
  </si>
  <si>
    <t>PRAMUKARYA BCA SDA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</si>
  <si>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</si>
  <si>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</si>
  <si>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</si>
  <si>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</si>
  <si>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</si>
  <si>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</si>
  <si>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</si>
  <si>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</si>
  <si>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</si>
  <si>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</si>
  <si>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</si>
  <si>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</si>
  <si>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</si>
  <si>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</si>
  <si>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</si>
  <si>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</si>
  <si>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</si>
  <si>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</si>
  <si>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</si>
  <si>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</si>
  <si>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</si>
  <si>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</si>
  <si>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</si>
  <si>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</si>
  <si>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</si>
  <si>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</si>
  <si>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</si>
  <si>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</si>
  <si>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</si>
  <si>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</si>
  <si>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</si>
  <si>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</si>
  <si>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</si>
  <si>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</si>
  <si>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</si>
  <si>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</si>
  <si>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</si>
  <si>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</si>
  <si>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</si>
  <si>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</si>
  <si>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</si>
  <si>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</si>
  <si>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</si>
  <si>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</si>
  <si>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</si>
  <si>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</si>
  <si>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</si>
  <si>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</si>
  <si>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</si>
  <si>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</si>
  <si>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</si>
  <si>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</si>
  <si>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</si>
  <si>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</si>
  <si>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</si>
  <si>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</si>
  <si>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</si>
  <si>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</si>
  <si>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</si>
  <si>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</si>
  <si>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</si>
  <si>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</si>
  <si>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</si>
  <si>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</si>
  <si>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</si>
  <si>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</si>
  <si>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</si>
  <si>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</si>
  <si>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</si>
  <si>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</si>
  <si>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</si>
  <si>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</si>
  <si>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</si>
  <si>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</si>
  <si>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R.A. DWI HARINI</t>
  </si>
  <si>
    <t>896942</t>
  </si>
  <si>
    <t>001552</t>
  </si>
  <si>
    <t>BCA DARMO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</si>
  <si>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</si>
  <si>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</si>
  <si>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</si>
  <si>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</si>
  <si>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</si>
  <si>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</si>
  <si>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</si>
  <si>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</si>
  <si>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</si>
  <si>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</si>
  <si>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</si>
  <si>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</si>
  <si>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</si>
  <si>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</si>
  <si>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</si>
  <si>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</si>
  <si>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</si>
  <si>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</si>
  <si>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</si>
  <si>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</si>
  <si>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</si>
  <si>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</si>
  <si>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</si>
  <si>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</si>
  <si>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</si>
  <si>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</si>
  <si>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</si>
  <si>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</si>
  <si>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</si>
  <si>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</si>
  <si>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</si>
  <si>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</si>
  <si>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</si>
  <si>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</si>
  <si>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</si>
  <si>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</si>
  <si>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</si>
  <si>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</si>
  <si>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</si>
  <si>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</si>
  <si>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</si>
  <si>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</si>
  <si>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</si>
  <si>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</si>
  <si>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</si>
  <si>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</si>
  <si>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</si>
  <si>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</si>
  <si>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</si>
  <si>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</si>
  <si>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</si>
  <si>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</si>
  <si>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</si>
  <si>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</si>
  <si>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</si>
  <si>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</si>
  <si>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</si>
  <si>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</si>
  <si>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</si>
  <si>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</si>
  <si>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</si>
  <si>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</si>
  <si>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</si>
  <si>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</si>
  <si>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</si>
  <si>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</si>
  <si>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</si>
  <si>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</si>
  <si>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</si>
  <si>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</si>
  <si>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</si>
  <si>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</si>
  <si>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</si>
  <si>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</si>
  <si>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</si>
  <si>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</si>
  <si>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</si>
  <si>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SURJONO</t>
  </si>
  <si>
    <t>898840</t>
  </si>
  <si>
    <t>002054</t>
  </si>
  <si>
    <t>SIW KW 3 DARMO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</si>
  <si>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</si>
  <si>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</si>
  <si>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</si>
  <si>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</si>
  <si>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</si>
  <si>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</si>
  <si>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</si>
  <si>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</si>
  <si>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</si>
  <si>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</si>
  <si>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</si>
  <si>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</si>
  <si>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</si>
  <si>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</si>
  <si>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</si>
  <si>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</si>
  <si>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</si>
  <si>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</si>
  <si>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</si>
  <si>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</si>
  <si>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</si>
  <si>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</si>
  <si>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</si>
  <si>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</si>
  <si>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</si>
  <si>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</si>
  <si>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</si>
  <si>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</si>
  <si>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</si>
  <si>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</si>
  <si>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</si>
  <si>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</si>
  <si>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</si>
  <si>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</si>
  <si>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</si>
  <si>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</si>
  <si>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</si>
  <si>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</si>
  <si>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</si>
  <si>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</si>
  <si>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</si>
  <si>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</si>
  <si>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</si>
  <si>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</si>
  <si>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</si>
  <si>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</si>
  <si>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</si>
  <si>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</si>
  <si>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</si>
  <si>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</si>
  <si>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</si>
  <si>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</si>
  <si>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</si>
  <si>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</si>
  <si>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</si>
  <si>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</si>
  <si>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</si>
  <si>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</si>
  <si>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</si>
  <si>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</si>
  <si>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</si>
  <si>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</si>
  <si>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</si>
  <si>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</si>
  <si>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</si>
  <si>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</si>
  <si>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</si>
  <si>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</si>
  <si>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</si>
  <si>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</si>
  <si>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</si>
  <si>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</si>
  <si>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</si>
  <si>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</si>
  <si>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</si>
  <si>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</si>
  <si>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</si>
  <si>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</si>
  <si>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</si>
  <si>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</si>
  <si>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</si>
  <si>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</si>
  <si>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</si>
  <si>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</si>
  <si>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</si>
  <si>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</si>
  <si>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</si>
  <si>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</si>
  <si>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</si>
  <si>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</si>
  <si>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</si>
  <si>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</si>
  <si>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</si>
  <si>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</si>
  <si>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</si>
  <si>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</si>
  <si>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</si>
  <si>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</si>
  <si>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</si>
  <si>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</si>
  <si>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</si>
  <si>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</si>
  <si>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</si>
  <si>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</si>
  <si>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</si>
  <si>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</si>
  <si>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</si>
  <si>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</si>
  <si>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</si>
  <si>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</si>
  <si>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</si>
  <si>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</si>
  <si>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</si>
  <si>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</si>
  <si>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</si>
  <si>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</si>
  <si>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</si>
  <si>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</si>
  <si>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</si>
  <si>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</si>
  <si>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</si>
  <si>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M. HOJALI</t>
  </si>
  <si>
    <t>902098</t>
  </si>
  <si>
    <t>WAKHIDAH NURHAYATI</t>
  </si>
  <si>
    <t>902248</t>
  </si>
  <si>
    <t>009520</t>
  </si>
  <si>
    <t>BCA DELTA PLAZA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</si>
  <si>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</si>
  <si>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</si>
  <si>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</si>
  <si>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</si>
  <si>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</si>
  <si>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</si>
  <si>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</si>
  <si>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</si>
  <si>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</si>
  <si>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</si>
  <si>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</si>
  <si>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</si>
  <si>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</si>
  <si>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</si>
  <si>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</si>
  <si>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</si>
  <si>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</si>
  <si>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</si>
  <si>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</si>
  <si>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</si>
  <si>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</si>
  <si>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</si>
  <si>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</si>
  <si>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</si>
  <si>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</si>
  <si>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</si>
  <si>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</si>
  <si>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</si>
  <si>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</si>
  <si>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</si>
  <si>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</si>
  <si>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</si>
  <si>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</si>
  <si>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</si>
  <si>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</si>
  <si>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</si>
  <si>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</si>
  <si>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</si>
  <si>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</si>
  <si>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</si>
  <si>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</si>
  <si>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</si>
  <si>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</si>
  <si>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</si>
  <si>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</si>
  <si>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</si>
  <si>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</si>
  <si>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</si>
  <si>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</si>
  <si>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</si>
  <si>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</si>
  <si>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</si>
  <si>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</si>
  <si>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</si>
  <si>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</si>
  <si>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</si>
  <si>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</si>
  <si>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</si>
  <si>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</si>
  <si>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</si>
  <si>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</si>
  <si>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</si>
  <si>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</si>
  <si>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</si>
  <si>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</si>
  <si>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</si>
  <si>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</si>
  <si>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</si>
  <si>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</si>
  <si>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</si>
  <si>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</si>
  <si>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</si>
  <si>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</si>
  <si>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</si>
  <si>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</si>
  <si>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</si>
  <si>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</si>
  <si>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</si>
  <si>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</si>
  <si>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</si>
  <si>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</si>
  <si>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</si>
  <si>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</si>
  <si>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</si>
  <si>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</si>
  <si>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</si>
  <si>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</si>
  <si>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</si>
  <si>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</si>
  <si>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</si>
  <si>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</si>
  <si>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</si>
  <si>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</si>
  <si>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</si>
  <si>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</si>
  <si>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</si>
  <si>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</si>
  <si>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</si>
  <si>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</si>
  <si>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</si>
  <si>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</si>
  <si>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</si>
  <si>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</si>
  <si>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</si>
  <si>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</si>
  <si>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</si>
  <si>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</si>
  <si>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</si>
  <si>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</si>
  <si>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</si>
  <si>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</si>
  <si>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</si>
  <si>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</si>
  <si>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</si>
  <si>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</si>
  <si>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</si>
  <si>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</si>
  <si>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</si>
  <si>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</si>
  <si>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</si>
  <si>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</si>
  <si>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</si>
  <si>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</si>
  <si>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</si>
  <si>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</si>
  <si>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</si>
  <si>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</si>
  <si>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</si>
  <si>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</si>
  <si>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</si>
  <si>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</si>
  <si>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</si>
  <si>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</si>
  <si>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</si>
  <si>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</si>
  <si>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RONY OWEN DINATA</t>
  </si>
  <si>
    <t>911099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</si>
  <si>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</si>
  <si>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</si>
  <si>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</si>
  <si>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</si>
  <si>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</si>
  <si>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</si>
  <si>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</si>
  <si>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</si>
  <si>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</si>
  <si>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</si>
  <si>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</si>
  <si>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</si>
  <si>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</si>
  <si>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</si>
  <si>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</si>
  <si>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</si>
  <si>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</si>
  <si>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</si>
  <si>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</si>
  <si>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</si>
  <si>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</si>
  <si>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</si>
  <si>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</si>
  <si>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</si>
  <si>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</si>
  <si>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</si>
  <si>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</si>
  <si>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</si>
  <si>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</si>
  <si>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</si>
  <si>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</si>
  <si>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</si>
  <si>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</si>
  <si>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</si>
  <si>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</si>
  <si>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</si>
  <si>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</si>
  <si>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</si>
  <si>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</si>
  <si>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</si>
  <si>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</si>
  <si>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</si>
  <si>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</si>
  <si>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</si>
  <si>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</si>
  <si>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</si>
  <si>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</si>
  <si>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</si>
  <si>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</si>
  <si>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</si>
  <si>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</si>
  <si>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</si>
  <si>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</si>
  <si>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</si>
  <si>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</si>
  <si>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</si>
  <si>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</si>
  <si>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</si>
  <si>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</si>
  <si>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</si>
  <si>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</si>
  <si>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</si>
  <si>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</si>
  <si>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</si>
  <si>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</si>
  <si>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</si>
  <si>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</si>
  <si>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</si>
  <si>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</si>
  <si>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</si>
  <si>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</si>
  <si>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</si>
  <si>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</si>
  <si>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</si>
  <si>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</si>
  <si>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</si>
  <si>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</si>
  <si>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</si>
  <si>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</si>
  <si>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</si>
  <si>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</si>
  <si>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</si>
  <si>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</si>
  <si>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</si>
  <si>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</si>
  <si>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</si>
  <si>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</si>
  <si>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</si>
  <si>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</si>
  <si>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</si>
  <si>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</si>
  <si>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</si>
  <si>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</si>
  <si>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</si>
  <si>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</si>
  <si>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</si>
  <si>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</si>
  <si>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</si>
  <si>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</si>
  <si>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</si>
  <si>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</si>
  <si>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</si>
  <si>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</si>
  <si>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</si>
  <si>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</si>
  <si>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</si>
  <si>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</si>
  <si>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</si>
  <si>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</si>
  <si>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</si>
  <si>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</si>
  <si>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</si>
  <si>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</si>
  <si>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</si>
  <si>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</si>
  <si>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</si>
  <si>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</si>
  <si>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</si>
  <si>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</si>
  <si>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</si>
  <si>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</si>
  <si>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</si>
  <si>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</si>
  <si>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</si>
  <si>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</si>
  <si>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</si>
  <si>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</si>
  <si>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</si>
  <si>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</si>
  <si>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</si>
  <si>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</si>
  <si>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</si>
  <si>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</si>
  <si>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</si>
  <si>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</si>
  <si>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</si>
  <si>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</si>
  <si>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</si>
  <si>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</si>
  <si>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</si>
  <si>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</si>
  <si>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</si>
  <si>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</si>
  <si>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</si>
  <si>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</si>
  <si>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</si>
  <si>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</si>
  <si>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</si>
  <si>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</si>
  <si>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</si>
  <si>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</si>
  <si>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</si>
  <si>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</si>
  <si>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</si>
  <si>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</si>
  <si>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</si>
  <si>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</si>
  <si>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</si>
  <si>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</si>
  <si>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</si>
  <si>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</si>
  <si>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</si>
  <si>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</si>
  <si>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</si>
  <si>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</si>
  <si>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</si>
  <si>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</si>
  <si>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</si>
  <si>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</si>
  <si>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</si>
  <si>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</si>
  <si>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</si>
  <si>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</si>
  <si>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</si>
  <si>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</si>
  <si>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</si>
  <si>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</si>
  <si>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</si>
  <si>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</si>
  <si>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</si>
  <si>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</si>
  <si>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</si>
  <si>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</si>
  <si>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</si>
  <si>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</si>
  <si>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</si>
  <si>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</si>
  <si>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</si>
  <si>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</si>
  <si>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</si>
  <si>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</si>
  <si>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</si>
  <si>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</si>
  <si>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</si>
  <si>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</si>
  <si>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</si>
  <si>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</si>
  <si>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</si>
  <si>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</si>
  <si>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</si>
  <si>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</si>
  <si>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</si>
  <si>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</si>
  <si>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</si>
  <si>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</si>
  <si>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</si>
  <si>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</si>
  <si>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</si>
  <si>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</si>
  <si>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</si>
  <si>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</si>
  <si>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</si>
  <si>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</si>
  <si>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</si>
  <si>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</si>
  <si>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</si>
  <si>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</si>
  <si>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JAYADI</t>
  </si>
  <si>
    <t>921450</t>
  </si>
  <si>
    <t>009829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</si>
  <si>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</si>
  <si>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</si>
  <si>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</si>
  <si>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</si>
  <si>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</si>
  <si>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</si>
  <si>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</si>
  <si>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</si>
  <si>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</si>
  <si>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</si>
  <si>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</si>
  <si>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</si>
  <si>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</si>
  <si>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</si>
  <si>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</si>
  <si>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</si>
  <si>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</si>
  <si>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</si>
  <si>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</si>
  <si>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SETYO WIDARTI</t>
  </si>
  <si>
    <t>921694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</si>
  <si>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</si>
  <si>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</si>
  <si>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</si>
  <si>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</si>
  <si>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</si>
  <si>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</si>
  <si>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</si>
  <si>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</si>
  <si>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</si>
  <si>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</si>
  <si>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</si>
  <si>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</si>
  <si>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</si>
  <si>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</si>
  <si>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</si>
  <si>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</si>
  <si>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</si>
  <si>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</si>
  <si>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</si>
  <si>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</si>
  <si>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</si>
  <si>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</si>
  <si>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</si>
  <si>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</si>
  <si>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</si>
  <si>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</si>
  <si>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</si>
  <si>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</si>
  <si>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</si>
  <si>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</si>
  <si>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</si>
  <si>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</si>
  <si>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</si>
  <si>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</si>
  <si>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</si>
  <si>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</si>
  <si>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</si>
  <si>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</si>
  <si>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</si>
  <si>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</si>
  <si>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</si>
  <si>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</si>
  <si>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</si>
  <si>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</si>
  <si>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</si>
  <si>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</si>
  <si>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</si>
  <si>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</si>
  <si>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</si>
  <si>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</si>
  <si>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</si>
  <si>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</si>
  <si>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</si>
  <si>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</si>
  <si>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</si>
  <si>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</si>
  <si>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</si>
  <si>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</si>
  <si>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</si>
  <si>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</si>
  <si>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</si>
  <si>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</si>
  <si>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</si>
  <si>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</si>
  <si>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</si>
  <si>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</si>
  <si>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</si>
  <si>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</si>
  <si>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</si>
  <si>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</si>
  <si>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</si>
  <si>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</si>
  <si>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</si>
  <si>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</si>
  <si>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</si>
  <si>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</si>
  <si>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</si>
  <si>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</si>
  <si>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</si>
  <si>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</si>
  <si>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</si>
  <si>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</si>
  <si>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</si>
  <si>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</si>
  <si>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</si>
  <si>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</si>
  <si>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</si>
  <si>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</si>
  <si>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</si>
  <si>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</si>
  <si>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</si>
  <si>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</si>
  <si>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</si>
  <si>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</si>
  <si>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</si>
  <si>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</si>
  <si>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</si>
  <si>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</si>
  <si>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</si>
  <si>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</si>
  <si>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</si>
  <si>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</si>
  <si>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</si>
  <si>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</si>
  <si>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</si>
  <si>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</si>
  <si>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</si>
  <si>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</si>
  <si>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</si>
  <si>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</si>
  <si>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</si>
  <si>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</si>
  <si>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</si>
  <si>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</si>
  <si>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</si>
  <si>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</si>
  <si>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</si>
  <si>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</si>
  <si>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</si>
  <si>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</si>
  <si>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</si>
  <si>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</si>
  <si>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</si>
  <si>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</si>
  <si>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</si>
  <si>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</si>
  <si>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</si>
  <si>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</si>
  <si>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</si>
  <si>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</si>
  <si>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</si>
  <si>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</si>
  <si>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</si>
  <si>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</si>
  <si>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</si>
  <si>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</si>
  <si>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</si>
  <si>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</si>
  <si>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</si>
  <si>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</si>
  <si>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</si>
  <si>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</si>
  <si>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</si>
  <si>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</si>
  <si>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</si>
  <si>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</si>
  <si>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</si>
  <si>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</si>
  <si>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</si>
  <si>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</si>
  <si>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</si>
  <si>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</si>
  <si>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</si>
  <si>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</si>
  <si>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</si>
  <si>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</si>
  <si>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</si>
  <si>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</si>
  <si>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</si>
  <si>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</si>
  <si>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</si>
  <si>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</si>
  <si>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</si>
  <si>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</si>
  <si>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</si>
  <si>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</si>
  <si>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</si>
  <si>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</si>
  <si>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</si>
  <si>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</si>
  <si>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</si>
  <si>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</si>
  <si>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</si>
  <si>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</si>
  <si>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</si>
  <si>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</si>
  <si>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</si>
  <si>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</si>
  <si>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</si>
  <si>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</si>
  <si>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</si>
  <si>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</si>
  <si>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</si>
  <si>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</si>
  <si>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</si>
  <si>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</si>
  <si>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</si>
  <si>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</si>
  <si>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</si>
  <si>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</si>
  <si>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</si>
  <si>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</si>
  <si>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</si>
  <si>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</si>
  <si>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</si>
  <si>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</si>
  <si>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</si>
  <si>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</si>
  <si>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</si>
  <si>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</si>
  <si>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ASWIN MARDIANTO</t>
  </si>
  <si>
    <t>970172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</si>
  <si>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</si>
  <si>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</si>
  <si>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</si>
  <si>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</si>
  <si>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</si>
  <si>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</si>
  <si>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</si>
  <si>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</si>
  <si>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</si>
  <si>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</si>
  <si>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ANA REKASARI</t>
  </si>
  <si>
    <t>970337</t>
  </si>
  <si>
    <t>BO KCU VETERAN</t>
  </si>
  <si>
    <t>009053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</si>
  <si>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</si>
  <si>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</si>
  <si>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</si>
  <si>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</si>
  <si>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</si>
  <si>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</si>
  <si>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</si>
  <si>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</si>
  <si>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</si>
  <si>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</si>
  <si>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</si>
  <si>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</si>
  <si>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</si>
  <si>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</si>
  <si>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</si>
  <si>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</si>
  <si>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</si>
  <si>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</si>
  <si>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</si>
  <si>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</si>
  <si>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JONY YACUBUS</t>
  </si>
  <si>
    <t>970677</t>
  </si>
  <si>
    <t>MICHELSEN</t>
  </si>
  <si>
    <t>971755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</si>
  <si>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</si>
  <si>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</si>
  <si>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</si>
  <si>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</si>
  <si>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</si>
  <si>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</si>
  <si>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</si>
  <si>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</si>
  <si>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</si>
  <si>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</si>
  <si>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</si>
  <si>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</si>
  <si>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</si>
  <si>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</si>
  <si>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</si>
  <si>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</si>
  <si>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</si>
  <si>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</si>
  <si>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</si>
  <si>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</si>
  <si>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</si>
  <si>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</si>
  <si>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</si>
  <si>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</si>
  <si>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</si>
  <si>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</si>
  <si>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</si>
  <si>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</si>
  <si>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</si>
  <si>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</si>
  <si>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</si>
  <si>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</si>
  <si>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</si>
  <si>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</si>
  <si>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</si>
  <si>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</si>
  <si>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</si>
  <si>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</si>
  <si>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</si>
  <si>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</si>
  <si>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</si>
  <si>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</si>
  <si>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</si>
  <si>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</si>
  <si>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</si>
  <si>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</si>
  <si>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</si>
  <si>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</si>
  <si>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</si>
  <si>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</si>
  <si>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</si>
  <si>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008944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</si>
  <si>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</si>
  <si>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</si>
  <si>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</si>
  <si>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</si>
  <si>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</si>
  <si>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</si>
  <si>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</si>
  <si>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</si>
  <si>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</si>
  <si>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</si>
  <si>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</si>
  <si>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</si>
  <si>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</si>
  <si>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</si>
  <si>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</si>
  <si>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</si>
  <si>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</si>
  <si>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</si>
  <si>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</si>
  <si>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</si>
  <si>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</si>
  <si>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</si>
  <si>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</si>
  <si>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</si>
  <si>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</si>
  <si>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</si>
  <si>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</si>
  <si>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</si>
  <si>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</si>
  <si>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</si>
  <si>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</si>
  <si>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</si>
  <si>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</si>
  <si>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</si>
  <si>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</si>
  <si>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</si>
  <si>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</si>
  <si>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</si>
  <si>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</si>
  <si>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</si>
  <si>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</si>
  <si>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</si>
  <si>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</si>
  <si>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</si>
  <si>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</si>
  <si>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</si>
  <si>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</si>
  <si>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</si>
  <si>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</si>
  <si>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</si>
  <si>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</si>
  <si>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</si>
  <si>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</si>
  <si>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</si>
  <si>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</si>
  <si>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</si>
  <si>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</si>
  <si>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</si>
  <si>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</si>
  <si>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</si>
  <si>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</si>
  <si>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</si>
  <si>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</si>
  <si>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</si>
  <si>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</si>
  <si>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</si>
  <si>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</si>
  <si>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</si>
  <si>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VERONICA LINDA</t>
  </si>
  <si>
    <t>974032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</si>
  <si>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</si>
  <si>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</si>
  <si>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</si>
  <si>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</si>
  <si>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</si>
  <si>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</si>
  <si>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</si>
  <si>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</si>
  <si>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</si>
  <si>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</si>
  <si>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</si>
  <si>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</si>
  <si>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</si>
  <si>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</si>
  <si>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</si>
  <si>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</si>
  <si>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</si>
  <si>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</si>
  <si>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</si>
  <si>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</si>
  <si>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</si>
  <si>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</si>
  <si>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</si>
  <si>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</si>
  <si>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</si>
  <si>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</si>
  <si>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</si>
  <si>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</si>
  <si>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</si>
  <si>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</si>
  <si>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</si>
  <si>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</si>
  <si>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</si>
  <si>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</si>
  <si>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</si>
  <si>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</si>
  <si>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</si>
  <si>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</si>
  <si>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</si>
  <si>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</si>
  <si>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</si>
  <si>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</si>
  <si>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</si>
  <si>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</si>
  <si>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</si>
  <si>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</si>
  <si>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</si>
  <si>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</si>
  <si>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</si>
  <si>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</si>
  <si>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</si>
  <si>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</si>
  <si>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</si>
  <si>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</si>
  <si>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</si>
  <si>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</si>
  <si>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</si>
  <si>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</si>
  <si>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</si>
  <si>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</si>
  <si>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</si>
  <si>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</si>
  <si>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</si>
  <si>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HENY RUSDIANA</t>
  </si>
  <si>
    <t>975392</t>
  </si>
  <si>
    <t>009617</t>
  </si>
  <si>
    <t>001885</t>
  </si>
  <si>
    <t>002207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</si>
  <si>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</si>
  <si>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</si>
  <si>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</si>
  <si>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</si>
  <si>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</si>
  <si>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</si>
  <si>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</si>
  <si>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</si>
  <si>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</si>
  <si>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</si>
  <si>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</si>
  <si>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</si>
  <si>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</si>
  <si>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</si>
  <si>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</si>
  <si>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</si>
  <si>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</si>
  <si>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YENI RAHMAWATI</t>
  </si>
  <si>
    <t>976160</t>
  </si>
  <si>
    <t>010278</t>
  </si>
  <si>
    <t>STAF BCA RUNGKUT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</si>
  <si>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</si>
  <si>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</si>
  <si>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</si>
  <si>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</si>
  <si>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</si>
  <si>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</si>
  <si>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</si>
  <si>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</si>
  <si>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</si>
  <si>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</si>
  <si>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</si>
  <si>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</si>
  <si>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</si>
  <si>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</si>
  <si>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</si>
  <si>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</si>
  <si>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</si>
  <si>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</si>
  <si>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RUDI HANDOKO</t>
  </si>
  <si>
    <t>977398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</si>
  <si>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</si>
  <si>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</si>
  <si>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</si>
  <si>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</si>
  <si>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</si>
  <si>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</si>
  <si>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</si>
  <si>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</si>
  <si>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</si>
  <si>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</si>
  <si>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</si>
  <si>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</si>
  <si>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</si>
  <si>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</si>
  <si>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</si>
  <si>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</si>
  <si>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</si>
  <si>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</si>
  <si>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</si>
  <si>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</si>
  <si>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</si>
  <si>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</si>
  <si>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</si>
  <si>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</si>
  <si>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009288</t>
  </si>
  <si>
    <t>CS BCA KUSUMABANGSA</t>
  </si>
  <si>
    <t>009976</t>
  </si>
  <si>
    <t>KABAG CSO BCA SEMUT</t>
  </si>
  <si>
    <t>CHIN BUI LIONG</t>
  </si>
  <si>
    <t>972647</t>
  </si>
  <si>
    <t>009484</t>
  </si>
  <si>
    <t>002348</t>
  </si>
  <si>
    <t>RECOVERY PIJ DILUAR N TMBHN</t>
  </si>
  <si>
    <t>SUWARNO ARIFIN</t>
  </si>
  <si>
    <t>970748</t>
  </si>
  <si>
    <t>002572</t>
  </si>
  <si>
    <t>PEMB KW 3 DARMO</t>
  </si>
  <si>
    <t>010267</t>
  </si>
  <si>
    <t>KABAG OPS BCA RGKT</t>
  </si>
  <si>
    <t>MUKAFFI</t>
  </si>
  <si>
    <t>922012</t>
  </si>
  <si>
    <t>002013</t>
  </si>
  <si>
    <t>RECOVERY PIJ DILUAR N</t>
  </si>
  <si>
    <t>DADANG PRIJONGGO</t>
  </si>
  <si>
    <t>912806</t>
  </si>
  <si>
    <t>009249</t>
  </si>
  <si>
    <t>KK BCA KEDUNGDORO</t>
  </si>
  <si>
    <t>KRISTINA DWI MAYA</t>
  </si>
  <si>
    <t>973274</t>
  </si>
  <si>
    <t>002195</t>
  </si>
  <si>
    <t>SRI UNTARI</t>
  </si>
  <si>
    <t>911201</t>
  </si>
  <si>
    <t>002268</t>
  </si>
  <si>
    <t>002458</t>
  </si>
  <si>
    <t>PIJ DILUAR NORM TAMBAHAN</t>
  </si>
  <si>
    <t>ANDIKA PANGESTU</t>
  </si>
  <si>
    <t>960951</t>
  </si>
  <si>
    <t>002451</t>
  </si>
  <si>
    <t>AO BCA DARMO</t>
  </si>
  <si>
    <t>ELYANY</t>
  </si>
  <si>
    <t>898345</t>
  </si>
  <si>
    <t>002370</t>
  </si>
  <si>
    <t>BCA MEGA GROSIR</t>
  </si>
  <si>
    <t>SLAMET RIADI</t>
  </si>
  <si>
    <t>912201</t>
  </si>
  <si>
    <t>002558</t>
  </si>
  <si>
    <t>PRAMUKARYA BCA INDRAPURA</t>
  </si>
  <si>
    <t>002410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</si>
  <si>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</si>
  <si>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</si>
  <si>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</si>
  <si>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</si>
  <si>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</si>
  <si>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</si>
  <si>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</si>
  <si>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</si>
  <si>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</si>
  <si>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</si>
  <si>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</si>
  <si>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</si>
  <si>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</si>
  <si>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</si>
  <si>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</si>
  <si>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</si>
  <si>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</si>
  <si>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</si>
  <si>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</si>
  <si>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</si>
  <si>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</si>
  <si>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</si>
  <si>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</si>
  <si>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</si>
  <si>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</si>
  <si>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</si>
  <si>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</si>
  <si>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</si>
  <si>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</si>
  <si>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</si>
  <si>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</si>
  <si>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</si>
  <si>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</si>
  <si>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</si>
  <si>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</si>
  <si>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</si>
  <si>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</si>
  <si>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</si>
  <si>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</si>
  <si>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</si>
  <si>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</si>
  <si>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</si>
  <si>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</si>
  <si>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</si>
  <si>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</si>
  <si>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</si>
  <si>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</si>
  <si>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</si>
  <si>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</si>
  <si>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</si>
  <si>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</si>
  <si>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</si>
  <si>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</si>
  <si>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</si>
  <si>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</si>
  <si>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</si>
  <si>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</si>
  <si>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</si>
  <si>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</si>
  <si>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</si>
  <si>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</si>
  <si>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</si>
  <si>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</si>
  <si>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</si>
  <si>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</si>
  <si>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</si>
  <si>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</si>
  <si>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</si>
  <si>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</si>
  <si>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</si>
  <si>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</si>
  <si>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</si>
  <si>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</si>
  <si>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</si>
  <si>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</si>
  <si>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</si>
  <si>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</si>
  <si>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</si>
  <si>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</si>
  <si>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</si>
  <si>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</si>
  <si>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</si>
  <si>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</si>
  <si>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</si>
  <si>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</si>
  <si>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</si>
  <si>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</si>
  <si>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</si>
  <si>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</si>
  <si>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</si>
  <si>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</si>
  <si>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</si>
  <si>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</si>
  <si>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</si>
  <si>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</si>
  <si>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</si>
  <si>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</si>
  <si>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</si>
  <si>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</si>
  <si>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</si>
  <si>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</si>
  <si>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</si>
  <si>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</si>
  <si>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</si>
  <si>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</si>
  <si>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</si>
  <si>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</si>
  <si>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</si>
  <si>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</si>
  <si>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</si>
  <si>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</si>
  <si>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</si>
  <si>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</si>
  <si>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</si>
  <si>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</si>
  <si>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</si>
  <si>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</si>
  <si>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</si>
  <si>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</si>
  <si>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</si>
  <si>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</si>
  <si>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</si>
  <si>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</si>
  <si>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</si>
  <si>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</si>
  <si>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</si>
  <si>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</si>
  <si>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</si>
  <si>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</si>
  <si>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</si>
  <si>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</si>
  <si>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</si>
  <si>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</si>
  <si>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</si>
  <si>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</si>
  <si>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</si>
  <si>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</si>
  <si>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</si>
  <si>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</si>
  <si>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</si>
  <si>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</si>
  <si>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</si>
  <si>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</si>
  <si>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2018-10.000.000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</si>
  <si>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</si>
  <si>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</si>
  <si>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</si>
  <si>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</si>
  <si>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</si>
  <si>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</si>
  <si>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</si>
  <si>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</si>
  <si>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</si>
  <si>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</si>
  <si>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</si>
  <si>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</si>
  <si>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</si>
  <si>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</si>
  <si>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</si>
  <si>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</si>
  <si>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</si>
  <si>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</si>
  <si>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</si>
  <si>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</si>
  <si>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</si>
  <si>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</si>
  <si>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</si>
  <si>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</si>
  <si>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</si>
  <si>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</si>
  <si>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</si>
  <si>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</si>
  <si>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</si>
  <si>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</si>
  <si>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</si>
  <si>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</si>
  <si>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</si>
  <si>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</si>
  <si>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</si>
  <si>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</si>
  <si>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</si>
  <si>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</si>
  <si>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</si>
  <si>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</si>
  <si>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</si>
  <si>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</si>
  <si>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</si>
  <si>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</si>
  <si>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</si>
  <si>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</si>
  <si>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</si>
  <si>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</si>
  <si>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</si>
  <si>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</si>
  <si>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</si>
  <si>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</si>
  <si>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</si>
  <si>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</si>
  <si>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</si>
  <si>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</si>
  <si>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</si>
  <si>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</si>
  <si>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</si>
  <si>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</si>
  <si>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</si>
  <si>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</si>
  <si>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</si>
  <si>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</si>
  <si>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</si>
  <si>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</si>
  <si>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</si>
  <si>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</si>
  <si>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</si>
  <si>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</si>
  <si>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</si>
  <si>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</si>
  <si>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</si>
  <si>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</si>
  <si>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</si>
  <si>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</si>
  <si>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</si>
  <si>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</si>
  <si>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</si>
  <si>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</si>
  <si>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</si>
  <si>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</si>
  <si>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</si>
  <si>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</si>
  <si>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</si>
  <si>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</si>
  <si>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</si>
  <si>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</si>
  <si>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</si>
  <si>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</si>
  <si>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</si>
  <si>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</si>
  <si>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</si>
  <si>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</si>
  <si>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</si>
  <si>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</si>
  <si>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</si>
  <si>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</si>
  <si>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</si>
  <si>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</si>
  <si>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</si>
  <si>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</si>
  <si>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</si>
  <si>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</si>
  <si>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</si>
  <si>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</si>
  <si>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</si>
  <si>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</si>
  <si>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</si>
  <si>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</si>
  <si>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</si>
  <si>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</si>
  <si>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</si>
  <si>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</si>
  <si>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</si>
  <si>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</si>
  <si>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</si>
  <si>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</si>
  <si>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</si>
  <si>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</si>
  <si>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</si>
  <si>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</si>
  <si>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</si>
  <si>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</si>
  <si>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</si>
  <si>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</si>
  <si>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</si>
  <si>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</si>
  <si>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</si>
  <si>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</si>
  <si>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</si>
  <si>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</si>
  <si>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</si>
  <si>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</si>
  <si>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</si>
  <si>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</si>
  <si>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</si>
  <si>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</si>
  <si>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</si>
  <si>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</si>
  <si>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</si>
  <si>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</si>
  <si>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</si>
  <si>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</si>
  <si>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</si>
  <si>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</si>
  <si>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</si>
  <si>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</si>
  <si>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</si>
  <si>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</si>
  <si>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</si>
  <si>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</si>
  <si>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</si>
  <si>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</si>
  <si>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</si>
  <si>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</si>
  <si>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</si>
  <si>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</si>
  <si>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</si>
  <si>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</si>
  <si>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</si>
  <si>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</si>
  <si>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</si>
  <si>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</si>
  <si>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</si>
  <si>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</si>
  <si>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</si>
  <si>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</si>
  <si>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</si>
  <si>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</si>
  <si>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</si>
  <si>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</si>
  <si>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</si>
  <si>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</si>
  <si>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</si>
  <si>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</si>
  <si>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</si>
  <si>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</si>
  <si>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</si>
  <si>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</si>
  <si>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</si>
  <si>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</si>
  <si>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</si>
  <si>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</si>
  <si>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</si>
  <si>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</si>
  <si>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</si>
  <si>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</si>
  <si>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</si>
  <si>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</si>
  <si>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</si>
  <si>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</si>
  <si>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</si>
  <si>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</si>
  <si>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</si>
  <si>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</si>
  <si>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</si>
  <si>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</si>
  <si>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</si>
  <si>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</si>
  <si>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</si>
  <si>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</si>
  <si>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</si>
  <si>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</si>
  <si>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</si>
  <si>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</si>
  <si>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DAFTAR DENDA PINJAMAN DILUAR NORMATIF TGL 23-28 PEBRUARI 2018 (SETELAH 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</si>
  <si>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</si>
  <si>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</si>
  <si>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</si>
  <si>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</si>
  <si>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</si>
  <si>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</si>
  <si>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</si>
  <si>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</si>
  <si>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</si>
  <si>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</si>
  <si>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</si>
  <si>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</si>
  <si>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</si>
  <si>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</si>
  <si>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</si>
  <si>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</si>
  <si>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</si>
  <si>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</si>
  <si>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</si>
  <si>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</si>
  <si>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</si>
  <si>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</si>
  <si>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DAFTAR BUNGA PINJAMAN DILUAR NORMATIF TGL 23-28 PEBRUARI 2018 (SETELAH 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</si>
  <si>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</si>
  <si>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</si>
  <si>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</si>
  <si>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</si>
  <si>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</si>
  <si>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</si>
  <si>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</si>
  <si>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</si>
  <si>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</si>
  <si>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</si>
  <si>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</si>
  <si>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</si>
  <si>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</si>
  <si>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</si>
  <si>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</si>
  <si>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</si>
  <si>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</si>
  <si>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</si>
  <si>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</si>
  <si>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</si>
  <si>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</si>
  <si>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</si>
  <si>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</si>
  <si>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</si>
  <si>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</si>
  <si>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</si>
  <si>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</si>
  <si>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</si>
  <si>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</si>
  <si>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</si>
  <si>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</si>
  <si>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</si>
  <si>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DEND GGL DBT PIJ DILUAR NOR JAN'18</t>
  </si>
  <si>
    <t>ARIEF EFFENDI</t>
  </si>
  <si>
    <t>914080</t>
  </si>
  <si>
    <t>DAFTAR PINJAMAN DILUAR NORMATIF BARU TGL 23-28 PEBRUARI 2018 (SETELAH UPLOAD)</t>
  </si>
  <si>
    <t>POT BNS APRIL'18</t>
  </si>
  <si>
    <t>POT THR'18</t>
  </si>
  <si>
    <t>POT TAT'18</t>
  </si>
  <si>
    <t>+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</si>
</sst>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4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2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5" fontId="13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0" fontId="3" fillId="0" borderId="4" xfId="0" quotePrefix="1" applyFont="1" applyBorder="1"/>
    <xf numFmtId="41" fontId="3" fillId="0" borderId="4" xfId="2" quotePrefix="1" applyFont="1" applyBorder="1" applyAlignment="1">
      <alignment horizontal="center"/>
    </xf>
    <xf numFmtId="0" fontId="14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0" fontId="0" fillId="0" borderId="0" xfId="0" applyFill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6" fillId="3" borderId="4" xfId="0" applyNumberFormat="1" applyFont="1" applyFill="1" applyBorder="1"/>
    <xf numFmtId="0" fontId="16" fillId="0" borderId="0" xfId="0" applyFont="1" applyFill="1"/>
    <xf numFmtId="43" fontId="17" fillId="3" borderId="4" xfId="0" applyNumberFormat="1" applyFont="1" applyFill="1" applyBorder="1"/>
    <xf numFmtId="43" fontId="16" fillId="0" borderId="4" xfId="0" applyNumberFormat="1" applyFont="1" applyFill="1" applyBorder="1"/>
    <xf numFmtId="43" fontId="3" fillId="0" borderId="0" xfId="0" applyNumberFormat="1" applyFont="1" applyFill="1"/>
    <xf numFmtId="165" fontId="3" fillId="0" borderId="0" xfId="1" applyNumberFormat="1" applyFont="1" applyFill="1" applyBorder="1" applyAlignment="1"/>
    <xf numFmtId="0" fontId="15" fillId="0" borderId="0" xfId="0" applyFont="1" applyFill="1" applyBorder="1"/>
    <xf numFmtId="43" fontId="3" fillId="0" borderId="0" xfId="1" applyFont="1" applyFill="1" applyBorder="1" applyAlignment="1"/>
    <xf numFmtId="43" fontId="3" fillId="0" borderId="1" xfId="0" applyNumberFormat="1" applyFont="1" applyBorder="1"/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39" fontId="11" fillId="0" borderId="2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0" xfId="0" applyFont="1" applyFill="1" applyBorder="1"/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39" fontId="11" fillId="0" borderId="3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8" xfId="0" applyFont="1" applyFill="1" applyBorder="1"/>
    <xf numFmtId="0" fontId="3" fillId="0" borderId="5" xfId="0" applyFont="1" applyBorder="1"/>
    <xf numFmtId="165" fontId="3" fillId="0" borderId="0" xfId="0" applyNumberFormat="1" applyFont="1"/>
    <xf numFmtId="43" fontId="3" fillId="0" borderId="0" xfId="0" applyNumberFormat="1" applyFont="1"/>
    <xf numFmtId="0" fontId="11" fillId="0" borderId="4" xfId="0" applyFont="1" applyFill="1" applyBorder="1"/>
    <xf numFmtId="0" fontId="4" fillId="0" borderId="5" xfId="0" applyFont="1" applyFill="1" applyBorder="1"/>
    <xf numFmtId="0" fontId="3" fillId="4" borderId="0" xfId="0" applyFont="1" applyFill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3" fillId="3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STLH%20UPLOD%20PIJ%20DN%20PEB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uplod%20dn%20PEB2018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56">
          <cell r="Z156">
            <v>112650</v>
          </cell>
        </row>
        <row r="157">
          <cell r="Z157">
            <v>112650</v>
          </cell>
        </row>
        <row r="158">
          <cell r="Z158">
            <v>112650</v>
          </cell>
        </row>
        <row r="159">
          <cell r="Z159">
            <v>112650</v>
          </cell>
        </row>
        <row r="160">
          <cell r="Z160">
            <v>112650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5">
          <cell r="Z285">
            <v>112650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1">
          <cell r="Z291">
            <v>220000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</sheetData>
      <sheetData sheetId="9"/>
      <sheetData sheetId="10">
        <row r="101">
          <cell r="Z101">
            <v>666601</v>
          </cell>
        </row>
        <row r="102">
          <cell r="Z102">
            <v>60000</v>
          </cell>
        </row>
        <row r="103">
          <cell r="Z103">
            <v>670543</v>
          </cell>
        </row>
        <row r="104">
          <cell r="Z104">
            <v>670543</v>
          </cell>
        </row>
        <row r="105">
          <cell r="Z105">
            <v>60000</v>
          </cell>
        </row>
        <row r="106">
          <cell r="Z106">
            <v>670543</v>
          </cell>
        </row>
        <row r="107">
          <cell r="Z107">
            <v>670543</v>
          </cell>
        </row>
        <row r="108">
          <cell r="Z108">
            <v>60000</v>
          </cell>
        </row>
        <row r="109">
          <cell r="Z109">
            <v>670543</v>
          </cell>
        </row>
        <row r="110">
          <cell r="Z110">
            <v>670543</v>
          </cell>
        </row>
        <row r="111">
          <cell r="Z111">
            <v>60000</v>
          </cell>
        </row>
        <row r="112">
          <cell r="Z112">
            <v>670543</v>
          </cell>
        </row>
        <row r="113">
          <cell r="Z113">
            <v>670543</v>
          </cell>
        </row>
        <row r="114">
          <cell r="Z114">
            <v>60000</v>
          </cell>
        </row>
        <row r="115">
          <cell r="Z115">
            <v>670543</v>
          </cell>
        </row>
        <row r="116">
          <cell r="Z116">
            <v>670543</v>
          </cell>
        </row>
        <row r="117">
          <cell r="Z117">
            <v>60000</v>
          </cell>
        </row>
        <row r="118">
          <cell r="Z118">
            <v>670543</v>
          </cell>
        </row>
        <row r="119">
          <cell r="Z119">
            <v>670543</v>
          </cell>
        </row>
        <row r="120">
          <cell r="Z120">
            <v>60000</v>
          </cell>
        </row>
        <row r="121">
          <cell r="Z121">
            <v>670543</v>
          </cell>
        </row>
        <row r="122">
          <cell r="Z122">
            <v>670543</v>
          </cell>
        </row>
        <row r="123">
          <cell r="Z123">
            <v>60000</v>
          </cell>
        </row>
        <row r="124">
          <cell r="Z124">
            <v>670543</v>
          </cell>
        </row>
        <row r="125">
          <cell r="Z125">
            <v>670543</v>
          </cell>
        </row>
        <row r="126">
          <cell r="Z126">
            <v>60000</v>
          </cell>
        </row>
        <row r="127">
          <cell r="Z127">
            <v>670543</v>
          </cell>
        </row>
        <row r="128">
          <cell r="Z128">
            <v>670543</v>
          </cell>
        </row>
        <row r="129">
          <cell r="Z129">
            <v>60000</v>
          </cell>
        </row>
        <row r="130">
          <cell r="Z130">
            <v>670543</v>
          </cell>
        </row>
        <row r="131">
          <cell r="Z131">
            <v>670543</v>
          </cell>
        </row>
        <row r="132">
          <cell r="Z132">
            <v>60000</v>
          </cell>
        </row>
        <row r="133">
          <cell r="Z133">
            <v>670543</v>
          </cell>
        </row>
        <row r="134">
          <cell r="Z134">
            <v>670543</v>
          </cell>
        </row>
        <row r="135">
          <cell r="Z135">
            <v>60000</v>
          </cell>
        </row>
        <row r="136">
          <cell r="Z136">
            <v>670543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670543</v>
          </cell>
        </row>
        <row r="140">
          <cell r="Z140">
            <v>60000</v>
          </cell>
        </row>
        <row r="141">
          <cell r="Z141">
            <v>670543</v>
          </cell>
        </row>
        <row r="142">
          <cell r="Z142">
            <v>670543</v>
          </cell>
        </row>
        <row r="143">
          <cell r="Z143">
            <v>60000</v>
          </cell>
        </row>
        <row r="144">
          <cell r="Z144">
            <v>670543</v>
          </cell>
        </row>
        <row r="145">
          <cell r="Z145">
            <v>670543</v>
          </cell>
        </row>
        <row r="146">
          <cell r="Z146">
            <v>60000</v>
          </cell>
        </row>
        <row r="147">
          <cell r="Z147">
            <v>670543</v>
          </cell>
        </row>
        <row r="148">
          <cell r="Z148">
            <v>670543</v>
          </cell>
        </row>
        <row r="149">
          <cell r="Z149">
            <v>60000</v>
          </cell>
        </row>
        <row r="150">
          <cell r="Z150">
            <v>670543</v>
          </cell>
        </row>
        <row r="151">
          <cell r="Z151">
            <v>670543</v>
          </cell>
        </row>
        <row r="152">
          <cell r="Z152">
            <v>60000</v>
          </cell>
        </row>
        <row r="153">
          <cell r="Z153">
            <v>670543</v>
          </cell>
        </row>
        <row r="154">
          <cell r="Z154">
            <v>670543</v>
          </cell>
        </row>
        <row r="155">
          <cell r="Z155">
            <v>60000</v>
          </cell>
        </row>
        <row r="156">
          <cell r="Z156">
            <v>360000</v>
          </cell>
        </row>
        <row r="157">
          <cell r="Z157">
            <v>522000</v>
          </cell>
        </row>
        <row r="158">
          <cell r="Z158">
            <v>522000</v>
          </cell>
        </row>
        <row r="159">
          <cell r="Z159">
            <v>522000</v>
          </cell>
        </row>
        <row r="160">
          <cell r="Z160">
            <v>522000</v>
          </cell>
        </row>
        <row r="161">
          <cell r="Z161">
            <v>522000</v>
          </cell>
        </row>
        <row r="162">
          <cell r="Z162">
            <v>2886575</v>
          </cell>
        </row>
        <row r="163">
          <cell r="Z163">
            <v>1605601</v>
          </cell>
        </row>
        <row r="164">
          <cell r="Z164">
            <v>1605601</v>
          </cell>
        </row>
        <row r="165">
          <cell r="Z165">
            <v>1605601</v>
          </cell>
        </row>
        <row r="166">
          <cell r="Z166">
            <v>1605601</v>
          </cell>
        </row>
        <row r="167">
          <cell r="Z167">
            <v>1605601</v>
          </cell>
        </row>
        <row r="168">
          <cell r="Z168">
            <v>1605601</v>
          </cell>
        </row>
        <row r="169">
          <cell r="Z169">
            <v>288000</v>
          </cell>
        </row>
        <row r="170">
          <cell r="Z170">
            <v>1605601</v>
          </cell>
        </row>
        <row r="171">
          <cell r="Z171">
            <v>288000</v>
          </cell>
        </row>
        <row r="172">
          <cell r="Z172">
            <v>1605601</v>
          </cell>
        </row>
        <row r="173">
          <cell r="Z173">
            <v>288000</v>
          </cell>
        </row>
        <row r="174">
          <cell r="Z174">
            <v>1605601</v>
          </cell>
        </row>
        <row r="175">
          <cell r="Z175">
            <v>288000</v>
          </cell>
        </row>
        <row r="176">
          <cell r="Z176">
            <v>1605601</v>
          </cell>
        </row>
        <row r="177">
          <cell r="Z177">
            <v>288000</v>
          </cell>
        </row>
        <row r="178">
          <cell r="Z178">
            <v>1605601</v>
          </cell>
        </row>
        <row r="179">
          <cell r="Z179">
            <v>288000</v>
          </cell>
        </row>
        <row r="180">
          <cell r="Z180">
            <v>1605601</v>
          </cell>
        </row>
        <row r="181">
          <cell r="Z181">
            <v>288000</v>
          </cell>
        </row>
        <row r="182">
          <cell r="Z182">
            <v>1605601</v>
          </cell>
        </row>
        <row r="183">
          <cell r="Z183">
            <v>288000</v>
          </cell>
        </row>
        <row r="184">
          <cell r="Z184">
            <v>1605601</v>
          </cell>
        </row>
        <row r="185">
          <cell r="Z185">
            <v>288000</v>
          </cell>
        </row>
        <row r="186">
          <cell r="Z186">
            <v>1605601</v>
          </cell>
        </row>
        <row r="187">
          <cell r="Z187">
            <v>288000</v>
          </cell>
        </row>
        <row r="188">
          <cell r="Z188">
            <v>1605601</v>
          </cell>
        </row>
        <row r="189">
          <cell r="Z189">
            <v>288000</v>
          </cell>
        </row>
        <row r="190">
          <cell r="Z190">
            <v>1605601</v>
          </cell>
        </row>
        <row r="191">
          <cell r="Z191">
            <v>288000</v>
          </cell>
        </row>
        <row r="192">
          <cell r="Z192">
            <v>1605601</v>
          </cell>
        </row>
        <row r="193">
          <cell r="Z193">
            <v>288000</v>
          </cell>
        </row>
        <row r="194">
          <cell r="Z194">
            <v>1605601</v>
          </cell>
        </row>
        <row r="195">
          <cell r="Z195">
            <v>288000</v>
          </cell>
        </row>
        <row r="196">
          <cell r="Z196">
            <v>1605601</v>
          </cell>
        </row>
        <row r="197">
          <cell r="Z197">
            <v>288000</v>
          </cell>
        </row>
        <row r="198">
          <cell r="Z198">
            <v>288000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1605601</v>
          </cell>
        </row>
        <row r="205">
          <cell r="Z205">
            <v>288000</v>
          </cell>
        </row>
        <row r="206">
          <cell r="Z206">
            <v>1605601</v>
          </cell>
        </row>
        <row r="207">
          <cell r="Z207">
            <v>288000</v>
          </cell>
        </row>
        <row r="208">
          <cell r="Z208">
            <v>1605601</v>
          </cell>
        </row>
        <row r="209">
          <cell r="Z209">
            <v>288000</v>
          </cell>
        </row>
        <row r="210">
          <cell r="Z210">
            <v>1605601</v>
          </cell>
        </row>
        <row r="211">
          <cell r="Z211">
            <v>288000</v>
          </cell>
        </row>
        <row r="212">
          <cell r="Z212">
            <v>1605601</v>
          </cell>
        </row>
        <row r="213">
          <cell r="Z213">
            <v>288000</v>
          </cell>
        </row>
        <row r="214">
          <cell r="Z214">
            <v>1605601</v>
          </cell>
        </row>
        <row r="215">
          <cell r="Z215">
            <v>288000</v>
          </cell>
        </row>
        <row r="216">
          <cell r="Z216">
            <v>267998</v>
          </cell>
        </row>
        <row r="217">
          <cell r="Z217">
            <v>267998</v>
          </cell>
        </row>
        <row r="218">
          <cell r="Z218">
            <v>267998</v>
          </cell>
        </row>
        <row r="219">
          <cell r="Z219">
            <v>267998</v>
          </cell>
        </row>
        <row r="220">
          <cell r="Z220">
            <v>267998</v>
          </cell>
        </row>
        <row r="221">
          <cell r="Z221">
            <v>267998</v>
          </cell>
        </row>
        <row r="222">
          <cell r="Z222">
            <v>267998</v>
          </cell>
        </row>
        <row r="223">
          <cell r="Z223">
            <v>267998</v>
          </cell>
        </row>
        <row r="224">
          <cell r="Z224">
            <v>267998</v>
          </cell>
        </row>
        <row r="225">
          <cell r="Z225">
            <v>267998</v>
          </cell>
        </row>
        <row r="226">
          <cell r="Z226">
            <v>267998</v>
          </cell>
        </row>
        <row r="227">
          <cell r="Z227">
            <v>267998</v>
          </cell>
        </row>
        <row r="228">
          <cell r="Z228">
            <v>267998</v>
          </cell>
        </row>
        <row r="229">
          <cell r="Z229">
            <v>267998</v>
          </cell>
        </row>
        <row r="230">
          <cell r="Z230">
            <v>267998</v>
          </cell>
        </row>
        <row r="231">
          <cell r="Z231">
            <v>267998</v>
          </cell>
        </row>
        <row r="232">
          <cell r="Z232">
            <v>267998</v>
          </cell>
        </row>
        <row r="233">
          <cell r="Z233">
            <v>267998</v>
          </cell>
        </row>
        <row r="234">
          <cell r="Z234">
            <v>267998</v>
          </cell>
        </row>
        <row r="235">
          <cell r="Z235">
            <v>267998</v>
          </cell>
        </row>
        <row r="236">
          <cell r="Z236">
            <v>267998</v>
          </cell>
        </row>
        <row r="237">
          <cell r="Z237">
            <v>267998</v>
          </cell>
        </row>
        <row r="238">
          <cell r="Z238">
            <v>267998</v>
          </cell>
        </row>
        <row r="239">
          <cell r="Z239">
            <v>537126</v>
          </cell>
        </row>
        <row r="240">
          <cell r="Z240">
            <v>61215</v>
          </cell>
        </row>
        <row r="241">
          <cell r="Z241">
            <v>537126</v>
          </cell>
        </row>
        <row r="242">
          <cell r="Z242">
            <v>537127</v>
          </cell>
        </row>
        <row r="243">
          <cell r="Z243">
            <v>17088</v>
          </cell>
        </row>
        <row r="244">
          <cell r="Z244">
            <v>537127</v>
          </cell>
        </row>
        <row r="245">
          <cell r="Z245">
            <v>537126</v>
          </cell>
        </row>
        <row r="246">
          <cell r="Z246">
            <v>17088</v>
          </cell>
        </row>
        <row r="247">
          <cell r="Z247">
            <v>537127</v>
          </cell>
        </row>
        <row r="248">
          <cell r="Z248">
            <v>537126</v>
          </cell>
        </row>
        <row r="249">
          <cell r="Z249">
            <v>537127</v>
          </cell>
        </row>
        <row r="250">
          <cell r="Z250">
            <v>537126</v>
          </cell>
        </row>
        <row r="251">
          <cell r="Z251">
            <v>17088</v>
          </cell>
        </row>
        <row r="252">
          <cell r="Z252">
            <v>537127</v>
          </cell>
        </row>
        <row r="253">
          <cell r="Z253">
            <v>537126</v>
          </cell>
        </row>
        <row r="254">
          <cell r="Z254">
            <v>17088</v>
          </cell>
        </row>
        <row r="255">
          <cell r="Z255">
            <v>537127</v>
          </cell>
        </row>
        <row r="256">
          <cell r="Z256">
            <v>537126</v>
          </cell>
        </row>
        <row r="257">
          <cell r="Z257">
            <v>17088</v>
          </cell>
        </row>
        <row r="258">
          <cell r="Z258">
            <v>537127</v>
          </cell>
        </row>
        <row r="259">
          <cell r="Z259">
            <v>537126</v>
          </cell>
        </row>
        <row r="260">
          <cell r="Z260">
            <v>17088</v>
          </cell>
        </row>
        <row r="261">
          <cell r="Z261">
            <v>537127</v>
          </cell>
        </row>
        <row r="262">
          <cell r="Z262">
            <v>537126</v>
          </cell>
        </row>
        <row r="263">
          <cell r="Z263">
            <v>17088</v>
          </cell>
        </row>
        <row r="264">
          <cell r="Z264">
            <v>537127</v>
          </cell>
        </row>
        <row r="265">
          <cell r="Z265">
            <v>537126</v>
          </cell>
        </row>
        <row r="266">
          <cell r="Z266">
            <v>17088</v>
          </cell>
        </row>
        <row r="267">
          <cell r="Z267">
            <v>1473357</v>
          </cell>
        </row>
        <row r="268">
          <cell r="Z268">
            <v>1500000</v>
          </cell>
        </row>
        <row r="269">
          <cell r="Z269">
            <v>1500000</v>
          </cell>
        </row>
        <row r="270">
          <cell r="Z270">
            <v>1500000</v>
          </cell>
        </row>
        <row r="271">
          <cell r="Z271">
            <v>1500000</v>
          </cell>
        </row>
        <row r="272">
          <cell r="Z272">
            <v>1500000</v>
          </cell>
        </row>
        <row r="273">
          <cell r="Z273">
            <v>1500000</v>
          </cell>
        </row>
        <row r="274">
          <cell r="Z274">
            <v>1500000</v>
          </cell>
        </row>
        <row r="275">
          <cell r="Z275">
            <v>1500000</v>
          </cell>
        </row>
        <row r="276">
          <cell r="Z276">
            <v>1500000</v>
          </cell>
        </row>
        <row r="277">
          <cell r="Z277">
            <v>36000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839255</v>
          </cell>
        </row>
        <row r="282">
          <cell r="Z282">
            <v>839256</v>
          </cell>
        </row>
        <row r="283">
          <cell r="Z283">
            <v>839255</v>
          </cell>
        </row>
        <row r="284">
          <cell r="Z284">
            <v>839256</v>
          </cell>
        </row>
        <row r="285">
          <cell r="Z285">
            <v>839255</v>
          </cell>
        </row>
        <row r="286">
          <cell r="Z286">
            <v>839256</v>
          </cell>
        </row>
        <row r="287">
          <cell r="Z287">
            <v>839255</v>
          </cell>
        </row>
        <row r="288">
          <cell r="Z288">
            <v>839256</v>
          </cell>
        </row>
        <row r="289">
          <cell r="Z289">
            <v>839255</v>
          </cell>
        </row>
        <row r="290">
          <cell r="Z290">
            <v>839256</v>
          </cell>
        </row>
        <row r="291">
          <cell r="Z291">
            <v>839255</v>
          </cell>
        </row>
        <row r="292">
          <cell r="Z292">
            <v>839256</v>
          </cell>
        </row>
        <row r="293">
          <cell r="Z293">
            <v>839255</v>
          </cell>
        </row>
        <row r="294">
          <cell r="Z294">
            <v>839256</v>
          </cell>
        </row>
        <row r="295">
          <cell r="Z295">
            <v>839255</v>
          </cell>
        </row>
        <row r="296">
          <cell r="Z296">
            <v>839256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839255</v>
          </cell>
        </row>
        <row r="301">
          <cell r="Z301">
            <v>839256</v>
          </cell>
        </row>
        <row r="302">
          <cell r="Z302">
            <v>839255</v>
          </cell>
        </row>
        <row r="303">
          <cell r="Z303">
            <v>839256</v>
          </cell>
        </row>
        <row r="304">
          <cell r="Z304">
            <v>839255</v>
          </cell>
        </row>
        <row r="305">
          <cell r="Z305">
            <v>839256</v>
          </cell>
        </row>
        <row r="306">
          <cell r="Z306">
            <v>839255</v>
          </cell>
        </row>
        <row r="307">
          <cell r="Z307">
            <v>839256</v>
          </cell>
        </row>
        <row r="308">
          <cell r="Z308">
            <v>839255</v>
          </cell>
        </row>
        <row r="309">
          <cell r="Z309">
            <v>839256</v>
          </cell>
        </row>
        <row r="310">
          <cell r="Z310">
            <v>839255</v>
          </cell>
        </row>
        <row r="311">
          <cell r="Z311">
            <v>839256</v>
          </cell>
        </row>
        <row r="312">
          <cell r="Z312">
            <v>839255</v>
          </cell>
        </row>
        <row r="313">
          <cell r="Z313">
            <v>450808</v>
          </cell>
        </row>
        <row r="314">
          <cell r="Z314">
            <v>600000</v>
          </cell>
        </row>
        <row r="315">
          <cell r="Z315">
            <v>364423</v>
          </cell>
        </row>
        <row r="316">
          <cell r="Z316">
            <v>364422</v>
          </cell>
        </row>
        <row r="317">
          <cell r="Z317">
            <v>364423</v>
          </cell>
        </row>
        <row r="318">
          <cell r="Z318">
            <v>364422</v>
          </cell>
        </row>
        <row r="319">
          <cell r="Z319">
            <v>364423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364422</v>
          </cell>
        </row>
        <row r="324">
          <cell r="Z324">
            <v>364423</v>
          </cell>
        </row>
        <row r="325">
          <cell r="Z325">
            <v>364422</v>
          </cell>
        </row>
        <row r="326">
          <cell r="Z326">
            <v>364423</v>
          </cell>
        </row>
        <row r="327">
          <cell r="Z327">
            <v>364422</v>
          </cell>
        </row>
        <row r="328">
          <cell r="Z328">
            <v>65000</v>
          </cell>
        </row>
        <row r="329">
          <cell r="Z329">
            <v>703235</v>
          </cell>
        </row>
        <row r="330">
          <cell r="Z330">
            <v>638235</v>
          </cell>
        </row>
        <row r="331">
          <cell r="Z331">
            <v>638235</v>
          </cell>
        </row>
        <row r="332">
          <cell r="Z332">
            <v>638235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52429</v>
          </cell>
        </row>
        <row r="350">
          <cell r="Z350">
            <v>404615</v>
          </cell>
        </row>
        <row r="351">
          <cell r="Z351">
            <v>404615</v>
          </cell>
        </row>
        <row r="352">
          <cell r="Z352">
            <v>404615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430097</v>
          </cell>
        </row>
        <row r="365">
          <cell r="Z365">
            <v>430096</v>
          </cell>
        </row>
        <row r="366">
          <cell r="Z366">
            <v>457003</v>
          </cell>
        </row>
        <row r="367">
          <cell r="Z367">
            <v>1288811</v>
          </cell>
        </row>
        <row r="368">
          <cell r="Z368">
            <v>1288811</v>
          </cell>
        </row>
        <row r="369">
          <cell r="Z369">
            <v>1288811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600000</v>
          </cell>
        </row>
        <row r="385">
          <cell r="Z385">
            <v>600000</v>
          </cell>
        </row>
        <row r="386">
          <cell r="Z386">
            <v>600000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1327400</v>
          </cell>
        </row>
        <row r="395">
          <cell r="Z395">
            <v>1491692</v>
          </cell>
        </row>
        <row r="396">
          <cell r="Z396">
            <v>1491692</v>
          </cell>
        </row>
        <row r="397">
          <cell r="Z397">
            <v>1491692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670543</v>
          </cell>
        </row>
        <row r="419">
          <cell r="Z419">
            <v>670543</v>
          </cell>
        </row>
        <row r="420">
          <cell r="Z420">
            <v>60000</v>
          </cell>
        </row>
        <row r="421">
          <cell r="Z421">
            <v>360000</v>
          </cell>
        </row>
        <row r="422">
          <cell r="Z422">
            <v>522000</v>
          </cell>
        </row>
        <row r="423">
          <cell r="Z423">
            <v>1605601</v>
          </cell>
        </row>
        <row r="424">
          <cell r="Z424">
            <v>288000</v>
          </cell>
        </row>
        <row r="425">
          <cell r="Z425">
            <v>267998</v>
          </cell>
        </row>
        <row r="426">
          <cell r="Z426">
            <v>537127</v>
          </cell>
        </row>
        <row r="427">
          <cell r="Z427">
            <v>537126</v>
          </cell>
        </row>
        <row r="428">
          <cell r="Z428">
            <v>17088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j awl dn"/>
      <sheetName val="dn1"/>
      <sheetName val="dn2"/>
      <sheetName val="komda dn1"/>
      <sheetName val="komda dn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>
        <row r="575">
          <cell r="F575">
            <v>36699976676</v>
          </cell>
        </row>
      </sheetData>
      <sheetData sheetId="2"/>
      <sheetData sheetId="3"/>
      <sheetData sheetId="4"/>
      <sheetData sheetId="5"/>
      <sheetData sheetId="6"/>
      <sheetData sheetId="7">
        <row r="284">
          <cell r="E284">
            <v>27259522</v>
          </cell>
        </row>
      </sheetData>
      <sheetData sheetId="8">
        <row r="27">
          <cell r="Z27">
            <v>92000</v>
          </cell>
        </row>
        <row r="308">
          <cell r="Z308">
            <v>0</v>
          </cell>
        </row>
      </sheetData>
      <sheetData sheetId="9">
        <row r="417">
          <cell r="E417">
            <v>292276973</v>
          </cell>
        </row>
      </sheetData>
      <sheetData sheetId="10">
        <row r="37">
          <cell r="Z37">
            <v>60000</v>
          </cell>
        </row>
        <row r="452">
          <cell r="Z452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showGridLines="0" view="pageBreakPreview" zoomScaleSheetLayoutView="100" workbookViewId="0">
      <pane ySplit="4" topLeftCell="A5" activePane="bottomLeft" state="frozen"/>
      <selection pane="bottomLeft" activeCell="F3" sqref="B3:F20"/>
    </sheetView>
  </sheetViews>
  <sheetFormatPr defaultRowHeight="15.75"/>
  <cols>
    <col min="1" max="1" width="6.85546875" style="14" customWidth="1"/>
    <col min="2" max="2" width="24.7109375" style="110" customWidth="1"/>
    <col min="3" max="3" width="7.85546875" style="110" bestFit="1" customWidth="1"/>
    <col min="4" max="4" width="10.140625" style="110" bestFit="1" customWidth="1"/>
    <col min="5" max="5" width="11.140625" style="110" bestFit="1" customWidth="1"/>
    <col min="6" max="6" width="20.140625" style="110" bestFit="1" customWidth="1"/>
    <col min="7" max="7" width="18.7109375" style="110" bestFit="1" customWidth="1"/>
    <col min="8" max="9" width="15.7109375" style="110" bestFit="1" customWidth="1"/>
    <col min="10" max="11" width="8.7109375" style="110" bestFit="1" customWidth="1"/>
    <col min="12" max="12" width="15.7109375" style="110" bestFit="1" customWidth="1"/>
    <col min="13" max="14" width="16.85546875" style="110" bestFit="1" customWidth="1"/>
    <col min="15" max="15" width="26.140625" style="110" bestFit="1" customWidth="1"/>
    <col min="16" max="16" width="24.85546875" style="110" bestFit="1" customWidth="1"/>
    <col min="17" max="17" width="14.28515625" style="110" bestFit="1" customWidth="1"/>
    <col min="18" max="16384" width="9.140625" style="110"/>
  </cols>
  <sheetData>
    <row r="1" spans="1:17" s="2" customFormat="1">
      <c r="A1" s="13" t="s">
        <v>0</v>
      </c>
      <c r="C1" s="3"/>
      <c r="D1" s="4"/>
      <c r="E1" s="4"/>
      <c r="F1" s="152"/>
      <c r="G1" s="215"/>
      <c r="H1" s="7"/>
      <c r="I1" s="152"/>
      <c r="J1" s="9"/>
      <c r="K1" s="3"/>
      <c r="L1" s="11"/>
      <c r="M1" s="11"/>
      <c r="N1" s="11"/>
      <c r="O1" s="12"/>
      <c r="P1" s="13"/>
    </row>
    <row r="2" spans="1:17" s="2" customFormat="1">
      <c r="A2" s="216" t="s">
        <v>1800</v>
      </c>
      <c r="C2" s="3"/>
      <c r="D2" s="4"/>
      <c r="E2" s="4"/>
      <c r="F2" s="152"/>
      <c r="G2" s="217"/>
      <c r="H2" s="218"/>
      <c r="I2" s="218"/>
      <c r="J2" s="9"/>
      <c r="K2" s="3"/>
      <c r="L2" s="11"/>
      <c r="M2" s="11"/>
      <c r="N2" s="11"/>
      <c r="O2" s="12"/>
      <c r="P2" s="13"/>
    </row>
    <row r="3" spans="1:17" s="225" customFormat="1" ht="12">
      <c r="A3" s="219" t="s">
        <v>2</v>
      </c>
      <c r="B3" s="219" t="s">
        <v>3</v>
      </c>
      <c r="C3" s="219" t="s">
        <v>4</v>
      </c>
      <c r="D3" s="220" t="s">
        <v>2</v>
      </c>
      <c r="E3" s="220" t="s">
        <v>5</v>
      </c>
      <c r="F3" s="221" t="s">
        <v>6</v>
      </c>
      <c r="G3" s="221" t="s">
        <v>7</v>
      </c>
      <c r="H3" s="221" t="s">
        <v>8</v>
      </c>
      <c r="I3" s="221" t="s">
        <v>9</v>
      </c>
      <c r="J3" s="219" t="s">
        <v>10</v>
      </c>
      <c r="K3" s="219" t="s">
        <v>11</v>
      </c>
      <c r="L3" s="221" t="s">
        <v>12</v>
      </c>
      <c r="M3" s="221" t="s">
        <v>13</v>
      </c>
      <c r="N3" s="221" t="s">
        <v>14</v>
      </c>
      <c r="O3" s="222" t="s">
        <v>15</v>
      </c>
      <c r="P3" s="223" t="s">
        <v>16</v>
      </c>
      <c r="Q3" s="224"/>
    </row>
    <row r="4" spans="1:17" s="225" customFormat="1" ht="12">
      <c r="A4" s="226"/>
      <c r="B4" s="226"/>
      <c r="C4" s="226"/>
      <c r="D4" s="227" t="s">
        <v>17</v>
      </c>
      <c r="E4" s="227" t="s">
        <v>18</v>
      </c>
      <c r="F4" s="228"/>
      <c r="G4" s="229" t="s">
        <v>6</v>
      </c>
      <c r="H4" s="229"/>
      <c r="I4" s="229"/>
      <c r="J4" s="226"/>
      <c r="K4" s="226" t="s">
        <v>19</v>
      </c>
      <c r="L4" s="229" t="s">
        <v>20</v>
      </c>
      <c r="M4" s="229" t="s">
        <v>9</v>
      </c>
      <c r="N4" s="229"/>
      <c r="O4" s="230"/>
      <c r="P4" s="231"/>
      <c r="Q4" s="232"/>
    </row>
    <row r="5" spans="1:17">
      <c r="A5" s="29">
        <v>1</v>
      </c>
      <c r="B5" s="119" t="s">
        <v>1370</v>
      </c>
      <c r="C5" s="185" t="s">
        <v>1371</v>
      </c>
      <c r="D5" s="185" t="s">
        <v>1372</v>
      </c>
      <c r="E5" s="32">
        <v>43154</v>
      </c>
      <c r="F5" s="121">
        <f>37400000+935000+576000+200000+55889000</f>
        <v>95000000</v>
      </c>
      <c r="G5" s="36">
        <f t="shared" ref="G5:G12" si="0">+J5*L5</f>
        <v>43500000</v>
      </c>
      <c r="H5" s="71">
        <v>360000</v>
      </c>
      <c r="I5" s="71">
        <f>+F5*1.2%</f>
        <v>1140000</v>
      </c>
      <c r="J5" s="122">
        <v>29</v>
      </c>
      <c r="K5" s="122">
        <v>29</v>
      </c>
      <c r="L5" s="36">
        <f t="shared" ref="L5:L12" si="1">+H5+I5</f>
        <v>1500000</v>
      </c>
      <c r="M5" s="37">
        <f t="shared" ref="M5:M12" si="2">+K5*L5</f>
        <v>43500000</v>
      </c>
      <c r="N5" s="38">
        <f t="shared" ref="N5:N12" si="3">F5-(H5*0)</f>
        <v>95000000</v>
      </c>
      <c r="O5" s="39" t="s">
        <v>55</v>
      </c>
      <c r="P5" s="108" t="s">
        <v>80</v>
      </c>
      <c r="Q5" s="71">
        <f t="shared" ref="Q5:Q12" si="4">+F5-N5</f>
        <v>0</v>
      </c>
    </row>
    <row r="6" spans="1:17">
      <c r="A6" s="29">
        <f t="shared" ref="A6:A12" si="5">+A5+1</f>
        <v>2</v>
      </c>
      <c r="B6" s="119" t="s">
        <v>1373</v>
      </c>
      <c r="C6" s="185" t="s">
        <v>1374</v>
      </c>
      <c r="D6" s="185" t="s">
        <v>1375</v>
      </c>
      <c r="E6" s="32">
        <v>43154</v>
      </c>
      <c r="F6" s="121">
        <f>40273500+1006838+597265+200000+57922397</f>
        <v>100000000</v>
      </c>
      <c r="G6" s="36">
        <f t="shared" si="0"/>
        <v>68000000</v>
      </c>
      <c r="H6" s="71">
        <f>2000000-I6</f>
        <v>800000</v>
      </c>
      <c r="I6" s="71">
        <f t="shared" ref="I6:I12" si="6">+F6*1.2%</f>
        <v>1200000</v>
      </c>
      <c r="J6" s="122">
        <v>34</v>
      </c>
      <c r="K6" s="122">
        <v>34</v>
      </c>
      <c r="L6" s="36">
        <f t="shared" si="1"/>
        <v>2000000</v>
      </c>
      <c r="M6" s="37">
        <f t="shared" si="2"/>
        <v>68000000</v>
      </c>
      <c r="N6" s="38">
        <f t="shared" si="3"/>
        <v>100000000</v>
      </c>
      <c r="O6" s="39" t="s">
        <v>55</v>
      </c>
      <c r="P6" s="108" t="s">
        <v>80</v>
      </c>
      <c r="Q6" s="71">
        <f t="shared" si="4"/>
        <v>0</v>
      </c>
    </row>
    <row r="7" spans="1:17">
      <c r="A7" s="29">
        <f t="shared" si="5"/>
        <v>3</v>
      </c>
      <c r="B7" s="119" t="s">
        <v>635</v>
      </c>
      <c r="C7" s="185" t="s">
        <v>636</v>
      </c>
      <c r="D7" s="185" t="s">
        <v>1376</v>
      </c>
      <c r="E7" s="32">
        <v>43157</v>
      </c>
      <c r="F7" s="121">
        <f>5000000</f>
        <v>5000000</v>
      </c>
      <c r="G7" s="36">
        <f t="shared" si="0"/>
        <v>5364000</v>
      </c>
      <c r="H7" s="71">
        <f>894000-I7</f>
        <v>834000</v>
      </c>
      <c r="I7" s="71">
        <f t="shared" si="6"/>
        <v>60000</v>
      </c>
      <c r="J7" s="122">
        <v>6</v>
      </c>
      <c r="K7" s="122">
        <v>6</v>
      </c>
      <c r="L7" s="36">
        <f t="shared" si="1"/>
        <v>894000</v>
      </c>
      <c r="M7" s="37">
        <f t="shared" si="2"/>
        <v>5364000</v>
      </c>
      <c r="N7" s="38">
        <f t="shared" si="3"/>
        <v>5000000</v>
      </c>
      <c r="O7" s="39" t="s">
        <v>624</v>
      </c>
      <c r="P7" s="108" t="s">
        <v>1377</v>
      </c>
      <c r="Q7" s="71">
        <f t="shared" si="4"/>
        <v>0</v>
      </c>
    </row>
    <row r="8" spans="1:17">
      <c r="A8" s="29">
        <f t="shared" si="5"/>
        <v>4</v>
      </c>
      <c r="B8" s="119" t="s">
        <v>1378</v>
      </c>
      <c r="C8" s="185" t="s">
        <v>1379</v>
      </c>
      <c r="D8" s="185" t="s">
        <v>1380</v>
      </c>
      <c r="E8" s="32">
        <v>43157</v>
      </c>
      <c r="F8" s="121">
        <f>23324000+583100+53240+200000+12000000</f>
        <v>36160340</v>
      </c>
      <c r="G8" s="36">
        <f t="shared" si="0"/>
        <v>51804000</v>
      </c>
      <c r="H8" s="71">
        <v>1005076</v>
      </c>
      <c r="I8" s="71">
        <v>433924</v>
      </c>
      <c r="J8" s="122">
        <v>36</v>
      </c>
      <c r="K8" s="122">
        <v>36</v>
      </c>
      <c r="L8" s="36">
        <f t="shared" si="1"/>
        <v>1439000</v>
      </c>
      <c r="M8" s="37">
        <f t="shared" si="2"/>
        <v>51804000</v>
      </c>
      <c r="N8" s="38">
        <f t="shared" si="3"/>
        <v>36160340</v>
      </c>
      <c r="O8" s="39" t="s">
        <v>1381</v>
      </c>
      <c r="P8" s="108" t="s">
        <v>80</v>
      </c>
      <c r="Q8" s="71">
        <f t="shared" si="4"/>
        <v>0</v>
      </c>
    </row>
    <row r="9" spans="1:17">
      <c r="A9" s="29">
        <f t="shared" si="5"/>
        <v>5</v>
      </c>
      <c r="B9" s="119" t="s">
        <v>1382</v>
      </c>
      <c r="C9" s="185" t="s">
        <v>1383</v>
      </c>
      <c r="D9" s="185" t="s">
        <v>1384</v>
      </c>
      <c r="E9" s="32">
        <v>43157</v>
      </c>
      <c r="F9" s="121">
        <f>17500000+437500+200000+200000+31662500</f>
        <v>50000000</v>
      </c>
      <c r="G9" s="36">
        <f t="shared" si="0"/>
        <v>64416000</v>
      </c>
      <c r="H9" s="71">
        <v>2084000</v>
      </c>
      <c r="I9" s="71">
        <f t="shared" si="6"/>
        <v>600000</v>
      </c>
      <c r="J9" s="122">
        <v>24</v>
      </c>
      <c r="K9" s="122">
        <v>24</v>
      </c>
      <c r="L9" s="36">
        <f t="shared" si="1"/>
        <v>2684000</v>
      </c>
      <c r="M9" s="37">
        <f t="shared" si="2"/>
        <v>64416000</v>
      </c>
      <c r="N9" s="38">
        <f t="shared" si="3"/>
        <v>50000000</v>
      </c>
      <c r="O9" s="39" t="s">
        <v>1385</v>
      </c>
      <c r="P9" s="108" t="s">
        <v>80</v>
      </c>
      <c r="Q9" s="71">
        <f t="shared" si="4"/>
        <v>0</v>
      </c>
    </row>
    <row r="10" spans="1:17">
      <c r="A10" s="29">
        <f t="shared" si="5"/>
        <v>6</v>
      </c>
      <c r="B10" s="119" t="s">
        <v>1386</v>
      </c>
      <c r="C10" s="185" t="s">
        <v>1387</v>
      </c>
      <c r="D10" s="185" t="s">
        <v>1388</v>
      </c>
      <c r="E10" s="32">
        <v>43153</v>
      </c>
      <c r="F10" s="121">
        <f>41721221+1043031+506455+200000+50645500-47058104</f>
        <v>47058103</v>
      </c>
      <c r="G10" s="36">
        <f t="shared" si="0"/>
        <v>34500000</v>
      </c>
      <c r="H10" s="40">
        <v>185303</v>
      </c>
      <c r="I10" s="35">
        <v>564697</v>
      </c>
      <c r="J10" s="122">
        <v>46</v>
      </c>
      <c r="K10" s="122">
        <v>46</v>
      </c>
      <c r="L10" s="36">
        <f t="shared" si="1"/>
        <v>750000</v>
      </c>
      <c r="M10" s="37">
        <f t="shared" si="2"/>
        <v>34500000</v>
      </c>
      <c r="N10" s="38">
        <f t="shared" si="3"/>
        <v>47058103</v>
      </c>
      <c r="O10" s="39" t="s">
        <v>1389</v>
      </c>
      <c r="P10" s="108" t="s">
        <v>80</v>
      </c>
      <c r="Q10" s="71">
        <f t="shared" si="4"/>
        <v>0</v>
      </c>
    </row>
    <row r="11" spans="1:17">
      <c r="A11" s="29">
        <f t="shared" si="5"/>
        <v>7</v>
      </c>
      <c r="B11" s="119" t="s">
        <v>1386</v>
      </c>
      <c r="C11" s="185" t="s">
        <v>1387</v>
      </c>
      <c r="D11" s="185" t="s">
        <v>1388</v>
      </c>
      <c r="E11" s="32">
        <v>43153</v>
      </c>
      <c r="F11" s="121">
        <v>47058104</v>
      </c>
      <c r="G11" s="36">
        <f t="shared" si="0"/>
        <v>34500000</v>
      </c>
      <c r="H11" s="71">
        <v>185303</v>
      </c>
      <c r="I11" s="71">
        <v>564697</v>
      </c>
      <c r="J11" s="122">
        <v>46</v>
      </c>
      <c r="K11" s="122">
        <v>46</v>
      </c>
      <c r="L11" s="36">
        <f t="shared" si="1"/>
        <v>750000</v>
      </c>
      <c r="M11" s="37">
        <f t="shared" si="2"/>
        <v>34500000</v>
      </c>
      <c r="N11" s="38">
        <f t="shared" si="3"/>
        <v>47058104</v>
      </c>
      <c r="O11" s="39" t="s">
        <v>1389</v>
      </c>
      <c r="P11" s="108" t="s">
        <v>80</v>
      </c>
      <c r="Q11" s="71">
        <f t="shared" si="4"/>
        <v>0</v>
      </c>
    </row>
    <row r="12" spans="1:17">
      <c r="A12" s="29">
        <f t="shared" si="5"/>
        <v>8</v>
      </c>
      <c r="B12" s="119" t="s">
        <v>905</v>
      </c>
      <c r="C12" s="185" t="s">
        <v>906</v>
      </c>
      <c r="D12" s="185" t="s">
        <v>1390</v>
      </c>
      <c r="E12" s="32">
        <v>43158</v>
      </c>
      <c r="F12" s="121">
        <f>50000+4950000</f>
        <v>5000000</v>
      </c>
      <c r="G12" s="36">
        <f t="shared" si="0"/>
        <v>5724000</v>
      </c>
      <c r="H12" s="71">
        <f>477000-I12</f>
        <v>417000</v>
      </c>
      <c r="I12" s="71">
        <f t="shared" si="6"/>
        <v>60000</v>
      </c>
      <c r="J12" s="122">
        <v>12</v>
      </c>
      <c r="K12" s="122">
        <v>12</v>
      </c>
      <c r="L12" s="36">
        <f t="shared" si="1"/>
        <v>477000</v>
      </c>
      <c r="M12" s="37">
        <f t="shared" si="2"/>
        <v>5724000</v>
      </c>
      <c r="N12" s="38">
        <f t="shared" si="3"/>
        <v>5000000</v>
      </c>
      <c r="O12" s="39" t="s">
        <v>1093</v>
      </c>
      <c r="P12" s="108" t="s">
        <v>1377</v>
      </c>
      <c r="Q12" s="71">
        <f t="shared" si="4"/>
        <v>0</v>
      </c>
    </row>
    <row r="13" spans="1:17">
      <c r="A13" s="30"/>
      <c r="B13" s="119"/>
      <c r="C13" s="119"/>
      <c r="D13" s="119"/>
      <c r="E13" s="119"/>
      <c r="F13" s="121"/>
      <c r="G13" s="119"/>
      <c r="H13" s="71"/>
      <c r="I13" s="71"/>
      <c r="J13" s="119"/>
      <c r="K13" s="119"/>
      <c r="L13" s="119"/>
      <c r="M13" s="119"/>
      <c r="N13" s="119"/>
      <c r="O13" s="119"/>
      <c r="P13" s="233"/>
      <c r="Q13" s="119"/>
    </row>
    <row r="14" spans="1:17">
      <c r="A14" s="30"/>
      <c r="B14" s="119" t="s">
        <v>7</v>
      </c>
      <c r="C14" s="119"/>
      <c r="D14" s="119"/>
      <c r="E14" s="119"/>
      <c r="F14" s="121">
        <f>SUM(F5:F13)</f>
        <v>385276547</v>
      </c>
      <c r="G14" s="121">
        <f t="shared" ref="G14:N14" si="7">SUM(G5:G13)</f>
        <v>307808000</v>
      </c>
      <c r="H14" s="121">
        <f t="shared" si="7"/>
        <v>5870682</v>
      </c>
      <c r="I14" s="121">
        <f t="shared" si="7"/>
        <v>4623318</v>
      </c>
      <c r="J14" s="121">
        <f t="shared" si="7"/>
        <v>233</v>
      </c>
      <c r="K14" s="121">
        <f t="shared" si="7"/>
        <v>233</v>
      </c>
      <c r="L14" s="121">
        <f t="shared" si="7"/>
        <v>10494000</v>
      </c>
      <c r="M14" s="121">
        <f t="shared" si="7"/>
        <v>307808000</v>
      </c>
      <c r="N14" s="121">
        <f t="shared" si="7"/>
        <v>385276547</v>
      </c>
      <c r="O14" s="119"/>
      <c r="P14" s="233"/>
      <c r="Q14" s="121">
        <f>SUM(Q5:Q13)</f>
        <v>0</v>
      </c>
    </row>
    <row r="15" spans="1:17">
      <c r="F15" s="234"/>
      <c r="H15" s="235"/>
      <c r="I15" s="235"/>
      <c r="Q15" s="119"/>
    </row>
    <row r="16" spans="1:17" s="14" customFormat="1">
      <c r="A16" s="29">
        <f t="shared" ref="A16" si="8">+A15+1</f>
        <v>1</v>
      </c>
      <c r="B16" s="119" t="s">
        <v>1386</v>
      </c>
      <c r="C16" s="185" t="s">
        <v>1387</v>
      </c>
      <c r="D16" s="185" t="s">
        <v>1388</v>
      </c>
      <c r="E16" s="32">
        <v>43153</v>
      </c>
      <c r="F16" s="121">
        <f>41721221+1043031+506455+200000+50645500</f>
        <v>94116207</v>
      </c>
      <c r="G16" s="36">
        <f t="shared" ref="G16" si="9">+J16*L16</f>
        <v>69000000</v>
      </c>
      <c r="H16" s="40">
        <v>370606</v>
      </c>
      <c r="I16" s="35">
        <v>1129394</v>
      </c>
      <c r="J16" s="122">
        <v>46</v>
      </c>
      <c r="K16" s="122">
        <v>46</v>
      </c>
      <c r="L16" s="36">
        <f t="shared" ref="L16" si="10">+H16+I16</f>
        <v>1500000</v>
      </c>
      <c r="M16" s="37">
        <f t="shared" ref="M16" si="11">+K16*L16</f>
        <v>69000000</v>
      </c>
      <c r="N16" s="38">
        <f t="shared" ref="N16" si="12">F16-(H16*0)</f>
        <v>94116207</v>
      </c>
      <c r="O16" s="39" t="s">
        <v>1389</v>
      </c>
      <c r="P16" s="108" t="s">
        <v>80</v>
      </c>
      <c r="Q16" s="40"/>
    </row>
    <row r="17" spans="1:17" s="14" customFormat="1">
      <c r="A17" s="29"/>
      <c r="B17" s="30"/>
      <c r="C17" s="183"/>
      <c r="D17" s="183"/>
      <c r="E17" s="32"/>
      <c r="F17" s="43"/>
      <c r="G17" s="34"/>
      <c r="H17" s="40"/>
      <c r="I17" s="40"/>
      <c r="J17" s="29"/>
      <c r="K17" s="29"/>
      <c r="L17" s="34"/>
      <c r="M17" s="42"/>
      <c r="N17" s="34"/>
      <c r="O17" s="44"/>
      <c r="P17" s="109"/>
      <c r="Q17" s="40"/>
    </row>
    <row r="18" spans="1:17" s="14" customFormat="1">
      <c r="A18" s="29"/>
      <c r="B18" s="30"/>
      <c r="C18" s="183"/>
      <c r="D18" s="183"/>
      <c r="E18" s="32"/>
      <c r="F18" s="43"/>
      <c r="G18" s="34"/>
      <c r="H18" s="40"/>
      <c r="I18" s="40"/>
      <c r="J18" s="29"/>
      <c r="K18" s="29"/>
      <c r="L18" s="34"/>
      <c r="M18" s="42"/>
      <c r="N18" s="34"/>
      <c r="O18" s="44"/>
      <c r="P18" s="109"/>
      <c r="Q18" s="40"/>
    </row>
    <row r="19" spans="1:17" s="14" customFormat="1">
      <c r="A19" s="29"/>
      <c r="B19" s="30"/>
      <c r="C19" s="183"/>
      <c r="D19" s="183"/>
      <c r="E19" s="32"/>
      <c r="F19" s="40"/>
      <c r="G19" s="34"/>
      <c r="H19" s="40"/>
      <c r="I19" s="40"/>
      <c r="J19" s="29"/>
      <c r="K19" s="29"/>
      <c r="L19" s="34"/>
      <c r="M19" s="42"/>
      <c r="N19" s="34"/>
      <c r="O19" s="44"/>
      <c r="P19" s="109"/>
      <c r="Q19" s="40"/>
    </row>
    <row r="20" spans="1:17" s="14" customFormat="1">
      <c r="A20" s="29"/>
      <c r="B20" s="30"/>
      <c r="C20" s="183"/>
      <c r="D20" s="183"/>
      <c r="E20" s="32"/>
      <c r="F20" s="43"/>
      <c r="G20" s="34"/>
      <c r="H20" s="40"/>
      <c r="I20" s="40"/>
      <c r="J20" s="29"/>
      <c r="K20" s="29"/>
      <c r="L20" s="34"/>
      <c r="M20" s="42"/>
      <c r="N20" s="34"/>
      <c r="O20" s="44"/>
      <c r="P20" s="109"/>
      <c r="Q20" s="40"/>
    </row>
    <row r="21" spans="1:17" s="14" customFormat="1">
      <c r="A21" s="29"/>
      <c r="B21" s="30"/>
      <c r="C21" s="183"/>
      <c r="D21" s="183"/>
      <c r="E21" s="32"/>
      <c r="F21" s="43"/>
      <c r="G21" s="34"/>
      <c r="H21" s="40"/>
      <c r="I21" s="40"/>
      <c r="J21" s="29"/>
      <c r="K21" s="29"/>
      <c r="L21" s="34"/>
      <c r="M21" s="42"/>
      <c r="N21" s="34"/>
      <c r="O21" s="44"/>
      <c r="P21" s="109"/>
      <c r="Q21" s="40"/>
    </row>
    <row r="22" spans="1:17" s="14" customFormat="1">
      <c r="A22" s="29"/>
      <c r="B22" s="30"/>
      <c r="C22" s="183"/>
      <c r="D22" s="183"/>
      <c r="E22" s="32"/>
      <c r="F22" s="43"/>
      <c r="G22" s="34"/>
      <c r="H22" s="40"/>
      <c r="I22" s="35"/>
      <c r="J22" s="29"/>
      <c r="K22" s="29"/>
      <c r="L22" s="34"/>
      <c r="M22" s="34"/>
      <c r="N22" s="34"/>
      <c r="O22" s="236"/>
      <c r="P22" s="109"/>
      <c r="Q22" s="40"/>
    </row>
    <row r="23" spans="1:17" s="14" customFormat="1">
      <c r="A23" s="29"/>
      <c r="B23" s="30"/>
      <c r="C23" s="183"/>
      <c r="D23" s="183"/>
      <c r="E23" s="32"/>
      <c r="F23" s="43"/>
      <c r="G23" s="34"/>
      <c r="H23" s="40"/>
      <c r="I23" s="40"/>
      <c r="J23" s="29"/>
      <c r="K23" s="29"/>
      <c r="L23" s="34"/>
      <c r="M23" s="42"/>
      <c r="N23" s="34"/>
      <c r="O23" s="44"/>
      <c r="P23" s="109"/>
      <c r="Q23" s="40"/>
    </row>
    <row r="24" spans="1:17" s="14" customFormat="1">
      <c r="A24" s="29"/>
      <c r="B24" s="30"/>
      <c r="C24" s="183"/>
      <c r="D24" s="183"/>
      <c r="E24" s="32"/>
      <c r="F24" s="43"/>
      <c r="G24" s="34"/>
      <c r="H24" s="40"/>
      <c r="I24" s="40"/>
      <c r="J24" s="29"/>
      <c r="K24" s="29"/>
      <c r="L24" s="34"/>
      <c r="M24" s="42"/>
      <c r="N24" s="34"/>
      <c r="O24" s="44"/>
      <c r="P24" s="109"/>
      <c r="Q24" s="40"/>
    </row>
    <row r="25" spans="1:17" s="14" customFormat="1">
      <c r="A25" s="29"/>
      <c r="B25" s="30"/>
      <c r="C25" s="183"/>
      <c r="D25" s="31"/>
      <c r="E25" s="32"/>
      <c r="F25" s="33"/>
      <c r="G25" s="34"/>
      <c r="H25" s="42"/>
      <c r="I25" s="33"/>
      <c r="J25" s="29"/>
      <c r="K25" s="29"/>
      <c r="L25" s="34"/>
      <c r="M25" s="42"/>
      <c r="N25" s="34"/>
      <c r="O25" s="44"/>
      <c r="P25" s="237"/>
      <c r="Q25" s="40"/>
    </row>
    <row r="27" spans="1:17">
      <c r="F27" s="238" t="s">
        <v>1801</v>
      </c>
      <c r="G27" s="238" t="s">
        <v>1802</v>
      </c>
      <c r="H27" s="238" t="s">
        <v>1803</v>
      </c>
    </row>
    <row r="28" spans="1:17">
      <c r="A28" s="29">
        <v>1</v>
      </c>
      <c r="B28" s="119" t="s">
        <v>1370</v>
      </c>
      <c r="C28" s="185" t="s">
        <v>1371</v>
      </c>
      <c r="D28" s="185" t="s">
        <v>1372</v>
      </c>
      <c r="E28" s="32">
        <v>43154</v>
      </c>
      <c r="F28" s="37">
        <v>23000000</v>
      </c>
      <c r="G28" s="37">
        <v>5000000</v>
      </c>
      <c r="H28" s="37">
        <v>2000000</v>
      </c>
      <c r="I28" s="186" t="s">
        <v>1739</v>
      </c>
    </row>
    <row r="29" spans="1:17">
      <c r="A29" s="29">
        <f t="shared" ref="A29:A37" si="13">+A28+1</f>
        <v>2</v>
      </c>
      <c r="B29" s="119" t="s">
        <v>1373</v>
      </c>
      <c r="C29" s="185" t="s">
        <v>1374</v>
      </c>
      <c r="D29" s="185" t="s">
        <v>1375</v>
      </c>
      <c r="E29" s="32">
        <v>43154</v>
      </c>
      <c r="F29" s="37">
        <v>20000000</v>
      </c>
      <c r="G29" s="37">
        <v>2000000</v>
      </c>
      <c r="H29" s="37">
        <v>3000000</v>
      </c>
      <c r="I29" s="186" t="s">
        <v>1740</v>
      </c>
    </row>
    <row r="30" spans="1:17">
      <c r="A30" s="29">
        <f t="shared" si="13"/>
        <v>3</v>
      </c>
      <c r="B30" s="119" t="s">
        <v>1386</v>
      </c>
      <c r="C30" s="185" t="s">
        <v>1387</v>
      </c>
      <c r="D30" s="185" t="s">
        <v>1388</v>
      </c>
      <c r="E30" s="32">
        <v>43153</v>
      </c>
      <c r="F30" s="37">
        <v>5000000</v>
      </c>
      <c r="G30" s="37">
        <v>2500000</v>
      </c>
      <c r="H30" s="37">
        <v>2500000</v>
      </c>
      <c r="I30" s="186" t="s">
        <v>1700</v>
      </c>
    </row>
    <row r="31" spans="1:17">
      <c r="A31" s="29">
        <f t="shared" si="13"/>
        <v>4</v>
      </c>
      <c r="B31" s="119" t="s">
        <v>1386</v>
      </c>
      <c r="C31" s="185" t="s">
        <v>1387</v>
      </c>
      <c r="D31" s="185" t="s">
        <v>1388</v>
      </c>
      <c r="E31" s="32">
        <v>43153</v>
      </c>
      <c r="F31" s="37">
        <v>5000000</v>
      </c>
      <c r="G31" s="37">
        <v>2500000</v>
      </c>
      <c r="H31" s="37">
        <v>2500000</v>
      </c>
      <c r="I31" s="186" t="s">
        <v>1700</v>
      </c>
    </row>
    <row r="32" spans="1:17">
      <c r="A32" s="29">
        <f t="shared" si="13"/>
        <v>5</v>
      </c>
      <c r="B32" s="119"/>
      <c r="C32" s="185"/>
      <c r="D32" s="185"/>
      <c r="E32" s="32"/>
      <c r="F32" s="37">
        <v>0</v>
      </c>
      <c r="G32" s="36">
        <v>0</v>
      </c>
      <c r="H32" s="37">
        <v>0</v>
      </c>
      <c r="I32" s="186"/>
    </row>
    <row r="33" spans="1:13">
      <c r="A33" s="29">
        <f t="shared" si="13"/>
        <v>6</v>
      </c>
      <c r="B33" s="119"/>
      <c r="C33" s="185"/>
      <c r="D33" s="185"/>
      <c r="E33" s="32"/>
      <c r="F33" s="37">
        <v>0</v>
      </c>
      <c r="G33" s="36">
        <v>0</v>
      </c>
      <c r="H33" s="37">
        <v>0</v>
      </c>
      <c r="I33" s="186"/>
    </row>
    <row r="34" spans="1:13">
      <c r="A34" s="29">
        <f t="shared" si="13"/>
        <v>7</v>
      </c>
      <c r="B34" s="119"/>
      <c r="C34" s="185"/>
      <c r="D34" s="185"/>
      <c r="E34" s="32"/>
      <c r="F34" s="37">
        <v>0</v>
      </c>
      <c r="G34" s="36">
        <v>0</v>
      </c>
      <c r="H34" s="37">
        <v>0</v>
      </c>
      <c r="I34" s="186"/>
    </row>
    <row r="35" spans="1:13">
      <c r="A35" s="29">
        <f t="shared" si="13"/>
        <v>8</v>
      </c>
      <c r="B35" s="119"/>
      <c r="C35" s="185"/>
      <c r="D35" s="185"/>
      <c r="E35" s="32"/>
      <c r="F35" s="37">
        <v>0</v>
      </c>
      <c r="G35" s="36">
        <v>0</v>
      </c>
      <c r="H35" s="37">
        <v>0</v>
      </c>
      <c r="I35" s="186"/>
    </row>
    <row r="36" spans="1:13">
      <c r="A36" s="29">
        <f t="shared" si="13"/>
        <v>9</v>
      </c>
      <c r="B36" s="119"/>
      <c r="C36" s="185"/>
      <c r="D36" s="185"/>
      <c r="E36" s="32"/>
      <c r="F36" s="37">
        <v>0</v>
      </c>
      <c r="G36" s="36">
        <v>0</v>
      </c>
      <c r="H36" s="37">
        <v>0</v>
      </c>
      <c r="I36" s="186"/>
    </row>
    <row r="37" spans="1:13">
      <c r="A37" s="29">
        <f t="shared" si="13"/>
        <v>10</v>
      </c>
      <c r="B37" s="119"/>
      <c r="C37" s="185"/>
      <c r="D37" s="185"/>
      <c r="E37" s="32"/>
      <c r="F37" s="37">
        <v>0</v>
      </c>
      <c r="G37" s="36">
        <v>0</v>
      </c>
      <c r="H37" s="37">
        <v>0</v>
      </c>
      <c r="I37" s="186"/>
      <c r="M37" s="110" t="s">
        <v>1804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51"/>
  <sheetViews>
    <sheetView showGridLines="0" tabSelected="1" view="pageBreakPreview" zoomScaleSheetLayoutView="100" workbookViewId="0">
      <pane ySplit="4" topLeftCell="A439" activePane="bottomLeft" state="frozen"/>
      <selection pane="bottomLeft" activeCell="C1" sqref="C1:D1048576"/>
    </sheetView>
  </sheetViews>
  <sheetFormatPr defaultRowHeight="15.75"/>
  <cols>
    <col min="1" max="1" width="5.5703125" style="14" customWidth="1"/>
    <col min="2" max="2" width="22.28515625" style="14" customWidth="1"/>
    <col min="3" max="3" width="10.7109375" style="9" hidden="1" customWidth="1"/>
    <col min="4" max="4" width="10.140625" style="129" hidden="1" customWidth="1"/>
    <col min="5" max="5" width="13.85546875" style="129" bestFit="1" customWidth="1"/>
    <col min="6" max="6" width="20.42578125" style="130" bestFit="1" customWidth="1"/>
    <col min="7" max="7" width="19.140625" style="131" hidden="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4" customWidth="1"/>
    <col min="13" max="13" width="19.140625" style="134" customWidth="1"/>
    <col min="14" max="14" width="19.140625" style="132" bestFit="1" customWidth="1"/>
    <col min="15" max="15" width="30.28515625" style="179" customWidth="1"/>
    <col min="16" max="16" width="27.7109375" style="18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6" s="21" customFormat="1" ht="12.75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6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24</v>
      </c>
      <c r="P5" s="39" t="s">
        <v>25</v>
      </c>
    </row>
    <row r="6" spans="1:16">
      <c r="A6" s="29">
        <f t="shared" ref="A6:A69" si="3">+A5+1</f>
        <v>2</v>
      </c>
      <c r="B6" s="30" t="s">
        <v>26</v>
      </c>
      <c r="C6" s="31" t="s">
        <v>27</v>
      </c>
      <c r="D6" s="41" t="s">
        <v>28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29</v>
      </c>
      <c r="P6" s="39" t="s">
        <v>30</v>
      </c>
    </row>
    <row r="7" spans="1:16">
      <c r="A7" s="29">
        <f t="shared" si="3"/>
        <v>3</v>
      </c>
      <c r="B7" s="30" t="s">
        <v>26</v>
      </c>
      <c r="C7" s="31" t="s">
        <v>27</v>
      </c>
      <c r="D7" s="41" t="s">
        <v>28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29</v>
      </c>
      <c r="P7" s="39" t="s">
        <v>30</v>
      </c>
    </row>
    <row r="8" spans="1:16">
      <c r="A8" s="29">
        <f t="shared" si="3"/>
        <v>4</v>
      </c>
      <c r="B8" s="30" t="s">
        <v>26</v>
      </c>
      <c r="C8" s="31" t="s">
        <v>27</v>
      </c>
      <c r="D8" s="31" t="s">
        <v>31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29</v>
      </c>
      <c r="P8" s="39" t="s">
        <v>32</v>
      </c>
    </row>
    <row r="9" spans="1:16">
      <c r="A9" s="29">
        <f t="shared" si="3"/>
        <v>5</v>
      </c>
      <c r="B9" s="30" t="s">
        <v>33</v>
      </c>
      <c r="C9" s="31" t="s">
        <v>34</v>
      </c>
      <c r="D9" s="31" t="s">
        <v>35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36</v>
      </c>
      <c r="P9" s="39" t="s">
        <v>37</v>
      </c>
    </row>
    <row r="10" spans="1:16">
      <c r="A10" s="29">
        <f t="shared" si="3"/>
        <v>6</v>
      </c>
      <c r="B10" s="30" t="s">
        <v>38</v>
      </c>
      <c r="C10" s="31" t="s">
        <v>39</v>
      </c>
      <c r="D10" s="41" t="s">
        <v>40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41</v>
      </c>
      <c r="P10" s="39" t="s">
        <v>42</v>
      </c>
    </row>
    <row r="11" spans="1:16">
      <c r="A11" s="29">
        <f t="shared" si="3"/>
        <v>7</v>
      </c>
      <c r="B11" s="30" t="s">
        <v>43</v>
      </c>
      <c r="C11" s="31" t="s">
        <v>44</v>
      </c>
      <c r="D11" s="41" t="s">
        <v>45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46</v>
      </c>
      <c r="P11" s="39" t="s">
        <v>42</v>
      </c>
    </row>
    <row r="12" spans="1:16">
      <c r="A12" s="29">
        <f t="shared" si="3"/>
        <v>8</v>
      </c>
      <c r="B12" s="30" t="s">
        <v>47</v>
      </c>
      <c r="C12" s="31" t="s">
        <v>48</v>
      </c>
      <c r="D12" s="41" t="s">
        <v>49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50</v>
      </c>
      <c r="P12" s="39" t="s">
        <v>51</v>
      </c>
    </row>
    <row r="13" spans="1:16">
      <c r="A13" s="29">
        <f t="shared" si="3"/>
        <v>9</v>
      </c>
      <c r="B13" s="30" t="s">
        <v>52</v>
      </c>
      <c r="C13" s="31" t="s">
        <v>53</v>
      </c>
      <c r="D13" s="31" t="s">
        <v>54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55</v>
      </c>
      <c r="P13" s="39" t="s">
        <v>30</v>
      </c>
    </row>
    <row r="14" spans="1:16">
      <c r="A14" s="29">
        <f t="shared" si="3"/>
        <v>10</v>
      </c>
      <c r="B14" s="30" t="s">
        <v>56</v>
      </c>
      <c r="C14" s="31" t="s">
        <v>57</v>
      </c>
      <c r="D14" s="41" t="s">
        <v>58</v>
      </c>
      <c r="E14" s="32">
        <v>42762</v>
      </c>
      <c r="F14" s="33">
        <f>36111000+902775+138890+200000+12647335</f>
        <v>50000000</v>
      </c>
      <c r="G14" s="34">
        <f t="shared" si="0"/>
        <v>71604000</v>
      </c>
      <c r="H14" s="33">
        <v>1389000</v>
      </c>
      <c r="I14" s="33">
        <f t="shared" si="4"/>
        <v>600000</v>
      </c>
      <c r="J14" s="29">
        <v>36</v>
      </c>
      <c r="K14" s="29">
        <v>23</v>
      </c>
      <c r="L14" s="36">
        <f t="shared" si="1"/>
        <v>1989000</v>
      </c>
      <c r="M14" s="36">
        <f t="shared" si="2"/>
        <v>45747000</v>
      </c>
      <c r="N14" s="38">
        <f>F14-(H14*13)</f>
        <v>31943000</v>
      </c>
      <c r="O14" s="39" t="s">
        <v>59</v>
      </c>
      <c r="P14" s="39" t="s">
        <v>42</v>
      </c>
    </row>
    <row r="15" spans="1:16">
      <c r="A15" s="29">
        <f t="shared" si="3"/>
        <v>11</v>
      </c>
      <c r="B15" s="30" t="s">
        <v>60</v>
      </c>
      <c r="C15" s="31" t="s">
        <v>61</v>
      </c>
      <c r="D15" s="31" t="s">
        <v>62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</v>
      </c>
      <c r="P15" s="39" t="s">
        <v>30</v>
      </c>
    </row>
    <row r="16" spans="1:16">
      <c r="A16" s="29">
        <f t="shared" si="3"/>
        <v>12</v>
      </c>
      <c r="B16" s="30" t="s">
        <v>60</v>
      </c>
      <c r="C16" s="31" t="s">
        <v>61</v>
      </c>
      <c r="D16" s="31" t="s">
        <v>62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</v>
      </c>
      <c r="P16" s="39" t="s">
        <v>30</v>
      </c>
    </row>
    <row r="17" spans="1:16">
      <c r="A17" s="29">
        <f t="shared" si="3"/>
        <v>13</v>
      </c>
      <c r="B17" s="30" t="s">
        <v>64</v>
      </c>
      <c r="C17" s="31" t="s">
        <v>65</v>
      </c>
      <c r="D17" s="41" t="s">
        <v>66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67</v>
      </c>
      <c r="P17" s="39" t="s">
        <v>42</v>
      </c>
    </row>
    <row r="18" spans="1:16">
      <c r="A18" s="29">
        <f t="shared" si="3"/>
        <v>14</v>
      </c>
      <c r="B18" s="30" t="s">
        <v>68</v>
      </c>
      <c r="C18" s="31" t="s">
        <v>69</v>
      </c>
      <c r="D18" s="31" t="s">
        <v>69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67</v>
      </c>
      <c r="P18" s="39" t="s">
        <v>70</v>
      </c>
    </row>
    <row r="19" spans="1:16">
      <c r="A19" s="29">
        <f t="shared" si="3"/>
        <v>15</v>
      </c>
      <c r="B19" s="30" t="s">
        <v>68</v>
      </c>
      <c r="C19" s="31" t="s">
        <v>69</v>
      </c>
      <c r="D19" s="31" t="s">
        <v>69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67</v>
      </c>
      <c r="P19" s="39" t="s">
        <v>70</v>
      </c>
    </row>
    <row r="20" spans="1:16">
      <c r="A20" s="29">
        <f t="shared" si="3"/>
        <v>16</v>
      </c>
      <c r="B20" s="30" t="s">
        <v>71</v>
      </c>
      <c r="C20" s="31" t="s">
        <v>72</v>
      </c>
      <c r="D20" s="41" t="s">
        <v>73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74</v>
      </c>
      <c r="P20" s="39" t="s">
        <v>75</v>
      </c>
    </row>
    <row r="21" spans="1:16">
      <c r="A21" s="29">
        <f t="shared" si="3"/>
        <v>17</v>
      </c>
      <c r="B21" s="30" t="s">
        <v>76</v>
      </c>
      <c r="C21" s="31" t="s">
        <v>77</v>
      </c>
      <c r="D21" s="31" t="s">
        <v>78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79</v>
      </c>
      <c r="P21" s="39" t="s">
        <v>80</v>
      </c>
    </row>
    <row r="22" spans="1:16">
      <c r="A22" s="29">
        <f t="shared" si="3"/>
        <v>18</v>
      </c>
      <c r="B22" s="30" t="s">
        <v>76</v>
      </c>
      <c r="C22" s="31" t="s">
        <v>77</v>
      </c>
      <c r="D22" s="31" t="s">
        <v>78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79</v>
      </c>
      <c r="P22" s="39" t="s">
        <v>80</v>
      </c>
    </row>
    <row r="23" spans="1:16">
      <c r="A23" s="29">
        <f t="shared" si="3"/>
        <v>19</v>
      </c>
      <c r="B23" s="30" t="s">
        <v>81</v>
      </c>
      <c r="C23" s="31" t="s">
        <v>82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83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84</v>
      </c>
      <c r="P23" s="52" t="s">
        <v>85</v>
      </c>
    </row>
    <row r="24" spans="1:16">
      <c r="A24" s="29">
        <f t="shared" si="3"/>
        <v>20</v>
      </c>
      <c r="B24" s="30" t="s">
        <v>86</v>
      </c>
      <c r="C24" s="31" t="s">
        <v>87</v>
      </c>
      <c r="D24" s="41" t="s">
        <v>88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89</v>
      </c>
      <c r="P24" s="39" t="s">
        <v>80</v>
      </c>
    </row>
    <row r="25" spans="1:16">
      <c r="A25" s="29">
        <f t="shared" si="3"/>
        <v>21</v>
      </c>
      <c r="B25" s="30" t="s">
        <v>90</v>
      </c>
      <c r="C25" s="31" t="s">
        <v>87</v>
      </c>
      <c r="D25" s="31" t="s">
        <v>91</v>
      </c>
      <c r="E25" s="32">
        <v>43035</v>
      </c>
      <c r="F25" s="43">
        <f>1000000</f>
        <v>1000000</v>
      </c>
      <c r="G25" s="34">
        <f t="shared" si="0"/>
        <v>1060000</v>
      </c>
      <c r="H25" s="35">
        <f>+F25/J25</f>
        <v>200000</v>
      </c>
      <c r="I25" s="35">
        <f>+F25*1.2%</f>
        <v>12000</v>
      </c>
      <c r="J25" s="29">
        <v>5</v>
      </c>
      <c r="K25" s="29">
        <v>1</v>
      </c>
      <c r="L25" s="36">
        <f t="shared" si="1"/>
        <v>212000</v>
      </c>
      <c r="M25" s="37">
        <f t="shared" si="2"/>
        <v>212000</v>
      </c>
      <c r="N25" s="34">
        <f>+H25*K25</f>
        <v>200000</v>
      </c>
      <c r="O25" s="44" t="s">
        <v>92</v>
      </c>
      <c r="P25" s="39" t="s">
        <v>93</v>
      </c>
    </row>
    <row r="26" spans="1:16">
      <c r="A26" s="29">
        <f t="shared" si="3"/>
        <v>22</v>
      </c>
      <c r="B26" s="30" t="s">
        <v>94</v>
      </c>
      <c r="C26" s="31" t="s">
        <v>95</v>
      </c>
      <c r="D26" s="31" t="s">
        <v>96</v>
      </c>
      <c r="E26" s="32">
        <v>42864</v>
      </c>
      <c r="F26" s="33">
        <f>14166000+354150+294194+200000+200000+34785656</f>
        <v>50000000</v>
      </c>
      <c r="G26" s="34">
        <f t="shared" si="0"/>
        <v>31068000</v>
      </c>
      <c r="H26" s="35">
        <v>694500</v>
      </c>
      <c r="I26" s="33">
        <f>+F26*1.2%</f>
        <v>600000</v>
      </c>
      <c r="J26" s="29">
        <v>24</v>
      </c>
      <c r="K26" s="29">
        <v>14</v>
      </c>
      <c r="L26" s="36">
        <f t="shared" si="1"/>
        <v>1294500</v>
      </c>
      <c r="M26" s="37">
        <f t="shared" si="2"/>
        <v>18123000</v>
      </c>
      <c r="N26" s="38">
        <f>F26-(H26*10)-5000000-2500000</f>
        <v>35555000</v>
      </c>
      <c r="O26" s="39" t="s">
        <v>97</v>
      </c>
      <c r="P26" s="39" t="s">
        <v>80</v>
      </c>
    </row>
    <row r="27" spans="1:16">
      <c r="A27" s="29">
        <f t="shared" si="3"/>
        <v>23</v>
      </c>
      <c r="B27" s="30" t="s">
        <v>98</v>
      </c>
      <c r="C27" s="31" t="s">
        <v>99</v>
      </c>
      <c r="D27" s="31" t="s">
        <v>100</v>
      </c>
      <c r="E27" s="32">
        <v>42947</v>
      </c>
      <c r="F27" s="43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29</v>
      </c>
      <c r="L27" s="36">
        <f t="shared" si="1"/>
        <v>5800000</v>
      </c>
      <c r="M27" s="37">
        <f t="shared" si="2"/>
        <v>168200000</v>
      </c>
      <c r="N27" s="38">
        <f>F27-(H27*7)-10000000</f>
        <v>220400000</v>
      </c>
      <c r="O27" s="39" t="s">
        <v>101</v>
      </c>
      <c r="P27" s="39" t="s">
        <v>30</v>
      </c>
    </row>
    <row r="28" spans="1:16">
      <c r="A28" s="29">
        <f t="shared" si="3"/>
        <v>24</v>
      </c>
      <c r="B28" s="30" t="s">
        <v>102</v>
      </c>
      <c r="C28" s="31" t="s">
        <v>103</v>
      </c>
      <c r="D28" s="31" t="s">
        <v>104</v>
      </c>
      <c r="E28" s="32">
        <v>42892</v>
      </c>
      <c r="F28" s="33">
        <f>53609939+1340248+701361+400000+200000+40000000</f>
        <v>96251548</v>
      </c>
      <c r="G28" s="34">
        <f t="shared" si="0"/>
        <v>86607500</v>
      </c>
      <c r="H28" s="35">
        <v>1319481</v>
      </c>
      <c r="I28" s="33">
        <v>1155019</v>
      </c>
      <c r="J28" s="29">
        <v>35</v>
      </c>
      <c r="K28" s="29">
        <v>26</v>
      </c>
      <c r="L28" s="36">
        <f t="shared" si="1"/>
        <v>2474500</v>
      </c>
      <c r="M28" s="37">
        <f t="shared" si="2"/>
        <v>64337000</v>
      </c>
      <c r="N28" s="38">
        <f>F28-(H28*9)-2500000-2500000</f>
        <v>79376219</v>
      </c>
      <c r="O28" s="39" t="s">
        <v>105</v>
      </c>
      <c r="P28" s="53" t="s">
        <v>80</v>
      </c>
    </row>
    <row r="29" spans="1:16">
      <c r="A29" s="29">
        <f t="shared" si="3"/>
        <v>25</v>
      </c>
      <c r="B29" s="30" t="s">
        <v>106</v>
      </c>
      <c r="C29" s="31" t="s">
        <v>107</v>
      </c>
      <c r="D29" s="31" t="s">
        <v>108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109</v>
      </c>
      <c r="P29" s="39" t="s">
        <v>37</v>
      </c>
    </row>
    <row r="30" spans="1:16">
      <c r="A30" s="29">
        <f t="shared" si="3"/>
        <v>26</v>
      </c>
      <c r="B30" s="30" t="s">
        <v>106</v>
      </c>
      <c r="C30" s="31" t="s">
        <v>107</v>
      </c>
      <c r="D30" s="31" t="s">
        <v>108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109</v>
      </c>
      <c r="P30" s="39" t="s">
        <v>37</v>
      </c>
    </row>
    <row r="31" spans="1:16">
      <c r="A31" s="29">
        <f t="shared" si="3"/>
        <v>27</v>
      </c>
      <c r="B31" s="30" t="s">
        <v>110</v>
      </c>
      <c r="C31" s="31" t="s">
        <v>111</v>
      </c>
      <c r="D31" s="41" t="s">
        <v>112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113</v>
      </c>
      <c r="P31" s="39" t="s">
        <v>42</v>
      </c>
    </row>
    <row r="32" spans="1:16">
      <c r="A32" s="29">
        <f t="shared" si="3"/>
        <v>28</v>
      </c>
      <c r="B32" s="30" t="s">
        <v>110</v>
      </c>
      <c r="C32" s="31" t="s">
        <v>111</v>
      </c>
      <c r="D32" s="41" t="s">
        <v>112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113</v>
      </c>
      <c r="P32" s="39" t="s">
        <v>42</v>
      </c>
    </row>
    <row r="33" spans="1:16">
      <c r="A33" s="29">
        <f t="shared" si="3"/>
        <v>29</v>
      </c>
      <c r="B33" s="30" t="s">
        <v>114</v>
      </c>
      <c r="C33" s="31" t="s">
        <v>115</v>
      </c>
      <c r="D33" s="31" t="s">
        <v>116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117</v>
      </c>
      <c r="P33" s="39" t="s">
        <v>30</v>
      </c>
    </row>
    <row r="34" spans="1:16">
      <c r="A34" s="29">
        <f t="shared" si="3"/>
        <v>30</v>
      </c>
      <c r="B34" s="30" t="s">
        <v>114</v>
      </c>
      <c r="C34" s="31" t="s">
        <v>115</v>
      </c>
      <c r="D34" s="31" t="s">
        <v>116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117</v>
      </c>
      <c r="P34" s="39" t="s">
        <v>30</v>
      </c>
    </row>
    <row r="35" spans="1:16">
      <c r="A35" s="29">
        <f t="shared" si="3"/>
        <v>31</v>
      </c>
      <c r="B35" s="54" t="s">
        <v>118</v>
      </c>
      <c r="C35" s="55" t="s">
        <v>119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120</v>
      </c>
      <c r="P35" s="44" t="s">
        <v>121</v>
      </c>
    </row>
    <row r="36" spans="1:16">
      <c r="A36" s="29">
        <f t="shared" si="3"/>
        <v>32</v>
      </c>
      <c r="B36" s="54" t="s">
        <v>118</v>
      </c>
      <c r="C36" s="55" t="s">
        <v>119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120</v>
      </c>
      <c r="P36" s="44" t="s">
        <v>121</v>
      </c>
    </row>
    <row r="37" spans="1:16">
      <c r="A37" s="29">
        <f t="shared" si="3"/>
        <v>33</v>
      </c>
      <c r="B37" s="54" t="s">
        <v>118</v>
      </c>
      <c r="C37" s="55" t="s">
        <v>119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122</v>
      </c>
      <c r="P37" s="65" t="s">
        <v>123</v>
      </c>
    </row>
    <row r="38" spans="1:16">
      <c r="A38" s="29">
        <f t="shared" si="3"/>
        <v>34</v>
      </c>
      <c r="B38" s="30" t="s">
        <v>124</v>
      </c>
      <c r="C38" s="31" t="s">
        <v>125</v>
      </c>
      <c r="D38" s="41" t="s">
        <v>126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127</v>
      </c>
      <c r="P38" s="39" t="s">
        <v>30</v>
      </c>
    </row>
    <row r="39" spans="1:16">
      <c r="A39" s="29">
        <f t="shared" si="3"/>
        <v>35</v>
      </c>
      <c r="B39" s="30" t="s">
        <v>128</v>
      </c>
      <c r="C39" s="31" t="s">
        <v>129</v>
      </c>
      <c r="D39" s="41" t="s">
        <v>130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89</v>
      </c>
      <c r="P39" s="39" t="s">
        <v>80</v>
      </c>
    </row>
    <row r="40" spans="1:16">
      <c r="A40" s="29">
        <f t="shared" si="3"/>
        <v>36</v>
      </c>
      <c r="B40" s="30" t="s">
        <v>128</v>
      </c>
      <c r="C40" s="31" t="s">
        <v>129</v>
      </c>
      <c r="D40" s="41" t="s">
        <v>131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89</v>
      </c>
      <c r="P40" s="39" t="s">
        <v>32</v>
      </c>
    </row>
    <row r="41" spans="1:16">
      <c r="A41" s="29">
        <f t="shared" si="3"/>
        <v>37</v>
      </c>
      <c r="B41" s="30" t="s">
        <v>132</v>
      </c>
      <c r="C41" s="31" t="s">
        <v>133</v>
      </c>
      <c r="D41" s="31" t="s">
        <v>134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89</v>
      </c>
      <c r="P41" s="39" t="s">
        <v>93</v>
      </c>
    </row>
    <row r="42" spans="1:16">
      <c r="A42" s="29">
        <f t="shared" si="3"/>
        <v>38</v>
      </c>
      <c r="B42" s="30" t="s">
        <v>132</v>
      </c>
      <c r="C42" s="31" t="s">
        <v>133</v>
      </c>
      <c r="D42" s="41" t="s">
        <v>135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89</v>
      </c>
      <c r="P42" s="39" t="s">
        <v>136</v>
      </c>
    </row>
    <row r="43" spans="1:16">
      <c r="A43" s="29">
        <f t="shared" si="3"/>
        <v>39</v>
      </c>
      <c r="B43" s="30" t="s">
        <v>137</v>
      </c>
      <c r="C43" s="31" t="s">
        <v>138</v>
      </c>
      <c r="D43" s="31" t="s">
        <v>139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140</v>
      </c>
      <c r="P43" s="39" t="s">
        <v>37</v>
      </c>
    </row>
    <row r="44" spans="1:16">
      <c r="A44" s="29">
        <f t="shared" si="3"/>
        <v>40</v>
      </c>
      <c r="B44" s="30" t="s">
        <v>141</v>
      </c>
      <c r="C44" s="31" t="s">
        <v>142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143</v>
      </c>
      <c r="P44" s="39" t="s">
        <v>144</v>
      </c>
    </row>
    <row r="45" spans="1:16">
      <c r="A45" s="29">
        <f t="shared" si="3"/>
        <v>41</v>
      </c>
      <c r="B45" s="30" t="s">
        <v>141</v>
      </c>
      <c r="C45" s="31" t="s">
        <v>142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145</v>
      </c>
      <c r="P45" s="39" t="s">
        <v>123</v>
      </c>
    </row>
    <row r="46" spans="1:16">
      <c r="A46" s="29">
        <f t="shared" si="3"/>
        <v>42</v>
      </c>
      <c r="B46" s="59" t="s">
        <v>146</v>
      </c>
      <c r="C46" s="67" t="s">
        <v>147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83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148</v>
      </c>
      <c r="P46" s="52" t="s">
        <v>85</v>
      </c>
    </row>
    <row r="47" spans="1:16">
      <c r="A47" s="29">
        <f t="shared" si="3"/>
        <v>43</v>
      </c>
      <c r="B47" s="30" t="s">
        <v>149</v>
      </c>
      <c r="C47" s="31" t="s">
        <v>150</v>
      </c>
      <c r="D47" s="31" t="s">
        <v>151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152</v>
      </c>
      <c r="P47" s="39" t="s">
        <v>30</v>
      </c>
    </row>
    <row r="48" spans="1:16">
      <c r="A48" s="29">
        <f t="shared" si="3"/>
        <v>44</v>
      </c>
      <c r="B48" s="30" t="s">
        <v>153</v>
      </c>
      <c r="C48" s="31" t="s">
        <v>154</v>
      </c>
      <c r="D48" s="41" t="s">
        <v>155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156</v>
      </c>
      <c r="P48" s="39" t="s">
        <v>42</v>
      </c>
    </row>
    <row r="49" spans="1:16">
      <c r="A49" s="29">
        <f t="shared" si="3"/>
        <v>45</v>
      </c>
      <c r="B49" s="30" t="s">
        <v>157</v>
      </c>
      <c r="C49" s="31" t="s">
        <v>158</v>
      </c>
      <c r="D49" s="31" t="s">
        <v>159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160</v>
      </c>
      <c r="P49" s="39" t="s">
        <v>161</v>
      </c>
    </row>
    <row r="50" spans="1:16">
      <c r="A50" s="29">
        <f t="shared" si="3"/>
        <v>46</v>
      </c>
      <c r="B50" s="30" t="s">
        <v>157</v>
      </c>
      <c r="C50" s="31" t="s">
        <v>158</v>
      </c>
      <c r="D50" s="31" t="s">
        <v>162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160</v>
      </c>
      <c r="P50" s="39" t="s">
        <v>161</v>
      </c>
    </row>
    <row r="51" spans="1:16">
      <c r="A51" s="29">
        <f t="shared" si="3"/>
        <v>47</v>
      </c>
      <c r="B51" s="30" t="s">
        <v>163</v>
      </c>
      <c r="C51" s="31" t="s">
        <v>164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89</v>
      </c>
      <c r="P51" s="65" t="s">
        <v>136</v>
      </c>
    </row>
    <row r="52" spans="1:16">
      <c r="A52" s="29">
        <f t="shared" si="3"/>
        <v>48</v>
      </c>
      <c r="B52" s="30" t="s">
        <v>165</v>
      </c>
      <c r="C52" s="31" t="s">
        <v>166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127</v>
      </c>
      <c r="P52" s="39" t="s">
        <v>75</v>
      </c>
    </row>
    <row r="53" spans="1:16">
      <c r="A53" s="29">
        <f t="shared" si="3"/>
        <v>49</v>
      </c>
      <c r="B53" s="30" t="s">
        <v>167</v>
      </c>
      <c r="C53" s="31" t="s">
        <v>166</v>
      </c>
      <c r="D53" s="31" t="s">
        <v>168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89</v>
      </c>
      <c r="P53" s="39" t="s">
        <v>32</v>
      </c>
    </row>
    <row r="54" spans="1:16">
      <c r="A54" s="29">
        <f t="shared" si="3"/>
        <v>50</v>
      </c>
      <c r="B54" s="30" t="s">
        <v>169</v>
      </c>
      <c r="C54" s="31" t="s">
        <v>170</v>
      </c>
      <c r="D54" s="31" t="s">
        <v>171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89</v>
      </c>
      <c r="P54" s="39" t="s">
        <v>30</v>
      </c>
    </row>
    <row r="55" spans="1:16">
      <c r="A55" s="29">
        <f t="shared" si="3"/>
        <v>51</v>
      </c>
      <c r="B55" s="30" t="s">
        <v>172</v>
      </c>
      <c r="C55" s="31" t="s">
        <v>173</v>
      </c>
      <c r="D55" s="41" t="s">
        <v>174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175</v>
      </c>
      <c r="P55" s="39" t="s">
        <v>161</v>
      </c>
    </row>
    <row r="56" spans="1:16">
      <c r="A56" s="29">
        <f t="shared" si="3"/>
        <v>52</v>
      </c>
      <c r="B56" s="30" t="s">
        <v>176</v>
      </c>
      <c r="C56" s="31" t="s">
        <v>177</v>
      </c>
      <c r="D56" s="41" t="s">
        <v>178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179</v>
      </c>
      <c r="P56" s="39" t="s">
        <v>30</v>
      </c>
    </row>
    <row r="57" spans="1:16">
      <c r="A57" s="29">
        <f t="shared" si="3"/>
        <v>53</v>
      </c>
      <c r="B57" s="30" t="s">
        <v>176</v>
      </c>
      <c r="C57" s="31" t="s">
        <v>177</v>
      </c>
      <c r="D57" s="41" t="s">
        <v>178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179</v>
      </c>
      <c r="P57" s="39" t="s">
        <v>30</v>
      </c>
    </row>
    <row r="58" spans="1:16">
      <c r="A58" s="29">
        <f t="shared" si="3"/>
        <v>54</v>
      </c>
      <c r="B58" s="30" t="s">
        <v>180</v>
      </c>
      <c r="C58" s="31" t="s">
        <v>181</v>
      </c>
      <c r="D58" s="41" t="s">
        <v>182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183</v>
      </c>
      <c r="P58" s="39" t="s">
        <v>80</v>
      </c>
    </row>
    <row r="59" spans="1:16">
      <c r="A59" s="29">
        <f t="shared" si="3"/>
        <v>55</v>
      </c>
      <c r="B59" s="30" t="s">
        <v>180</v>
      </c>
      <c r="C59" s="31" t="s">
        <v>181</v>
      </c>
      <c r="D59" s="41" t="s">
        <v>182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183</v>
      </c>
      <c r="P59" s="39" t="s">
        <v>80</v>
      </c>
    </row>
    <row r="60" spans="1:16">
      <c r="A60" s="29">
        <f t="shared" si="3"/>
        <v>56</v>
      </c>
      <c r="B60" s="30" t="s">
        <v>184</v>
      </c>
      <c r="C60" s="31" t="s">
        <v>185</v>
      </c>
      <c r="D60" s="41" t="s">
        <v>186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187</v>
      </c>
      <c r="P60" s="39" t="s">
        <v>70</v>
      </c>
    </row>
    <row r="61" spans="1:16">
      <c r="A61" s="29">
        <f t="shared" si="3"/>
        <v>57</v>
      </c>
      <c r="B61" s="33" t="s">
        <v>188</v>
      </c>
      <c r="C61" s="73" t="s">
        <v>189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190</v>
      </c>
      <c r="P61" s="65" t="s">
        <v>85</v>
      </c>
    </row>
    <row r="62" spans="1:16">
      <c r="A62" s="29">
        <f t="shared" si="3"/>
        <v>58</v>
      </c>
      <c r="B62" s="30" t="s">
        <v>191</v>
      </c>
      <c r="C62" s="31" t="s">
        <v>192</v>
      </c>
      <c r="D62" s="31" t="s">
        <v>193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194</v>
      </c>
      <c r="P62" s="39" t="s">
        <v>30</v>
      </c>
    </row>
    <row r="63" spans="1:16">
      <c r="A63" s="29">
        <f t="shared" si="3"/>
        <v>59</v>
      </c>
      <c r="B63" s="30" t="s">
        <v>195</v>
      </c>
      <c r="C63" s="31" t="s">
        <v>196</v>
      </c>
      <c r="D63" s="31" t="s">
        <v>197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198</v>
      </c>
      <c r="P63" s="39" t="s">
        <v>80</v>
      </c>
    </row>
    <row r="64" spans="1:16">
      <c r="A64" s="29">
        <f t="shared" si="3"/>
        <v>60</v>
      </c>
      <c r="B64" s="30" t="s">
        <v>195</v>
      </c>
      <c r="C64" s="31" t="s">
        <v>196</v>
      </c>
      <c r="D64" s="31" t="s">
        <v>197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198</v>
      </c>
      <c r="P64" s="39" t="s">
        <v>80</v>
      </c>
    </row>
    <row r="65" spans="1:16">
      <c r="A65" s="29">
        <f t="shared" si="3"/>
        <v>61</v>
      </c>
      <c r="B65" s="30" t="s">
        <v>199</v>
      </c>
      <c r="C65" s="31" t="s">
        <v>200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201</v>
      </c>
      <c r="P65" s="39" t="s">
        <v>30</v>
      </c>
    </row>
    <row r="66" spans="1:16">
      <c r="A66" s="29">
        <f t="shared" si="3"/>
        <v>62</v>
      </c>
      <c r="B66" s="30" t="s">
        <v>202</v>
      </c>
      <c r="C66" s="31" t="s">
        <v>203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204</v>
      </c>
      <c r="P66" s="39" t="s">
        <v>144</v>
      </c>
    </row>
    <row r="67" spans="1:16">
      <c r="A67" s="29">
        <f t="shared" si="3"/>
        <v>63</v>
      </c>
      <c r="B67" s="33" t="s">
        <v>205</v>
      </c>
      <c r="C67" s="73" t="s">
        <v>206</v>
      </c>
      <c r="D67" s="32"/>
      <c r="E67" s="32">
        <v>42139</v>
      </c>
      <c r="F67" s="48">
        <f>20833500+520838+246194+300000+200000+37899468</f>
        <v>60000000</v>
      </c>
      <c r="G67" s="72">
        <f t="shared" si="5"/>
        <v>46922400</v>
      </c>
      <c r="H67" s="33">
        <v>583400</v>
      </c>
      <c r="I67" s="48">
        <v>720000</v>
      </c>
      <c r="J67" s="29">
        <v>36</v>
      </c>
      <c r="K67" s="29">
        <v>2</v>
      </c>
      <c r="L67" s="33">
        <f t="shared" si="1"/>
        <v>1303400</v>
      </c>
      <c r="M67" s="33">
        <f t="shared" si="2"/>
        <v>2606800</v>
      </c>
      <c r="N67" s="50">
        <f>F67-(H67*34)-3000000-10000000-3000000-10000000-3000000</f>
        <v>11164400</v>
      </c>
      <c r="O67" s="52" t="s">
        <v>207</v>
      </c>
      <c r="P67" s="52" t="s">
        <v>42</v>
      </c>
    </row>
    <row r="68" spans="1:16">
      <c r="A68" s="29">
        <f t="shared" si="3"/>
        <v>64</v>
      </c>
      <c r="B68" s="30" t="s">
        <v>208</v>
      </c>
      <c r="C68" s="31" t="s">
        <v>209</v>
      </c>
      <c r="D68" s="41" t="s">
        <v>210</v>
      </c>
      <c r="E68" s="32">
        <v>43041</v>
      </c>
      <c r="F68" s="42">
        <f>37286000+932150+293226+227140+200000+21061484</f>
        <v>60000000</v>
      </c>
      <c r="G68" s="34">
        <f t="shared" si="5"/>
        <v>46620000</v>
      </c>
      <c r="H68" s="35">
        <v>834000</v>
      </c>
      <c r="I68" s="74">
        <f>+F68*1.2%</f>
        <v>720000</v>
      </c>
      <c r="J68" s="29">
        <v>30</v>
      </c>
      <c r="K68" s="29">
        <v>26</v>
      </c>
      <c r="L68" s="36">
        <f t="shared" si="1"/>
        <v>1554000</v>
      </c>
      <c r="M68" s="37">
        <f t="shared" si="2"/>
        <v>40404000</v>
      </c>
      <c r="N68" s="38">
        <f>F68-(H68*4)</f>
        <v>56664000</v>
      </c>
      <c r="O68" s="39" t="s">
        <v>211</v>
      </c>
      <c r="P68" s="39" t="s">
        <v>30</v>
      </c>
    </row>
    <row r="69" spans="1:16">
      <c r="A69" s="29">
        <f t="shared" si="3"/>
        <v>65</v>
      </c>
      <c r="B69" s="30" t="s">
        <v>212</v>
      </c>
      <c r="C69" s="31" t="s">
        <v>213</v>
      </c>
      <c r="D69" s="41" t="s">
        <v>214</v>
      </c>
      <c r="E69" s="32">
        <v>42929</v>
      </c>
      <c r="F69" s="42">
        <f>19158000+478950+246581+700000+200000+79216469</f>
        <v>100000000</v>
      </c>
      <c r="G69" s="34">
        <f t="shared" ref="G69:G100" si="6">+J69*L69</f>
        <v>83340000</v>
      </c>
      <c r="H69" s="35">
        <v>1115000</v>
      </c>
      <c r="I69" s="35">
        <f>+F69*1.2%</f>
        <v>1200000</v>
      </c>
      <c r="J69" s="29">
        <v>36</v>
      </c>
      <c r="K69" s="29">
        <v>28</v>
      </c>
      <c r="L69" s="36">
        <f t="shared" ref="L69:L132" si="7">+H69+I69</f>
        <v>2315000</v>
      </c>
      <c r="M69" s="37">
        <f t="shared" ref="M69:M132" si="8">+K69*L69</f>
        <v>64820000</v>
      </c>
      <c r="N69" s="38">
        <f>F69-(H69*8)</f>
        <v>91080000</v>
      </c>
      <c r="O69" s="39" t="s">
        <v>215</v>
      </c>
      <c r="P69" s="39" t="s">
        <v>42</v>
      </c>
    </row>
    <row r="70" spans="1:16">
      <c r="A70" s="29">
        <f t="shared" ref="A70:A133" si="9">+A69+1</f>
        <v>66</v>
      </c>
      <c r="B70" s="30" t="s">
        <v>216</v>
      </c>
      <c r="C70" s="31" t="s">
        <v>217</v>
      </c>
      <c r="D70" s="31" t="s">
        <v>218</v>
      </c>
      <c r="E70" s="32">
        <v>42879</v>
      </c>
      <c r="F70" s="33">
        <f>366640+200000+49433360</f>
        <v>50000000</v>
      </c>
      <c r="G70" s="34">
        <f t="shared" si="6"/>
        <v>40145000</v>
      </c>
      <c r="H70" s="35">
        <v>695000</v>
      </c>
      <c r="I70" s="33">
        <f>+F70*1.2%</f>
        <v>600000</v>
      </c>
      <c r="J70" s="29">
        <v>31</v>
      </c>
      <c r="K70" s="29">
        <v>22</v>
      </c>
      <c r="L70" s="36">
        <f t="shared" si="7"/>
        <v>1295000</v>
      </c>
      <c r="M70" s="37">
        <f t="shared" si="8"/>
        <v>28490000</v>
      </c>
      <c r="N70" s="38">
        <f>F70-(H70*9)-5000000-5000000</f>
        <v>33745000</v>
      </c>
      <c r="O70" s="39" t="s">
        <v>219</v>
      </c>
      <c r="P70" s="39" t="s">
        <v>220</v>
      </c>
    </row>
    <row r="71" spans="1:16">
      <c r="A71" s="29">
        <f t="shared" si="9"/>
        <v>67</v>
      </c>
      <c r="B71" s="30" t="s">
        <v>216</v>
      </c>
      <c r="C71" s="31" t="s">
        <v>217</v>
      </c>
      <c r="D71" s="31" t="s">
        <v>221</v>
      </c>
      <c r="E71" s="32">
        <v>42992</v>
      </c>
      <c r="F71" s="33">
        <f>12496000+312400+217742+25000000</f>
        <v>38026142</v>
      </c>
      <c r="G71" s="34">
        <f t="shared" si="6"/>
        <v>54468000</v>
      </c>
      <c r="H71" s="35">
        <f>1513000-I71</f>
        <v>1056686</v>
      </c>
      <c r="I71" s="35">
        <v>456314</v>
      </c>
      <c r="J71" s="29">
        <v>36</v>
      </c>
      <c r="K71" s="29">
        <v>30</v>
      </c>
      <c r="L71" s="36">
        <f t="shared" si="7"/>
        <v>1513000</v>
      </c>
      <c r="M71" s="36">
        <f t="shared" si="8"/>
        <v>45390000</v>
      </c>
      <c r="N71" s="38">
        <f>F71-(H71*6)</f>
        <v>31686026</v>
      </c>
      <c r="O71" s="39" t="s">
        <v>222</v>
      </c>
      <c r="P71" s="39" t="s">
        <v>37</v>
      </c>
    </row>
    <row r="72" spans="1:16">
      <c r="A72" s="29">
        <f t="shared" si="9"/>
        <v>68</v>
      </c>
      <c r="B72" s="75" t="s">
        <v>216</v>
      </c>
      <c r="C72" s="76" t="s">
        <v>217</v>
      </c>
      <c r="D72" s="76" t="s">
        <v>223</v>
      </c>
      <c r="E72" s="32">
        <v>43041</v>
      </c>
      <c r="F72" s="74">
        <f>4900000+75000+150000+9875000</f>
        <v>15000000</v>
      </c>
      <c r="G72" s="74">
        <f t="shared" si="6"/>
        <v>18252000</v>
      </c>
      <c r="H72" s="74">
        <v>834000</v>
      </c>
      <c r="I72" s="74">
        <f>+F72*1.2%</f>
        <v>180000</v>
      </c>
      <c r="J72" s="77">
        <v>18</v>
      </c>
      <c r="K72" s="29">
        <v>14</v>
      </c>
      <c r="L72" s="78">
        <f t="shared" si="7"/>
        <v>1014000</v>
      </c>
      <c r="M72" s="79">
        <f t="shared" si="8"/>
        <v>14196000</v>
      </c>
      <c r="N72" s="38">
        <f>F72-(H72*4)</f>
        <v>11664000</v>
      </c>
      <c r="O72" s="80" t="s">
        <v>222</v>
      </c>
      <c r="P72" s="81" t="s">
        <v>224</v>
      </c>
    </row>
    <row r="73" spans="1:16">
      <c r="A73" s="29">
        <f t="shared" si="9"/>
        <v>69</v>
      </c>
      <c r="B73" s="30" t="s">
        <v>225</v>
      </c>
      <c r="C73" s="31" t="s">
        <v>226</v>
      </c>
      <c r="D73" s="32"/>
      <c r="E73" s="32">
        <v>42531</v>
      </c>
      <c r="F73" s="42">
        <f>30629135+765728+613748+193709+200000+17597680</f>
        <v>50000000</v>
      </c>
      <c r="G73" s="34">
        <f t="shared" si="6"/>
        <v>31080000</v>
      </c>
      <c r="H73" s="42">
        <v>695000</v>
      </c>
      <c r="I73" s="42">
        <f>+F73*1.2%</f>
        <v>600000</v>
      </c>
      <c r="J73" s="29">
        <v>24</v>
      </c>
      <c r="K73" s="29">
        <v>3</v>
      </c>
      <c r="L73" s="33">
        <f t="shared" si="7"/>
        <v>1295000</v>
      </c>
      <c r="M73" s="33">
        <f t="shared" si="8"/>
        <v>3885000</v>
      </c>
      <c r="N73" s="82">
        <f>F73-(H73*21)-17000000</f>
        <v>18405000</v>
      </c>
      <c r="O73" s="39" t="s">
        <v>227</v>
      </c>
      <c r="P73" s="39" t="s">
        <v>85</v>
      </c>
    </row>
    <row r="74" spans="1:16">
      <c r="A74" s="29">
        <f t="shared" si="9"/>
        <v>70</v>
      </c>
      <c r="B74" s="30" t="s">
        <v>228</v>
      </c>
      <c r="C74" s="31" t="s">
        <v>229</v>
      </c>
      <c r="D74" s="32"/>
      <c r="E74" s="32">
        <v>42607</v>
      </c>
      <c r="F74" s="42">
        <f>24166200+604155+200000+200000+24829645-25000000</f>
        <v>25000000</v>
      </c>
      <c r="G74" s="34">
        <f t="shared" si="6"/>
        <v>12204000</v>
      </c>
      <c r="H74" s="35">
        <v>208500</v>
      </c>
      <c r="I74" s="35">
        <f>+F74*1.2%</f>
        <v>300000</v>
      </c>
      <c r="J74" s="29">
        <v>24</v>
      </c>
      <c r="K74" s="29">
        <v>6</v>
      </c>
      <c r="L74" s="36">
        <f t="shared" si="7"/>
        <v>508500</v>
      </c>
      <c r="M74" s="36">
        <f t="shared" si="8"/>
        <v>3051000</v>
      </c>
      <c r="N74" s="38">
        <f>F74-(H74*18)-2500000-5000000-2500000-2500000</f>
        <v>8747000</v>
      </c>
      <c r="O74" s="39" t="s">
        <v>230</v>
      </c>
      <c r="P74" s="39" t="s">
        <v>144</v>
      </c>
    </row>
    <row r="75" spans="1:16">
      <c r="A75" s="29">
        <f t="shared" si="9"/>
        <v>71</v>
      </c>
      <c r="B75" s="30" t="s">
        <v>228</v>
      </c>
      <c r="C75" s="31" t="s">
        <v>229</v>
      </c>
      <c r="D75" s="32"/>
      <c r="E75" s="32">
        <v>42607</v>
      </c>
      <c r="F75" s="42"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7"/>
        <v>508500</v>
      </c>
      <c r="M75" s="36">
        <f t="shared" si="8"/>
        <v>3051000</v>
      </c>
      <c r="N75" s="38">
        <f>F75-(H75*18)-2500000-5000000-2500000-2500000</f>
        <v>8747000</v>
      </c>
      <c r="O75" s="39" t="s">
        <v>230</v>
      </c>
      <c r="P75" s="39" t="s">
        <v>144</v>
      </c>
    </row>
    <row r="76" spans="1:16">
      <c r="A76" s="29">
        <f t="shared" si="9"/>
        <v>72</v>
      </c>
      <c r="B76" s="30" t="s">
        <v>231</v>
      </c>
      <c r="C76" s="31" t="s">
        <v>232</v>
      </c>
      <c r="D76" s="41" t="s">
        <v>233</v>
      </c>
      <c r="E76" s="32">
        <v>42790</v>
      </c>
      <c r="F76" s="33">
        <f>31944300+798608+180557+200000+16876535</f>
        <v>50000000</v>
      </c>
      <c r="G76" s="34">
        <f t="shared" si="6"/>
        <v>71604000</v>
      </c>
      <c r="H76" s="33">
        <f>1989000-I76</f>
        <v>1389000</v>
      </c>
      <c r="I76" s="33">
        <f>+F76*1.2%</f>
        <v>600000</v>
      </c>
      <c r="J76" s="29">
        <v>36</v>
      </c>
      <c r="K76" s="29">
        <v>24</v>
      </c>
      <c r="L76" s="36">
        <f t="shared" si="7"/>
        <v>1989000</v>
      </c>
      <c r="M76" s="36">
        <f t="shared" si="8"/>
        <v>47736000</v>
      </c>
      <c r="N76" s="38">
        <f>F76-(H76*12)</f>
        <v>33332000</v>
      </c>
      <c r="O76" s="39" t="s">
        <v>234</v>
      </c>
      <c r="P76" s="39" t="s">
        <v>70</v>
      </c>
    </row>
    <row r="77" spans="1:16">
      <c r="A77" s="29">
        <f t="shared" si="9"/>
        <v>73</v>
      </c>
      <c r="B77" s="30" t="s">
        <v>235</v>
      </c>
      <c r="C77" s="31" t="s">
        <v>236</v>
      </c>
      <c r="D77" s="41" t="s">
        <v>237</v>
      </c>
      <c r="E77" s="32">
        <v>43042</v>
      </c>
      <c r="F77" s="42">
        <f>45582713+4500000+1139568+625153+200000+0-26023717</f>
        <v>26023717</v>
      </c>
      <c r="G77" s="34">
        <f t="shared" si="6"/>
        <v>23999976</v>
      </c>
      <c r="H77" s="35">
        <v>687715</v>
      </c>
      <c r="I77" s="35">
        <v>312284</v>
      </c>
      <c r="J77" s="29">
        <v>24</v>
      </c>
      <c r="K77" s="29">
        <v>20</v>
      </c>
      <c r="L77" s="36">
        <f t="shared" si="7"/>
        <v>999999</v>
      </c>
      <c r="M77" s="37">
        <f t="shared" si="8"/>
        <v>19999980</v>
      </c>
      <c r="N77" s="38">
        <f>F77-(H77*4)</f>
        <v>23272857</v>
      </c>
      <c r="O77" s="44" t="s">
        <v>238</v>
      </c>
      <c r="P77" s="39" t="s">
        <v>239</v>
      </c>
    </row>
    <row r="78" spans="1:16">
      <c r="A78" s="29">
        <f t="shared" si="9"/>
        <v>74</v>
      </c>
      <c r="B78" s="30" t="s">
        <v>235</v>
      </c>
      <c r="C78" s="31" t="s">
        <v>236</v>
      </c>
      <c r="D78" s="41" t="s">
        <v>237</v>
      </c>
      <c r="E78" s="32">
        <v>43042</v>
      </c>
      <c r="F78" s="42">
        <v>26023717</v>
      </c>
      <c r="G78" s="34">
        <f t="shared" si="6"/>
        <v>24000024</v>
      </c>
      <c r="H78" s="35">
        <v>687716</v>
      </c>
      <c r="I78" s="35">
        <v>312285</v>
      </c>
      <c r="J78" s="29">
        <v>24</v>
      </c>
      <c r="K78" s="29">
        <v>20</v>
      </c>
      <c r="L78" s="36">
        <f t="shared" si="7"/>
        <v>1000001</v>
      </c>
      <c r="M78" s="37">
        <f t="shared" si="8"/>
        <v>20000020</v>
      </c>
      <c r="N78" s="38">
        <f>F78-(H78*4)</f>
        <v>23272853</v>
      </c>
      <c r="O78" s="44" t="s">
        <v>238</v>
      </c>
      <c r="P78" s="39" t="s">
        <v>239</v>
      </c>
    </row>
    <row r="79" spans="1:16">
      <c r="A79" s="29">
        <f t="shared" si="9"/>
        <v>75</v>
      </c>
      <c r="B79" s="30" t="s">
        <v>240</v>
      </c>
      <c r="C79" s="31" t="s">
        <v>241</v>
      </c>
      <c r="D79" s="31" t="s">
        <v>242</v>
      </c>
      <c r="E79" s="32">
        <v>42850</v>
      </c>
      <c r="F79" s="33">
        <f>22664800+566620+450000+200000+51118580-37500000</f>
        <v>37500000</v>
      </c>
      <c r="G79" s="34">
        <f t="shared" si="6"/>
        <v>35100000</v>
      </c>
      <c r="H79" s="42">
        <v>525000</v>
      </c>
      <c r="I79" s="33">
        <f>+F79*1.2%</f>
        <v>450000</v>
      </c>
      <c r="J79" s="29">
        <v>36</v>
      </c>
      <c r="K79" s="29">
        <v>26</v>
      </c>
      <c r="L79" s="36">
        <f t="shared" si="7"/>
        <v>975000</v>
      </c>
      <c r="M79" s="36">
        <f t="shared" si="8"/>
        <v>25350000</v>
      </c>
      <c r="N79" s="38">
        <f>F79-(H79*10)-1000000-1500000</f>
        <v>29750000</v>
      </c>
      <c r="O79" s="39" t="s">
        <v>243</v>
      </c>
      <c r="P79" s="39" t="s">
        <v>80</v>
      </c>
    </row>
    <row r="80" spans="1:16">
      <c r="A80" s="29">
        <f t="shared" si="9"/>
        <v>76</v>
      </c>
      <c r="B80" s="30" t="s">
        <v>240</v>
      </c>
      <c r="C80" s="31" t="s">
        <v>241</v>
      </c>
      <c r="D80" s="31" t="s">
        <v>242</v>
      </c>
      <c r="E80" s="32">
        <v>42850</v>
      </c>
      <c r="F80" s="33"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7"/>
        <v>975000</v>
      </c>
      <c r="M80" s="36">
        <f t="shared" si="8"/>
        <v>25350000</v>
      </c>
      <c r="N80" s="38">
        <f>F80-(H80*10)-1000000-1500000</f>
        <v>29750000</v>
      </c>
      <c r="O80" s="39" t="s">
        <v>243</v>
      </c>
      <c r="P80" s="39" t="s">
        <v>80</v>
      </c>
    </row>
    <row r="81" spans="1:16">
      <c r="A81" s="29">
        <f t="shared" si="9"/>
        <v>77</v>
      </c>
      <c r="B81" s="30" t="s">
        <v>240</v>
      </c>
      <c r="C81" s="31" t="s">
        <v>241</v>
      </c>
      <c r="D81" s="31" t="s">
        <v>244</v>
      </c>
      <c r="E81" s="32">
        <v>43063</v>
      </c>
      <c r="F81" s="43">
        <f>30000+2970000</f>
        <v>3000000</v>
      </c>
      <c r="G81" s="34">
        <f t="shared" si="6"/>
        <v>3360000</v>
      </c>
      <c r="H81" s="35">
        <f>+F81/J81</f>
        <v>300000</v>
      </c>
      <c r="I81" s="35">
        <f>+F81*1.2%</f>
        <v>36000</v>
      </c>
      <c r="J81" s="29">
        <v>10</v>
      </c>
      <c r="K81" s="29">
        <v>7</v>
      </c>
      <c r="L81" s="36">
        <f t="shared" si="7"/>
        <v>336000</v>
      </c>
      <c r="M81" s="37">
        <f t="shared" si="8"/>
        <v>2352000</v>
      </c>
      <c r="N81" s="34">
        <f>+H81*K81</f>
        <v>2100000</v>
      </c>
      <c r="O81" s="39" t="s">
        <v>63</v>
      </c>
      <c r="P81" s="39" t="s">
        <v>32</v>
      </c>
    </row>
    <row r="82" spans="1:16">
      <c r="A82" s="29">
        <f t="shared" si="9"/>
        <v>78</v>
      </c>
      <c r="B82" s="30" t="s">
        <v>245</v>
      </c>
      <c r="C82" s="31" t="s">
        <v>246</v>
      </c>
      <c r="D82" s="32"/>
      <c r="E82" s="32">
        <v>42536</v>
      </c>
      <c r="F82" s="42">
        <f>3280000+37916500+1029913+495339+470000+200000+47000000</f>
        <v>90391752</v>
      </c>
      <c r="G82" s="34">
        <f t="shared" si="6"/>
        <v>81935000</v>
      </c>
      <c r="H82" s="35">
        <v>1256299</v>
      </c>
      <c r="I82" s="35">
        <v>1084701</v>
      </c>
      <c r="J82" s="29">
        <v>35</v>
      </c>
      <c r="K82" s="29">
        <v>14</v>
      </c>
      <c r="L82" s="33">
        <f t="shared" si="7"/>
        <v>2341000</v>
      </c>
      <c r="M82" s="33">
        <f t="shared" si="8"/>
        <v>32774000</v>
      </c>
      <c r="N82" s="82">
        <f>F82-(H82*21)-16000000</f>
        <v>48009473</v>
      </c>
      <c r="O82" s="39" t="s">
        <v>247</v>
      </c>
      <c r="P82" s="39" t="s">
        <v>85</v>
      </c>
    </row>
    <row r="83" spans="1:16">
      <c r="A83" s="29">
        <f t="shared" si="9"/>
        <v>79</v>
      </c>
      <c r="B83" s="30" t="s">
        <v>248</v>
      </c>
      <c r="C83" s="83" t="s">
        <v>249</v>
      </c>
      <c r="D83" s="47"/>
      <c r="E83" s="47">
        <v>42398</v>
      </c>
      <c r="F83" s="33">
        <f>18332400+875000+458310+106118+950000+200000+104078172</f>
        <v>125000000</v>
      </c>
      <c r="G83" s="33">
        <f t="shared" si="6"/>
        <v>106804500</v>
      </c>
      <c r="H83" s="35">
        <v>1736500</v>
      </c>
      <c r="I83" s="84">
        <f>+F83*1.2%</f>
        <v>1500000</v>
      </c>
      <c r="J83" s="29">
        <v>33</v>
      </c>
      <c r="K83" s="29">
        <v>8</v>
      </c>
      <c r="L83" s="33">
        <f t="shared" si="7"/>
        <v>3236500</v>
      </c>
      <c r="M83" s="33">
        <f t="shared" si="8"/>
        <v>25892000</v>
      </c>
      <c r="N83" s="70">
        <f>F83-(H83*25)-18000000-3000000-3000000-18000000-1500000-1500000-3000000</f>
        <v>33587500</v>
      </c>
      <c r="O83" s="39" t="s">
        <v>250</v>
      </c>
      <c r="P83" s="39" t="s">
        <v>85</v>
      </c>
    </row>
    <row r="84" spans="1:16">
      <c r="A84" s="29">
        <f t="shared" si="9"/>
        <v>80</v>
      </c>
      <c r="B84" s="30" t="s">
        <v>251</v>
      </c>
      <c r="C84" s="31" t="s">
        <v>252</v>
      </c>
      <c r="D84" s="41" t="s">
        <v>253</v>
      </c>
      <c r="E84" s="32">
        <v>42907</v>
      </c>
      <c r="F84" s="42">
        <f>16616600+21548330+538708+2200000+200000+208896362-125000000</f>
        <v>125000000</v>
      </c>
      <c r="G84" s="34">
        <f t="shared" si="6"/>
        <v>96000000</v>
      </c>
      <c r="H84" s="42">
        <v>500000</v>
      </c>
      <c r="I84" s="35">
        <f>F84*1.2%</f>
        <v>1500000</v>
      </c>
      <c r="J84" s="29">
        <v>48</v>
      </c>
      <c r="K84" s="29">
        <v>40</v>
      </c>
      <c r="L84" s="36">
        <f t="shared" si="7"/>
        <v>2000000</v>
      </c>
      <c r="M84" s="37">
        <f t="shared" si="8"/>
        <v>80000000</v>
      </c>
      <c r="N84" s="38">
        <f>F84-(H84*8)-3875000</f>
        <v>117125000</v>
      </c>
      <c r="O84" s="39" t="s">
        <v>254</v>
      </c>
      <c r="P84" s="39" t="s">
        <v>80</v>
      </c>
    </row>
    <row r="85" spans="1:16">
      <c r="A85" s="29">
        <f t="shared" si="9"/>
        <v>81</v>
      </c>
      <c r="B85" s="30" t="s">
        <v>251</v>
      </c>
      <c r="C85" s="31" t="s">
        <v>252</v>
      </c>
      <c r="D85" s="41" t="s">
        <v>253</v>
      </c>
      <c r="E85" s="32">
        <v>42907</v>
      </c>
      <c r="F85" s="42"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7"/>
        <v>2000000</v>
      </c>
      <c r="M85" s="37">
        <f t="shared" si="8"/>
        <v>80000000</v>
      </c>
      <c r="N85" s="38">
        <f>F85-(H85*8)-3875000</f>
        <v>117125000</v>
      </c>
      <c r="O85" s="39" t="s">
        <v>254</v>
      </c>
      <c r="P85" s="39" t="s">
        <v>80</v>
      </c>
    </row>
    <row r="86" spans="1:16">
      <c r="A86" s="29">
        <f t="shared" si="9"/>
        <v>82</v>
      </c>
      <c r="B86" s="30" t="s">
        <v>251</v>
      </c>
      <c r="C86" s="31" t="s">
        <v>252</v>
      </c>
      <c r="D86" s="31" t="s">
        <v>255</v>
      </c>
      <c r="E86" s="32">
        <v>43119</v>
      </c>
      <c r="F86" s="43">
        <f>2000000+50000+4950000</f>
        <v>7000000</v>
      </c>
      <c r="G86" s="34">
        <f t="shared" si="6"/>
        <v>7000000</v>
      </c>
      <c r="H86" s="40">
        <f>+F86/J86</f>
        <v>500000</v>
      </c>
      <c r="I86" s="40">
        <v>0</v>
      </c>
      <c r="J86" s="29">
        <v>14</v>
      </c>
      <c r="K86" s="29">
        <v>12</v>
      </c>
      <c r="L86" s="36">
        <f t="shared" si="7"/>
        <v>500000</v>
      </c>
      <c r="M86" s="37">
        <f t="shared" si="8"/>
        <v>6000000</v>
      </c>
      <c r="N86" s="34">
        <f>+H86*K86</f>
        <v>6000000</v>
      </c>
      <c r="O86" s="39" t="s">
        <v>256</v>
      </c>
      <c r="P86" s="39" t="s">
        <v>30</v>
      </c>
    </row>
    <row r="87" spans="1:16">
      <c r="A87" s="29">
        <f t="shared" si="9"/>
        <v>83</v>
      </c>
      <c r="B87" s="30" t="s">
        <v>257</v>
      </c>
      <c r="C87" s="31" t="s">
        <v>258</v>
      </c>
      <c r="D87" s="32"/>
      <c r="E87" s="32">
        <v>41982</v>
      </c>
      <c r="F87" s="48">
        <f>350000+200000+64450000</f>
        <v>65000000</v>
      </c>
      <c r="G87" s="72">
        <f t="shared" si="6"/>
        <v>50700000</v>
      </c>
      <c r="H87" s="33">
        <v>520000</v>
      </c>
      <c r="I87" s="48">
        <f>+F87*1.2%</f>
        <v>780000</v>
      </c>
      <c r="J87" s="29">
        <v>39</v>
      </c>
      <c r="K87" s="29">
        <v>-1</v>
      </c>
      <c r="L87" s="48">
        <f t="shared" si="7"/>
        <v>1300000</v>
      </c>
      <c r="M87" s="48">
        <f t="shared" si="8"/>
        <v>-1300000</v>
      </c>
      <c r="N87" s="50">
        <f>F87-(H87*39)-(10000000)-10000000-10000000</f>
        <v>14720000</v>
      </c>
      <c r="O87" s="62" t="s">
        <v>259</v>
      </c>
      <c r="P87" s="65" t="s">
        <v>51</v>
      </c>
    </row>
    <row r="88" spans="1:16">
      <c r="A88" s="29">
        <f t="shared" si="9"/>
        <v>84</v>
      </c>
      <c r="B88" s="30" t="s">
        <v>260</v>
      </c>
      <c r="C88" s="31" t="s">
        <v>261</v>
      </c>
      <c r="D88" s="32"/>
      <c r="E88" s="32">
        <v>42639</v>
      </c>
      <c r="F88" s="33">
        <f>200000+200000+49600000</f>
        <v>50000000</v>
      </c>
      <c r="G88" s="34">
        <f t="shared" si="6"/>
        <v>41440000</v>
      </c>
      <c r="H88" s="33">
        <v>695000</v>
      </c>
      <c r="I88" s="33">
        <f>+F88*1.2%</f>
        <v>600000</v>
      </c>
      <c r="J88" s="29">
        <v>32</v>
      </c>
      <c r="K88" s="29">
        <v>15</v>
      </c>
      <c r="L88" s="36">
        <f t="shared" si="7"/>
        <v>1295000</v>
      </c>
      <c r="M88" s="36">
        <f t="shared" si="8"/>
        <v>19425000</v>
      </c>
      <c r="N88" s="38">
        <f>F88-(H88*17)-10000000</f>
        <v>28185000</v>
      </c>
      <c r="O88" s="39" t="s">
        <v>211</v>
      </c>
      <c r="P88" s="39" t="s">
        <v>51</v>
      </c>
    </row>
    <row r="89" spans="1:16">
      <c r="A89" s="29">
        <f t="shared" si="9"/>
        <v>85</v>
      </c>
      <c r="B89" s="30" t="s">
        <v>262</v>
      </c>
      <c r="C89" s="31" t="s">
        <v>263</v>
      </c>
      <c r="D89" s="41" t="s">
        <v>264</v>
      </c>
      <c r="E89" s="32">
        <v>42921</v>
      </c>
      <c r="F89" s="42">
        <f>1450000+200000+173350000-87500000</f>
        <v>87500000</v>
      </c>
      <c r="G89" s="34">
        <f t="shared" si="6"/>
        <v>80325000</v>
      </c>
      <c r="H89" s="35">
        <v>1181250</v>
      </c>
      <c r="I89" s="35">
        <f>F89*1.2%</f>
        <v>1050000</v>
      </c>
      <c r="J89" s="29">
        <v>36</v>
      </c>
      <c r="K89" s="29">
        <v>28</v>
      </c>
      <c r="L89" s="36">
        <f t="shared" si="7"/>
        <v>2231250</v>
      </c>
      <c r="M89" s="37">
        <f t="shared" si="8"/>
        <v>62475000</v>
      </c>
      <c r="N89" s="38">
        <f>F89-(H89*8)-2500000</f>
        <v>75550000</v>
      </c>
      <c r="O89" s="39" t="s">
        <v>265</v>
      </c>
      <c r="P89" s="39" t="s">
        <v>25</v>
      </c>
    </row>
    <row r="90" spans="1:16">
      <c r="A90" s="29">
        <f t="shared" si="9"/>
        <v>86</v>
      </c>
      <c r="B90" s="30" t="s">
        <v>262</v>
      </c>
      <c r="C90" s="31" t="s">
        <v>263</v>
      </c>
      <c r="D90" s="41" t="s">
        <v>264</v>
      </c>
      <c r="E90" s="32">
        <v>42921</v>
      </c>
      <c r="F90" s="42">
        <v>87500000</v>
      </c>
      <c r="G90" s="34">
        <f t="shared" si="6"/>
        <v>80325000</v>
      </c>
      <c r="H90" s="42">
        <v>1181250</v>
      </c>
      <c r="I90" s="35">
        <f>F90*1.2%</f>
        <v>1050000</v>
      </c>
      <c r="J90" s="29">
        <v>36</v>
      </c>
      <c r="K90" s="29">
        <v>28</v>
      </c>
      <c r="L90" s="36">
        <f t="shared" si="7"/>
        <v>2231250</v>
      </c>
      <c r="M90" s="37">
        <f t="shared" si="8"/>
        <v>62475000</v>
      </c>
      <c r="N90" s="38">
        <f>F90-(H90*8)-2500000</f>
        <v>75550000</v>
      </c>
      <c r="O90" s="39" t="s">
        <v>265</v>
      </c>
      <c r="P90" s="39" t="s">
        <v>25</v>
      </c>
    </row>
    <row r="91" spans="1:16">
      <c r="A91" s="29">
        <f t="shared" si="9"/>
        <v>87</v>
      </c>
      <c r="B91" s="30" t="s">
        <v>266</v>
      </c>
      <c r="C91" s="31" t="s">
        <v>267</v>
      </c>
      <c r="D91" s="32"/>
      <c r="E91" s="32">
        <v>42543</v>
      </c>
      <c r="F91" s="42">
        <f>1499000+37475+700000+200000+97563525</f>
        <v>100000000</v>
      </c>
      <c r="G91" s="34">
        <f t="shared" si="6"/>
        <v>88026000</v>
      </c>
      <c r="H91" s="35">
        <f>2589000-I91</f>
        <v>1389000</v>
      </c>
      <c r="I91" s="35">
        <f>+F91*1.2%</f>
        <v>1200000</v>
      </c>
      <c r="J91" s="29">
        <v>34</v>
      </c>
      <c r="K91" s="29">
        <v>14</v>
      </c>
      <c r="L91" s="36">
        <f t="shared" si="7"/>
        <v>2589000</v>
      </c>
      <c r="M91" s="36">
        <f t="shared" si="8"/>
        <v>36246000</v>
      </c>
      <c r="N91" s="38">
        <f>F91-(H91*20)-10000000-10000000-10000000</f>
        <v>42220000</v>
      </c>
      <c r="O91" s="39" t="s">
        <v>268</v>
      </c>
      <c r="P91" s="39" t="s">
        <v>30</v>
      </c>
    </row>
    <row r="92" spans="1:16">
      <c r="A92" s="29">
        <f t="shared" si="9"/>
        <v>88</v>
      </c>
      <c r="B92" s="30" t="s">
        <v>266</v>
      </c>
      <c r="C92" s="31" t="s">
        <v>267</v>
      </c>
      <c r="D92" s="31" t="s">
        <v>269</v>
      </c>
      <c r="E92" s="32">
        <v>43097</v>
      </c>
      <c r="F92" s="43">
        <f>4044976+101124+159550+200000+15494350</f>
        <v>20000000</v>
      </c>
      <c r="G92" s="34">
        <f t="shared" si="6"/>
        <v>28656000</v>
      </c>
      <c r="H92" s="40">
        <f>796000-I92</f>
        <v>556000</v>
      </c>
      <c r="I92" s="40">
        <f>+F92*1.2%</f>
        <v>240000</v>
      </c>
      <c r="J92" s="29">
        <v>36</v>
      </c>
      <c r="K92" s="29">
        <v>34</v>
      </c>
      <c r="L92" s="36">
        <f t="shared" si="7"/>
        <v>796000</v>
      </c>
      <c r="M92" s="37">
        <f t="shared" si="8"/>
        <v>27064000</v>
      </c>
      <c r="N92" s="38">
        <f>F92-(H92*2)</f>
        <v>18888000</v>
      </c>
      <c r="O92" s="39" t="s">
        <v>270</v>
      </c>
      <c r="P92" s="39" t="s">
        <v>30</v>
      </c>
    </row>
    <row r="93" spans="1:16">
      <c r="A93" s="29">
        <f t="shared" si="9"/>
        <v>89</v>
      </c>
      <c r="B93" s="30" t="s">
        <v>271</v>
      </c>
      <c r="C93" s="31" t="s">
        <v>272</v>
      </c>
      <c r="D93" s="41" t="s">
        <v>273</v>
      </c>
      <c r="E93" s="32">
        <v>42860</v>
      </c>
      <c r="F93" s="42">
        <f>80831000+2020775+1120645+691690+200000+65135890</f>
        <v>150000000</v>
      </c>
      <c r="G93" s="34">
        <f t="shared" si="6"/>
        <v>139806000</v>
      </c>
      <c r="H93" s="35">
        <v>2083500</v>
      </c>
      <c r="I93" s="33">
        <f>+F93*1.2%</f>
        <v>1800000</v>
      </c>
      <c r="J93" s="29">
        <v>36</v>
      </c>
      <c r="K93" s="29">
        <v>26</v>
      </c>
      <c r="L93" s="36">
        <f t="shared" si="7"/>
        <v>3883500</v>
      </c>
      <c r="M93" s="37">
        <f t="shared" si="8"/>
        <v>100971000</v>
      </c>
      <c r="N93" s="38">
        <f>F93-(H93*10)-5000000-5000000</f>
        <v>119165000</v>
      </c>
      <c r="O93" s="39" t="s">
        <v>274</v>
      </c>
      <c r="P93" s="39" t="s">
        <v>80</v>
      </c>
    </row>
    <row r="94" spans="1:16">
      <c r="A94" s="29">
        <f t="shared" si="9"/>
        <v>90</v>
      </c>
      <c r="B94" s="30" t="s">
        <v>275</v>
      </c>
      <c r="C94" s="31" t="s">
        <v>272</v>
      </c>
      <c r="D94" s="41" t="s">
        <v>276</v>
      </c>
      <c r="E94" s="32">
        <v>42928</v>
      </c>
      <c r="F94" s="42">
        <f>700000+700000+24000</f>
        <v>1424000</v>
      </c>
      <c r="G94" s="34">
        <f t="shared" si="6"/>
        <v>1638000</v>
      </c>
      <c r="H94" s="42">
        <v>119412</v>
      </c>
      <c r="I94" s="35">
        <f>+F94*1.2%</f>
        <v>17088</v>
      </c>
      <c r="J94" s="29">
        <v>12</v>
      </c>
      <c r="K94" s="29">
        <v>4</v>
      </c>
      <c r="L94" s="36">
        <f t="shared" si="7"/>
        <v>136500</v>
      </c>
      <c r="M94" s="37">
        <f t="shared" si="8"/>
        <v>546000</v>
      </c>
      <c r="N94" s="38">
        <f>F94-(H94*8)</f>
        <v>468704</v>
      </c>
      <c r="O94" s="39" t="s">
        <v>277</v>
      </c>
      <c r="P94" s="39" t="s">
        <v>93</v>
      </c>
    </row>
    <row r="95" spans="1:16">
      <c r="A95" s="29">
        <f t="shared" si="9"/>
        <v>91</v>
      </c>
      <c r="B95" s="30" t="s">
        <v>278</v>
      </c>
      <c r="C95" s="31" t="s">
        <v>279</v>
      </c>
      <c r="D95" s="31" t="s">
        <v>280</v>
      </c>
      <c r="E95" s="32">
        <v>42926</v>
      </c>
      <c r="F95" s="33">
        <f>50765253+1269131+503282+200000+0-26368833</f>
        <v>26368833</v>
      </c>
      <c r="G95" s="34">
        <f t="shared" si="6"/>
        <v>18630000</v>
      </c>
      <c r="H95" s="35">
        <v>201074</v>
      </c>
      <c r="I95" s="35">
        <v>316426</v>
      </c>
      <c r="J95" s="29">
        <v>36</v>
      </c>
      <c r="K95" s="29">
        <v>29</v>
      </c>
      <c r="L95" s="36">
        <f t="shared" si="7"/>
        <v>517500</v>
      </c>
      <c r="M95" s="37">
        <f t="shared" si="8"/>
        <v>15007500</v>
      </c>
      <c r="N95" s="38">
        <f>F95-(H95*7)-1000000</f>
        <v>23961315</v>
      </c>
      <c r="O95" s="39" t="s">
        <v>281</v>
      </c>
      <c r="P95" s="39" t="s">
        <v>42</v>
      </c>
    </row>
    <row r="96" spans="1:16">
      <c r="A96" s="29">
        <f t="shared" si="9"/>
        <v>92</v>
      </c>
      <c r="B96" s="30" t="s">
        <v>278</v>
      </c>
      <c r="C96" s="31" t="s">
        <v>279</v>
      </c>
      <c r="D96" s="31" t="s">
        <v>280</v>
      </c>
      <c r="E96" s="32">
        <v>42926</v>
      </c>
      <c r="F96" s="33">
        <v>26368833</v>
      </c>
      <c r="G96" s="34">
        <f t="shared" si="6"/>
        <v>18630000</v>
      </c>
      <c r="H96" s="42">
        <v>201074</v>
      </c>
      <c r="I96" s="33">
        <v>316426</v>
      </c>
      <c r="J96" s="29">
        <v>36</v>
      </c>
      <c r="K96" s="29">
        <v>28</v>
      </c>
      <c r="L96" s="36">
        <f t="shared" si="7"/>
        <v>517500</v>
      </c>
      <c r="M96" s="37">
        <f t="shared" si="8"/>
        <v>14490000</v>
      </c>
      <c r="N96" s="38">
        <f>F96-(H96*8)-1000000</f>
        <v>23760241</v>
      </c>
      <c r="O96" s="39" t="s">
        <v>281</v>
      </c>
      <c r="P96" s="39" t="s">
        <v>42</v>
      </c>
    </row>
    <row r="97" spans="1:16">
      <c r="A97" s="29">
        <f t="shared" si="9"/>
        <v>93</v>
      </c>
      <c r="B97" s="30" t="s">
        <v>278</v>
      </c>
      <c r="C97" s="31" t="s">
        <v>279</v>
      </c>
      <c r="D97" s="31" t="s">
        <v>282</v>
      </c>
      <c r="E97" s="32">
        <v>43130</v>
      </c>
      <c r="F97" s="43">
        <f>1049840+26246+60000+6000000</f>
        <v>7136086</v>
      </c>
      <c r="G97" s="34">
        <f t="shared" si="6"/>
        <v>9192000</v>
      </c>
      <c r="H97" s="40">
        <v>297367</v>
      </c>
      <c r="I97" s="40">
        <v>85633</v>
      </c>
      <c r="J97" s="29">
        <v>24</v>
      </c>
      <c r="K97" s="29">
        <v>23</v>
      </c>
      <c r="L97" s="36">
        <f t="shared" si="7"/>
        <v>383000</v>
      </c>
      <c r="M97" s="37">
        <f t="shared" si="8"/>
        <v>8809000</v>
      </c>
      <c r="N97" s="38">
        <f>F97-(H97*1)</f>
        <v>6838719</v>
      </c>
      <c r="O97" s="39" t="s">
        <v>283</v>
      </c>
      <c r="P97" s="39" t="s">
        <v>284</v>
      </c>
    </row>
    <row r="98" spans="1:16">
      <c r="A98" s="29">
        <f t="shared" si="9"/>
        <v>94</v>
      </c>
      <c r="B98" s="30" t="s">
        <v>285</v>
      </c>
      <c r="C98" s="31" t="s">
        <v>286</v>
      </c>
      <c r="D98" s="31" t="s">
        <v>287</v>
      </c>
      <c r="E98" s="32">
        <v>42906</v>
      </c>
      <c r="F98" s="33">
        <f>450000+200000+74350000-37500000</f>
        <v>37500000</v>
      </c>
      <c r="G98" s="34">
        <f t="shared" si="6"/>
        <v>22800000</v>
      </c>
      <c r="H98" s="35">
        <v>500000</v>
      </c>
      <c r="I98" s="35">
        <f>F98*1.2%</f>
        <v>450000</v>
      </c>
      <c r="J98" s="29">
        <v>24</v>
      </c>
      <c r="K98" s="29">
        <v>16</v>
      </c>
      <c r="L98" s="36">
        <f t="shared" si="7"/>
        <v>950000</v>
      </c>
      <c r="M98" s="37">
        <f t="shared" si="8"/>
        <v>15200000</v>
      </c>
      <c r="N98" s="38">
        <f>F98-(H98*8)-2500000</f>
        <v>31000000</v>
      </c>
      <c r="O98" s="39" t="s">
        <v>288</v>
      </c>
      <c r="P98" s="39" t="s">
        <v>80</v>
      </c>
    </row>
    <row r="99" spans="1:16">
      <c r="A99" s="29">
        <f t="shared" si="9"/>
        <v>95</v>
      </c>
      <c r="B99" s="30" t="s">
        <v>285</v>
      </c>
      <c r="C99" s="31" t="s">
        <v>286</v>
      </c>
      <c r="D99" s="31" t="s">
        <v>287</v>
      </c>
      <c r="E99" s="32">
        <v>42906</v>
      </c>
      <c r="F99" s="42">
        <v>37500000</v>
      </c>
      <c r="G99" s="34">
        <f t="shared" si="6"/>
        <v>22800000</v>
      </c>
      <c r="H99" s="42">
        <v>500000</v>
      </c>
      <c r="I99" s="35">
        <f>F99*1.2%</f>
        <v>450000</v>
      </c>
      <c r="J99" s="29">
        <v>24</v>
      </c>
      <c r="K99" s="29">
        <v>16</v>
      </c>
      <c r="L99" s="36">
        <f t="shared" si="7"/>
        <v>950000</v>
      </c>
      <c r="M99" s="37">
        <f t="shared" si="8"/>
        <v>15200000</v>
      </c>
      <c r="N99" s="38">
        <f>F99-(H99*8)-2500000</f>
        <v>31000000</v>
      </c>
      <c r="O99" s="39" t="s">
        <v>288</v>
      </c>
      <c r="P99" s="39" t="s">
        <v>80</v>
      </c>
    </row>
    <row r="100" spans="1:16">
      <c r="A100" s="29">
        <f t="shared" si="9"/>
        <v>96</v>
      </c>
      <c r="B100" s="30" t="s">
        <v>289</v>
      </c>
      <c r="C100" s="31" t="s">
        <v>290</v>
      </c>
      <c r="D100" s="41" t="s">
        <v>291</v>
      </c>
      <c r="E100" s="32">
        <v>42818</v>
      </c>
      <c r="F100" s="33">
        <f>7000000</f>
        <v>7000000</v>
      </c>
      <c r="G100" s="34">
        <f t="shared" si="6"/>
        <v>7020000</v>
      </c>
      <c r="H100" s="33">
        <f>292500</f>
        <v>292500</v>
      </c>
      <c r="I100" s="33">
        <v>0</v>
      </c>
      <c r="J100" s="29">
        <v>24</v>
      </c>
      <c r="K100" s="29">
        <v>13</v>
      </c>
      <c r="L100" s="36">
        <f t="shared" si="7"/>
        <v>292500</v>
      </c>
      <c r="M100" s="36">
        <f t="shared" si="8"/>
        <v>3802500</v>
      </c>
      <c r="N100" s="38">
        <f>F100-(H100*11)</f>
        <v>3782500</v>
      </c>
      <c r="O100" s="39" t="s">
        <v>292</v>
      </c>
      <c r="P100" s="39" t="s">
        <v>93</v>
      </c>
    </row>
    <row r="101" spans="1:16">
      <c r="A101" s="29">
        <f t="shared" si="9"/>
        <v>97</v>
      </c>
      <c r="B101" s="30" t="s">
        <v>289</v>
      </c>
      <c r="C101" s="31" t="s">
        <v>290</v>
      </c>
      <c r="D101" s="31" t="s">
        <v>293</v>
      </c>
      <c r="E101" s="32">
        <v>43063</v>
      </c>
      <c r="F101" s="43">
        <f>100000+9900000</f>
        <v>10000000</v>
      </c>
      <c r="G101" s="34">
        <f t="shared" ref="G101:G126" si="10">+J101*L101</f>
        <v>11448000</v>
      </c>
      <c r="H101" s="35">
        <f>954000-I101</f>
        <v>834000</v>
      </c>
      <c r="I101" s="35">
        <f>+F101*1.2%</f>
        <v>120000</v>
      </c>
      <c r="J101" s="29">
        <v>12</v>
      </c>
      <c r="K101" s="29">
        <v>9</v>
      </c>
      <c r="L101" s="36">
        <f t="shared" si="7"/>
        <v>954000</v>
      </c>
      <c r="M101" s="37">
        <f t="shared" si="8"/>
        <v>8586000</v>
      </c>
      <c r="N101" s="38">
        <f>F101-(H101*3)</f>
        <v>7498000</v>
      </c>
      <c r="O101" s="39" t="s">
        <v>265</v>
      </c>
      <c r="P101" s="39" t="s">
        <v>32</v>
      </c>
    </row>
    <row r="102" spans="1:16">
      <c r="A102" s="29">
        <f t="shared" si="9"/>
        <v>98</v>
      </c>
      <c r="B102" s="30" t="s">
        <v>294</v>
      </c>
      <c r="C102" s="31" t="s">
        <v>295</v>
      </c>
      <c r="D102" s="41" t="s">
        <v>296</v>
      </c>
      <c r="E102" s="32">
        <v>42921</v>
      </c>
      <c r="F102" s="42">
        <f>50000+200000+34750000</f>
        <v>35000000</v>
      </c>
      <c r="G102" s="34">
        <f t="shared" si="10"/>
        <v>50166000</v>
      </c>
      <c r="H102" s="35">
        <v>973500</v>
      </c>
      <c r="I102" s="33">
        <f>+F102*1.2%</f>
        <v>420000</v>
      </c>
      <c r="J102" s="29">
        <v>36</v>
      </c>
      <c r="K102" s="29">
        <v>28</v>
      </c>
      <c r="L102" s="36">
        <f t="shared" si="7"/>
        <v>1393500</v>
      </c>
      <c r="M102" s="37">
        <f t="shared" si="8"/>
        <v>39018000</v>
      </c>
      <c r="N102" s="38">
        <f>F102-(H102*8)</f>
        <v>27212000</v>
      </c>
      <c r="O102" s="39" t="s">
        <v>297</v>
      </c>
      <c r="P102" s="39" t="s">
        <v>25</v>
      </c>
    </row>
    <row r="103" spans="1:16">
      <c r="A103" s="29">
        <f t="shared" si="9"/>
        <v>99</v>
      </c>
      <c r="B103" s="30" t="s">
        <v>298</v>
      </c>
      <c r="C103" s="31" t="s">
        <v>299</v>
      </c>
      <c r="D103" s="31" t="s">
        <v>300</v>
      </c>
      <c r="E103" s="32">
        <v>42943</v>
      </c>
      <c r="F103" s="43">
        <f>261033000+6525825+1000000+200000+100000000</f>
        <v>368758825</v>
      </c>
      <c r="G103" s="34">
        <f t="shared" si="10"/>
        <v>281184000</v>
      </c>
      <c r="H103" s="40">
        <f>5858000-I103</f>
        <v>1432894</v>
      </c>
      <c r="I103" s="40">
        <v>4425106</v>
      </c>
      <c r="J103" s="29">
        <v>48</v>
      </c>
      <c r="K103" s="29">
        <v>41</v>
      </c>
      <c r="L103" s="36">
        <f t="shared" si="7"/>
        <v>5858000</v>
      </c>
      <c r="M103" s="37">
        <f t="shared" si="8"/>
        <v>240178000</v>
      </c>
      <c r="N103" s="38">
        <f>F103-(H103*7)</f>
        <v>358728567</v>
      </c>
      <c r="O103" s="39" t="s">
        <v>301</v>
      </c>
      <c r="P103" s="39" t="s">
        <v>30</v>
      </c>
    </row>
    <row r="104" spans="1:16">
      <c r="A104" s="29">
        <f t="shared" si="9"/>
        <v>100</v>
      </c>
      <c r="B104" s="30" t="s">
        <v>302</v>
      </c>
      <c r="C104" s="31" t="s">
        <v>303</v>
      </c>
      <c r="D104" s="32"/>
      <c r="E104" s="32">
        <v>42507</v>
      </c>
      <c r="F104" s="42">
        <f>60624700+1515618+814994+263753+200000+23580935-43500000</f>
        <v>43500000</v>
      </c>
      <c r="G104" s="34">
        <f t="shared" si="10"/>
        <v>40554000</v>
      </c>
      <c r="H104" s="40">
        <v>604500</v>
      </c>
      <c r="I104" s="34">
        <f t="shared" ref="I104:I118" si="11">+F104*1.2%</f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304</v>
      </c>
      <c r="P104" s="39" t="s">
        <v>75</v>
      </c>
    </row>
    <row r="105" spans="1:16">
      <c r="A105" s="29">
        <f t="shared" si="9"/>
        <v>101</v>
      </c>
      <c r="B105" s="54" t="s">
        <v>302</v>
      </c>
      <c r="C105" s="55" t="s">
        <v>303</v>
      </c>
      <c r="D105" s="63"/>
      <c r="E105" s="63">
        <v>42507</v>
      </c>
      <c r="F105" s="68">
        <v>43500000</v>
      </c>
      <c r="G105" s="85">
        <f t="shared" si="10"/>
        <v>40554000</v>
      </c>
      <c r="H105" s="68">
        <v>604500</v>
      </c>
      <c r="I105" s="85">
        <f t="shared" si="11"/>
        <v>522000</v>
      </c>
      <c r="J105" s="60">
        <v>36</v>
      </c>
      <c r="K105" s="60">
        <f>18+1</f>
        <v>19</v>
      </c>
      <c r="L105" s="33">
        <f t="shared" si="7"/>
        <v>1126500</v>
      </c>
      <c r="M105" s="33">
        <f t="shared" si="8"/>
        <v>21403500</v>
      </c>
      <c r="N105" s="70">
        <f>F105-(H105*17)-2500000-2500000-2500000-2500000-1250000</f>
        <v>21973500</v>
      </c>
      <c r="O105" s="39" t="s">
        <v>304</v>
      </c>
      <c r="P105" s="39" t="s">
        <v>75</v>
      </c>
    </row>
    <row r="106" spans="1:16">
      <c r="A106" s="29">
        <f t="shared" si="9"/>
        <v>102</v>
      </c>
      <c r="B106" s="33" t="s">
        <v>305</v>
      </c>
      <c r="C106" s="73" t="s">
        <v>306</v>
      </c>
      <c r="D106" s="32"/>
      <c r="E106" s="32">
        <v>42515</v>
      </c>
      <c r="F106" s="48">
        <f>37684390+942110+20000+200000+2000000</f>
        <v>40846500</v>
      </c>
      <c r="G106" s="48">
        <f t="shared" si="10"/>
        <v>37030000</v>
      </c>
      <c r="H106" s="33">
        <v>567842</v>
      </c>
      <c r="I106" s="48">
        <f t="shared" si="11"/>
        <v>490158</v>
      </c>
      <c r="J106" s="49" t="s">
        <v>307</v>
      </c>
      <c r="K106" s="29">
        <v>14</v>
      </c>
      <c r="L106" s="33">
        <f t="shared" si="7"/>
        <v>1058000</v>
      </c>
      <c r="M106" s="33">
        <f t="shared" si="8"/>
        <v>14812000</v>
      </c>
      <c r="N106" s="82">
        <f>F106-(H106*21)-7000000</f>
        <v>21921818</v>
      </c>
      <c r="O106" s="52" t="s">
        <v>268</v>
      </c>
      <c r="P106" s="52" t="s">
        <v>85</v>
      </c>
    </row>
    <row r="107" spans="1:16">
      <c r="A107" s="29">
        <f t="shared" si="9"/>
        <v>103</v>
      </c>
      <c r="B107" s="30" t="s">
        <v>308</v>
      </c>
      <c r="C107" s="31" t="s">
        <v>309</v>
      </c>
      <c r="D107" s="41" t="s">
        <v>310</v>
      </c>
      <c r="E107" s="32">
        <v>42761</v>
      </c>
      <c r="F107" s="33">
        <f>80415400+7500000+2010385+1195846+200000+108678369-100000000</f>
        <v>100000000</v>
      </c>
      <c r="G107" s="34">
        <f t="shared" si="10"/>
        <v>75708000</v>
      </c>
      <c r="H107" s="33">
        <v>903000</v>
      </c>
      <c r="I107" s="33">
        <f t="shared" si="11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F107-(H107*13)-17500000-2500000-2500000</f>
        <v>65761000</v>
      </c>
      <c r="O107" s="39" t="s">
        <v>311</v>
      </c>
      <c r="P107" s="39" t="s">
        <v>42</v>
      </c>
    </row>
    <row r="108" spans="1:16">
      <c r="A108" s="29">
        <f t="shared" si="9"/>
        <v>104</v>
      </c>
      <c r="B108" s="54" t="s">
        <v>308</v>
      </c>
      <c r="C108" s="55" t="s">
        <v>309</v>
      </c>
      <c r="D108" s="86" t="s">
        <v>310</v>
      </c>
      <c r="E108" s="63">
        <v>42761</v>
      </c>
      <c r="F108" s="59">
        <v>100000000</v>
      </c>
      <c r="G108" s="85">
        <f t="shared" si="10"/>
        <v>75708000</v>
      </c>
      <c r="H108" s="59">
        <v>903000</v>
      </c>
      <c r="I108" s="59">
        <f t="shared" si="11"/>
        <v>1200000</v>
      </c>
      <c r="J108" s="60">
        <v>36</v>
      </c>
      <c r="K108" s="60">
        <f>23+1</f>
        <v>24</v>
      </c>
      <c r="L108" s="36">
        <f t="shared" si="7"/>
        <v>2103000</v>
      </c>
      <c r="M108" s="36">
        <f t="shared" si="8"/>
        <v>50472000</v>
      </c>
      <c r="N108" s="38">
        <f>F108-(H108*12)-17500000-2500000+103000-103000-2500000</f>
        <v>66664000</v>
      </c>
      <c r="O108" s="39" t="s">
        <v>311</v>
      </c>
      <c r="P108" s="39" t="s">
        <v>42</v>
      </c>
    </row>
    <row r="109" spans="1:16">
      <c r="A109" s="29">
        <f t="shared" si="9"/>
        <v>105</v>
      </c>
      <c r="B109" s="30" t="s">
        <v>312</v>
      </c>
      <c r="C109" s="31" t="s">
        <v>313</v>
      </c>
      <c r="D109" s="32"/>
      <c r="E109" s="32">
        <v>42612</v>
      </c>
      <c r="F109" s="33">
        <f>8332400+208310+800000+200000+100459290</f>
        <v>110000000</v>
      </c>
      <c r="G109" s="34">
        <f t="shared" si="10"/>
        <v>42000000</v>
      </c>
      <c r="H109" s="35">
        <v>430000</v>
      </c>
      <c r="I109" s="35">
        <f t="shared" si="11"/>
        <v>1320000</v>
      </c>
      <c r="J109" s="29">
        <v>24</v>
      </c>
      <c r="K109" s="29">
        <v>6</v>
      </c>
      <c r="L109" s="36">
        <f t="shared" si="7"/>
        <v>1750000</v>
      </c>
      <c r="M109" s="36">
        <f t="shared" si="8"/>
        <v>10500000</v>
      </c>
      <c r="N109" s="38">
        <f>F109-(H109*18)-5000000-45000000-5000000</f>
        <v>47260000</v>
      </c>
      <c r="O109" s="39" t="s">
        <v>314</v>
      </c>
      <c r="P109" s="39" t="s">
        <v>144</v>
      </c>
    </row>
    <row r="110" spans="1:16">
      <c r="A110" s="29">
        <f t="shared" si="9"/>
        <v>106</v>
      </c>
      <c r="B110" s="30" t="s">
        <v>315</v>
      </c>
      <c r="C110" s="31" t="s">
        <v>316</v>
      </c>
      <c r="D110" s="31" t="s">
        <v>317</v>
      </c>
      <c r="E110" s="32">
        <v>42982</v>
      </c>
      <c r="F110" s="43">
        <f>30833100+770828+590968+1441669+200000+141163435-87500000</f>
        <v>87500000</v>
      </c>
      <c r="G110" s="34">
        <f t="shared" si="10"/>
        <v>74769750</v>
      </c>
      <c r="H110" s="35">
        <v>1215750</v>
      </c>
      <c r="I110" s="35">
        <f t="shared" si="11"/>
        <v>1050000</v>
      </c>
      <c r="J110" s="29">
        <v>33</v>
      </c>
      <c r="K110" s="29">
        <v>27</v>
      </c>
      <c r="L110" s="36">
        <f t="shared" si="7"/>
        <v>2265750</v>
      </c>
      <c r="M110" s="37">
        <f t="shared" si="8"/>
        <v>61175250</v>
      </c>
      <c r="N110" s="38">
        <f>F110-(H110*6)-3500000</f>
        <v>76705500</v>
      </c>
      <c r="O110" s="44" t="s">
        <v>318</v>
      </c>
      <c r="P110" s="39" t="s">
        <v>37</v>
      </c>
    </row>
    <row r="111" spans="1:16">
      <c r="A111" s="29">
        <f t="shared" si="9"/>
        <v>107</v>
      </c>
      <c r="B111" s="30" t="s">
        <v>315</v>
      </c>
      <c r="C111" s="31" t="s">
        <v>316</v>
      </c>
      <c r="D111" s="31" t="s">
        <v>317</v>
      </c>
      <c r="E111" s="32">
        <v>42982</v>
      </c>
      <c r="F111" s="43"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7"/>
        <v>2265750</v>
      </c>
      <c r="M111" s="37">
        <f t="shared" si="8"/>
        <v>61175250</v>
      </c>
      <c r="N111" s="38">
        <f>F111-(H111*6)-3500000</f>
        <v>76705500</v>
      </c>
      <c r="O111" s="44" t="s">
        <v>318</v>
      </c>
      <c r="P111" s="39" t="s">
        <v>37</v>
      </c>
    </row>
    <row r="112" spans="1:16">
      <c r="A112" s="29">
        <f t="shared" si="9"/>
        <v>108</v>
      </c>
      <c r="B112" s="30" t="s">
        <v>319</v>
      </c>
      <c r="C112" s="31" t="s">
        <v>320</v>
      </c>
      <c r="D112" s="41" t="s">
        <v>321</v>
      </c>
      <c r="E112" s="32">
        <v>43003</v>
      </c>
      <c r="F112" s="43">
        <f>13928200+348205+500000+200000+65023595</f>
        <v>80000000</v>
      </c>
      <c r="G112" s="34">
        <f t="shared" si="10"/>
        <v>70000000</v>
      </c>
      <c r="H112" s="35">
        <v>2540000</v>
      </c>
      <c r="I112" s="35">
        <f t="shared" si="11"/>
        <v>960000</v>
      </c>
      <c r="J112" s="29">
        <v>20</v>
      </c>
      <c r="K112" s="29">
        <v>15</v>
      </c>
      <c r="L112" s="36">
        <f t="shared" si="7"/>
        <v>3500000</v>
      </c>
      <c r="M112" s="37">
        <f t="shared" si="8"/>
        <v>52500000</v>
      </c>
      <c r="N112" s="38">
        <f>F112-(H112*5)</f>
        <v>67300000</v>
      </c>
      <c r="O112" s="44" t="s">
        <v>322</v>
      </c>
      <c r="P112" s="39" t="s">
        <v>30</v>
      </c>
    </row>
    <row r="113" spans="1:16">
      <c r="A113" s="29">
        <f t="shared" si="9"/>
        <v>109</v>
      </c>
      <c r="B113" s="30" t="s">
        <v>323</v>
      </c>
      <c r="C113" s="31" t="s">
        <v>324</v>
      </c>
      <c r="D113" s="31" t="s">
        <v>325</v>
      </c>
      <c r="E113" s="32">
        <v>42942</v>
      </c>
      <c r="F113" s="43">
        <f>13330000+333250+100000+200000+26036750</f>
        <v>40000000</v>
      </c>
      <c r="G113" s="34">
        <f t="shared" si="10"/>
        <v>57330000</v>
      </c>
      <c r="H113" s="40">
        <v>1112500</v>
      </c>
      <c r="I113" s="40">
        <f t="shared" si="11"/>
        <v>480000</v>
      </c>
      <c r="J113" s="29">
        <v>36</v>
      </c>
      <c r="K113" s="29">
        <v>29</v>
      </c>
      <c r="L113" s="36">
        <f t="shared" si="7"/>
        <v>1592500</v>
      </c>
      <c r="M113" s="37">
        <f t="shared" si="8"/>
        <v>46182500</v>
      </c>
      <c r="N113" s="38">
        <f>F113-(H113*7)</f>
        <v>32212500</v>
      </c>
      <c r="O113" s="44" t="s">
        <v>326</v>
      </c>
      <c r="P113" s="39" t="s">
        <v>30</v>
      </c>
    </row>
    <row r="114" spans="1:16">
      <c r="A114" s="29">
        <f t="shared" si="9"/>
        <v>110</v>
      </c>
      <c r="B114" s="30" t="s">
        <v>327</v>
      </c>
      <c r="C114" s="31" t="s">
        <v>328</v>
      </c>
      <c r="D114" s="41" t="s">
        <v>329</v>
      </c>
      <c r="E114" s="32">
        <v>42790</v>
      </c>
      <c r="F114" s="33">
        <f>17082300+427058+100000+200000+22190642</f>
        <v>40000000</v>
      </c>
      <c r="G114" s="34">
        <f t="shared" si="10"/>
        <v>57312000</v>
      </c>
      <c r="H114" s="33">
        <f>1592000-I114</f>
        <v>1112000</v>
      </c>
      <c r="I114" s="33">
        <f t="shared" si="11"/>
        <v>480000</v>
      </c>
      <c r="J114" s="29">
        <v>36</v>
      </c>
      <c r="K114" s="29">
        <v>24</v>
      </c>
      <c r="L114" s="36">
        <f t="shared" si="7"/>
        <v>1592000</v>
      </c>
      <c r="M114" s="36">
        <f t="shared" si="8"/>
        <v>38208000</v>
      </c>
      <c r="N114" s="38">
        <f>F114-(H114*12)</f>
        <v>26656000</v>
      </c>
      <c r="O114" s="39" t="s">
        <v>330</v>
      </c>
      <c r="P114" s="39" t="s">
        <v>70</v>
      </c>
    </row>
    <row r="115" spans="1:16">
      <c r="A115" s="29">
        <f t="shared" si="9"/>
        <v>111</v>
      </c>
      <c r="B115" s="30" t="s">
        <v>331</v>
      </c>
      <c r="C115" s="31" t="s">
        <v>332</v>
      </c>
      <c r="D115" s="32"/>
      <c r="E115" s="32">
        <v>42520</v>
      </c>
      <c r="F115" s="42">
        <f>200000+200000+49600000-F116</f>
        <v>25000000</v>
      </c>
      <c r="G115" s="34">
        <f t="shared" si="10"/>
        <v>12200400</v>
      </c>
      <c r="H115" s="33">
        <f>416700-H116</f>
        <v>208350</v>
      </c>
      <c r="I115" s="48">
        <f t="shared" si="11"/>
        <v>300000</v>
      </c>
      <c r="J115" s="29">
        <v>24</v>
      </c>
      <c r="K115" s="29">
        <v>3</v>
      </c>
      <c r="L115" s="33">
        <f t="shared" si="7"/>
        <v>508350</v>
      </c>
      <c r="M115" s="33">
        <f t="shared" si="8"/>
        <v>1525050</v>
      </c>
      <c r="N115" s="82">
        <f>F115-(H115*21)-10000000</f>
        <v>10624650</v>
      </c>
      <c r="O115" s="39" t="s">
        <v>333</v>
      </c>
      <c r="P115" s="39" t="s">
        <v>85</v>
      </c>
    </row>
    <row r="116" spans="1:16">
      <c r="A116" s="29">
        <f t="shared" si="9"/>
        <v>112</v>
      </c>
      <c r="B116" s="30" t="s">
        <v>331</v>
      </c>
      <c r="C116" s="31" t="s">
        <v>332</v>
      </c>
      <c r="D116" s="32"/>
      <c r="E116" s="32">
        <v>42520</v>
      </c>
      <c r="F116" s="42">
        <v>25000000</v>
      </c>
      <c r="G116" s="34">
        <f t="shared" si="10"/>
        <v>12200400</v>
      </c>
      <c r="H116" s="42">
        <v>208350</v>
      </c>
      <c r="I116" s="48">
        <f t="shared" si="11"/>
        <v>300000</v>
      </c>
      <c r="J116" s="29">
        <v>24</v>
      </c>
      <c r="K116" s="29">
        <v>3</v>
      </c>
      <c r="L116" s="33">
        <f t="shared" si="7"/>
        <v>508350</v>
      </c>
      <c r="M116" s="33">
        <f t="shared" si="8"/>
        <v>1525050</v>
      </c>
      <c r="N116" s="82">
        <f>F116-(H116*21)-10000000</f>
        <v>10624650</v>
      </c>
      <c r="O116" s="39" t="s">
        <v>333</v>
      </c>
      <c r="P116" s="39" t="s">
        <v>85</v>
      </c>
    </row>
    <row r="117" spans="1:16">
      <c r="A117" s="29">
        <f t="shared" si="9"/>
        <v>113</v>
      </c>
      <c r="B117" s="30" t="s">
        <v>334</v>
      </c>
      <c r="C117" s="31" t="s">
        <v>335</v>
      </c>
      <c r="D117" s="31" t="s">
        <v>336</v>
      </c>
      <c r="E117" s="32">
        <v>42941</v>
      </c>
      <c r="F117" s="43">
        <f>295161178+7379029+2048388+200000+195211405-250000000</f>
        <v>250000000</v>
      </c>
      <c r="G117" s="34">
        <f t="shared" si="10"/>
        <v>194016000</v>
      </c>
      <c r="H117" s="40">
        <v>1042000</v>
      </c>
      <c r="I117" s="40">
        <f t="shared" si="11"/>
        <v>3000000</v>
      </c>
      <c r="J117" s="29">
        <v>48</v>
      </c>
      <c r="K117" s="29">
        <v>41</v>
      </c>
      <c r="L117" s="36">
        <f t="shared" si="7"/>
        <v>4042000</v>
      </c>
      <c r="M117" s="37">
        <f t="shared" si="8"/>
        <v>165722000</v>
      </c>
      <c r="N117" s="38">
        <f>F117-(H117*7)-7500000</f>
        <v>235206000</v>
      </c>
      <c r="O117" s="44" t="s">
        <v>337</v>
      </c>
      <c r="P117" s="39" t="s">
        <v>30</v>
      </c>
    </row>
    <row r="118" spans="1:16">
      <c r="A118" s="29">
        <f t="shared" si="9"/>
        <v>114</v>
      </c>
      <c r="B118" s="30" t="s">
        <v>334</v>
      </c>
      <c r="C118" s="31" t="s">
        <v>335</v>
      </c>
      <c r="D118" s="31" t="s">
        <v>336</v>
      </c>
      <c r="E118" s="32">
        <v>42941</v>
      </c>
      <c r="F118" s="43">
        <v>250000000</v>
      </c>
      <c r="G118" s="34">
        <f t="shared" si="10"/>
        <v>194016000</v>
      </c>
      <c r="H118" s="40">
        <v>1042000</v>
      </c>
      <c r="I118" s="40">
        <f t="shared" si="11"/>
        <v>3000000</v>
      </c>
      <c r="J118" s="29">
        <v>48</v>
      </c>
      <c r="K118" s="29">
        <v>41</v>
      </c>
      <c r="L118" s="36">
        <f t="shared" si="7"/>
        <v>4042000</v>
      </c>
      <c r="M118" s="37">
        <f t="shared" si="8"/>
        <v>165722000</v>
      </c>
      <c r="N118" s="38">
        <f>F118-(H118*7)-5000000</f>
        <v>237706000</v>
      </c>
      <c r="O118" s="44" t="s">
        <v>337</v>
      </c>
      <c r="P118" s="39" t="s">
        <v>30</v>
      </c>
    </row>
    <row r="119" spans="1:16">
      <c r="A119" s="29">
        <f t="shared" si="9"/>
        <v>115</v>
      </c>
      <c r="B119" s="54" t="s">
        <v>338</v>
      </c>
      <c r="C119" s="55" t="s">
        <v>339</v>
      </c>
      <c r="D119" s="86" t="s">
        <v>340</v>
      </c>
      <c r="E119" s="63">
        <v>42871</v>
      </c>
      <c r="F119" s="68">
        <f>204636638+2557958+2171281+200000-104782939</f>
        <v>104782938</v>
      </c>
      <c r="G119" s="85">
        <f t="shared" si="10"/>
        <v>129503952</v>
      </c>
      <c r="H119" s="87">
        <v>1440604</v>
      </c>
      <c r="I119" s="59">
        <v>1257395</v>
      </c>
      <c r="J119" s="60">
        <v>48</v>
      </c>
      <c r="K119" s="60">
        <f>40+1</f>
        <v>41</v>
      </c>
      <c r="L119" s="36">
        <f t="shared" si="7"/>
        <v>2697999</v>
      </c>
      <c r="M119" s="37">
        <f t="shared" si="8"/>
        <v>110617959</v>
      </c>
      <c r="N119" s="38">
        <f>F119-(H119*7)</f>
        <v>94698710</v>
      </c>
      <c r="O119" s="39" t="s">
        <v>256</v>
      </c>
      <c r="P119" s="39" t="s">
        <v>136</v>
      </c>
    </row>
    <row r="120" spans="1:16">
      <c r="A120" s="29">
        <f t="shared" si="9"/>
        <v>116</v>
      </c>
      <c r="B120" s="54" t="s">
        <v>338</v>
      </c>
      <c r="C120" s="55" t="s">
        <v>339</v>
      </c>
      <c r="D120" s="86" t="s">
        <v>340</v>
      </c>
      <c r="E120" s="63">
        <v>42871</v>
      </c>
      <c r="F120" s="68">
        <f>104782939</f>
        <v>104782939</v>
      </c>
      <c r="G120" s="85">
        <f t="shared" si="10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256</v>
      </c>
      <c r="P120" s="39" t="s">
        <v>136</v>
      </c>
    </row>
    <row r="121" spans="1:16">
      <c r="A121" s="29">
        <f t="shared" si="9"/>
        <v>117</v>
      </c>
      <c r="B121" s="30" t="s">
        <v>338</v>
      </c>
      <c r="C121" s="31" t="s">
        <v>339</v>
      </c>
      <c r="D121" s="41" t="s">
        <v>341</v>
      </c>
      <c r="E121" s="32">
        <v>42908</v>
      </c>
      <c r="F121" s="42">
        <f>150000+200000+14650000</f>
        <v>15000000</v>
      </c>
      <c r="G121" s="34">
        <f t="shared" si="10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29</v>
      </c>
      <c r="L121" s="36">
        <f t="shared" si="7"/>
        <v>597500</v>
      </c>
      <c r="M121" s="37">
        <f t="shared" si="8"/>
        <v>17327500</v>
      </c>
      <c r="N121" s="38">
        <f>F121-(H121*7)</f>
        <v>12077500</v>
      </c>
      <c r="O121" s="39" t="s">
        <v>254</v>
      </c>
      <c r="P121" s="39" t="s">
        <v>342</v>
      </c>
    </row>
    <row r="122" spans="1:16">
      <c r="A122" s="29">
        <f t="shared" si="9"/>
        <v>118</v>
      </c>
      <c r="B122" s="30" t="s">
        <v>343</v>
      </c>
      <c r="C122" s="31" t="s">
        <v>344</v>
      </c>
      <c r="D122" s="31" t="s">
        <v>345</v>
      </c>
      <c r="E122" s="32">
        <v>43097</v>
      </c>
      <c r="F122" s="43">
        <f>19457500+486438+14575+200000+12000000</f>
        <v>32158513</v>
      </c>
      <c r="G122" s="34">
        <f t="shared" si="10"/>
        <v>34440000</v>
      </c>
      <c r="H122" s="40">
        <v>1049098</v>
      </c>
      <c r="I122" s="40">
        <v>385902</v>
      </c>
      <c r="J122" s="29">
        <v>24</v>
      </c>
      <c r="K122" s="29">
        <v>22</v>
      </c>
      <c r="L122" s="36">
        <f t="shared" si="7"/>
        <v>1435000</v>
      </c>
      <c r="M122" s="37">
        <f t="shared" si="8"/>
        <v>31570000</v>
      </c>
      <c r="N122" s="38">
        <f>F122-(H122*2)</f>
        <v>30060317</v>
      </c>
      <c r="O122" s="39" t="s">
        <v>346</v>
      </c>
      <c r="P122" s="39" t="s">
        <v>30</v>
      </c>
    </row>
    <row r="123" spans="1:16">
      <c r="A123" s="29">
        <f t="shared" si="9"/>
        <v>119</v>
      </c>
      <c r="B123" s="30" t="s">
        <v>347</v>
      </c>
      <c r="C123" s="31" t="s">
        <v>348</v>
      </c>
      <c r="D123" s="31" t="s">
        <v>349</v>
      </c>
      <c r="E123" s="32">
        <v>42943</v>
      </c>
      <c r="F123" s="43">
        <f>105644700+2641118+250000+200000+25000000-66867909</f>
        <v>66867909</v>
      </c>
      <c r="G123" s="34">
        <f t="shared" si="10"/>
        <v>49500000</v>
      </c>
      <c r="H123" s="40">
        <v>697585</v>
      </c>
      <c r="I123" s="40">
        <v>802415</v>
      </c>
      <c r="J123" s="29">
        <v>33</v>
      </c>
      <c r="K123" s="29">
        <v>26</v>
      </c>
      <c r="L123" s="36">
        <f t="shared" si="7"/>
        <v>1500000</v>
      </c>
      <c r="M123" s="37">
        <f t="shared" si="8"/>
        <v>39000000</v>
      </c>
      <c r="N123" s="38">
        <f>F123-(H123*7)-2500000</f>
        <v>59484814</v>
      </c>
      <c r="O123" s="39" t="s">
        <v>350</v>
      </c>
      <c r="P123" s="39" t="s">
        <v>30</v>
      </c>
    </row>
    <row r="124" spans="1:16">
      <c r="A124" s="29">
        <f t="shared" si="9"/>
        <v>120</v>
      </c>
      <c r="B124" s="30" t="s">
        <v>347</v>
      </c>
      <c r="C124" s="31" t="s">
        <v>348</v>
      </c>
      <c r="D124" s="31" t="s">
        <v>349</v>
      </c>
      <c r="E124" s="32">
        <v>42943</v>
      </c>
      <c r="F124" s="43">
        <v>66867909</v>
      </c>
      <c r="G124" s="34">
        <f t="shared" si="10"/>
        <v>49500000</v>
      </c>
      <c r="H124" s="43">
        <v>697585</v>
      </c>
      <c r="I124" s="43">
        <v>802415</v>
      </c>
      <c r="J124" s="29">
        <v>33</v>
      </c>
      <c r="K124" s="29">
        <v>26</v>
      </c>
      <c r="L124" s="36">
        <f t="shared" si="7"/>
        <v>1500000</v>
      </c>
      <c r="M124" s="37">
        <f t="shared" si="8"/>
        <v>39000000</v>
      </c>
      <c r="N124" s="38">
        <f>F124-(H124*7)-2500000</f>
        <v>59484814</v>
      </c>
      <c r="O124" s="39" t="s">
        <v>350</v>
      </c>
      <c r="P124" s="39" t="s">
        <v>30</v>
      </c>
    </row>
    <row r="125" spans="1:16">
      <c r="A125" s="29">
        <f t="shared" si="9"/>
        <v>121</v>
      </c>
      <c r="B125" s="30" t="s">
        <v>351</v>
      </c>
      <c r="C125" s="31" t="s">
        <v>352</v>
      </c>
      <c r="D125" s="88"/>
      <c r="E125" s="88">
        <v>41857</v>
      </c>
      <c r="F125" s="45">
        <f>1049300+7543+26233+700000+200000+98016924</f>
        <v>100000000</v>
      </c>
      <c r="G125" s="89">
        <f t="shared" si="10"/>
        <v>100800000</v>
      </c>
      <c r="H125" s="33">
        <v>200000</v>
      </c>
      <c r="I125" s="45">
        <f>+F125*1.2%</f>
        <v>1200000</v>
      </c>
      <c r="J125" s="29">
        <v>72</v>
      </c>
      <c r="K125" s="29">
        <v>29</v>
      </c>
      <c r="L125" s="48">
        <f t="shared" si="7"/>
        <v>1400000</v>
      </c>
      <c r="M125" s="48">
        <f t="shared" si="8"/>
        <v>40600000</v>
      </c>
      <c r="N125" s="90">
        <f>F125-(H125*43)</f>
        <v>91400000</v>
      </c>
      <c r="O125" s="62" t="s">
        <v>353</v>
      </c>
      <c r="P125" s="65" t="s">
        <v>161</v>
      </c>
    </row>
    <row r="126" spans="1:16">
      <c r="A126" s="29">
        <f t="shared" si="9"/>
        <v>122</v>
      </c>
      <c r="B126" s="54" t="s">
        <v>354</v>
      </c>
      <c r="C126" s="55" t="s">
        <v>355</v>
      </c>
      <c r="D126" s="63"/>
      <c r="E126" s="63">
        <v>42530</v>
      </c>
      <c r="F126" s="68">
        <f>214388400+5359710+1663279+2943493+200000+234086000+30000000+5000000+5000000+13700000+6554000+9271-259452077</f>
        <v>259452076</v>
      </c>
      <c r="G126" s="85">
        <f t="shared" si="10"/>
        <v>263500000</v>
      </c>
      <c r="H126" s="87">
        <v>1136575</v>
      </c>
      <c r="I126" s="68">
        <v>3113425</v>
      </c>
      <c r="J126" s="60">
        <v>62</v>
      </c>
      <c r="K126" s="60">
        <f>43+1</f>
        <v>44</v>
      </c>
      <c r="L126" s="33">
        <f t="shared" si="7"/>
        <v>4250000</v>
      </c>
      <c r="M126" s="33">
        <f t="shared" si="8"/>
        <v>187000000</v>
      </c>
      <c r="N126" s="82">
        <f>F126-(H126*18)-2500000-2500000-2500000-30000000-2500000-5000000-1136575</f>
        <v>192857151</v>
      </c>
      <c r="O126" s="39" t="s">
        <v>356</v>
      </c>
      <c r="P126" s="39" t="s">
        <v>85</v>
      </c>
    </row>
    <row r="127" spans="1:16">
      <c r="A127" s="29">
        <f t="shared" si="9"/>
        <v>123</v>
      </c>
      <c r="B127" s="54" t="s">
        <v>354</v>
      </c>
      <c r="C127" s="55" t="s">
        <v>355</v>
      </c>
      <c r="D127" s="63"/>
      <c r="E127" s="63">
        <v>42530</v>
      </c>
      <c r="F127" s="68">
        <v>259452077</v>
      </c>
      <c r="G127" s="85">
        <v>263500000</v>
      </c>
      <c r="H127" s="85">
        <v>1136575</v>
      </c>
      <c r="I127" s="85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2">
        <f>F127-(H127*19)-2500000-2500000-2500000-30000000-2500000-5000000-1136575</f>
        <v>191720577</v>
      </c>
      <c r="O127" s="39" t="s">
        <v>356</v>
      </c>
      <c r="P127" s="39" t="s">
        <v>85</v>
      </c>
    </row>
    <row r="128" spans="1:16">
      <c r="A128" s="29">
        <f t="shared" si="9"/>
        <v>124</v>
      </c>
      <c r="B128" s="30" t="s">
        <v>354</v>
      </c>
      <c r="C128" s="31" t="s">
        <v>355</v>
      </c>
      <c r="D128" s="32"/>
      <c r="E128" s="32">
        <v>42576</v>
      </c>
      <c r="F128" s="33">
        <f>2450000+1500000</f>
        <v>3950000</v>
      </c>
      <c r="G128" s="48">
        <f t="shared" ref="G128:G191" si="12">+J128*L128</f>
        <v>5688000</v>
      </c>
      <c r="H128" s="35">
        <f>158000-I128</f>
        <v>110600</v>
      </c>
      <c r="I128" s="35">
        <f>+F128*1.2%</f>
        <v>47400</v>
      </c>
      <c r="J128" s="29">
        <v>36</v>
      </c>
      <c r="K128" s="29">
        <v>17</v>
      </c>
      <c r="L128" s="91">
        <f t="shared" si="7"/>
        <v>158000</v>
      </c>
      <c r="M128" s="91">
        <f t="shared" si="8"/>
        <v>2686000</v>
      </c>
      <c r="N128" s="38">
        <f>F128-(H128*19)</f>
        <v>1848600</v>
      </c>
      <c r="O128" s="39" t="s">
        <v>357</v>
      </c>
      <c r="P128" s="39" t="s">
        <v>93</v>
      </c>
    </row>
    <row r="129" spans="1:16">
      <c r="A129" s="29">
        <f t="shared" si="9"/>
        <v>125</v>
      </c>
      <c r="B129" s="30" t="s">
        <v>358</v>
      </c>
      <c r="C129" s="31" t="s">
        <v>359</v>
      </c>
      <c r="D129" s="32"/>
      <c r="E129" s="32">
        <v>42639</v>
      </c>
      <c r="F129" s="33">
        <f>700000+200000+99100000</f>
        <v>100000000</v>
      </c>
      <c r="G129" s="34">
        <f t="shared" si="12"/>
        <v>53208000</v>
      </c>
      <c r="H129" s="33">
        <v>278000</v>
      </c>
      <c r="I129" s="33">
        <f>+F129*1.2%</f>
        <v>1200000</v>
      </c>
      <c r="J129" s="29">
        <v>36</v>
      </c>
      <c r="K129" s="29">
        <v>19</v>
      </c>
      <c r="L129" s="36">
        <f t="shared" si="7"/>
        <v>1478000</v>
      </c>
      <c r="M129" s="36">
        <f t="shared" si="8"/>
        <v>28082000</v>
      </c>
      <c r="N129" s="38">
        <f>F129-(H129*17)-5000000-20000000-5000000-5000000</f>
        <v>60274000</v>
      </c>
      <c r="O129" s="39" t="s">
        <v>360</v>
      </c>
      <c r="P129" s="39" t="s">
        <v>51</v>
      </c>
    </row>
    <row r="130" spans="1:16">
      <c r="A130" s="29">
        <f t="shared" si="9"/>
        <v>126</v>
      </c>
      <c r="B130" s="30" t="s">
        <v>361</v>
      </c>
      <c r="C130" s="31" t="s">
        <v>362</v>
      </c>
      <c r="D130" s="41" t="s">
        <v>363</v>
      </c>
      <c r="E130" s="32">
        <v>42906</v>
      </c>
      <c r="F130" s="42">
        <f>1200000+200000+148600000</f>
        <v>150000000</v>
      </c>
      <c r="G130" s="34">
        <f t="shared" si="12"/>
        <v>128040000</v>
      </c>
      <c r="H130" s="35">
        <f>1040000+1040000</f>
        <v>2080000</v>
      </c>
      <c r="I130" s="35">
        <f>F130*1.2%</f>
        <v>1800000</v>
      </c>
      <c r="J130" s="29">
        <v>33</v>
      </c>
      <c r="K130" s="29">
        <v>25</v>
      </c>
      <c r="L130" s="36">
        <f t="shared" si="7"/>
        <v>3880000</v>
      </c>
      <c r="M130" s="37">
        <f t="shared" si="8"/>
        <v>97000000</v>
      </c>
      <c r="N130" s="38">
        <f>F130-(H130*8)-2500000</f>
        <v>130860000</v>
      </c>
      <c r="O130" s="39" t="s">
        <v>152</v>
      </c>
      <c r="P130" s="39" t="s">
        <v>80</v>
      </c>
    </row>
    <row r="131" spans="1:16">
      <c r="A131" s="29">
        <f t="shared" si="9"/>
        <v>127</v>
      </c>
      <c r="B131" s="30" t="s">
        <v>364</v>
      </c>
      <c r="C131" s="31" t="s">
        <v>365</v>
      </c>
      <c r="D131" s="41" t="s">
        <v>366</v>
      </c>
      <c r="E131" s="32">
        <v>42922</v>
      </c>
      <c r="F131" s="33">
        <f>25830000+645750+165290+200000+4000000-15420520</f>
        <v>15420520</v>
      </c>
      <c r="G131" s="34">
        <f t="shared" si="12"/>
        <v>22095000</v>
      </c>
      <c r="H131" s="35">
        <v>428704</v>
      </c>
      <c r="I131" s="33">
        <v>185046</v>
      </c>
      <c r="J131" s="29">
        <v>36</v>
      </c>
      <c r="K131" s="29">
        <v>28</v>
      </c>
      <c r="L131" s="36">
        <f t="shared" si="7"/>
        <v>613750</v>
      </c>
      <c r="M131" s="36">
        <f t="shared" si="8"/>
        <v>17185000</v>
      </c>
      <c r="N131" s="38">
        <f>F131-(H131*8)</f>
        <v>11990888</v>
      </c>
      <c r="O131" s="39" t="s">
        <v>367</v>
      </c>
      <c r="P131" s="39" t="s">
        <v>42</v>
      </c>
    </row>
    <row r="132" spans="1:16">
      <c r="A132" s="29">
        <f t="shared" si="9"/>
        <v>128</v>
      </c>
      <c r="B132" s="30" t="s">
        <v>364</v>
      </c>
      <c r="C132" s="31" t="s">
        <v>365</v>
      </c>
      <c r="D132" s="41" t="s">
        <v>366</v>
      </c>
      <c r="E132" s="32">
        <v>42922</v>
      </c>
      <c r="F132" s="33">
        <v>15420520</v>
      </c>
      <c r="G132" s="34">
        <f t="shared" si="12"/>
        <v>22095000</v>
      </c>
      <c r="H132" s="33">
        <v>428704</v>
      </c>
      <c r="I132" s="33">
        <v>185046</v>
      </c>
      <c r="J132" s="29">
        <v>36</v>
      </c>
      <c r="K132" s="29">
        <v>28</v>
      </c>
      <c r="L132" s="36">
        <f t="shared" si="7"/>
        <v>613750</v>
      </c>
      <c r="M132" s="36">
        <f t="shared" si="8"/>
        <v>17185000</v>
      </c>
      <c r="N132" s="38">
        <f>F132-(H132*8)</f>
        <v>11990888</v>
      </c>
      <c r="O132" s="39" t="s">
        <v>367</v>
      </c>
      <c r="P132" s="39" t="s">
        <v>42</v>
      </c>
    </row>
    <row r="133" spans="1:16">
      <c r="A133" s="29">
        <f t="shared" si="9"/>
        <v>129</v>
      </c>
      <c r="B133" s="30" t="s">
        <v>368</v>
      </c>
      <c r="C133" s="31" t="s">
        <v>369</v>
      </c>
      <c r="D133" s="32"/>
      <c r="E133" s="32">
        <v>42594</v>
      </c>
      <c r="F133" s="43">
        <f>54875080+1371877+2574194+1951249+200000+35000000</f>
        <v>95972400</v>
      </c>
      <c r="G133" s="34">
        <f t="shared" si="12"/>
        <v>89460000</v>
      </c>
      <c r="H133" s="40">
        <v>1333331</v>
      </c>
      <c r="I133" s="33">
        <v>1151669</v>
      </c>
      <c r="J133" s="29">
        <v>36</v>
      </c>
      <c r="K133" s="29">
        <v>21</v>
      </c>
      <c r="L133" s="36">
        <f t="shared" ref="L133:L196" si="13">+H133+I133</f>
        <v>2485000</v>
      </c>
      <c r="M133" s="92">
        <f t="shared" ref="M133:M196" si="14">+K133*L133</f>
        <v>52185000</v>
      </c>
      <c r="N133" s="38">
        <f>F133-(H133*15)-901084-16000000-3812058</f>
        <v>55259293</v>
      </c>
      <c r="O133" s="39" t="s">
        <v>145</v>
      </c>
      <c r="P133" s="39" t="s">
        <v>370</v>
      </c>
    </row>
    <row r="134" spans="1:16">
      <c r="A134" s="29">
        <f t="shared" ref="A134:A197" si="15">+A133+1</f>
        <v>130</v>
      </c>
      <c r="B134" s="30" t="s">
        <v>368</v>
      </c>
      <c r="C134" s="31" t="s">
        <v>369</v>
      </c>
      <c r="D134" s="32"/>
      <c r="E134" s="32">
        <v>42601</v>
      </c>
      <c r="F134" s="43">
        <f>45000000+10000000+9000000+11000000+79027600</f>
        <v>154027600</v>
      </c>
      <c r="G134" s="34">
        <f t="shared" si="12"/>
        <v>144540000</v>
      </c>
      <c r="H134" s="40">
        <v>2166669</v>
      </c>
      <c r="I134" s="42">
        <f>1848331</f>
        <v>1848331</v>
      </c>
      <c r="J134" s="29">
        <v>36</v>
      </c>
      <c r="K134" s="29">
        <v>20</v>
      </c>
      <c r="L134" s="36">
        <f t="shared" si="13"/>
        <v>4015000</v>
      </c>
      <c r="M134" s="92">
        <f t="shared" si="14"/>
        <v>80300000</v>
      </c>
      <c r="N134" s="38">
        <f>F134-(H134*16)-5000000-901084-16000000-5000000</f>
        <v>92459812</v>
      </c>
      <c r="O134" s="39" t="s">
        <v>145</v>
      </c>
      <c r="P134" s="39" t="s">
        <v>371</v>
      </c>
    </row>
    <row r="135" spans="1:16">
      <c r="A135" s="29">
        <f t="shared" si="15"/>
        <v>131</v>
      </c>
      <c r="B135" s="30" t="s">
        <v>368</v>
      </c>
      <c r="C135" s="31" t="s">
        <v>369</v>
      </c>
      <c r="D135" s="32"/>
      <c r="E135" s="32">
        <v>42649</v>
      </c>
      <c r="F135" s="33">
        <f>2450000+1000000+24000</f>
        <v>3474000</v>
      </c>
      <c r="G135" s="34">
        <f t="shared" si="12"/>
        <v>4474512</v>
      </c>
      <c r="H135" s="33">
        <f>+F135/J135</f>
        <v>144750</v>
      </c>
      <c r="I135" s="33">
        <f>+F135*1.2%</f>
        <v>41688</v>
      </c>
      <c r="J135" s="29">
        <v>24</v>
      </c>
      <c r="K135" s="29">
        <v>9</v>
      </c>
      <c r="L135" s="36">
        <f t="shared" si="13"/>
        <v>186438</v>
      </c>
      <c r="M135" s="36">
        <f t="shared" si="14"/>
        <v>1677942</v>
      </c>
      <c r="N135" s="34">
        <f>+H135*K135</f>
        <v>1302750</v>
      </c>
      <c r="O135" s="39" t="s">
        <v>145</v>
      </c>
      <c r="P135" s="39" t="s">
        <v>372</v>
      </c>
    </row>
    <row r="136" spans="1:16">
      <c r="A136" s="29">
        <f t="shared" si="15"/>
        <v>132</v>
      </c>
      <c r="B136" s="30" t="s">
        <v>373</v>
      </c>
      <c r="C136" s="31" t="s">
        <v>374</v>
      </c>
      <c r="D136" s="41" t="s">
        <v>375</v>
      </c>
      <c r="E136" s="32">
        <v>42881</v>
      </c>
      <c r="F136" s="42">
        <f>29160000+729000+100000+200000+9811000</f>
        <v>40000000</v>
      </c>
      <c r="G136" s="34">
        <f t="shared" si="12"/>
        <v>28000000</v>
      </c>
      <c r="H136" s="35">
        <v>320000</v>
      </c>
      <c r="I136" s="33">
        <f>+F136*1.2%</f>
        <v>480000</v>
      </c>
      <c r="J136" s="29">
        <v>35</v>
      </c>
      <c r="K136" s="29">
        <v>26</v>
      </c>
      <c r="L136" s="36">
        <f t="shared" si="13"/>
        <v>800000</v>
      </c>
      <c r="M136" s="37">
        <f t="shared" si="14"/>
        <v>20800000</v>
      </c>
      <c r="N136" s="38">
        <f>F136-(H136*9)-2500000</f>
        <v>34620000</v>
      </c>
      <c r="O136" s="39" t="s">
        <v>63</v>
      </c>
      <c r="P136" s="39" t="s">
        <v>376</v>
      </c>
    </row>
    <row r="137" spans="1:16">
      <c r="A137" s="29">
        <f t="shared" si="15"/>
        <v>133</v>
      </c>
      <c r="B137" s="30" t="s">
        <v>373</v>
      </c>
      <c r="C137" s="31" t="s">
        <v>374</v>
      </c>
      <c r="D137" s="31" t="s">
        <v>377</v>
      </c>
      <c r="E137" s="32">
        <v>43109</v>
      </c>
      <c r="F137" s="43">
        <f>25000+2475000</f>
        <v>2500000</v>
      </c>
      <c r="G137" s="34">
        <f t="shared" si="12"/>
        <v>2800000</v>
      </c>
      <c r="H137" s="40">
        <f>+F137/J137</f>
        <v>250000</v>
      </c>
      <c r="I137" s="40">
        <f>+F137*1.2%</f>
        <v>30000</v>
      </c>
      <c r="J137" s="29">
        <v>10</v>
      </c>
      <c r="K137" s="29">
        <v>8</v>
      </c>
      <c r="L137" s="36">
        <f t="shared" si="13"/>
        <v>280000</v>
      </c>
      <c r="M137" s="37">
        <f t="shared" si="14"/>
        <v>2240000</v>
      </c>
      <c r="N137" s="34">
        <f>+H137*K137</f>
        <v>2000000</v>
      </c>
      <c r="O137" s="39" t="s">
        <v>378</v>
      </c>
      <c r="P137" s="39" t="s">
        <v>32</v>
      </c>
    </row>
    <row r="138" spans="1:16">
      <c r="A138" s="29">
        <f t="shared" si="15"/>
        <v>134</v>
      </c>
      <c r="B138" s="30" t="s">
        <v>379</v>
      </c>
      <c r="C138" s="31" t="s">
        <v>380</v>
      </c>
      <c r="D138" s="41" t="s">
        <v>381</v>
      </c>
      <c r="E138" s="32">
        <v>42879</v>
      </c>
      <c r="F138" s="42">
        <f>23332000+583300+333320+200000+40000000</f>
        <v>64448620</v>
      </c>
      <c r="G138" s="34">
        <f t="shared" si="12"/>
        <v>46550000</v>
      </c>
      <c r="H138" s="35">
        <v>556617</v>
      </c>
      <c r="I138" s="33">
        <v>773383</v>
      </c>
      <c r="J138" s="29">
        <v>35</v>
      </c>
      <c r="K138" s="29">
        <v>26</v>
      </c>
      <c r="L138" s="36">
        <f t="shared" si="13"/>
        <v>1330000</v>
      </c>
      <c r="M138" s="37">
        <f t="shared" si="14"/>
        <v>34580000</v>
      </c>
      <c r="N138" s="38">
        <f>F138-(H138*9)</f>
        <v>59439067</v>
      </c>
      <c r="O138" s="39" t="s">
        <v>382</v>
      </c>
      <c r="P138" s="39" t="s">
        <v>376</v>
      </c>
    </row>
    <row r="139" spans="1:16">
      <c r="A139" s="29">
        <f t="shared" si="15"/>
        <v>135</v>
      </c>
      <c r="B139" s="30" t="s">
        <v>383</v>
      </c>
      <c r="C139" s="31" t="s">
        <v>384</v>
      </c>
      <c r="D139" s="41" t="s">
        <v>385</v>
      </c>
      <c r="E139" s="32">
        <v>43033</v>
      </c>
      <c r="F139" s="42">
        <f>129442000+3236050+1000000+200000+100000000-116939025</f>
        <v>116939025</v>
      </c>
      <c r="G139" s="34">
        <f t="shared" si="12"/>
        <v>108737958</v>
      </c>
      <c r="H139" s="35">
        <v>1185731</v>
      </c>
      <c r="I139" s="35">
        <v>1403268</v>
      </c>
      <c r="J139" s="29">
        <v>42</v>
      </c>
      <c r="K139" s="29">
        <v>38</v>
      </c>
      <c r="L139" s="36">
        <f t="shared" si="13"/>
        <v>2588999</v>
      </c>
      <c r="M139" s="37">
        <f t="shared" si="14"/>
        <v>98381962</v>
      </c>
      <c r="N139" s="38">
        <f>F139-(H139*4)-1250000</f>
        <v>110946101</v>
      </c>
      <c r="O139" s="39" t="s">
        <v>59</v>
      </c>
      <c r="P139" s="39" t="s">
        <v>80</v>
      </c>
    </row>
    <row r="140" spans="1:16">
      <c r="A140" s="29">
        <f t="shared" si="15"/>
        <v>136</v>
      </c>
      <c r="B140" s="30" t="s">
        <v>383</v>
      </c>
      <c r="C140" s="31" t="s">
        <v>384</v>
      </c>
      <c r="D140" s="41" t="s">
        <v>385</v>
      </c>
      <c r="E140" s="32">
        <v>43033</v>
      </c>
      <c r="F140" s="42">
        <v>116939025</v>
      </c>
      <c r="G140" s="34">
        <f t="shared" si="12"/>
        <v>108738042</v>
      </c>
      <c r="H140" s="35">
        <v>1185732</v>
      </c>
      <c r="I140" s="35">
        <v>1403269</v>
      </c>
      <c r="J140" s="29">
        <v>42</v>
      </c>
      <c r="K140" s="29">
        <v>38</v>
      </c>
      <c r="L140" s="36">
        <f t="shared" si="13"/>
        <v>2589001</v>
      </c>
      <c r="M140" s="37">
        <f t="shared" si="14"/>
        <v>98382038</v>
      </c>
      <c r="N140" s="38">
        <f>F140-(H140*4)-1250000</f>
        <v>110946097</v>
      </c>
      <c r="O140" s="39" t="s">
        <v>59</v>
      </c>
      <c r="P140" s="39" t="s">
        <v>80</v>
      </c>
    </row>
    <row r="141" spans="1:16">
      <c r="A141" s="29">
        <f t="shared" si="15"/>
        <v>137</v>
      </c>
      <c r="B141" s="54" t="s">
        <v>386</v>
      </c>
      <c r="C141" s="55" t="s">
        <v>387</v>
      </c>
      <c r="D141" s="63"/>
      <c r="E141" s="63">
        <v>42586</v>
      </c>
      <c r="F141" s="68">
        <v>35143714</v>
      </c>
      <c r="G141" s="85">
        <f t="shared" si="12"/>
        <v>31850049</v>
      </c>
      <c r="H141" s="87">
        <v>228276</v>
      </c>
      <c r="I141" s="87">
        <v>421725</v>
      </c>
      <c r="J141" s="60">
        <v>49</v>
      </c>
      <c r="K141" s="60">
        <f>37+1</f>
        <v>38</v>
      </c>
      <c r="L141" s="36">
        <f t="shared" si="13"/>
        <v>650001</v>
      </c>
      <c r="M141" s="92">
        <f t="shared" si="14"/>
        <v>24700038</v>
      </c>
      <c r="N141" s="38">
        <f>F141-(H141*11)-500000-5000000-100000-500000</f>
        <v>26532678</v>
      </c>
      <c r="O141" s="39" t="s">
        <v>388</v>
      </c>
      <c r="P141" s="39" t="s">
        <v>389</v>
      </c>
    </row>
    <row r="142" spans="1:16">
      <c r="A142" s="29">
        <f t="shared" si="15"/>
        <v>138</v>
      </c>
      <c r="B142" s="54" t="s">
        <v>386</v>
      </c>
      <c r="C142" s="55" t="s">
        <v>387</v>
      </c>
      <c r="D142" s="63"/>
      <c r="E142" s="63">
        <v>42586</v>
      </c>
      <c r="F142" s="68">
        <f>1500000+60772468+1750000+2375000+1556812+327147+112500+693500+1000000+200000+0-35143714</f>
        <v>35143713</v>
      </c>
      <c r="G142" s="85">
        <f t="shared" si="12"/>
        <v>31849951</v>
      </c>
      <c r="H142" s="87">
        <v>228275</v>
      </c>
      <c r="I142" s="59">
        <v>421724</v>
      </c>
      <c r="J142" s="60">
        <v>49</v>
      </c>
      <c r="K142" s="60">
        <f>43+1</f>
        <v>44</v>
      </c>
      <c r="L142" s="36">
        <f t="shared" si="13"/>
        <v>649999</v>
      </c>
      <c r="M142" s="92">
        <f t="shared" si="14"/>
        <v>28599956</v>
      </c>
      <c r="N142" s="38">
        <f>F142-(H142*5)-500000-5000000-500000</f>
        <v>28002338</v>
      </c>
      <c r="O142" s="39" t="s">
        <v>388</v>
      </c>
      <c r="P142" s="39" t="s">
        <v>389</v>
      </c>
    </row>
    <row r="143" spans="1:16">
      <c r="A143" s="29">
        <f t="shared" si="15"/>
        <v>139</v>
      </c>
      <c r="B143" s="54" t="s">
        <v>386</v>
      </c>
      <c r="C143" s="55" t="s">
        <v>387</v>
      </c>
      <c r="D143" s="55" t="s">
        <v>390</v>
      </c>
      <c r="E143" s="63">
        <v>42825</v>
      </c>
      <c r="F143" s="68">
        <f>2500000</f>
        <v>2500000</v>
      </c>
      <c r="G143" s="68">
        <f t="shared" si="12"/>
        <v>3252000</v>
      </c>
      <c r="H143" s="68">
        <f>135500-I143</f>
        <v>105500</v>
      </c>
      <c r="I143" s="68">
        <f>+F143*1.2%</f>
        <v>30000</v>
      </c>
      <c r="J143" s="60">
        <v>24</v>
      </c>
      <c r="K143" s="60">
        <f>22+1</f>
        <v>23</v>
      </c>
      <c r="L143" s="71">
        <f t="shared" si="13"/>
        <v>135500</v>
      </c>
      <c r="M143" s="37">
        <f t="shared" si="14"/>
        <v>3116500</v>
      </c>
      <c r="N143" s="38">
        <f>F143-(H143*1)</f>
        <v>2394500</v>
      </c>
      <c r="O143" s="39" t="s">
        <v>391</v>
      </c>
      <c r="P143" s="39" t="s">
        <v>93</v>
      </c>
    </row>
    <row r="144" spans="1:16">
      <c r="A144" s="29">
        <f t="shared" si="15"/>
        <v>140</v>
      </c>
      <c r="B144" s="30" t="s">
        <v>392</v>
      </c>
      <c r="C144" s="31" t="s">
        <v>393</v>
      </c>
      <c r="D144" s="41" t="s">
        <v>394</v>
      </c>
      <c r="E144" s="32">
        <v>42853</v>
      </c>
      <c r="F144" s="42">
        <f>342194140+8554854+1000000+200000+100000000-225974497</f>
        <v>225974497</v>
      </c>
      <c r="G144" s="34">
        <f t="shared" si="12"/>
        <v>206400000</v>
      </c>
      <c r="H144" s="35">
        <v>1588306</v>
      </c>
      <c r="I144" s="33">
        <v>2711694</v>
      </c>
      <c r="J144" s="29">
        <v>48</v>
      </c>
      <c r="K144" s="29">
        <v>38</v>
      </c>
      <c r="L144" s="36">
        <f t="shared" si="13"/>
        <v>4300000</v>
      </c>
      <c r="M144" s="37">
        <f t="shared" si="14"/>
        <v>163400000</v>
      </c>
      <c r="N144" s="38">
        <f>F144-(H144*10)-6250000-6250000</f>
        <v>197591437</v>
      </c>
      <c r="O144" s="39" t="s">
        <v>395</v>
      </c>
      <c r="P144" s="39" t="s">
        <v>80</v>
      </c>
    </row>
    <row r="145" spans="1:16">
      <c r="A145" s="29">
        <f t="shared" si="15"/>
        <v>141</v>
      </c>
      <c r="B145" s="30" t="s">
        <v>392</v>
      </c>
      <c r="C145" s="31" t="s">
        <v>393</v>
      </c>
      <c r="D145" s="41" t="s">
        <v>394</v>
      </c>
      <c r="E145" s="32">
        <v>42853</v>
      </c>
      <c r="F145" s="42">
        <v>225974497</v>
      </c>
      <c r="G145" s="34">
        <f t="shared" si="12"/>
        <v>206400000</v>
      </c>
      <c r="H145" s="42">
        <v>1588306</v>
      </c>
      <c r="I145" s="42">
        <v>2711694</v>
      </c>
      <c r="J145" s="29">
        <v>48</v>
      </c>
      <c r="K145" s="29">
        <v>38</v>
      </c>
      <c r="L145" s="36">
        <f t="shared" si="13"/>
        <v>4300000</v>
      </c>
      <c r="M145" s="37">
        <f t="shared" si="14"/>
        <v>163400000</v>
      </c>
      <c r="N145" s="38">
        <f>F145-(H145*10)-6250000-6250000</f>
        <v>197591437</v>
      </c>
      <c r="O145" s="39" t="s">
        <v>395</v>
      </c>
      <c r="P145" s="39" t="s">
        <v>80</v>
      </c>
    </row>
    <row r="146" spans="1:16">
      <c r="A146" s="29">
        <f t="shared" si="15"/>
        <v>142</v>
      </c>
      <c r="B146" s="30" t="s">
        <v>392</v>
      </c>
      <c r="C146" s="31" t="s">
        <v>393</v>
      </c>
      <c r="D146" s="31" t="s">
        <v>396</v>
      </c>
      <c r="E146" s="32">
        <v>43052</v>
      </c>
      <c r="F146" s="43">
        <f>400000+39600000</f>
        <v>40000000</v>
      </c>
      <c r="G146" s="34">
        <f t="shared" si="12"/>
        <v>57312000</v>
      </c>
      <c r="H146" s="40">
        <v>1112000</v>
      </c>
      <c r="I146" s="40">
        <f>+F146*1.2%</f>
        <v>480000</v>
      </c>
      <c r="J146" s="29">
        <v>36</v>
      </c>
      <c r="K146" s="29">
        <v>32</v>
      </c>
      <c r="L146" s="36">
        <f t="shared" si="13"/>
        <v>1592000</v>
      </c>
      <c r="M146" s="37">
        <f t="shared" si="14"/>
        <v>50944000</v>
      </c>
      <c r="N146" s="38">
        <f>F146-(H146*4)</f>
        <v>35552000</v>
      </c>
      <c r="O146" s="39" t="s">
        <v>397</v>
      </c>
      <c r="P146" s="39" t="s">
        <v>123</v>
      </c>
    </row>
    <row r="147" spans="1:16">
      <c r="A147" s="29">
        <f t="shared" si="15"/>
        <v>143</v>
      </c>
      <c r="B147" s="30" t="s">
        <v>398</v>
      </c>
      <c r="C147" s="31" t="s">
        <v>393</v>
      </c>
      <c r="D147" s="31" t="s">
        <v>399</v>
      </c>
      <c r="E147" s="32">
        <v>43063</v>
      </c>
      <c r="F147" s="43">
        <f>100000+9900000</f>
        <v>10000000</v>
      </c>
      <c r="G147" s="34">
        <f t="shared" si="12"/>
        <v>12888000</v>
      </c>
      <c r="H147" s="35">
        <v>417000</v>
      </c>
      <c r="I147" s="35">
        <f>+F147*1.2%</f>
        <v>120000</v>
      </c>
      <c r="J147" s="29">
        <v>24</v>
      </c>
      <c r="K147" s="29">
        <v>21</v>
      </c>
      <c r="L147" s="36">
        <f t="shared" si="13"/>
        <v>537000</v>
      </c>
      <c r="M147" s="37">
        <f t="shared" si="14"/>
        <v>11277000</v>
      </c>
      <c r="N147" s="38">
        <f>F147-(H147*3)</f>
        <v>8749000</v>
      </c>
      <c r="O147" s="39" t="s">
        <v>397</v>
      </c>
      <c r="P147" s="39" t="s">
        <v>32</v>
      </c>
    </row>
    <row r="148" spans="1:16">
      <c r="A148" s="29">
        <f t="shared" si="15"/>
        <v>144</v>
      </c>
      <c r="B148" s="54" t="s">
        <v>400</v>
      </c>
      <c r="C148" s="55" t="s">
        <v>401</v>
      </c>
      <c r="D148" s="93"/>
      <c r="E148" s="93">
        <v>41473</v>
      </c>
      <c r="F148" s="94">
        <f>74510058+20528773+1862751+1102532+6000+590000+200000+35000000</f>
        <v>133800114</v>
      </c>
      <c r="G148" s="58">
        <f t="shared" si="12"/>
        <v>135263520</v>
      </c>
      <c r="H148" s="59">
        <v>273059</v>
      </c>
      <c r="I148" s="58">
        <v>1605601</v>
      </c>
      <c r="J148" s="95">
        <v>72</v>
      </c>
      <c r="K148" s="60">
        <f>62+1</f>
        <v>63</v>
      </c>
      <c r="L148" s="48">
        <f t="shared" si="13"/>
        <v>1878660</v>
      </c>
      <c r="M148" s="48">
        <f t="shared" si="14"/>
        <v>118355580</v>
      </c>
      <c r="N148" s="61">
        <f>F148-(H148*9)-(1139000)-(2500000)-(2500000)-(20000000)-(20000000)-(2512786)-1250000-750000-149091-3000000</f>
        <v>77541706</v>
      </c>
      <c r="O148" s="44" t="s">
        <v>402</v>
      </c>
      <c r="P148" s="44" t="s">
        <v>403</v>
      </c>
    </row>
    <row r="149" spans="1:16">
      <c r="A149" s="29">
        <f t="shared" si="15"/>
        <v>145</v>
      </c>
      <c r="B149" s="54" t="s">
        <v>400</v>
      </c>
      <c r="C149" s="55" t="s">
        <v>401</v>
      </c>
      <c r="D149" s="93"/>
      <c r="E149" s="93">
        <v>41474</v>
      </c>
      <c r="F149" s="94">
        <f>4000000+5000000+15000000</f>
        <v>24000000</v>
      </c>
      <c r="G149" s="58">
        <f t="shared" si="12"/>
        <v>44736480</v>
      </c>
      <c r="H149" s="59">
        <v>333340</v>
      </c>
      <c r="I149" s="58">
        <f>+F149*1.2%</f>
        <v>288000</v>
      </c>
      <c r="J149" s="95">
        <v>72</v>
      </c>
      <c r="K149" s="60">
        <f>63+1</f>
        <v>64</v>
      </c>
      <c r="L149" s="48">
        <f t="shared" si="13"/>
        <v>621340</v>
      </c>
      <c r="M149" s="48">
        <f t="shared" si="14"/>
        <v>39765760</v>
      </c>
      <c r="N149" s="61">
        <f>H149*K149-1250000</f>
        <v>20083760</v>
      </c>
      <c r="O149" s="44" t="s">
        <v>402</v>
      </c>
      <c r="P149" s="44" t="s">
        <v>403</v>
      </c>
    </row>
    <row r="150" spans="1:16">
      <c r="A150" s="29">
        <f t="shared" si="15"/>
        <v>146</v>
      </c>
      <c r="B150" s="30" t="s">
        <v>404</v>
      </c>
      <c r="C150" s="31" t="s">
        <v>405</v>
      </c>
      <c r="D150" s="41" t="s">
        <v>406</v>
      </c>
      <c r="E150" s="32">
        <v>42879</v>
      </c>
      <c r="F150" s="42">
        <f>2896800+19864883+569042+121750+200000+12175000</f>
        <v>35827475</v>
      </c>
      <c r="G150" s="34">
        <f t="shared" si="12"/>
        <v>51336000</v>
      </c>
      <c r="H150" s="35">
        <v>996070</v>
      </c>
      <c r="I150" s="33">
        <v>429930</v>
      </c>
      <c r="J150" s="29">
        <v>36</v>
      </c>
      <c r="K150" s="29">
        <v>27</v>
      </c>
      <c r="L150" s="36">
        <f t="shared" si="13"/>
        <v>1426000</v>
      </c>
      <c r="M150" s="37">
        <f t="shared" si="14"/>
        <v>38502000</v>
      </c>
      <c r="N150" s="38">
        <f>F150-(H150*9)</f>
        <v>26862845</v>
      </c>
      <c r="O150" s="39" t="s">
        <v>397</v>
      </c>
      <c r="P150" s="39" t="s">
        <v>376</v>
      </c>
    </row>
    <row r="151" spans="1:16">
      <c r="A151" s="29">
        <f t="shared" si="15"/>
        <v>147</v>
      </c>
      <c r="B151" s="30" t="s">
        <v>407</v>
      </c>
      <c r="C151" s="31" t="s">
        <v>408</v>
      </c>
      <c r="D151" s="31" t="s">
        <v>409</v>
      </c>
      <c r="E151" s="32">
        <v>42881</v>
      </c>
      <c r="F151" s="33">
        <f>2914952+106546675+2736541+200000-56199084</f>
        <v>56199084</v>
      </c>
      <c r="G151" s="34">
        <f t="shared" si="12"/>
        <v>50499000</v>
      </c>
      <c r="H151" s="35">
        <v>728361</v>
      </c>
      <c r="I151" s="33">
        <v>674389</v>
      </c>
      <c r="J151" s="29">
        <v>36</v>
      </c>
      <c r="K151" s="29">
        <v>27</v>
      </c>
      <c r="L151" s="36">
        <f t="shared" si="13"/>
        <v>1402750</v>
      </c>
      <c r="M151" s="37">
        <f t="shared" si="14"/>
        <v>37874250</v>
      </c>
      <c r="N151" s="38">
        <f>F151-(H151*9)-1250000-1250000</f>
        <v>47143835</v>
      </c>
      <c r="O151" s="39" t="s">
        <v>143</v>
      </c>
      <c r="P151" s="39" t="s">
        <v>136</v>
      </c>
    </row>
    <row r="152" spans="1:16">
      <c r="A152" s="29">
        <f t="shared" si="15"/>
        <v>148</v>
      </c>
      <c r="B152" s="30" t="s">
        <v>407</v>
      </c>
      <c r="C152" s="31" t="s">
        <v>408</v>
      </c>
      <c r="D152" s="31" t="s">
        <v>409</v>
      </c>
      <c r="E152" s="32">
        <v>42881</v>
      </c>
      <c r="F152" s="42">
        <v>56199084</v>
      </c>
      <c r="G152" s="34">
        <f t="shared" si="12"/>
        <v>50499000</v>
      </c>
      <c r="H152" s="42">
        <v>728361</v>
      </c>
      <c r="I152" s="42">
        <v>674389</v>
      </c>
      <c r="J152" s="29">
        <v>36</v>
      </c>
      <c r="K152" s="29">
        <v>27</v>
      </c>
      <c r="L152" s="36">
        <f t="shared" si="13"/>
        <v>1402750</v>
      </c>
      <c r="M152" s="37">
        <f t="shared" si="14"/>
        <v>37874250</v>
      </c>
      <c r="N152" s="38">
        <f>F152-(H152*9)-1250000-1250000</f>
        <v>47143835</v>
      </c>
      <c r="O152" s="39" t="s">
        <v>143</v>
      </c>
      <c r="P152" s="39" t="s">
        <v>136</v>
      </c>
    </row>
    <row r="153" spans="1:16">
      <c r="A153" s="29">
        <f t="shared" si="15"/>
        <v>149</v>
      </c>
      <c r="B153" s="30" t="s">
        <v>407</v>
      </c>
      <c r="C153" s="31" t="s">
        <v>408</v>
      </c>
      <c r="D153" s="31" t="s">
        <v>410</v>
      </c>
      <c r="E153" s="32">
        <v>43007</v>
      </c>
      <c r="F153" s="43">
        <f>603160+15079+60000+5321761</f>
        <v>6000000</v>
      </c>
      <c r="G153" s="34">
        <f t="shared" si="12"/>
        <v>8604000</v>
      </c>
      <c r="H153" s="35">
        <v>167000</v>
      </c>
      <c r="I153" s="35">
        <f>+F153*1.2%</f>
        <v>72000</v>
      </c>
      <c r="J153" s="29">
        <v>36</v>
      </c>
      <c r="K153" s="29">
        <v>31</v>
      </c>
      <c r="L153" s="36">
        <f t="shared" si="13"/>
        <v>239000</v>
      </c>
      <c r="M153" s="37">
        <f t="shared" si="14"/>
        <v>7409000</v>
      </c>
      <c r="N153" s="38">
        <f>F153-(H153*5)</f>
        <v>5165000</v>
      </c>
      <c r="O153" s="44" t="s">
        <v>411</v>
      </c>
      <c r="P153" s="39" t="s">
        <v>30</v>
      </c>
    </row>
    <row r="154" spans="1:16">
      <c r="A154" s="29">
        <f t="shared" si="15"/>
        <v>150</v>
      </c>
      <c r="B154" s="30" t="s">
        <v>412</v>
      </c>
      <c r="C154" s="31" t="s">
        <v>413</v>
      </c>
      <c r="D154" s="32"/>
      <c r="E154" s="32">
        <v>42248</v>
      </c>
      <c r="F154" s="33">
        <f>1200000+200000+148600000</f>
        <v>150000000</v>
      </c>
      <c r="G154" s="72">
        <f t="shared" si="12"/>
        <v>66496000</v>
      </c>
      <c r="H154" s="33">
        <v>278000</v>
      </c>
      <c r="I154" s="48">
        <f>F154*1.2%</f>
        <v>1800000</v>
      </c>
      <c r="J154" s="29">
        <v>32</v>
      </c>
      <c r="K154" s="29">
        <v>2</v>
      </c>
      <c r="L154" s="33">
        <f t="shared" si="13"/>
        <v>2078000</v>
      </c>
      <c r="M154" s="33">
        <f t="shared" si="14"/>
        <v>4156000</v>
      </c>
      <c r="N154" s="50">
        <f>F154-(H154*30)-50000000-45000000</f>
        <v>46660000</v>
      </c>
      <c r="O154" s="39" t="s">
        <v>414</v>
      </c>
      <c r="P154" s="39" t="s">
        <v>51</v>
      </c>
    </row>
    <row r="155" spans="1:16">
      <c r="A155" s="29">
        <f t="shared" si="15"/>
        <v>151</v>
      </c>
      <c r="B155" s="30" t="s">
        <v>415</v>
      </c>
      <c r="C155" s="31" t="s">
        <v>416</v>
      </c>
      <c r="D155" s="32"/>
      <c r="E155" s="32">
        <v>42502</v>
      </c>
      <c r="F155" s="42">
        <f>17499000+437475+222968+200000+200000+31440557-25000000</f>
        <v>25000000</v>
      </c>
      <c r="G155" s="48">
        <f t="shared" si="12"/>
        <v>23301000</v>
      </c>
      <c r="H155" s="42">
        <v>347250</v>
      </c>
      <c r="I155" s="48">
        <f>+F155*1.2%</f>
        <v>300000</v>
      </c>
      <c r="J155" s="29">
        <v>36</v>
      </c>
      <c r="K155" s="29">
        <v>14</v>
      </c>
      <c r="L155" s="33">
        <f t="shared" si="13"/>
        <v>647250</v>
      </c>
      <c r="M155" s="33">
        <f t="shared" si="14"/>
        <v>9061500</v>
      </c>
      <c r="N155" s="70">
        <f>F155-(H155*22)-1250000-1250000-2500000-1250000-1250000</f>
        <v>9860500</v>
      </c>
      <c r="O155" s="39" t="s">
        <v>417</v>
      </c>
      <c r="P155" s="39" t="s">
        <v>75</v>
      </c>
    </row>
    <row r="156" spans="1:16">
      <c r="A156" s="29">
        <f t="shared" si="15"/>
        <v>152</v>
      </c>
      <c r="B156" s="30" t="s">
        <v>415</v>
      </c>
      <c r="C156" s="31" t="s">
        <v>416</v>
      </c>
      <c r="D156" s="32"/>
      <c r="E156" s="32">
        <v>42502</v>
      </c>
      <c r="F156" s="42">
        <v>25000000</v>
      </c>
      <c r="G156" s="48">
        <f t="shared" si="12"/>
        <v>23301000</v>
      </c>
      <c r="H156" s="42">
        <v>347250</v>
      </c>
      <c r="I156" s="48">
        <f>+F156*1.2%</f>
        <v>300000</v>
      </c>
      <c r="J156" s="29">
        <v>36</v>
      </c>
      <c r="K156" s="29">
        <v>14</v>
      </c>
      <c r="L156" s="33">
        <f t="shared" si="13"/>
        <v>647250</v>
      </c>
      <c r="M156" s="33">
        <f t="shared" si="14"/>
        <v>9061500</v>
      </c>
      <c r="N156" s="70">
        <f>F156-(H156*22)-1250000-1250000-2500000-1250000-1250000</f>
        <v>9860500</v>
      </c>
      <c r="O156" s="39" t="s">
        <v>417</v>
      </c>
      <c r="P156" s="39" t="s">
        <v>75</v>
      </c>
    </row>
    <row r="157" spans="1:16">
      <c r="A157" s="29">
        <f t="shared" si="15"/>
        <v>153</v>
      </c>
      <c r="B157" s="30" t="s">
        <v>418</v>
      </c>
      <c r="C157" s="31" t="s">
        <v>419</v>
      </c>
      <c r="D157" s="32"/>
      <c r="E157" s="32">
        <v>42608</v>
      </c>
      <c r="F157" s="33">
        <f>35643122+891078+1010000+200000+50000000+6000000+35000000+10000000</f>
        <v>138744200</v>
      </c>
      <c r="G157" s="34">
        <f t="shared" si="12"/>
        <v>100576000</v>
      </c>
      <c r="H157" s="35">
        <v>1927070</v>
      </c>
      <c r="I157" s="35">
        <v>1664930</v>
      </c>
      <c r="J157" s="29">
        <v>28</v>
      </c>
      <c r="K157" s="29">
        <v>10</v>
      </c>
      <c r="L157" s="36">
        <f t="shared" si="13"/>
        <v>3592000</v>
      </c>
      <c r="M157" s="36">
        <f t="shared" si="14"/>
        <v>35920000</v>
      </c>
      <c r="N157" s="38">
        <f>F157-(H157*18)-5000000-35000000-5000000</f>
        <v>59056940</v>
      </c>
      <c r="O157" s="39" t="s">
        <v>67</v>
      </c>
      <c r="P157" s="39" t="s">
        <v>144</v>
      </c>
    </row>
    <row r="158" spans="1:16">
      <c r="A158" s="29">
        <f t="shared" si="15"/>
        <v>154</v>
      </c>
      <c r="B158" s="33" t="s">
        <v>420</v>
      </c>
      <c r="C158" s="73" t="s">
        <v>421</v>
      </c>
      <c r="D158" s="32"/>
      <c r="E158" s="32">
        <v>41907</v>
      </c>
      <c r="F158" s="48">
        <f>3333400+314788333+7953043+1000000+200000+101150000</f>
        <v>428424776</v>
      </c>
      <c r="G158" s="72">
        <f t="shared" si="12"/>
        <v>396000000</v>
      </c>
      <c r="H158" s="33">
        <v>358903</v>
      </c>
      <c r="I158" s="48">
        <v>5141097</v>
      </c>
      <c r="J158" s="29">
        <v>72</v>
      </c>
      <c r="K158" s="29">
        <v>31</v>
      </c>
      <c r="L158" s="48">
        <f t="shared" si="13"/>
        <v>5500000</v>
      </c>
      <c r="M158" s="48">
        <f t="shared" si="14"/>
        <v>170500000</v>
      </c>
      <c r="N158" s="50">
        <f>F158-(H158*41)-(5000000)-(40000000)-(5000000)-5000000-40000000-5000000-5000000-40000000-5000000-5000000</f>
        <v>258709753</v>
      </c>
      <c r="O158" s="52" t="s">
        <v>422</v>
      </c>
      <c r="P158" s="52" t="s">
        <v>30</v>
      </c>
    </row>
    <row r="159" spans="1:16">
      <c r="A159" s="29">
        <f t="shared" si="15"/>
        <v>155</v>
      </c>
      <c r="B159" s="30" t="s">
        <v>420</v>
      </c>
      <c r="C159" s="31" t="s">
        <v>421</v>
      </c>
      <c r="D159" s="32"/>
      <c r="E159" s="32">
        <v>42500</v>
      </c>
      <c r="F159" s="33">
        <f>64589475+1614737+492281+104105+200000+7999402</f>
        <v>75000000</v>
      </c>
      <c r="G159" s="48">
        <f t="shared" si="12"/>
        <v>82000000</v>
      </c>
      <c r="H159" s="33">
        <v>1100000</v>
      </c>
      <c r="I159" s="48">
        <f>+F159*1.2%</f>
        <v>900000</v>
      </c>
      <c r="J159" s="29">
        <v>41</v>
      </c>
      <c r="K159" s="29">
        <v>19</v>
      </c>
      <c r="L159" s="33">
        <f t="shared" si="13"/>
        <v>2000000</v>
      </c>
      <c r="M159" s="33">
        <f t="shared" si="14"/>
        <v>38000000</v>
      </c>
      <c r="N159" s="70">
        <f>F159-(H159*22)-10150000</f>
        <v>40650000</v>
      </c>
      <c r="O159" s="39" t="s">
        <v>422</v>
      </c>
      <c r="P159" s="39" t="s">
        <v>75</v>
      </c>
    </row>
    <row r="160" spans="1:16">
      <c r="A160" s="29">
        <f t="shared" si="15"/>
        <v>156</v>
      </c>
      <c r="B160" s="30" t="s">
        <v>423</v>
      </c>
      <c r="C160" s="31" t="s">
        <v>424</v>
      </c>
      <c r="D160" s="32"/>
      <c r="E160" s="32">
        <v>42247</v>
      </c>
      <c r="F160" s="33">
        <f>2500000+62500+50000+200000+17187500</f>
        <v>20000000</v>
      </c>
      <c r="G160" s="72">
        <f t="shared" si="12"/>
        <v>28641600</v>
      </c>
      <c r="H160" s="33">
        <v>555600</v>
      </c>
      <c r="I160" s="48">
        <f>F160*1.2%</f>
        <v>240000</v>
      </c>
      <c r="J160" s="29">
        <v>36</v>
      </c>
      <c r="K160" s="29">
        <v>6</v>
      </c>
      <c r="L160" s="33">
        <f t="shared" si="13"/>
        <v>795600</v>
      </c>
      <c r="M160" s="33">
        <f t="shared" si="14"/>
        <v>4773600</v>
      </c>
      <c r="N160" s="50">
        <f>F160-(H160*30)</f>
        <v>3332000</v>
      </c>
      <c r="O160" s="39" t="s">
        <v>425</v>
      </c>
      <c r="P160" s="39" t="s">
        <v>85</v>
      </c>
    </row>
    <row r="161" spans="1:16">
      <c r="A161" s="29">
        <f t="shared" si="15"/>
        <v>157</v>
      </c>
      <c r="B161" s="30" t="s">
        <v>426</v>
      </c>
      <c r="C161" s="31" t="s">
        <v>427</v>
      </c>
      <c r="D161" s="32"/>
      <c r="E161" s="32">
        <v>42669</v>
      </c>
      <c r="F161" s="33">
        <f>50003200+1250080+999968+200000+97546752-75000000</f>
        <v>75000000</v>
      </c>
      <c r="G161" s="34">
        <f t="shared" si="12"/>
        <v>69912000</v>
      </c>
      <c r="H161" s="33">
        <v>1042000</v>
      </c>
      <c r="I161" s="33">
        <f>+F161*1.2%</f>
        <v>900000</v>
      </c>
      <c r="J161" s="29">
        <v>36</v>
      </c>
      <c r="K161" s="29">
        <v>20</v>
      </c>
      <c r="L161" s="36">
        <f t="shared" si="13"/>
        <v>1942000</v>
      </c>
      <c r="M161" s="36">
        <f t="shared" si="14"/>
        <v>38840000</v>
      </c>
      <c r="N161" s="38">
        <f>F161-(H161*16)-1500000-10000000-1000000-1500000</f>
        <v>44328000</v>
      </c>
      <c r="O161" s="39" t="s">
        <v>428</v>
      </c>
      <c r="P161" s="39" t="s">
        <v>75</v>
      </c>
    </row>
    <row r="162" spans="1:16">
      <c r="A162" s="29">
        <f t="shared" si="15"/>
        <v>158</v>
      </c>
      <c r="B162" s="30" t="s">
        <v>426</v>
      </c>
      <c r="C162" s="31" t="s">
        <v>427</v>
      </c>
      <c r="D162" s="32"/>
      <c r="E162" s="32">
        <v>42669</v>
      </c>
      <c r="F162" s="33">
        <v>75000000</v>
      </c>
      <c r="G162" s="34">
        <f t="shared" si="12"/>
        <v>69912000</v>
      </c>
      <c r="H162" s="33">
        <v>1042000</v>
      </c>
      <c r="I162" s="33">
        <f>+F162*1.2%</f>
        <v>900000</v>
      </c>
      <c r="J162" s="29">
        <v>36</v>
      </c>
      <c r="K162" s="29">
        <v>20</v>
      </c>
      <c r="L162" s="36">
        <f t="shared" si="13"/>
        <v>1942000</v>
      </c>
      <c r="M162" s="36">
        <f t="shared" si="14"/>
        <v>38840000</v>
      </c>
      <c r="N162" s="38">
        <f>F162-(H162*16)-1500000-10000000-1000000-1500000</f>
        <v>44328000</v>
      </c>
      <c r="O162" s="39" t="s">
        <v>428</v>
      </c>
      <c r="P162" s="39" t="s">
        <v>75</v>
      </c>
    </row>
    <row r="163" spans="1:16">
      <c r="A163" s="29">
        <f t="shared" si="15"/>
        <v>159</v>
      </c>
      <c r="B163" s="30" t="s">
        <v>429</v>
      </c>
      <c r="C163" s="31" t="s">
        <v>427</v>
      </c>
      <c r="D163" s="41" t="s">
        <v>430</v>
      </c>
      <c r="E163" s="32">
        <v>42675</v>
      </c>
      <c r="F163" s="96">
        <f>1450000+1000000+24000</f>
        <v>2474000</v>
      </c>
      <c r="G163" s="34">
        <f t="shared" si="12"/>
        <v>3067760</v>
      </c>
      <c r="H163" s="33">
        <f>+F163/J163</f>
        <v>123700</v>
      </c>
      <c r="I163" s="33">
        <f>+F163*1.2%</f>
        <v>29688</v>
      </c>
      <c r="J163" s="29">
        <v>20</v>
      </c>
      <c r="K163" s="29">
        <v>4</v>
      </c>
      <c r="L163" s="36">
        <f t="shared" si="13"/>
        <v>153388</v>
      </c>
      <c r="M163" s="36">
        <f t="shared" si="14"/>
        <v>613552</v>
      </c>
      <c r="N163" s="34">
        <f>+H163*K163</f>
        <v>494800</v>
      </c>
      <c r="O163" s="39" t="s">
        <v>431</v>
      </c>
      <c r="P163" s="39" t="s">
        <v>432</v>
      </c>
    </row>
    <row r="164" spans="1:16">
      <c r="A164" s="29">
        <f t="shared" si="15"/>
        <v>160</v>
      </c>
      <c r="B164" s="30" t="s">
        <v>433</v>
      </c>
      <c r="C164" s="31" t="s">
        <v>434</v>
      </c>
      <c r="D164" s="41" t="s">
        <v>435</v>
      </c>
      <c r="E164" s="32">
        <v>42881</v>
      </c>
      <c r="F164" s="42">
        <f>33260500+831513+167395+200000+15540592-25000000</f>
        <v>25000000</v>
      </c>
      <c r="G164" s="34">
        <f t="shared" si="12"/>
        <v>22671250</v>
      </c>
      <c r="H164" s="35">
        <v>347750</v>
      </c>
      <c r="I164" s="33">
        <f>+F164*1.2%</f>
        <v>300000</v>
      </c>
      <c r="J164" s="29">
        <v>35</v>
      </c>
      <c r="K164" s="29">
        <v>26</v>
      </c>
      <c r="L164" s="36">
        <f t="shared" si="13"/>
        <v>647750</v>
      </c>
      <c r="M164" s="37">
        <f t="shared" si="14"/>
        <v>16841500</v>
      </c>
      <c r="N164" s="38">
        <f>F164-(H164*9)-1250000-1250000</f>
        <v>19370250</v>
      </c>
      <c r="O164" s="39" t="s">
        <v>436</v>
      </c>
      <c r="P164" s="39" t="s">
        <v>376</v>
      </c>
    </row>
    <row r="165" spans="1:16">
      <c r="A165" s="29">
        <f t="shared" si="15"/>
        <v>161</v>
      </c>
      <c r="B165" s="30" t="s">
        <v>433</v>
      </c>
      <c r="C165" s="31" t="s">
        <v>434</v>
      </c>
      <c r="D165" s="41" t="s">
        <v>435</v>
      </c>
      <c r="E165" s="32">
        <v>42881</v>
      </c>
      <c r="F165" s="42">
        <v>25000000</v>
      </c>
      <c r="G165" s="34">
        <f t="shared" si="12"/>
        <v>22671250</v>
      </c>
      <c r="H165" s="35">
        <v>347750</v>
      </c>
      <c r="I165" s="33">
        <f>+F165*1.2%</f>
        <v>300000</v>
      </c>
      <c r="J165" s="29">
        <v>35</v>
      </c>
      <c r="K165" s="29">
        <v>26</v>
      </c>
      <c r="L165" s="36">
        <f t="shared" si="13"/>
        <v>647750</v>
      </c>
      <c r="M165" s="37">
        <f t="shared" si="14"/>
        <v>16841500</v>
      </c>
      <c r="N165" s="38">
        <f>F165-(H165*9)-1250000-1250000</f>
        <v>19370250</v>
      </c>
      <c r="O165" s="39" t="s">
        <v>436</v>
      </c>
      <c r="P165" s="39" t="s">
        <v>376</v>
      </c>
    </row>
    <row r="166" spans="1:16">
      <c r="A166" s="29">
        <f t="shared" si="15"/>
        <v>162</v>
      </c>
      <c r="B166" s="30" t="s">
        <v>437</v>
      </c>
      <c r="C166" s="31" t="s">
        <v>438</v>
      </c>
      <c r="D166" s="32"/>
      <c r="E166" s="32">
        <v>42163</v>
      </c>
      <c r="F166" s="48">
        <f>3922125+77900000+2045553+876234+250000+200000+25000000</f>
        <v>110193912</v>
      </c>
      <c r="G166" s="72">
        <f t="shared" si="12"/>
        <v>47065445</v>
      </c>
      <c r="H166" s="33">
        <v>22400</v>
      </c>
      <c r="I166" s="48">
        <v>1322327</v>
      </c>
      <c r="J166" s="29">
        <v>35</v>
      </c>
      <c r="K166" s="29">
        <v>2</v>
      </c>
      <c r="L166" s="33">
        <f t="shared" si="13"/>
        <v>1344727</v>
      </c>
      <c r="M166" s="33">
        <f t="shared" si="14"/>
        <v>2689454</v>
      </c>
      <c r="N166" s="50">
        <f>F166-(H166*33)-(6000000)-6000000-25000000-6000000-6000000-25000000-6000000-6000000</f>
        <v>23454712</v>
      </c>
      <c r="O166" s="62" t="s">
        <v>439</v>
      </c>
      <c r="P166" s="65" t="s">
        <v>75</v>
      </c>
    </row>
    <row r="167" spans="1:16">
      <c r="A167" s="29">
        <f t="shared" si="15"/>
        <v>163</v>
      </c>
      <c r="B167" s="33" t="s">
        <v>440</v>
      </c>
      <c r="C167" s="73" t="s">
        <v>441</v>
      </c>
      <c r="D167" s="32"/>
      <c r="E167" s="32">
        <v>42151</v>
      </c>
      <c r="F167" s="48">
        <f>16250000+406250+200000+200000+32943750</f>
        <v>50000000</v>
      </c>
      <c r="G167" s="72">
        <f t="shared" si="12"/>
        <v>49191000</v>
      </c>
      <c r="H167" s="33">
        <v>694500</v>
      </c>
      <c r="I167" s="48">
        <f>+F167*1.2%</f>
        <v>600000</v>
      </c>
      <c r="J167" s="29">
        <v>38</v>
      </c>
      <c r="K167" s="29">
        <v>5</v>
      </c>
      <c r="L167" s="33">
        <f t="shared" si="13"/>
        <v>1294500</v>
      </c>
      <c r="M167" s="33">
        <f t="shared" si="14"/>
        <v>6472500</v>
      </c>
      <c r="N167" s="50">
        <f>F167-(H167*33)-8000000-8000000</f>
        <v>11081500</v>
      </c>
      <c r="O167" s="52" t="s">
        <v>417</v>
      </c>
      <c r="P167" s="52" t="s">
        <v>85</v>
      </c>
    </row>
    <row r="168" spans="1:16">
      <c r="A168" s="29">
        <f t="shared" si="15"/>
        <v>164</v>
      </c>
      <c r="B168" s="30" t="s">
        <v>442</v>
      </c>
      <c r="C168" s="31" t="s">
        <v>443</v>
      </c>
      <c r="D168" s="31" t="s">
        <v>444</v>
      </c>
      <c r="E168" s="32">
        <v>42864</v>
      </c>
      <c r="F168" s="33">
        <f>31666000+791650+313548+183340+200000+16845462</f>
        <v>50000000</v>
      </c>
      <c r="G168" s="34">
        <f t="shared" si="12"/>
        <v>46602000</v>
      </c>
      <c r="H168" s="35">
        <v>694500</v>
      </c>
      <c r="I168" s="33">
        <f>+F168*1.2%</f>
        <v>600000</v>
      </c>
      <c r="J168" s="29">
        <v>36</v>
      </c>
      <c r="K168" s="29">
        <v>26</v>
      </c>
      <c r="L168" s="36">
        <f t="shared" si="13"/>
        <v>1294500</v>
      </c>
      <c r="M168" s="37">
        <f t="shared" si="14"/>
        <v>33657000</v>
      </c>
      <c r="N168" s="38">
        <f>F168-(H168*10)</f>
        <v>43055000</v>
      </c>
      <c r="O168" s="39" t="s">
        <v>367</v>
      </c>
      <c r="P168" s="39" t="s">
        <v>80</v>
      </c>
    </row>
    <row r="169" spans="1:16">
      <c r="A169" s="29">
        <f t="shared" si="15"/>
        <v>165</v>
      </c>
      <c r="B169" s="30" t="s">
        <v>445</v>
      </c>
      <c r="C169" s="31" t="s">
        <v>446</v>
      </c>
      <c r="D169" s="41" t="s">
        <v>447</v>
      </c>
      <c r="E169" s="32">
        <v>43013</v>
      </c>
      <c r="F169" s="42">
        <f>240331538+99000+246500+50000000+10000000+200000+0-150438519</f>
        <v>150438519</v>
      </c>
      <c r="G169" s="34">
        <f t="shared" si="12"/>
        <v>86000000</v>
      </c>
      <c r="H169" s="35">
        <v>194738</v>
      </c>
      <c r="I169" s="35">
        <v>1805262</v>
      </c>
      <c r="J169" s="29">
        <v>43</v>
      </c>
      <c r="K169" s="29">
        <v>38</v>
      </c>
      <c r="L169" s="36">
        <f t="shared" si="13"/>
        <v>2000000</v>
      </c>
      <c r="M169" s="37">
        <f t="shared" si="14"/>
        <v>76000000</v>
      </c>
      <c r="N169" s="38">
        <f>F169-(H169*5)-3750000</f>
        <v>145714829</v>
      </c>
      <c r="O169" s="39" t="s">
        <v>436</v>
      </c>
      <c r="P169" s="39" t="s">
        <v>239</v>
      </c>
    </row>
    <row r="170" spans="1:16">
      <c r="A170" s="29">
        <f t="shared" si="15"/>
        <v>166</v>
      </c>
      <c r="B170" s="30" t="s">
        <v>445</v>
      </c>
      <c r="C170" s="31" t="s">
        <v>446</v>
      </c>
      <c r="D170" s="41" t="s">
        <v>447</v>
      </c>
      <c r="E170" s="32">
        <v>43013</v>
      </c>
      <c r="F170" s="42">
        <v>150438519</v>
      </c>
      <c r="G170" s="34">
        <f t="shared" si="12"/>
        <v>86000000</v>
      </c>
      <c r="H170" s="42">
        <v>194738</v>
      </c>
      <c r="I170" s="42">
        <v>1805262</v>
      </c>
      <c r="J170" s="29">
        <v>43</v>
      </c>
      <c r="K170" s="29">
        <v>38</v>
      </c>
      <c r="L170" s="36">
        <f t="shared" si="13"/>
        <v>2000000</v>
      </c>
      <c r="M170" s="37">
        <f t="shared" si="14"/>
        <v>76000000</v>
      </c>
      <c r="N170" s="38">
        <f>F170-(H170*5)-3750000</f>
        <v>145714829</v>
      </c>
      <c r="O170" s="39" t="s">
        <v>436</v>
      </c>
      <c r="P170" s="39" t="s">
        <v>239</v>
      </c>
    </row>
    <row r="171" spans="1:16">
      <c r="A171" s="29">
        <f t="shared" si="15"/>
        <v>167</v>
      </c>
      <c r="B171" s="30" t="s">
        <v>448</v>
      </c>
      <c r="C171" s="31" t="s">
        <v>449</v>
      </c>
      <c r="D171" s="32"/>
      <c r="E171" s="32">
        <v>42639</v>
      </c>
      <c r="F171" s="33">
        <f>400000000+200000+0</f>
        <v>400200000</v>
      </c>
      <c r="G171" s="34">
        <f t="shared" si="12"/>
        <v>469000000</v>
      </c>
      <c r="H171" s="33">
        <v>2197600</v>
      </c>
      <c r="I171" s="33">
        <f>+F171*1.2%</f>
        <v>4802400</v>
      </c>
      <c r="J171" s="29">
        <v>67</v>
      </c>
      <c r="K171" s="29">
        <v>50</v>
      </c>
      <c r="L171" s="36">
        <f t="shared" si="13"/>
        <v>7000000</v>
      </c>
      <c r="M171" s="36">
        <f t="shared" si="14"/>
        <v>350000000</v>
      </c>
      <c r="N171" s="38">
        <f>F171-(H171*17)-50000000</f>
        <v>312840800</v>
      </c>
      <c r="O171" s="39" t="s">
        <v>450</v>
      </c>
      <c r="P171" s="39" t="s">
        <v>451</v>
      </c>
    </row>
    <row r="172" spans="1:16">
      <c r="A172" s="29">
        <f t="shared" si="15"/>
        <v>168</v>
      </c>
      <c r="B172" s="30" t="s">
        <v>452</v>
      </c>
      <c r="C172" s="31" t="s">
        <v>453</v>
      </c>
      <c r="D172" s="32"/>
      <c r="E172" s="32">
        <v>42587</v>
      </c>
      <c r="F172" s="42">
        <f>400000+200000+69400000</f>
        <v>70000000</v>
      </c>
      <c r="G172" s="34">
        <f t="shared" si="12"/>
        <v>25200000</v>
      </c>
      <c r="H172" s="40">
        <v>360000</v>
      </c>
      <c r="I172" s="42">
        <f>+F172*1.2%</f>
        <v>840000</v>
      </c>
      <c r="J172" s="29">
        <v>21</v>
      </c>
      <c r="K172" s="29">
        <v>2</v>
      </c>
      <c r="L172" s="36">
        <f t="shared" si="13"/>
        <v>1200000</v>
      </c>
      <c r="M172" s="92">
        <f t="shared" si="14"/>
        <v>2400000</v>
      </c>
      <c r="N172" s="38">
        <f>F172-(H172*19)-5000000-20000000-10000000-5000000</f>
        <v>23160000</v>
      </c>
      <c r="O172" s="39" t="s">
        <v>454</v>
      </c>
      <c r="P172" s="39" t="s">
        <v>455</v>
      </c>
    </row>
    <row r="173" spans="1:16">
      <c r="A173" s="29">
        <f t="shared" si="15"/>
        <v>169</v>
      </c>
      <c r="B173" s="30" t="s">
        <v>452</v>
      </c>
      <c r="C173" s="31" t="s">
        <v>453</v>
      </c>
      <c r="D173" s="31" t="s">
        <v>456</v>
      </c>
      <c r="E173" s="32">
        <v>43090</v>
      </c>
      <c r="F173" s="43">
        <f>40648+9959352</f>
        <v>10000000</v>
      </c>
      <c r="G173" s="34">
        <f t="shared" si="12"/>
        <v>11200000</v>
      </c>
      <c r="H173" s="40">
        <f>+F173/J173</f>
        <v>1000000</v>
      </c>
      <c r="I173" s="40">
        <f>+F173*1.2%</f>
        <v>120000</v>
      </c>
      <c r="J173" s="29">
        <v>10</v>
      </c>
      <c r="K173" s="29">
        <v>8</v>
      </c>
      <c r="L173" s="36">
        <f t="shared" si="13"/>
        <v>1120000</v>
      </c>
      <c r="M173" s="37">
        <f t="shared" si="14"/>
        <v>8960000</v>
      </c>
      <c r="N173" s="34">
        <f>+H173*K173</f>
        <v>8000000</v>
      </c>
      <c r="O173" s="39" t="s">
        <v>457</v>
      </c>
      <c r="P173" s="39" t="s">
        <v>32</v>
      </c>
    </row>
    <row r="174" spans="1:16">
      <c r="A174" s="29">
        <f t="shared" si="15"/>
        <v>170</v>
      </c>
      <c r="B174" s="54" t="s">
        <v>458</v>
      </c>
      <c r="C174" s="55">
        <v>901781</v>
      </c>
      <c r="D174" s="97"/>
      <c r="E174" s="97">
        <v>41586</v>
      </c>
      <c r="F174" s="57">
        <f>17373187+4178733+434330+128879+18000+200000</f>
        <v>22333129</v>
      </c>
      <c r="G174" s="58">
        <f t="shared" si="12"/>
        <v>28800000</v>
      </c>
      <c r="H174" s="59">
        <v>132002</v>
      </c>
      <c r="I174" s="58">
        <v>267998</v>
      </c>
      <c r="J174" s="60">
        <v>72</v>
      </c>
      <c r="K174" s="60">
        <f>66+1</f>
        <v>67</v>
      </c>
      <c r="L174" s="48">
        <f t="shared" si="13"/>
        <v>400000</v>
      </c>
      <c r="M174" s="48">
        <f t="shared" si="14"/>
        <v>26800000</v>
      </c>
      <c r="N174" s="61">
        <f>F174-(H174*5)-(326344)-(100000)-(12500)-(1000000)-(4592002)-(660000)-692002-1049-1000000</f>
        <v>13289222</v>
      </c>
      <c r="O174" s="44" t="s">
        <v>459</v>
      </c>
      <c r="P174" s="44" t="s">
        <v>460</v>
      </c>
    </row>
    <row r="175" spans="1:16">
      <c r="A175" s="29">
        <f t="shared" si="15"/>
        <v>171</v>
      </c>
      <c r="B175" s="30" t="s">
        <v>461</v>
      </c>
      <c r="C175" s="31" t="s">
        <v>462</v>
      </c>
      <c r="D175" s="31" t="s">
        <v>463</v>
      </c>
      <c r="E175" s="32">
        <v>42975</v>
      </c>
      <c r="F175" s="43">
        <f>48454000+1211350+265460+200000+24869190-37500000</f>
        <v>37500000</v>
      </c>
      <c r="G175" s="34">
        <f t="shared" si="12"/>
        <v>33993750</v>
      </c>
      <c r="H175" s="35">
        <v>521250</v>
      </c>
      <c r="I175" s="35">
        <f>+F175*1.2%</f>
        <v>450000</v>
      </c>
      <c r="J175" s="29">
        <v>35</v>
      </c>
      <c r="K175" s="29">
        <v>29</v>
      </c>
      <c r="L175" s="36">
        <f t="shared" si="13"/>
        <v>971250</v>
      </c>
      <c r="M175" s="37">
        <f t="shared" si="14"/>
        <v>28166250</v>
      </c>
      <c r="N175" s="38">
        <f>F175-(H175*6)</f>
        <v>34372500</v>
      </c>
      <c r="O175" s="44" t="s">
        <v>311</v>
      </c>
      <c r="P175" s="39" t="s">
        <v>30</v>
      </c>
    </row>
    <row r="176" spans="1:16">
      <c r="A176" s="29">
        <f t="shared" si="15"/>
        <v>172</v>
      </c>
      <c r="B176" s="30" t="s">
        <v>461</v>
      </c>
      <c r="C176" s="31" t="s">
        <v>462</v>
      </c>
      <c r="D176" s="31" t="s">
        <v>463</v>
      </c>
      <c r="E176" s="32">
        <v>42975</v>
      </c>
      <c r="F176" s="43">
        <v>37500000</v>
      </c>
      <c r="G176" s="34">
        <f t="shared" si="12"/>
        <v>33993750</v>
      </c>
      <c r="H176" s="35">
        <v>521250</v>
      </c>
      <c r="I176" s="35">
        <v>450000</v>
      </c>
      <c r="J176" s="29">
        <v>35</v>
      </c>
      <c r="K176" s="29">
        <v>29</v>
      </c>
      <c r="L176" s="36">
        <f t="shared" si="13"/>
        <v>971250</v>
      </c>
      <c r="M176" s="37">
        <f t="shared" si="14"/>
        <v>28166250</v>
      </c>
      <c r="N176" s="38">
        <f>F176-(H176*6)</f>
        <v>34372500</v>
      </c>
      <c r="O176" s="44" t="s">
        <v>311</v>
      </c>
      <c r="P176" s="39" t="s">
        <v>30</v>
      </c>
    </row>
    <row r="177" spans="1:16">
      <c r="A177" s="29">
        <f t="shared" si="15"/>
        <v>173</v>
      </c>
      <c r="B177" s="30" t="s">
        <v>464</v>
      </c>
      <c r="C177" s="31" t="s">
        <v>465</v>
      </c>
      <c r="D177" s="41" t="s">
        <v>466</v>
      </c>
      <c r="E177" s="32">
        <v>42871</v>
      </c>
      <c r="F177" s="42">
        <f>21666000+541650+449032+60000+200000+13083318</f>
        <v>36000000</v>
      </c>
      <c r="G177" s="34">
        <f t="shared" si="12"/>
        <v>20504000</v>
      </c>
      <c r="H177" s="35">
        <v>500000</v>
      </c>
      <c r="I177" s="33">
        <f>+F177*1.2%</f>
        <v>432000</v>
      </c>
      <c r="J177" s="29">
        <v>22</v>
      </c>
      <c r="K177" s="29">
        <v>12</v>
      </c>
      <c r="L177" s="36">
        <f t="shared" si="13"/>
        <v>932000</v>
      </c>
      <c r="M177" s="37">
        <f t="shared" si="14"/>
        <v>11184000</v>
      </c>
      <c r="N177" s="38">
        <f>F177-(H177*10)</f>
        <v>31000000</v>
      </c>
      <c r="O177" s="39" t="s">
        <v>467</v>
      </c>
      <c r="P177" s="39" t="s">
        <v>80</v>
      </c>
    </row>
    <row r="178" spans="1:16">
      <c r="A178" s="29">
        <f t="shared" si="15"/>
        <v>174</v>
      </c>
      <c r="B178" s="30" t="s">
        <v>468</v>
      </c>
      <c r="C178" s="31" t="s">
        <v>469</v>
      </c>
      <c r="D178" s="32"/>
      <c r="E178" s="32">
        <v>42160</v>
      </c>
      <c r="F178" s="48">
        <f>5666780+141670+70916+200000+200000+38720634</f>
        <v>45000000</v>
      </c>
      <c r="G178" s="72">
        <f t="shared" si="12"/>
        <v>28440000</v>
      </c>
      <c r="H178" s="33">
        <v>250000</v>
      </c>
      <c r="I178" s="48">
        <v>540000</v>
      </c>
      <c r="J178" s="29">
        <v>36</v>
      </c>
      <c r="K178" s="29">
        <v>3</v>
      </c>
      <c r="L178" s="33">
        <f t="shared" si="13"/>
        <v>790000</v>
      </c>
      <c r="M178" s="33">
        <f t="shared" si="14"/>
        <v>2370000</v>
      </c>
      <c r="N178" s="50">
        <f>F178-(H178*33)-2000000-10000000-2000000-10000000-2000000</f>
        <v>10750000</v>
      </c>
      <c r="O178" s="62" t="s">
        <v>414</v>
      </c>
      <c r="P178" s="65" t="s">
        <v>75</v>
      </c>
    </row>
    <row r="179" spans="1:16">
      <c r="A179" s="29">
        <f t="shared" si="15"/>
        <v>175</v>
      </c>
      <c r="B179" s="30" t="s">
        <v>470</v>
      </c>
      <c r="C179" s="31" t="s">
        <v>471</v>
      </c>
      <c r="D179" s="31" t="s">
        <v>472</v>
      </c>
      <c r="E179" s="32">
        <v>42852</v>
      </c>
      <c r="F179" s="33">
        <f>27748400+693710+200000+200000+21157890-25000000</f>
        <v>25000000</v>
      </c>
      <c r="G179" s="34">
        <f t="shared" si="12"/>
        <v>18777500</v>
      </c>
      <c r="H179" s="42">
        <v>347500</v>
      </c>
      <c r="I179" s="33">
        <f t="shared" ref="I179:I189" si="16">+F179*1.2%</f>
        <v>300000</v>
      </c>
      <c r="J179" s="29">
        <v>29</v>
      </c>
      <c r="K179" s="29">
        <v>19</v>
      </c>
      <c r="L179" s="36">
        <f t="shared" si="13"/>
        <v>647500</v>
      </c>
      <c r="M179" s="37">
        <f t="shared" si="14"/>
        <v>12302500</v>
      </c>
      <c r="N179" s="38">
        <f>F179-(H179*10)</f>
        <v>21525000</v>
      </c>
      <c r="O179" s="39" t="s">
        <v>473</v>
      </c>
      <c r="P179" s="39" t="s">
        <v>80</v>
      </c>
    </row>
    <row r="180" spans="1:16">
      <c r="A180" s="29">
        <f t="shared" si="15"/>
        <v>176</v>
      </c>
      <c r="B180" s="30" t="s">
        <v>470</v>
      </c>
      <c r="C180" s="31" t="s">
        <v>471</v>
      </c>
      <c r="D180" s="31" t="s">
        <v>472</v>
      </c>
      <c r="E180" s="32">
        <v>42852</v>
      </c>
      <c r="F180" s="33">
        <v>25000000</v>
      </c>
      <c r="G180" s="34">
        <f t="shared" si="12"/>
        <v>18777500</v>
      </c>
      <c r="H180" s="33">
        <v>347500</v>
      </c>
      <c r="I180" s="33">
        <f t="shared" si="16"/>
        <v>300000</v>
      </c>
      <c r="J180" s="29">
        <v>29</v>
      </c>
      <c r="K180" s="29">
        <v>19</v>
      </c>
      <c r="L180" s="36">
        <f t="shared" si="13"/>
        <v>647500</v>
      </c>
      <c r="M180" s="37">
        <f t="shared" si="14"/>
        <v>12302500</v>
      </c>
      <c r="N180" s="38">
        <f>F180-(H180*10)</f>
        <v>21525000</v>
      </c>
      <c r="O180" s="39" t="s">
        <v>473</v>
      </c>
      <c r="P180" s="39" t="s">
        <v>80</v>
      </c>
    </row>
    <row r="181" spans="1:16">
      <c r="A181" s="29">
        <f t="shared" si="15"/>
        <v>177</v>
      </c>
      <c r="B181" s="30" t="s">
        <v>474</v>
      </c>
      <c r="C181" s="31" t="s">
        <v>475</v>
      </c>
      <c r="D181" s="31" t="s">
        <v>476</v>
      </c>
      <c r="E181" s="32">
        <v>43006</v>
      </c>
      <c r="F181" s="43">
        <f>48000000+1200000+370000+200000+35230000</f>
        <v>85000000</v>
      </c>
      <c r="G181" s="34">
        <f t="shared" si="12"/>
        <v>57350000</v>
      </c>
      <c r="H181" s="35">
        <v>530000</v>
      </c>
      <c r="I181" s="35">
        <f t="shared" si="16"/>
        <v>1020000</v>
      </c>
      <c r="J181" s="29">
        <v>37</v>
      </c>
      <c r="K181" s="29">
        <v>32</v>
      </c>
      <c r="L181" s="36">
        <f t="shared" si="13"/>
        <v>1550000</v>
      </c>
      <c r="M181" s="37">
        <f t="shared" si="14"/>
        <v>49600000</v>
      </c>
      <c r="N181" s="38">
        <f>F181-(H181*5)</f>
        <v>82350000</v>
      </c>
      <c r="O181" s="44" t="s">
        <v>382</v>
      </c>
      <c r="P181" s="39" t="s">
        <v>30</v>
      </c>
    </row>
    <row r="182" spans="1:16">
      <c r="A182" s="29">
        <f t="shared" si="15"/>
        <v>178</v>
      </c>
      <c r="B182" s="33" t="s">
        <v>477</v>
      </c>
      <c r="C182" s="73" t="s">
        <v>478</v>
      </c>
      <c r="D182" s="32"/>
      <c r="E182" s="32">
        <v>42150</v>
      </c>
      <c r="F182" s="48">
        <f>200000+200000+49600000</f>
        <v>50000000</v>
      </c>
      <c r="G182" s="72">
        <f t="shared" si="12"/>
        <v>26600400</v>
      </c>
      <c r="H182" s="33">
        <v>138900</v>
      </c>
      <c r="I182" s="48">
        <f t="shared" si="16"/>
        <v>600000</v>
      </c>
      <c r="J182" s="29">
        <v>36</v>
      </c>
      <c r="K182" s="29">
        <v>3</v>
      </c>
      <c r="L182" s="33">
        <f t="shared" si="13"/>
        <v>738900</v>
      </c>
      <c r="M182" s="33">
        <f t="shared" si="14"/>
        <v>2216700</v>
      </c>
      <c r="N182" s="50">
        <f>F182-(H182*33)-(4000000)+4000000-15000000-15000000</f>
        <v>15416300</v>
      </c>
      <c r="O182" s="52" t="s">
        <v>479</v>
      </c>
      <c r="P182" s="52" t="s">
        <v>342</v>
      </c>
    </row>
    <row r="183" spans="1:16">
      <c r="A183" s="29">
        <f t="shared" si="15"/>
        <v>179</v>
      </c>
      <c r="B183" s="30" t="s">
        <v>477</v>
      </c>
      <c r="C183" s="31" t="s">
        <v>478</v>
      </c>
      <c r="D183" s="31" t="s">
        <v>480</v>
      </c>
      <c r="E183" s="32">
        <v>42825</v>
      </c>
      <c r="F183" s="42">
        <f>2500000</f>
        <v>2500000</v>
      </c>
      <c r="G183" s="42">
        <f t="shared" si="12"/>
        <v>3252000</v>
      </c>
      <c r="H183" s="42">
        <f>135500-I183</f>
        <v>105500</v>
      </c>
      <c r="I183" s="42">
        <f t="shared" si="16"/>
        <v>30000</v>
      </c>
      <c r="J183" s="29">
        <v>24</v>
      </c>
      <c r="K183" s="29">
        <v>13</v>
      </c>
      <c r="L183" s="71">
        <f t="shared" si="13"/>
        <v>135500</v>
      </c>
      <c r="M183" s="37">
        <f t="shared" si="14"/>
        <v>1761500</v>
      </c>
      <c r="N183" s="38">
        <f>F183-(H183*11)</f>
        <v>1339500</v>
      </c>
      <c r="O183" s="39" t="s">
        <v>481</v>
      </c>
      <c r="P183" s="39" t="s">
        <v>93</v>
      </c>
    </row>
    <row r="184" spans="1:16">
      <c r="A184" s="29">
        <f t="shared" si="15"/>
        <v>180</v>
      </c>
      <c r="B184" s="30" t="s">
        <v>477</v>
      </c>
      <c r="C184" s="31" t="s">
        <v>478</v>
      </c>
      <c r="D184" s="41" t="s">
        <v>482</v>
      </c>
      <c r="E184" s="32">
        <v>42933</v>
      </c>
      <c r="F184" s="42">
        <f>500000+200000+49300000</f>
        <v>50000000</v>
      </c>
      <c r="G184" s="34">
        <f t="shared" si="12"/>
        <v>26520000</v>
      </c>
      <c r="H184" s="35">
        <v>180000</v>
      </c>
      <c r="I184" s="35">
        <f t="shared" si="16"/>
        <v>600000</v>
      </c>
      <c r="J184" s="29">
        <v>34</v>
      </c>
      <c r="K184" s="29">
        <v>26</v>
      </c>
      <c r="L184" s="36">
        <f t="shared" si="13"/>
        <v>780000</v>
      </c>
      <c r="M184" s="37">
        <f t="shared" si="14"/>
        <v>20280000</v>
      </c>
      <c r="N184" s="38">
        <f>F184-(H184*8)</f>
        <v>48560000</v>
      </c>
      <c r="O184" s="39" t="s">
        <v>483</v>
      </c>
      <c r="P184" s="39" t="s">
        <v>93</v>
      </c>
    </row>
    <row r="185" spans="1:16">
      <c r="A185" s="29">
        <f t="shared" si="15"/>
        <v>181</v>
      </c>
      <c r="B185" s="30" t="s">
        <v>477</v>
      </c>
      <c r="C185" s="31" t="s">
        <v>478</v>
      </c>
      <c r="D185" s="31" t="s">
        <v>484</v>
      </c>
      <c r="E185" s="32">
        <v>42986</v>
      </c>
      <c r="F185" s="43">
        <f>400000+39600000</f>
        <v>40000000</v>
      </c>
      <c r="G185" s="34">
        <f t="shared" si="12"/>
        <v>22400000</v>
      </c>
      <c r="H185" s="35">
        <v>220000</v>
      </c>
      <c r="I185" s="35">
        <f t="shared" si="16"/>
        <v>480000</v>
      </c>
      <c r="J185" s="29">
        <v>32</v>
      </c>
      <c r="K185" s="29">
        <v>26</v>
      </c>
      <c r="L185" s="36">
        <f t="shared" si="13"/>
        <v>700000</v>
      </c>
      <c r="M185" s="37">
        <f t="shared" si="14"/>
        <v>18200000</v>
      </c>
      <c r="N185" s="38">
        <f>F185-(H185*6)</f>
        <v>38680000</v>
      </c>
      <c r="O185" s="44" t="s">
        <v>485</v>
      </c>
      <c r="P185" s="39" t="s">
        <v>32</v>
      </c>
    </row>
    <row r="186" spans="1:16">
      <c r="A186" s="29">
        <f t="shared" si="15"/>
        <v>182</v>
      </c>
      <c r="B186" s="30" t="s">
        <v>486</v>
      </c>
      <c r="C186" s="31" t="s">
        <v>487</v>
      </c>
      <c r="D186" s="32"/>
      <c r="E186" s="32">
        <v>42563</v>
      </c>
      <c r="F186" s="33">
        <f>12499000+312475+205161+500000+200000+66283364</f>
        <v>80000000</v>
      </c>
      <c r="G186" s="34">
        <f t="shared" si="12"/>
        <v>70448000</v>
      </c>
      <c r="H186" s="33">
        <v>1112000</v>
      </c>
      <c r="I186" s="33">
        <f t="shared" si="16"/>
        <v>960000</v>
      </c>
      <c r="J186" s="29">
        <v>34</v>
      </c>
      <c r="K186" s="29">
        <v>14</v>
      </c>
      <c r="L186" s="36">
        <f t="shared" si="13"/>
        <v>2072000</v>
      </c>
      <c r="M186" s="36">
        <f t="shared" si="14"/>
        <v>29008000</v>
      </c>
      <c r="N186" s="38">
        <f>F186-(H186*20)-5000000-15000000-25000000</f>
        <v>12760000</v>
      </c>
      <c r="O186" s="39" t="s">
        <v>488</v>
      </c>
      <c r="P186" s="39" t="s">
        <v>30</v>
      </c>
    </row>
    <row r="187" spans="1:16">
      <c r="A187" s="29">
        <f t="shared" si="15"/>
        <v>183</v>
      </c>
      <c r="B187" s="30" t="s">
        <v>489</v>
      </c>
      <c r="C187" s="31" t="s">
        <v>490</v>
      </c>
      <c r="D187" s="41" t="s">
        <v>491</v>
      </c>
      <c r="E187" s="32">
        <v>42748</v>
      </c>
      <c r="F187" s="33">
        <f>56111000+1402775+774194+1438890+200000+140073141-100000000</f>
        <v>100000000</v>
      </c>
      <c r="G187" s="34">
        <f t="shared" si="12"/>
        <v>90702000</v>
      </c>
      <c r="H187" s="33">
        <v>1319500</v>
      </c>
      <c r="I187" s="33">
        <f t="shared" si="16"/>
        <v>1200000</v>
      </c>
      <c r="J187" s="29">
        <v>36</v>
      </c>
      <c r="K187" s="29">
        <v>22</v>
      </c>
      <c r="L187" s="36">
        <f t="shared" si="13"/>
        <v>2519500</v>
      </c>
      <c r="M187" s="36">
        <f t="shared" si="14"/>
        <v>55429000</v>
      </c>
      <c r="N187" s="38">
        <f>F187-(H187*14)-12500000-2500000-2500000</f>
        <v>64027000</v>
      </c>
      <c r="O187" s="39" t="s">
        <v>79</v>
      </c>
      <c r="P187" s="39" t="s">
        <v>70</v>
      </c>
    </row>
    <row r="188" spans="1:16">
      <c r="A188" s="29">
        <f t="shared" si="15"/>
        <v>184</v>
      </c>
      <c r="B188" s="30" t="s">
        <v>489</v>
      </c>
      <c r="C188" s="31" t="s">
        <v>490</v>
      </c>
      <c r="D188" s="41" t="s">
        <v>491</v>
      </c>
      <c r="E188" s="32">
        <v>42748</v>
      </c>
      <c r="F188" s="33">
        <v>100000000</v>
      </c>
      <c r="G188" s="34">
        <f t="shared" si="12"/>
        <v>90702000</v>
      </c>
      <c r="H188" s="33">
        <v>1319500</v>
      </c>
      <c r="I188" s="33">
        <f t="shared" si="16"/>
        <v>1200000</v>
      </c>
      <c r="J188" s="29">
        <v>36</v>
      </c>
      <c r="K188" s="29">
        <v>22</v>
      </c>
      <c r="L188" s="36">
        <f t="shared" si="13"/>
        <v>2519500</v>
      </c>
      <c r="M188" s="36">
        <f t="shared" si="14"/>
        <v>55429000</v>
      </c>
      <c r="N188" s="38">
        <f>F188-(H188*14)-12500000-2500000-2500000</f>
        <v>64027000</v>
      </c>
      <c r="O188" s="39" t="s">
        <v>79</v>
      </c>
      <c r="P188" s="39" t="s">
        <v>70</v>
      </c>
    </row>
    <row r="189" spans="1:16">
      <c r="A189" s="29">
        <f t="shared" si="15"/>
        <v>185</v>
      </c>
      <c r="B189" s="30" t="s">
        <v>492</v>
      </c>
      <c r="C189" s="31" t="s">
        <v>493</v>
      </c>
      <c r="D189" s="32"/>
      <c r="E189" s="32">
        <v>42521</v>
      </c>
      <c r="F189" s="42">
        <f>26776800+669420+100000+200000+12253780</f>
        <v>40000000</v>
      </c>
      <c r="G189" s="34">
        <f t="shared" si="12"/>
        <v>25600000</v>
      </c>
      <c r="H189" s="33">
        <v>320000</v>
      </c>
      <c r="I189" s="48">
        <f t="shared" si="16"/>
        <v>480000</v>
      </c>
      <c r="J189" s="29">
        <v>32</v>
      </c>
      <c r="K189" s="29">
        <v>15</v>
      </c>
      <c r="L189" s="33">
        <f t="shared" si="13"/>
        <v>800000</v>
      </c>
      <c r="M189" s="33">
        <f t="shared" si="14"/>
        <v>12000000</v>
      </c>
      <c r="N189" s="82">
        <f>F189-(H189*17)-15000000</f>
        <v>19560000</v>
      </c>
      <c r="O189" s="39" t="s">
        <v>494</v>
      </c>
      <c r="P189" s="39" t="s">
        <v>85</v>
      </c>
    </row>
    <row r="190" spans="1:16">
      <c r="A190" s="29">
        <f t="shared" si="15"/>
        <v>186</v>
      </c>
      <c r="B190" s="54" t="s">
        <v>495</v>
      </c>
      <c r="C190" s="55" t="s">
        <v>496</v>
      </c>
      <c r="D190" s="55" t="s">
        <v>497</v>
      </c>
      <c r="E190" s="63">
        <v>42758</v>
      </c>
      <c r="F190" s="68">
        <v>44760538</v>
      </c>
      <c r="G190" s="85">
        <f t="shared" si="12"/>
        <v>20700036</v>
      </c>
      <c r="H190" s="98">
        <v>37874</v>
      </c>
      <c r="I190" s="59">
        <v>537127</v>
      </c>
      <c r="J190" s="60">
        <v>36</v>
      </c>
      <c r="K190" s="60">
        <f>33+1</f>
        <v>34</v>
      </c>
      <c r="L190" s="36">
        <f t="shared" si="13"/>
        <v>575001</v>
      </c>
      <c r="M190" s="36">
        <f t="shared" si="14"/>
        <v>19550034</v>
      </c>
      <c r="N190" s="38">
        <f>F190-(H190*2)-10000000-2500000-2500000</f>
        <v>29684790</v>
      </c>
      <c r="O190" s="39" t="s">
        <v>498</v>
      </c>
      <c r="P190" s="39" t="s">
        <v>451</v>
      </c>
    </row>
    <row r="191" spans="1:16">
      <c r="A191" s="29">
        <f t="shared" si="15"/>
        <v>187</v>
      </c>
      <c r="B191" s="54" t="s">
        <v>495</v>
      </c>
      <c r="C191" s="55" t="s">
        <v>496</v>
      </c>
      <c r="D191" s="55" t="s">
        <v>497</v>
      </c>
      <c r="E191" s="63">
        <v>42758</v>
      </c>
      <c r="F191" s="68">
        <f>80873693+5282581+2021842+1142959+200000+0-44760538</f>
        <v>44760537</v>
      </c>
      <c r="G191" s="85">
        <f t="shared" si="12"/>
        <v>20699964</v>
      </c>
      <c r="H191" s="98">
        <v>37873</v>
      </c>
      <c r="I191" s="59">
        <v>537126</v>
      </c>
      <c r="J191" s="60">
        <v>36</v>
      </c>
      <c r="K191" s="60">
        <f>33+1</f>
        <v>34</v>
      </c>
      <c r="L191" s="36">
        <f t="shared" si="13"/>
        <v>574999</v>
      </c>
      <c r="M191" s="36">
        <f t="shared" si="14"/>
        <v>19549966</v>
      </c>
      <c r="N191" s="38">
        <f>F191-(H191*2)-10000000-2500000</f>
        <v>32184791</v>
      </c>
      <c r="O191" s="39" t="s">
        <v>498</v>
      </c>
      <c r="P191" s="39" t="s">
        <v>451</v>
      </c>
    </row>
    <row r="192" spans="1:16">
      <c r="A192" s="29">
        <f t="shared" si="15"/>
        <v>188</v>
      </c>
      <c r="B192" s="54" t="s">
        <v>495</v>
      </c>
      <c r="C192" s="55" t="s">
        <v>496</v>
      </c>
      <c r="D192" s="86" t="s">
        <v>499</v>
      </c>
      <c r="E192" s="63">
        <v>42796</v>
      </c>
      <c r="F192" s="59">
        <f>700000+700000+24000</f>
        <v>1424000</v>
      </c>
      <c r="G192" s="85">
        <f t="shared" ref="G192:G255" si="17">+J192*L192</f>
        <v>2052000</v>
      </c>
      <c r="H192" s="59">
        <f>57000-I192</f>
        <v>39912</v>
      </c>
      <c r="I192" s="59">
        <f>+F192*1.2%</f>
        <v>17088</v>
      </c>
      <c r="J192" s="60">
        <v>36</v>
      </c>
      <c r="K192" s="60">
        <f>34+1</f>
        <v>35</v>
      </c>
      <c r="L192" s="36">
        <f t="shared" si="13"/>
        <v>57000</v>
      </c>
      <c r="M192" s="36">
        <f t="shared" si="14"/>
        <v>1995000</v>
      </c>
      <c r="N192" s="38">
        <f>F192-(H192*1)</f>
        <v>1384088</v>
      </c>
      <c r="O192" s="39" t="s">
        <v>500</v>
      </c>
      <c r="P192" s="39" t="s">
        <v>501</v>
      </c>
    </row>
    <row r="193" spans="1:16">
      <c r="A193" s="29">
        <f t="shared" si="15"/>
        <v>189</v>
      </c>
      <c r="B193" s="30" t="s">
        <v>502</v>
      </c>
      <c r="C193" s="31" t="s">
        <v>503</v>
      </c>
      <c r="D193" s="32"/>
      <c r="E193" s="32">
        <v>42515</v>
      </c>
      <c r="F193" s="33">
        <f>47916980+1197925+1000000+200000+100000000</f>
        <v>150314905</v>
      </c>
      <c r="G193" s="48">
        <f t="shared" si="17"/>
        <v>182924000</v>
      </c>
      <c r="H193" s="33">
        <v>2088221</v>
      </c>
      <c r="I193" s="48">
        <v>1803779</v>
      </c>
      <c r="J193" s="29">
        <v>47</v>
      </c>
      <c r="K193" s="29">
        <v>26</v>
      </c>
      <c r="L193" s="33">
        <f t="shared" si="13"/>
        <v>3892000</v>
      </c>
      <c r="M193" s="33">
        <f t="shared" si="14"/>
        <v>101192000</v>
      </c>
      <c r="N193" s="82">
        <f>F193-(H193*21)-5000000-10000000-5000000</f>
        <v>86462264</v>
      </c>
      <c r="O193" s="39" t="s">
        <v>504</v>
      </c>
      <c r="P193" s="52" t="s">
        <v>85</v>
      </c>
    </row>
    <row r="194" spans="1:16">
      <c r="A194" s="29">
        <f t="shared" si="15"/>
        <v>190</v>
      </c>
      <c r="B194" s="30" t="s">
        <v>505</v>
      </c>
      <c r="C194" s="31" t="s">
        <v>506</v>
      </c>
      <c r="D194" s="41" t="s">
        <v>507</v>
      </c>
      <c r="E194" s="32">
        <v>42907</v>
      </c>
      <c r="F194" s="42">
        <f>4164600+104115+1200000+200000+144331285-75000000</f>
        <v>75000000</v>
      </c>
      <c r="G194" s="34">
        <f t="shared" si="17"/>
        <v>69912000</v>
      </c>
      <c r="H194" s="35">
        <v>1042000</v>
      </c>
      <c r="I194" s="35">
        <f>F194*1.2%</f>
        <v>900000</v>
      </c>
      <c r="J194" s="29">
        <v>36</v>
      </c>
      <c r="K194" s="29">
        <v>28</v>
      </c>
      <c r="L194" s="36">
        <f t="shared" si="13"/>
        <v>1942000</v>
      </c>
      <c r="M194" s="37">
        <f t="shared" si="14"/>
        <v>54376000</v>
      </c>
      <c r="N194" s="38">
        <f>F194-(H194*8)-1250000</f>
        <v>65414000</v>
      </c>
      <c r="O194" s="39" t="s">
        <v>79</v>
      </c>
      <c r="P194" s="39" t="s">
        <v>80</v>
      </c>
    </row>
    <row r="195" spans="1:16">
      <c r="A195" s="29">
        <f t="shared" si="15"/>
        <v>191</v>
      </c>
      <c r="B195" s="30" t="s">
        <v>505</v>
      </c>
      <c r="C195" s="31" t="s">
        <v>506</v>
      </c>
      <c r="D195" s="41" t="s">
        <v>507</v>
      </c>
      <c r="E195" s="32">
        <v>42907</v>
      </c>
      <c r="F195" s="42">
        <v>75000000</v>
      </c>
      <c r="G195" s="34">
        <f t="shared" si="17"/>
        <v>69912000</v>
      </c>
      <c r="H195" s="42">
        <v>1042000</v>
      </c>
      <c r="I195" s="35">
        <f>F195*1.2%</f>
        <v>900000</v>
      </c>
      <c r="J195" s="29">
        <v>36</v>
      </c>
      <c r="K195" s="29">
        <v>28</v>
      </c>
      <c r="L195" s="36">
        <f t="shared" si="13"/>
        <v>1942000</v>
      </c>
      <c r="M195" s="37">
        <f t="shared" si="14"/>
        <v>54376000</v>
      </c>
      <c r="N195" s="38">
        <f>F195-(H195*8)-1250000</f>
        <v>65414000</v>
      </c>
      <c r="O195" s="39" t="s">
        <v>79</v>
      </c>
      <c r="P195" s="39" t="s">
        <v>80</v>
      </c>
    </row>
    <row r="196" spans="1:16">
      <c r="A196" s="29">
        <f t="shared" si="15"/>
        <v>192</v>
      </c>
      <c r="B196" s="30" t="s">
        <v>508</v>
      </c>
      <c r="C196" s="31" t="s">
        <v>509</v>
      </c>
      <c r="D196" s="41" t="s">
        <v>510</v>
      </c>
      <c r="E196" s="32">
        <v>42907</v>
      </c>
      <c r="F196" s="42">
        <f>26250000+656250+62500+200000+10000000</f>
        <v>37168750</v>
      </c>
      <c r="G196" s="34">
        <f t="shared" si="17"/>
        <v>53262000</v>
      </c>
      <c r="H196" s="42">
        <v>1033475</v>
      </c>
      <c r="I196" s="35">
        <f>F196*1.2%</f>
        <v>446025</v>
      </c>
      <c r="J196" s="29">
        <v>36</v>
      </c>
      <c r="K196" s="29">
        <v>28</v>
      </c>
      <c r="L196" s="36">
        <f t="shared" si="13"/>
        <v>1479500</v>
      </c>
      <c r="M196" s="37">
        <f t="shared" si="14"/>
        <v>41426000</v>
      </c>
      <c r="N196" s="38">
        <f>F196-(H196*8)</f>
        <v>28900950</v>
      </c>
      <c r="O196" s="39" t="s">
        <v>511</v>
      </c>
      <c r="P196" s="39" t="s">
        <v>80</v>
      </c>
    </row>
    <row r="197" spans="1:16">
      <c r="A197" s="29">
        <f t="shared" si="15"/>
        <v>193</v>
      </c>
      <c r="B197" s="30" t="s">
        <v>512</v>
      </c>
      <c r="C197" s="31" t="s">
        <v>513</v>
      </c>
      <c r="D197" s="31" t="s">
        <v>514</v>
      </c>
      <c r="E197" s="32">
        <v>43004</v>
      </c>
      <c r="F197" s="43">
        <f>19158000+478950+200000+200000+29963050</f>
        <v>50000000</v>
      </c>
      <c r="G197" s="34">
        <f t="shared" si="17"/>
        <v>25000000</v>
      </c>
      <c r="H197" s="35">
        <v>400000</v>
      </c>
      <c r="I197" s="35">
        <f>+F197*1.2%</f>
        <v>600000</v>
      </c>
      <c r="J197" s="29">
        <v>25</v>
      </c>
      <c r="K197" s="29">
        <v>20</v>
      </c>
      <c r="L197" s="36">
        <f t="shared" ref="L197:L260" si="18">+H197+I197</f>
        <v>1000000</v>
      </c>
      <c r="M197" s="37">
        <f t="shared" ref="M197:M260" si="19">+K197*L197</f>
        <v>20000000</v>
      </c>
      <c r="N197" s="38">
        <f>F197-(H197*5)-10000000</f>
        <v>38000000</v>
      </c>
      <c r="O197" s="44" t="s">
        <v>515</v>
      </c>
      <c r="P197" s="39" t="s">
        <v>30</v>
      </c>
    </row>
    <row r="198" spans="1:16">
      <c r="A198" s="29">
        <f t="shared" ref="A198:A261" si="20">+A197+1</f>
        <v>194</v>
      </c>
      <c r="B198" s="30" t="s">
        <v>516</v>
      </c>
      <c r="C198" s="31" t="s">
        <v>517</v>
      </c>
      <c r="D198" s="31" t="s">
        <v>518</v>
      </c>
      <c r="E198" s="32">
        <v>42879</v>
      </c>
      <c r="F198" s="33">
        <f>65332000+1633300+846680+200000+81988020-75000000</f>
        <v>75000000</v>
      </c>
      <c r="G198" s="34">
        <f t="shared" si="17"/>
        <v>70020000</v>
      </c>
      <c r="H198" s="35">
        <v>1045000</v>
      </c>
      <c r="I198" s="33">
        <f>+F198*1.2%</f>
        <v>900000</v>
      </c>
      <c r="J198" s="29">
        <v>36</v>
      </c>
      <c r="K198" s="29">
        <v>27</v>
      </c>
      <c r="L198" s="36">
        <f t="shared" si="18"/>
        <v>1945000</v>
      </c>
      <c r="M198" s="37">
        <f t="shared" si="19"/>
        <v>52515000</v>
      </c>
      <c r="N198" s="38">
        <f>F198-(H198*9)</f>
        <v>65595000</v>
      </c>
      <c r="O198" s="39" t="s">
        <v>473</v>
      </c>
      <c r="P198" s="39" t="s">
        <v>376</v>
      </c>
    </row>
    <row r="199" spans="1:16">
      <c r="A199" s="29">
        <f t="shared" si="20"/>
        <v>195</v>
      </c>
      <c r="B199" s="30" t="s">
        <v>516</v>
      </c>
      <c r="C199" s="31" t="s">
        <v>517</v>
      </c>
      <c r="D199" s="31" t="s">
        <v>518</v>
      </c>
      <c r="E199" s="32">
        <v>42879</v>
      </c>
      <c r="F199" s="33">
        <v>75000000</v>
      </c>
      <c r="G199" s="34">
        <f t="shared" si="17"/>
        <v>70020000</v>
      </c>
      <c r="H199" s="35">
        <v>1045000</v>
      </c>
      <c r="I199" s="33">
        <f>+F199*1.2%</f>
        <v>900000</v>
      </c>
      <c r="J199" s="29">
        <v>36</v>
      </c>
      <c r="K199" s="29">
        <v>27</v>
      </c>
      <c r="L199" s="36">
        <f t="shared" si="18"/>
        <v>1945000</v>
      </c>
      <c r="M199" s="37">
        <f t="shared" si="19"/>
        <v>52515000</v>
      </c>
      <c r="N199" s="38">
        <f>F199-(H199*9)</f>
        <v>65595000</v>
      </c>
      <c r="O199" s="39" t="s">
        <v>473</v>
      </c>
      <c r="P199" s="39" t="s">
        <v>376</v>
      </c>
    </row>
    <row r="200" spans="1:16">
      <c r="A200" s="29">
        <f t="shared" si="20"/>
        <v>196</v>
      </c>
      <c r="B200" s="54" t="s">
        <v>519</v>
      </c>
      <c r="C200" s="55" t="s">
        <v>520</v>
      </c>
      <c r="D200" s="63"/>
      <c r="E200" s="63">
        <v>42551</v>
      </c>
      <c r="F200" s="68">
        <f>178000000+4450000+720000+200000+66630000-125000000</f>
        <v>125000000</v>
      </c>
      <c r="G200" s="85">
        <f t="shared" si="17"/>
        <v>92000000</v>
      </c>
      <c r="H200" s="87">
        <v>500000</v>
      </c>
      <c r="I200" s="87">
        <f>+F200*1.2%</f>
        <v>1500000</v>
      </c>
      <c r="J200" s="60">
        <v>46</v>
      </c>
      <c r="K200" s="60">
        <f>36+1</f>
        <v>37</v>
      </c>
      <c r="L200" s="48">
        <f t="shared" si="18"/>
        <v>2000000</v>
      </c>
      <c r="M200" s="48">
        <f t="shared" si="19"/>
        <v>74000000</v>
      </c>
      <c r="N200" s="38">
        <f>F200-(H200*9)-937500-3750000</f>
        <v>115812500</v>
      </c>
      <c r="O200" s="39" t="s">
        <v>521</v>
      </c>
      <c r="P200" s="39" t="s">
        <v>30</v>
      </c>
    </row>
    <row r="201" spans="1:16">
      <c r="A201" s="29">
        <f t="shared" si="20"/>
        <v>197</v>
      </c>
      <c r="B201" s="54" t="s">
        <v>519</v>
      </c>
      <c r="C201" s="55" t="s">
        <v>520</v>
      </c>
      <c r="D201" s="63"/>
      <c r="E201" s="63">
        <v>42551</v>
      </c>
      <c r="F201" s="68">
        <v>125000000</v>
      </c>
      <c r="G201" s="85">
        <f t="shared" si="17"/>
        <v>92000000</v>
      </c>
      <c r="H201" s="68">
        <v>500000</v>
      </c>
      <c r="I201" s="68">
        <v>1500000</v>
      </c>
      <c r="J201" s="60">
        <v>46</v>
      </c>
      <c r="K201" s="60">
        <f>36+1</f>
        <v>37</v>
      </c>
      <c r="L201" s="48">
        <f t="shared" si="18"/>
        <v>2000000</v>
      </c>
      <c r="M201" s="48">
        <f t="shared" si="19"/>
        <v>74000000</v>
      </c>
      <c r="N201" s="38">
        <f>F201-(H201*9)-937500-3750000</f>
        <v>115812500</v>
      </c>
      <c r="O201" s="39" t="s">
        <v>521</v>
      </c>
      <c r="P201" s="39" t="s">
        <v>30</v>
      </c>
    </row>
    <row r="202" spans="1:16">
      <c r="A202" s="29">
        <f t="shared" si="20"/>
        <v>198</v>
      </c>
      <c r="B202" s="54" t="s">
        <v>519</v>
      </c>
      <c r="C202" s="55" t="s">
        <v>520</v>
      </c>
      <c r="D202" s="63"/>
      <c r="E202" s="63">
        <v>42646</v>
      </c>
      <c r="F202" s="59">
        <f>100000+2900000</f>
        <v>3000000</v>
      </c>
      <c r="G202" s="85">
        <f t="shared" si="17"/>
        <v>4080000</v>
      </c>
      <c r="H202" s="59">
        <f>+F202/J202</f>
        <v>100000</v>
      </c>
      <c r="I202" s="59">
        <f>+F202*1.2%</f>
        <v>36000</v>
      </c>
      <c r="J202" s="60">
        <v>30</v>
      </c>
      <c r="K202" s="60">
        <f>22+1</f>
        <v>23</v>
      </c>
      <c r="L202" s="36">
        <f t="shared" si="18"/>
        <v>136000</v>
      </c>
      <c r="M202" s="36">
        <f t="shared" si="19"/>
        <v>3128000</v>
      </c>
      <c r="N202" s="34">
        <f>+H202*K202</f>
        <v>2300000</v>
      </c>
      <c r="O202" s="39" t="s">
        <v>522</v>
      </c>
      <c r="P202" s="39" t="s">
        <v>372</v>
      </c>
    </row>
    <row r="203" spans="1:16">
      <c r="A203" s="29">
        <f t="shared" si="20"/>
        <v>199</v>
      </c>
      <c r="B203" s="30" t="s">
        <v>523</v>
      </c>
      <c r="C203" s="31" t="s">
        <v>524</v>
      </c>
      <c r="D203" s="32"/>
      <c r="E203" s="32">
        <v>42565</v>
      </c>
      <c r="F203" s="33">
        <f>8000000+200000+369290+150000+200000+36080710</f>
        <v>45000000</v>
      </c>
      <c r="G203" s="48">
        <f t="shared" si="17"/>
        <v>39610000</v>
      </c>
      <c r="H203" s="33">
        <v>625000</v>
      </c>
      <c r="I203" s="33">
        <f>+F203*1.2%</f>
        <v>540000</v>
      </c>
      <c r="J203" s="29">
        <v>34</v>
      </c>
      <c r="K203" s="29">
        <v>14</v>
      </c>
      <c r="L203" s="91">
        <f t="shared" si="18"/>
        <v>1165000</v>
      </c>
      <c r="M203" s="91">
        <f t="shared" si="19"/>
        <v>16310000</v>
      </c>
      <c r="N203" s="70">
        <f>F203-(H203*20)-2000000-6000000-2000000-2000000</f>
        <v>20500000</v>
      </c>
      <c r="O203" s="39" t="s">
        <v>525</v>
      </c>
      <c r="P203" s="39" t="s">
        <v>30</v>
      </c>
    </row>
    <row r="204" spans="1:16">
      <c r="A204" s="29">
        <f t="shared" si="20"/>
        <v>200</v>
      </c>
      <c r="B204" s="30" t="s">
        <v>526</v>
      </c>
      <c r="C204" s="31" t="s">
        <v>527</v>
      </c>
      <c r="D204" s="32"/>
      <c r="E204" s="32">
        <v>42543</v>
      </c>
      <c r="F204" s="42">
        <f>1250130+31253+100000+200000+38418617</f>
        <v>40000000</v>
      </c>
      <c r="G204" s="34">
        <f t="shared" si="17"/>
        <v>28900000</v>
      </c>
      <c r="H204" s="35">
        <v>370000</v>
      </c>
      <c r="I204" s="35">
        <f>+F204*1.2%</f>
        <v>480000</v>
      </c>
      <c r="J204" s="29">
        <v>34</v>
      </c>
      <c r="K204" s="29">
        <v>14</v>
      </c>
      <c r="L204" s="48">
        <f t="shared" si="18"/>
        <v>850000</v>
      </c>
      <c r="M204" s="48">
        <f t="shared" si="19"/>
        <v>11900000</v>
      </c>
      <c r="N204" s="38">
        <f>F204-(H204*20)-1000000-7000000-1000000-1000000</f>
        <v>22600000</v>
      </c>
      <c r="O204" s="39" t="s">
        <v>528</v>
      </c>
      <c r="P204" s="39" t="s">
        <v>30</v>
      </c>
    </row>
    <row r="205" spans="1:16">
      <c r="A205" s="29">
        <f t="shared" si="20"/>
        <v>201</v>
      </c>
      <c r="B205" s="30" t="s">
        <v>529</v>
      </c>
      <c r="C205" s="31" t="s">
        <v>530</v>
      </c>
      <c r="D205" s="41" t="s">
        <v>531</v>
      </c>
      <c r="E205" s="32">
        <v>43033</v>
      </c>
      <c r="F205" s="42">
        <f>10215000+255375+200000+200000+39129625</f>
        <v>50000000</v>
      </c>
      <c r="G205" s="34">
        <f t="shared" si="17"/>
        <v>30000000</v>
      </c>
      <c r="H205" s="35">
        <v>400000</v>
      </c>
      <c r="I205" s="35">
        <f>+F205*1.2%</f>
        <v>600000</v>
      </c>
      <c r="J205" s="29">
        <v>30</v>
      </c>
      <c r="K205" s="29">
        <v>26</v>
      </c>
      <c r="L205" s="36">
        <f t="shared" si="18"/>
        <v>1000000</v>
      </c>
      <c r="M205" s="37">
        <f t="shared" si="19"/>
        <v>26000000</v>
      </c>
      <c r="N205" s="38">
        <f>F205-(H205*4)-2500000</f>
        <v>45900000</v>
      </c>
      <c r="O205" s="39" t="s">
        <v>532</v>
      </c>
      <c r="P205" s="39" t="s">
        <v>80</v>
      </c>
    </row>
    <row r="206" spans="1:16">
      <c r="A206" s="29">
        <f t="shared" si="20"/>
        <v>202</v>
      </c>
      <c r="B206" s="30" t="s">
        <v>533</v>
      </c>
      <c r="C206" s="31" t="s">
        <v>534</v>
      </c>
      <c r="D206" s="31" t="s">
        <v>535</v>
      </c>
      <c r="E206" s="32">
        <v>42983</v>
      </c>
      <c r="F206" s="43">
        <f>15830500+395763+213290+200000+200000+33160447</f>
        <v>50000000</v>
      </c>
      <c r="G206" s="34">
        <f t="shared" si="17"/>
        <v>24720000</v>
      </c>
      <c r="H206" s="35">
        <v>430000</v>
      </c>
      <c r="I206" s="35">
        <f>+F206*1.2%</f>
        <v>600000</v>
      </c>
      <c r="J206" s="29">
        <v>24</v>
      </c>
      <c r="K206" s="29">
        <v>18</v>
      </c>
      <c r="L206" s="36">
        <f t="shared" si="18"/>
        <v>1030000</v>
      </c>
      <c r="M206" s="37">
        <f t="shared" si="19"/>
        <v>18540000</v>
      </c>
      <c r="N206" s="38">
        <f>F206-(H206*6)-5000000</f>
        <v>42420000</v>
      </c>
      <c r="O206" s="44" t="s">
        <v>536</v>
      </c>
      <c r="P206" s="39" t="s">
        <v>37</v>
      </c>
    </row>
    <row r="207" spans="1:16">
      <c r="A207" s="29">
        <f t="shared" si="20"/>
        <v>203</v>
      </c>
      <c r="B207" s="30" t="s">
        <v>537</v>
      </c>
      <c r="C207" s="31" t="s">
        <v>538</v>
      </c>
      <c r="D207" s="31" t="s">
        <v>539</v>
      </c>
      <c r="E207" s="32">
        <v>42941</v>
      </c>
      <c r="F207" s="43">
        <f>28331000+708275+183310+200000+20000000-24711293</f>
        <v>24711292</v>
      </c>
      <c r="G207" s="34">
        <f t="shared" si="17"/>
        <v>19511217</v>
      </c>
      <c r="H207" s="40">
        <v>294714</v>
      </c>
      <c r="I207" s="40">
        <f>593071-I208</f>
        <v>296535</v>
      </c>
      <c r="J207" s="29">
        <v>33</v>
      </c>
      <c r="K207" s="29">
        <v>26</v>
      </c>
      <c r="L207" s="36">
        <f t="shared" si="18"/>
        <v>591249</v>
      </c>
      <c r="M207" s="37">
        <f t="shared" si="19"/>
        <v>15372474</v>
      </c>
      <c r="N207" s="38">
        <f>F207-(H207*7)</f>
        <v>22648294</v>
      </c>
      <c r="O207" s="44" t="s">
        <v>540</v>
      </c>
      <c r="P207" s="39" t="s">
        <v>30</v>
      </c>
    </row>
    <row r="208" spans="1:16">
      <c r="A208" s="29">
        <f t="shared" si="20"/>
        <v>204</v>
      </c>
      <c r="B208" s="30" t="s">
        <v>537</v>
      </c>
      <c r="C208" s="31" t="s">
        <v>538</v>
      </c>
      <c r="D208" s="31" t="s">
        <v>539</v>
      </c>
      <c r="E208" s="32">
        <v>42941</v>
      </c>
      <c r="F208" s="43">
        <v>24711293</v>
      </c>
      <c r="G208" s="34">
        <f t="shared" si="17"/>
        <v>19511283</v>
      </c>
      <c r="H208" s="40">
        <v>294715</v>
      </c>
      <c r="I208" s="40">
        <v>296536</v>
      </c>
      <c r="J208" s="29">
        <v>33</v>
      </c>
      <c r="K208" s="29">
        <v>26</v>
      </c>
      <c r="L208" s="36">
        <f t="shared" si="18"/>
        <v>591251</v>
      </c>
      <c r="M208" s="37">
        <f t="shared" si="19"/>
        <v>15372526</v>
      </c>
      <c r="N208" s="38">
        <f>F208-(H208*7)</f>
        <v>22648288</v>
      </c>
      <c r="O208" s="44" t="s">
        <v>540</v>
      </c>
      <c r="P208" s="39" t="s">
        <v>30</v>
      </c>
    </row>
    <row r="209" spans="1:16">
      <c r="A209" s="29">
        <f t="shared" si="20"/>
        <v>205</v>
      </c>
      <c r="B209" s="30" t="s">
        <v>541</v>
      </c>
      <c r="C209" s="31" t="s">
        <v>542</v>
      </c>
      <c r="D209" s="41" t="s">
        <v>543</v>
      </c>
      <c r="E209" s="32">
        <v>42907</v>
      </c>
      <c r="F209" s="42">
        <f>19581700+489543+950000+200000+103778757-62500000</f>
        <v>62500000</v>
      </c>
      <c r="G209" s="34">
        <f t="shared" si="17"/>
        <v>51000000</v>
      </c>
      <c r="H209" s="42">
        <v>750000</v>
      </c>
      <c r="I209" s="35">
        <f>F209*1.2%</f>
        <v>750000</v>
      </c>
      <c r="J209" s="29">
        <v>34</v>
      </c>
      <c r="K209" s="29">
        <v>27</v>
      </c>
      <c r="L209" s="36">
        <f t="shared" si="18"/>
        <v>1500000</v>
      </c>
      <c r="M209" s="37">
        <f t="shared" si="19"/>
        <v>40500000</v>
      </c>
      <c r="N209" s="38">
        <f>F209-(H209*7)</f>
        <v>57250000</v>
      </c>
      <c r="O209" s="39" t="s">
        <v>544</v>
      </c>
      <c r="P209" s="39" t="s">
        <v>80</v>
      </c>
    </row>
    <row r="210" spans="1:16">
      <c r="A210" s="29">
        <f t="shared" si="20"/>
        <v>206</v>
      </c>
      <c r="B210" s="30" t="s">
        <v>541</v>
      </c>
      <c r="C210" s="31" t="s">
        <v>542</v>
      </c>
      <c r="D210" s="41" t="s">
        <v>543</v>
      </c>
      <c r="E210" s="32">
        <v>42907</v>
      </c>
      <c r="F210" s="42">
        <v>62500000</v>
      </c>
      <c r="G210" s="34">
        <f t="shared" si="17"/>
        <v>51000000</v>
      </c>
      <c r="H210" s="42">
        <v>750000</v>
      </c>
      <c r="I210" s="35">
        <f>F210*1.2%</f>
        <v>750000</v>
      </c>
      <c r="J210" s="29">
        <v>34</v>
      </c>
      <c r="K210" s="29">
        <v>27</v>
      </c>
      <c r="L210" s="36">
        <f t="shared" si="18"/>
        <v>1500000</v>
      </c>
      <c r="M210" s="37">
        <f t="shared" si="19"/>
        <v>40500000</v>
      </c>
      <c r="N210" s="38">
        <f>F210-(H210*7)</f>
        <v>57250000</v>
      </c>
      <c r="O210" s="39" t="s">
        <v>544</v>
      </c>
      <c r="P210" s="39" t="s">
        <v>80</v>
      </c>
    </row>
    <row r="211" spans="1:16">
      <c r="A211" s="29">
        <f t="shared" si="20"/>
        <v>207</v>
      </c>
      <c r="B211" s="30" t="s">
        <v>545</v>
      </c>
      <c r="C211" s="31" t="s">
        <v>546</v>
      </c>
      <c r="D211" s="32"/>
      <c r="E211" s="32">
        <v>42227</v>
      </c>
      <c r="F211" s="33">
        <f>300000+200000+59500000</f>
        <v>60000000</v>
      </c>
      <c r="G211" s="72">
        <f t="shared" si="17"/>
        <v>51262200</v>
      </c>
      <c r="H211" s="33">
        <v>833400</v>
      </c>
      <c r="I211" s="48">
        <f>F211*1.2%</f>
        <v>720000</v>
      </c>
      <c r="J211" s="29">
        <v>33</v>
      </c>
      <c r="K211" s="29">
        <v>2</v>
      </c>
      <c r="L211" s="33">
        <f t="shared" si="18"/>
        <v>1553400</v>
      </c>
      <c r="M211" s="33">
        <f t="shared" si="19"/>
        <v>3106800</v>
      </c>
      <c r="N211" s="50">
        <f>F211-(H211*31)-10000000-5000000-10000000-5000000</f>
        <v>4164600</v>
      </c>
      <c r="O211" s="39" t="s">
        <v>547</v>
      </c>
      <c r="P211" s="39" t="s">
        <v>548</v>
      </c>
    </row>
    <row r="212" spans="1:16">
      <c r="A212" s="29">
        <f t="shared" si="20"/>
        <v>208</v>
      </c>
      <c r="B212" s="33" t="s">
        <v>549</v>
      </c>
      <c r="C212" s="73" t="s">
        <v>550</v>
      </c>
      <c r="D212" s="32"/>
      <c r="E212" s="32">
        <v>42153</v>
      </c>
      <c r="F212" s="48">
        <f>20000160+500004+300000+200000+38999836</f>
        <v>60000000</v>
      </c>
      <c r="G212" s="72">
        <f t="shared" si="17"/>
        <v>55922400</v>
      </c>
      <c r="H212" s="33">
        <v>833400</v>
      </c>
      <c r="I212" s="48">
        <v>720000</v>
      </c>
      <c r="J212" s="29">
        <v>36</v>
      </c>
      <c r="K212" s="29">
        <v>3</v>
      </c>
      <c r="L212" s="33">
        <f t="shared" si="18"/>
        <v>1553400</v>
      </c>
      <c r="M212" s="33">
        <f t="shared" si="19"/>
        <v>4660200</v>
      </c>
      <c r="N212" s="50">
        <f>F212-(H212*33)-10000000-10000000</f>
        <v>12497800</v>
      </c>
      <c r="O212" s="52" t="s">
        <v>259</v>
      </c>
      <c r="P212" s="52" t="s">
        <v>85</v>
      </c>
    </row>
    <row r="213" spans="1:16">
      <c r="A213" s="29">
        <f t="shared" si="20"/>
        <v>209</v>
      </c>
      <c r="B213" s="30" t="s">
        <v>551</v>
      </c>
      <c r="C213" s="31" t="s">
        <v>552</v>
      </c>
      <c r="D213" s="32"/>
      <c r="E213" s="32">
        <v>42642</v>
      </c>
      <c r="F213" s="40">
        <f>132844400+10000000+3750000+1660555+9250164+2665200+700000+200000+1818000</f>
        <v>162888319</v>
      </c>
      <c r="G213" s="34">
        <f t="shared" si="17"/>
        <v>183000000</v>
      </c>
      <c r="H213" s="33">
        <v>1045340</v>
      </c>
      <c r="I213" s="33">
        <v>1954660</v>
      </c>
      <c r="J213" s="29">
        <v>61</v>
      </c>
      <c r="K213" s="29">
        <v>51</v>
      </c>
      <c r="L213" s="36">
        <f t="shared" si="18"/>
        <v>3000000</v>
      </c>
      <c r="M213" s="36">
        <f t="shared" si="19"/>
        <v>153000000</v>
      </c>
      <c r="N213" s="38">
        <f>F213-(H213*10)-20000000</f>
        <v>132434919</v>
      </c>
      <c r="O213" s="66" t="s">
        <v>553</v>
      </c>
      <c r="P213" s="39" t="s">
        <v>42</v>
      </c>
    </row>
    <row r="214" spans="1:16">
      <c r="A214" s="29">
        <f t="shared" si="20"/>
        <v>210</v>
      </c>
      <c r="B214" s="30" t="s">
        <v>212</v>
      </c>
      <c r="C214" s="31" t="s">
        <v>554</v>
      </c>
      <c r="D214" s="41" t="s">
        <v>555</v>
      </c>
      <c r="E214" s="32">
        <v>42873</v>
      </c>
      <c r="F214" s="42">
        <f>80000+2000+3902+450000+200000+74264098-37500000</f>
        <v>37500000</v>
      </c>
      <c r="G214" s="34">
        <f t="shared" si="17"/>
        <v>34965000</v>
      </c>
      <c r="H214" s="35">
        <v>521250</v>
      </c>
      <c r="I214" s="33">
        <f>F214*1.2%</f>
        <v>450000</v>
      </c>
      <c r="J214" s="29">
        <v>36</v>
      </c>
      <c r="K214" s="29">
        <v>26</v>
      </c>
      <c r="L214" s="36">
        <f t="shared" si="18"/>
        <v>971250</v>
      </c>
      <c r="M214" s="37">
        <f t="shared" si="19"/>
        <v>25252500</v>
      </c>
      <c r="N214" s="38">
        <f>F214-(H214*10)-1000000</f>
        <v>31287500</v>
      </c>
      <c r="O214" s="39" t="s">
        <v>152</v>
      </c>
      <c r="P214" s="39" t="s">
        <v>80</v>
      </c>
    </row>
    <row r="215" spans="1:16">
      <c r="A215" s="29">
        <f t="shared" si="20"/>
        <v>211</v>
      </c>
      <c r="B215" s="30" t="s">
        <v>212</v>
      </c>
      <c r="C215" s="31" t="s">
        <v>554</v>
      </c>
      <c r="D215" s="41" t="s">
        <v>555</v>
      </c>
      <c r="E215" s="32">
        <v>42873</v>
      </c>
      <c r="F215" s="42">
        <v>37500000</v>
      </c>
      <c r="G215" s="34">
        <f t="shared" si="17"/>
        <v>34965000</v>
      </c>
      <c r="H215" s="35">
        <v>521250</v>
      </c>
      <c r="I215" s="33">
        <f>F215*1.2%</f>
        <v>450000</v>
      </c>
      <c r="J215" s="29">
        <v>36</v>
      </c>
      <c r="K215" s="29">
        <v>26</v>
      </c>
      <c r="L215" s="36">
        <f t="shared" si="18"/>
        <v>971250</v>
      </c>
      <c r="M215" s="37">
        <f t="shared" si="19"/>
        <v>25252500</v>
      </c>
      <c r="N215" s="38">
        <f>F215-(H215*10)-1000000</f>
        <v>31287500</v>
      </c>
      <c r="O215" s="39" t="s">
        <v>152</v>
      </c>
      <c r="P215" s="39" t="s">
        <v>80</v>
      </c>
    </row>
    <row r="216" spans="1:16">
      <c r="A216" s="29">
        <f t="shared" si="20"/>
        <v>212</v>
      </c>
      <c r="B216" s="30" t="s">
        <v>556</v>
      </c>
      <c r="C216" s="31" t="s">
        <v>557</v>
      </c>
      <c r="D216" s="32"/>
      <c r="E216" s="32">
        <v>42515</v>
      </c>
      <c r="F216" s="33">
        <f>23999900+599998+700000+200000+70000000</f>
        <v>95499898</v>
      </c>
      <c r="G216" s="48">
        <f t="shared" si="17"/>
        <v>86555000</v>
      </c>
      <c r="H216" s="33">
        <v>1327001</v>
      </c>
      <c r="I216" s="48">
        <v>1145999</v>
      </c>
      <c r="J216" s="29">
        <v>35</v>
      </c>
      <c r="K216" s="29">
        <v>14</v>
      </c>
      <c r="L216" s="33">
        <f t="shared" si="18"/>
        <v>2473000</v>
      </c>
      <c r="M216" s="33">
        <f t="shared" si="19"/>
        <v>34622000</v>
      </c>
      <c r="N216" s="82">
        <f>F216-(H216*21)-2500000-5000000-10000000-2500000-5000000</f>
        <v>42632877</v>
      </c>
      <c r="O216" s="39" t="s">
        <v>558</v>
      </c>
      <c r="P216" s="52" t="s">
        <v>85</v>
      </c>
    </row>
    <row r="217" spans="1:16">
      <c r="A217" s="29">
        <f t="shared" si="20"/>
        <v>213</v>
      </c>
      <c r="B217" s="30" t="s">
        <v>559</v>
      </c>
      <c r="C217" s="31" t="s">
        <v>557</v>
      </c>
      <c r="D217" s="41" t="s">
        <v>560</v>
      </c>
      <c r="E217" s="32">
        <v>42870</v>
      </c>
      <c r="F217" s="42">
        <f>200000+200000+19600000</f>
        <v>20000000</v>
      </c>
      <c r="G217" s="34">
        <f t="shared" si="17"/>
        <v>25788000</v>
      </c>
      <c r="H217" s="35">
        <v>834500</v>
      </c>
      <c r="I217" s="33">
        <f>+F217*1.2%</f>
        <v>240000</v>
      </c>
      <c r="J217" s="29">
        <v>24</v>
      </c>
      <c r="K217" s="29">
        <v>14</v>
      </c>
      <c r="L217" s="36">
        <f t="shared" si="18"/>
        <v>1074500</v>
      </c>
      <c r="M217" s="37">
        <f t="shared" si="19"/>
        <v>15043000</v>
      </c>
      <c r="N217" s="38">
        <f>F217-(H217*10)</f>
        <v>11655000</v>
      </c>
      <c r="O217" s="39" t="s">
        <v>152</v>
      </c>
      <c r="P217" s="39" t="s">
        <v>32</v>
      </c>
    </row>
    <row r="218" spans="1:16">
      <c r="A218" s="29">
        <f t="shared" si="20"/>
        <v>214</v>
      </c>
      <c r="B218" s="30" t="s">
        <v>561</v>
      </c>
      <c r="C218" s="31" t="s">
        <v>562</v>
      </c>
      <c r="D218" s="31" t="s">
        <v>563</v>
      </c>
      <c r="E218" s="32">
        <v>43045</v>
      </c>
      <c r="F218" s="43">
        <f>6664800+166620+177290+300000+200000+60000000</f>
        <v>67508710</v>
      </c>
      <c r="G218" s="34">
        <f t="shared" si="17"/>
        <v>61200000</v>
      </c>
      <c r="H218" s="35">
        <v>889895</v>
      </c>
      <c r="I218" s="35">
        <v>810105</v>
      </c>
      <c r="J218" s="29">
        <v>36</v>
      </c>
      <c r="K218" s="29">
        <v>32</v>
      </c>
      <c r="L218" s="36">
        <f t="shared" si="18"/>
        <v>1700000</v>
      </c>
      <c r="M218" s="37">
        <f t="shared" si="19"/>
        <v>54400000</v>
      </c>
      <c r="N218" s="38">
        <f>F218-(H218*4)</f>
        <v>63949130</v>
      </c>
      <c r="O218" s="44" t="s">
        <v>564</v>
      </c>
      <c r="P218" s="39" t="s">
        <v>30</v>
      </c>
    </row>
    <row r="219" spans="1:16">
      <c r="A219" s="29">
        <f t="shared" si="20"/>
        <v>215</v>
      </c>
      <c r="B219" s="30" t="s">
        <v>565</v>
      </c>
      <c r="C219" s="31" t="s">
        <v>566</v>
      </c>
      <c r="D219" s="31" t="s">
        <v>567</v>
      </c>
      <c r="E219" s="32">
        <v>43084</v>
      </c>
      <c r="F219" s="43">
        <f>1100000+27500+700000+200000+97972500-50000000</f>
        <v>50000000</v>
      </c>
      <c r="G219" s="34">
        <f t="shared" si="17"/>
        <v>30000000</v>
      </c>
      <c r="H219" s="40">
        <v>600000</v>
      </c>
      <c r="I219" s="40">
        <f>+F219*1.2%</f>
        <v>600000</v>
      </c>
      <c r="J219" s="29">
        <v>25</v>
      </c>
      <c r="K219" s="29">
        <v>23</v>
      </c>
      <c r="L219" s="36">
        <f t="shared" si="18"/>
        <v>1200000</v>
      </c>
      <c r="M219" s="37">
        <f t="shared" si="19"/>
        <v>27600000</v>
      </c>
      <c r="N219" s="38">
        <f>F219-(H219*2)</f>
        <v>48800000</v>
      </c>
      <c r="O219" s="39" t="s">
        <v>101</v>
      </c>
      <c r="P219" s="39" t="s">
        <v>30</v>
      </c>
    </row>
    <row r="220" spans="1:16">
      <c r="A220" s="29">
        <f t="shared" si="20"/>
        <v>216</v>
      </c>
      <c r="B220" s="30" t="s">
        <v>565</v>
      </c>
      <c r="C220" s="31" t="s">
        <v>566</v>
      </c>
      <c r="D220" s="31" t="s">
        <v>567</v>
      </c>
      <c r="E220" s="32">
        <v>43084</v>
      </c>
      <c r="F220" s="43">
        <v>50000000</v>
      </c>
      <c r="G220" s="34">
        <f t="shared" si="17"/>
        <v>30000000</v>
      </c>
      <c r="H220" s="40">
        <v>600000</v>
      </c>
      <c r="I220" s="40">
        <f>+F220*1.2%</f>
        <v>600000</v>
      </c>
      <c r="J220" s="29">
        <v>25</v>
      </c>
      <c r="K220" s="29">
        <v>23</v>
      </c>
      <c r="L220" s="36">
        <f t="shared" si="18"/>
        <v>1200000</v>
      </c>
      <c r="M220" s="37">
        <f t="shared" si="19"/>
        <v>27600000</v>
      </c>
      <c r="N220" s="38">
        <f>F220-(H220*2)</f>
        <v>48800000</v>
      </c>
      <c r="O220" s="39" t="s">
        <v>101</v>
      </c>
      <c r="P220" s="39" t="s">
        <v>30</v>
      </c>
    </row>
    <row r="221" spans="1:16">
      <c r="A221" s="29">
        <f t="shared" si="20"/>
        <v>217</v>
      </c>
      <c r="B221" s="30" t="s">
        <v>568</v>
      </c>
      <c r="C221" s="31" t="s">
        <v>569</v>
      </c>
      <c r="D221" s="31" t="s">
        <v>570</v>
      </c>
      <c r="E221" s="32">
        <v>42941</v>
      </c>
      <c r="F221" s="43">
        <f>76490318+1912258+625000+200000+62500000</f>
        <v>141727576</v>
      </c>
      <c r="G221" s="34">
        <f t="shared" si="17"/>
        <v>98000000</v>
      </c>
      <c r="H221" s="40">
        <v>1099269</v>
      </c>
      <c r="I221" s="40">
        <v>1700731</v>
      </c>
      <c r="J221" s="29">
        <v>35</v>
      </c>
      <c r="K221" s="29">
        <v>28</v>
      </c>
      <c r="L221" s="36">
        <f t="shared" si="18"/>
        <v>2800000</v>
      </c>
      <c r="M221" s="37">
        <f t="shared" si="19"/>
        <v>78400000</v>
      </c>
      <c r="N221" s="38">
        <f>F221-(H221*7)-5000000</f>
        <v>129032693</v>
      </c>
      <c r="O221" s="44" t="s">
        <v>571</v>
      </c>
      <c r="P221" s="39" t="s">
        <v>30</v>
      </c>
    </row>
    <row r="222" spans="1:16">
      <c r="A222" s="29">
        <f t="shared" si="20"/>
        <v>218</v>
      </c>
      <c r="B222" s="30" t="s">
        <v>572</v>
      </c>
      <c r="C222" s="31" t="s">
        <v>573</v>
      </c>
      <c r="D222" s="32"/>
      <c r="E222" s="32">
        <v>42608</v>
      </c>
      <c r="F222" s="33">
        <f>200000+200000+49600000-25000000</f>
        <v>25000000</v>
      </c>
      <c r="G222" s="34">
        <f t="shared" si="17"/>
        <v>17400000</v>
      </c>
      <c r="H222" s="35">
        <v>425000</v>
      </c>
      <c r="I222" s="35">
        <f>+F222*1.2%</f>
        <v>300000</v>
      </c>
      <c r="J222" s="29">
        <v>24</v>
      </c>
      <c r="K222" s="29">
        <v>6</v>
      </c>
      <c r="L222" s="36">
        <f t="shared" si="18"/>
        <v>725000</v>
      </c>
      <c r="M222" s="36">
        <f t="shared" si="19"/>
        <v>4350000</v>
      </c>
      <c r="N222" s="38">
        <f>F222-(H222*18)-7500000</f>
        <v>9850000</v>
      </c>
      <c r="O222" s="39" t="s">
        <v>574</v>
      </c>
      <c r="P222" s="39" t="s">
        <v>144</v>
      </c>
    </row>
    <row r="223" spans="1:16">
      <c r="A223" s="29">
        <f t="shared" si="20"/>
        <v>219</v>
      </c>
      <c r="B223" s="30" t="s">
        <v>572</v>
      </c>
      <c r="C223" s="31" t="s">
        <v>573</v>
      </c>
      <c r="D223" s="32"/>
      <c r="E223" s="32">
        <v>42608</v>
      </c>
      <c r="F223" s="33">
        <v>25000000</v>
      </c>
      <c r="G223" s="34">
        <f t="shared" si="17"/>
        <v>17400000</v>
      </c>
      <c r="H223" s="33">
        <v>425000</v>
      </c>
      <c r="I223" s="35">
        <f>+F223*1.2%</f>
        <v>300000</v>
      </c>
      <c r="J223" s="29">
        <v>24</v>
      </c>
      <c r="K223" s="29">
        <v>6</v>
      </c>
      <c r="L223" s="36">
        <f t="shared" si="18"/>
        <v>725000</v>
      </c>
      <c r="M223" s="36">
        <f t="shared" si="19"/>
        <v>4350000</v>
      </c>
      <c r="N223" s="38">
        <f>F223-(H223*18)-7500000</f>
        <v>9850000</v>
      </c>
      <c r="O223" s="39" t="s">
        <v>574</v>
      </c>
      <c r="P223" s="39" t="s">
        <v>144</v>
      </c>
    </row>
    <row r="224" spans="1:16">
      <c r="A224" s="29">
        <f t="shared" si="20"/>
        <v>220</v>
      </c>
      <c r="B224" s="30" t="s">
        <v>575</v>
      </c>
      <c r="C224" s="31" t="s">
        <v>576</v>
      </c>
      <c r="D224" s="41" t="s">
        <v>577</v>
      </c>
      <c r="E224" s="32">
        <v>43063</v>
      </c>
      <c r="F224" s="42">
        <f>200000+200000+49600000-25000000</f>
        <v>25000000</v>
      </c>
      <c r="G224" s="34">
        <f t="shared" si="17"/>
        <v>20072500</v>
      </c>
      <c r="H224" s="35">
        <v>347500</v>
      </c>
      <c r="I224" s="35">
        <f>+F224*1.2%</f>
        <v>300000</v>
      </c>
      <c r="J224" s="29">
        <v>31</v>
      </c>
      <c r="K224" s="29">
        <v>28</v>
      </c>
      <c r="L224" s="36">
        <f t="shared" si="18"/>
        <v>647500</v>
      </c>
      <c r="M224" s="37">
        <f t="shared" si="19"/>
        <v>18130000</v>
      </c>
      <c r="N224" s="38">
        <f>F224-(H224*3)-2500000</f>
        <v>21457500</v>
      </c>
      <c r="O224" s="44" t="s">
        <v>367</v>
      </c>
      <c r="P224" s="39" t="s">
        <v>161</v>
      </c>
    </row>
    <row r="225" spans="1:16">
      <c r="A225" s="29">
        <f t="shared" si="20"/>
        <v>221</v>
      </c>
      <c r="B225" s="30" t="s">
        <v>575</v>
      </c>
      <c r="C225" s="31" t="s">
        <v>576</v>
      </c>
      <c r="D225" s="41" t="s">
        <v>577</v>
      </c>
      <c r="E225" s="32">
        <v>43063</v>
      </c>
      <c r="F225" s="43">
        <v>25000000</v>
      </c>
      <c r="G225" s="34">
        <f t="shared" si="17"/>
        <v>20072500</v>
      </c>
      <c r="H225" s="35">
        <v>347500</v>
      </c>
      <c r="I225" s="35">
        <v>300000</v>
      </c>
      <c r="J225" s="29">
        <v>31</v>
      </c>
      <c r="K225" s="29">
        <v>28</v>
      </c>
      <c r="L225" s="36">
        <f t="shared" si="18"/>
        <v>647500</v>
      </c>
      <c r="M225" s="37">
        <f t="shared" si="19"/>
        <v>18130000</v>
      </c>
      <c r="N225" s="38">
        <f>F225-(H225*3)-2500000</f>
        <v>21457500</v>
      </c>
      <c r="O225" s="44" t="s">
        <v>367</v>
      </c>
      <c r="P225" s="39" t="s">
        <v>161</v>
      </c>
    </row>
    <row r="226" spans="1:16">
      <c r="A226" s="29">
        <f t="shared" si="20"/>
        <v>222</v>
      </c>
      <c r="B226" s="30" t="s">
        <v>578</v>
      </c>
      <c r="C226" s="31" t="s">
        <v>579</v>
      </c>
      <c r="D226" s="41" t="s">
        <v>580</v>
      </c>
      <c r="E226" s="32">
        <v>42879</v>
      </c>
      <c r="F226" s="42">
        <f>94992000+2374800+550080+200000+51883120</f>
        <v>150000000</v>
      </c>
      <c r="G226" s="34">
        <f t="shared" si="17"/>
        <v>135940000</v>
      </c>
      <c r="H226" s="35">
        <v>2084000</v>
      </c>
      <c r="I226" s="33">
        <f>+F226*1.2%</f>
        <v>1800000</v>
      </c>
      <c r="J226" s="29">
        <v>35</v>
      </c>
      <c r="K226" s="29">
        <v>26</v>
      </c>
      <c r="L226" s="36">
        <f t="shared" si="18"/>
        <v>3884000</v>
      </c>
      <c r="M226" s="37">
        <f t="shared" si="19"/>
        <v>100984000</v>
      </c>
      <c r="N226" s="38">
        <f>F226-(H226*9)-2500000-2500000</f>
        <v>126244000</v>
      </c>
      <c r="O226" s="39" t="s">
        <v>79</v>
      </c>
      <c r="P226" s="39" t="s">
        <v>376</v>
      </c>
    </row>
    <row r="227" spans="1:16">
      <c r="A227" s="29">
        <f t="shared" si="20"/>
        <v>223</v>
      </c>
      <c r="B227" s="30" t="s">
        <v>578</v>
      </c>
      <c r="C227" s="31" t="s">
        <v>579</v>
      </c>
      <c r="D227" s="41" t="s">
        <v>581</v>
      </c>
      <c r="E227" s="32">
        <v>42928</v>
      </c>
      <c r="F227" s="42">
        <f>700000+700000+24000</f>
        <v>1424000</v>
      </c>
      <c r="G227" s="34">
        <f t="shared" si="17"/>
        <v>1638000</v>
      </c>
      <c r="H227" s="42">
        <v>119412</v>
      </c>
      <c r="I227" s="35">
        <f>+F227*1.2%</f>
        <v>17088</v>
      </c>
      <c r="J227" s="29">
        <v>12</v>
      </c>
      <c r="K227" s="29">
        <v>4</v>
      </c>
      <c r="L227" s="36">
        <f t="shared" si="18"/>
        <v>136500</v>
      </c>
      <c r="M227" s="37">
        <f t="shared" si="19"/>
        <v>546000</v>
      </c>
      <c r="N227" s="38">
        <f>F227-(H227*8)</f>
        <v>468704</v>
      </c>
      <c r="O227" s="39" t="s">
        <v>582</v>
      </c>
      <c r="P227" s="39" t="s">
        <v>93</v>
      </c>
    </row>
    <row r="228" spans="1:16">
      <c r="A228" s="29">
        <f t="shared" si="20"/>
        <v>224</v>
      </c>
      <c r="B228" s="30" t="s">
        <v>583</v>
      </c>
      <c r="C228" s="31" t="s">
        <v>584</v>
      </c>
      <c r="D228" s="32"/>
      <c r="E228" s="32">
        <v>42186</v>
      </c>
      <c r="F228" s="48">
        <f>14166780+354170+83613+700000+200000+84495437</f>
        <v>100000000</v>
      </c>
      <c r="G228" s="72">
        <f t="shared" si="17"/>
        <v>98200800</v>
      </c>
      <c r="H228" s="33">
        <v>1527800</v>
      </c>
      <c r="I228" s="48">
        <f>F228*1.2%</f>
        <v>1200000</v>
      </c>
      <c r="J228" s="29">
        <v>36</v>
      </c>
      <c r="K228" s="29">
        <v>4</v>
      </c>
      <c r="L228" s="33">
        <f t="shared" si="18"/>
        <v>2727800</v>
      </c>
      <c r="M228" s="33">
        <f t="shared" si="19"/>
        <v>10911200</v>
      </c>
      <c r="N228" s="50">
        <f>F228-(H228*32)-15000000-15000000</f>
        <v>21110400</v>
      </c>
      <c r="O228" s="62" t="s">
        <v>201</v>
      </c>
      <c r="P228" s="65" t="s">
        <v>75</v>
      </c>
    </row>
    <row r="229" spans="1:16">
      <c r="A229" s="29">
        <f t="shared" si="20"/>
        <v>225</v>
      </c>
      <c r="B229" s="30" t="s">
        <v>585</v>
      </c>
      <c r="C229" s="31" t="s">
        <v>586</v>
      </c>
      <c r="D229" s="41" t="s">
        <v>587</v>
      </c>
      <c r="E229" s="32">
        <v>42937</v>
      </c>
      <c r="F229" s="42">
        <f>76950845+1923771+1170212+90000+200000+9000000</f>
        <v>89334828</v>
      </c>
      <c r="G229" s="34">
        <f t="shared" si="17"/>
        <v>66000000</v>
      </c>
      <c r="H229" s="35">
        <v>927982</v>
      </c>
      <c r="I229" s="35">
        <v>1072018</v>
      </c>
      <c r="J229" s="29">
        <v>33</v>
      </c>
      <c r="K229" s="29">
        <v>26</v>
      </c>
      <c r="L229" s="36">
        <f t="shared" si="18"/>
        <v>2000000</v>
      </c>
      <c r="M229" s="37">
        <f t="shared" si="19"/>
        <v>52000000</v>
      </c>
      <c r="N229" s="38">
        <f>F229-(H229*7)-1000000</f>
        <v>81838954</v>
      </c>
      <c r="O229" s="39" t="s">
        <v>382</v>
      </c>
      <c r="P229" s="39" t="s">
        <v>30</v>
      </c>
    </row>
    <row r="230" spans="1:16">
      <c r="A230" s="29">
        <f t="shared" si="20"/>
        <v>226</v>
      </c>
      <c r="B230" s="54" t="s">
        <v>588</v>
      </c>
      <c r="C230" s="55" t="s">
        <v>589</v>
      </c>
      <c r="D230" s="97"/>
      <c r="E230" s="97">
        <v>42369</v>
      </c>
      <c r="F230" s="57">
        <v>69937971</v>
      </c>
      <c r="G230" s="58">
        <f t="shared" si="17"/>
        <v>52000052</v>
      </c>
      <c r="H230" s="59">
        <v>160745</v>
      </c>
      <c r="I230" s="59">
        <v>839256</v>
      </c>
      <c r="J230" s="69" t="s">
        <v>590</v>
      </c>
      <c r="K230" s="60">
        <f>47+1</f>
        <v>48</v>
      </c>
      <c r="L230" s="33">
        <f t="shared" si="18"/>
        <v>1000001</v>
      </c>
      <c r="M230" s="33">
        <f t="shared" si="19"/>
        <v>48000048</v>
      </c>
      <c r="N230" s="50">
        <f>F230-(H230*4)-10000000-5000000</f>
        <v>54294991</v>
      </c>
      <c r="O230" s="51" t="s">
        <v>122</v>
      </c>
      <c r="P230" s="52" t="s">
        <v>85</v>
      </c>
    </row>
    <row r="231" spans="1:16">
      <c r="A231" s="29">
        <f t="shared" si="20"/>
        <v>227</v>
      </c>
      <c r="B231" s="54" t="s">
        <v>588</v>
      </c>
      <c r="C231" s="55" t="s">
        <v>589</v>
      </c>
      <c r="D231" s="97"/>
      <c r="E231" s="97">
        <v>42369</v>
      </c>
      <c r="F231" s="57">
        <f>119029821+1200424+900000+2975746+14308974+810976+450000+200000+0-69937971</f>
        <v>69937970</v>
      </c>
      <c r="G231" s="58">
        <f t="shared" si="17"/>
        <v>51999948</v>
      </c>
      <c r="H231" s="59">
        <v>160744</v>
      </c>
      <c r="I231" s="58">
        <v>839255</v>
      </c>
      <c r="J231" s="69" t="s">
        <v>590</v>
      </c>
      <c r="K231" s="60">
        <f>47+1</f>
        <v>48</v>
      </c>
      <c r="L231" s="33">
        <f t="shared" si="18"/>
        <v>999999</v>
      </c>
      <c r="M231" s="33">
        <f t="shared" si="19"/>
        <v>47999952</v>
      </c>
      <c r="N231" s="50">
        <f>F231-(H231*4)-10000000</f>
        <v>59294994</v>
      </c>
      <c r="O231" s="51" t="s">
        <v>122</v>
      </c>
      <c r="P231" s="52" t="s">
        <v>85</v>
      </c>
    </row>
    <row r="232" spans="1:16">
      <c r="A232" s="29">
        <f t="shared" si="20"/>
        <v>228</v>
      </c>
      <c r="B232" s="30" t="s">
        <v>591</v>
      </c>
      <c r="C232" s="31" t="s">
        <v>592</v>
      </c>
      <c r="D232" s="31" t="s">
        <v>593</v>
      </c>
      <c r="E232" s="32">
        <v>42990</v>
      </c>
      <c r="F232" s="33">
        <f>433000+69470704+1747593+894684+300963+200000+26953056-50000000</f>
        <v>50000000</v>
      </c>
      <c r="G232" s="34">
        <f t="shared" si="17"/>
        <v>35604000</v>
      </c>
      <c r="H232" s="35">
        <v>389000</v>
      </c>
      <c r="I232" s="35">
        <f>+F232*1.2%</f>
        <v>600000</v>
      </c>
      <c r="J232" s="29">
        <v>36</v>
      </c>
      <c r="K232" s="29">
        <v>30</v>
      </c>
      <c r="L232" s="36">
        <f t="shared" si="18"/>
        <v>989000</v>
      </c>
      <c r="M232" s="36">
        <f t="shared" si="19"/>
        <v>29670000</v>
      </c>
      <c r="N232" s="38">
        <f>F232-(H232*6)-3000000</f>
        <v>44666000</v>
      </c>
      <c r="O232" s="39" t="s">
        <v>594</v>
      </c>
      <c r="P232" s="39" t="s">
        <v>37</v>
      </c>
    </row>
    <row r="233" spans="1:16">
      <c r="A233" s="29">
        <f t="shared" si="20"/>
        <v>229</v>
      </c>
      <c r="B233" s="30" t="s">
        <v>591</v>
      </c>
      <c r="C233" s="31" t="s">
        <v>592</v>
      </c>
      <c r="D233" s="31" t="s">
        <v>593</v>
      </c>
      <c r="E233" s="32">
        <v>42990</v>
      </c>
      <c r="F233" s="33">
        <v>50000000</v>
      </c>
      <c r="G233" s="34">
        <f t="shared" si="17"/>
        <v>35604000</v>
      </c>
      <c r="H233" s="35">
        <v>389000</v>
      </c>
      <c r="I233" s="35">
        <f>+F233*1.2%</f>
        <v>600000</v>
      </c>
      <c r="J233" s="29">
        <v>36</v>
      </c>
      <c r="K233" s="29">
        <v>30</v>
      </c>
      <c r="L233" s="36">
        <f t="shared" si="18"/>
        <v>989000</v>
      </c>
      <c r="M233" s="36">
        <f t="shared" si="19"/>
        <v>29670000</v>
      </c>
      <c r="N233" s="38">
        <f>F233-(H233*6)-3000000</f>
        <v>44666000</v>
      </c>
      <c r="O233" s="39" t="s">
        <v>594</v>
      </c>
      <c r="P233" s="39" t="s">
        <v>37</v>
      </c>
    </row>
    <row r="234" spans="1:16">
      <c r="A234" s="29">
        <f t="shared" si="20"/>
        <v>230</v>
      </c>
      <c r="B234" s="30" t="s">
        <v>595</v>
      </c>
      <c r="C234" s="31" t="s">
        <v>596</v>
      </c>
      <c r="D234" s="41" t="s">
        <v>597</v>
      </c>
      <c r="E234" s="32">
        <v>42871</v>
      </c>
      <c r="F234" s="42">
        <f>22967186+574180+252054+1300000+200000+134706580-80000000</f>
        <v>80000000</v>
      </c>
      <c r="G234" s="34">
        <f t="shared" si="17"/>
        <v>61250000</v>
      </c>
      <c r="H234" s="35">
        <v>790000</v>
      </c>
      <c r="I234" s="33">
        <f>F234*1.2%</f>
        <v>960000</v>
      </c>
      <c r="J234" s="29">
        <v>35</v>
      </c>
      <c r="K234" s="29">
        <v>25</v>
      </c>
      <c r="L234" s="36">
        <f t="shared" si="18"/>
        <v>1750000</v>
      </c>
      <c r="M234" s="37">
        <f t="shared" si="19"/>
        <v>43750000</v>
      </c>
      <c r="N234" s="38">
        <f>F234-(H234*10)-3125000-1250000-6250000</f>
        <v>61475000</v>
      </c>
      <c r="O234" s="39" t="s">
        <v>598</v>
      </c>
      <c r="P234" s="39" t="s">
        <v>80</v>
      </c>
    </row>
    <row r="235" spans="1:16">
      <c r="A235" s="29">
        <f t="shared" si="20"/>
        <v>231</v>
      </c>
      <c r="B235" s="30" t="s">
        <v>595</v>
      </c>
      <c r="C235" s="31" t="s">
        <v>596</v>
      </c>
      <c r="D235" s="41" t="s">
        <v>597</v>
      </c>
      <c r="E235" s="32">
        <v>42871</v>
      </c>
      <c r="F235" s="42">
        <v>80000000</v>
      </c>
      <c r="G235" s="34">
        <f t="shared" si="17"/>
        <v>61250000</v>
      </c>
      <c r="H235" s="42">
        <v>790000</v>
      </c>
      <c r="I235" s="33">
        <f>F235*1.2%</f>
        <v>960000</v>
      </c>
      <c r="J235" s="29">
        <v>35</v>
      </c>
      <c r="K235" s="29">
        <v>25</v>
      </c>
      <c r="L235" s="36">
        <f t="shared" si="18"/>
        <v>1750000</v>
      </c>
      <c r="M235" s="37">
        <f t="shared" si="19"/>
        <v>43750000</v>
      </c>
      <c r="N235" s="38">
        <f>F235-(H235*10)-3125000-1250000-6250000</f>
        <v>61475000</v>
      </c>
      <c r="O235" s="39" t="s">
        <v>598</v>
      </c>
      <c r="P235" s="39" t="s">
        <v>80</v>
      </c>
    </row>
    <row r="236" spans="1:16">
      <c r="A236" s="29">
        <f t="shared" si="20"/>
        <v>232</v>
      </c>
      <c r="B236" s="30" t="s">
        <v>599</v>
      </c>
      <c r="C236" s="31" t="s">
        <v>596</v>
      </c>
      <c r="D236" s="31" t="s">
        <v>600</v>
      </c>
      <c r="E236" s="32">
        <v>42886</v>
      </c>
      <c r="F236" s="42">
        <f>700000+700000+24000</f>
        <v>1424000</v>
      </c>
      <c r="G236" s="34">
        <f t="shared" si="17"/>
        <v>1860000</v>
      </c>
      <c r="H236" s="40">
        <v>60412</v>
      </c>
      <c r="I236" s="33">
        <f>+F236*1.2%</f>
        <v>17088</v>
      </c>
      <c r="J236" s="29">
        <v>24</v>
      </c>
      <c r="K236" s="29">
        <v>15</v>
      </c>
      <c r="L236" s="36">
        <f t="shared" si="18"/>
        <v>77500</v>
      </c>
      <c r="M236" s="37">
        <f t="shared" si="19"/>
        <v>1162500</v>
      </c>
      <c r="N236" s="38">
        <f>F236-(H236*9)</f>
        <v>880292</v>
      </c>
      <c r="O236" s="44" t="s">
        <v>601</v>
      </c>
      <c r="P236" s="44" t="s">
        <v>220</v>
      </c>
    </row>
    <row r="237" spans="1:16">
      <c r="A237" s="29">
        <f t="shared" si="20"/>
        <v>233</v>
      </c>
      <c r="B237" s="30" t="s">
        <v>602</v>
      </c>
      <c r="C237" s="31" t="s">
        <v>603</v>
      </c>
      <c r="D237" s="31" t="s">
        <v>604</v>
      </c>
      <c r="E237" s="32">
        <v>42947</v>
      </c>
      <c r="F237" s="43">
        <f>108881919+2722048+1000000+200000+100000000</f>
        <v>212803967</v>
      </c>
      <c r="G237" s="34">
        <f t="shared" si="17"/>
        <v>197370000</v>
      </c>
      <c r="H237" s="40">
        <v>2928852</v>
      </c>
      <c r="I237" s="40">
        <v>2553648</v>
      </c>
      <c r="J237" s="29">
        <v>36</v>
      </c>
      <c r="K237" s="29">
        <v>29</v>
      </c>
      <c r="L237" s="36">
        <f t="shared" si="18"/>
        <v>5482500</v>
      </c>
      <c r="M237" s="37">
        <f t="shared" si="19"/>
        <v>158992500</v>
      </c>
      <c r="N237" s="38">
        <f>F237-(H237*7)</f>
        <v>192302003</v>
      </c>
      <c r="O237" s="39" t="s">
        <v>605</v>
      </c>
      <c r="P237" s="39" t="s">
        <v>30</v>
      </c>
    </row>
    <row r="238" spans="1:16">
      <c r="A238" s="29">
        <f t="shared" si="20"/>
        <v>234</v>
      </c>
      <c r="B238" s="54" t="s">
        <v>606</v>
      </c>
      <c r="C238" s="55" t="s">
        <v>607</v>
      </c>
      <c r="D238" s="63"/>
      <c r="E238" s="63">
        <v>42507</v>
      </c>
      <c r="F238" s="68">
        <f>39999200+999980+562065+350008+200000+32888747-F239</f>
        <v>37500000</v>
      </c>
      <c r="G238" s="85">
        <f t="shared" si="17"/>
        <v>34956000</v>
      </c>
      <c r="H238" s="98">
        <v>521000</v>
      </c>
      <c r="I238" s="85">
        <f>+F238*1.2%</f>
        <v>450000</v>
      </c>
      <c r="J238" s="60">
        <v>36</v>
      </c>
      <c r="K238" s="60">
        <f>24+1</f>
        <v>25</v>
      </c>
      <c r="L238" s="33">
        <f t="shared" si="18"/>
        <v>971000</v>
      </c>
      <c r="M238" s="33">
        <f t="shared" si="19"/>
        <v>24275000</v>
      </c>
      <c r="N238" s="70">
        <f>F238-(H238*11)+2000-2000-7500000</f>
        <v>24269000</v>
      </c>
      <c r="O238" s="39" t="s">
        <v>608</v>
      </c>
      <c r="P238" s="39" t="s">
        <v>75</v>
      </c>
    </row>
    <row r="239" spans="1:16">
      <c r="A239" s="29">
        <f t="shared" si="20"/>
        <v>235</v>
      </c>
      <c r="B239" s="54" t="s">
        <v>606</v>
      </c>
      <c r="C239" s="55" t="s">
        <v>607</v>
      </c>
      <c r="D239" s="63"/>
      <c r="E239" s="63">
        <v>42507</v>
      </c>
      <c r="F239" s="68">
        <v>37500000</v>
      </c>
      <c r="G239" s="85">
        <f t="shared" si="17"/>
        <v>34956000</v>
      </c>
      <c r="H239" s="68">
        <v>521000</v>
      </c>
      <c r="I239" s="85">
        <f>+F239*1.2%</f>
        <v>450000</v>
      </c>
      <c r="J239" s="60">
        <v>36</v>
      </c>
      <c r="K239" s="60">
        <f>24+1</f>
        <v>25</v>
      </c>
      <c r="L239" s="33">
        <f t="shared" si="18"/>
        <v>971000</v>
      </c>
      <c r="M239" s="33">
        <f t="shared" si="19"/>
        <v>24275000</v>
      </c>
      <c r="N239" s="70">
        <f>F239-(H239*11)-7500000</f>
        <v>24269000</v>
      </c>
      <c r="O239" s="39" t="s">
        <v>608</v>
      </c>
      <c r="P239" s="39" t="s">
        <v>75</v>
      </c>
    </row>
    <row r="240" spans="1:16">
      <c r="A240" s="29">
        <f t="shared" si="20"/>
        <v>236</v>
      </c>
      <c r="B240" s="30" t="s">
        <v>609</v>
      </c>
      <c r="C240" s="31" t="s">
        <v>610</v>
      </c>
      <c r="D240" s="32"/>
      <c r="E240" s="32">
        <v>42383</v>
      </c>
      <c r="F240" s="33">
        <f>2200000+200000+247600000</f>
        <v>250000000</v>
      </c>
      <c r="G240" s="33">
        <f t="shared" si="17"/>
        <v>151200000</v>
      </c>
      <c r="H240" s="33">
        <v>1200000</v>
      </c>
      <c r="I240" s="84">
        <f>+F240*1.2%</f>
        <v>3000000</v>
      </c>
      <c r="J240" s="29">
        <v>36</v>
      </c>
      <c r="K240" s="29">
        <v>10</v>
      </c>
      <c r="L240" s="33">
        <f t="shared" si="18"/>
        <v>4200000</v>
      </c>
      <c r="M240" s="33">
        <f t="shared" si="19"/>
        <v>42000000</v>
      </c>
      <c r="N240" s="99">
        <f>F240-(H240*26)-50000000-10000000-10000000-50000000-10000000-10000000</f>
        <v>78800000</v>
      </c>
      <c r="O240" s="39" t="s">
        <v>521</v>
      </c>
      <c r="P240" s="39" t="s">
        <v>548</v>
      </c>
    </row>
    <row r="241" spans="1:16">
      <c r="A241" s="29">
        <f t="shared" si="20"/>
        <v>237</v>
      </c>
      <c r="B241" s="30" t="s">
        <v>611</v>
      </c>
      <c r="C241" s="31" t="s">
        <v>612</v>
      </c>
      <c r="D241" s="32"/>
      <c r="E241" s="32">
        <v>42333</v>
      </c>
      <c r="F241" s="42">
        <f>15833650+395841+200000+200000+33370509</f>
        <v>50000000</v>
      </c>
      <c r="G241" s="72">
        <f t="shared" si="17"/>
        <v>37540500</v>
      </c>
      <c r="H241" s="40">
        <v>694500</v>
      </c>
      <c r="I241" s="42">
        <f>+F241*1.2%</f>
        <v>600000</v>
      </c>
      <c r="J241" s="29">
        <v>29</v>
      </c>
      <c r="K241" s="29">
        <v>2</v>
      </c>
      <c r="L241" s="33">
        <f t="shared" si="18"/>
        <v>1294500</v>
      </c>
      <c r="M241" s="33">
        <f t="shared" si="19"/>
        <v>2589000</v>
      </c>
      <c r="N241" s="50">
        <f>F241-(H241*27)-10000000-10000000</f>
        <v>11248500</v>
      </c>
      <c r="O241" s="39" t="s">
        <v>504</v>
      </c>
      <c r="P241" s="44" t="s">
        <v>75</v>
      </c>
    </row>
    <row r="242" spans="1:16">
      <c r="A242" s="29">
        <f t="shared" si="20"/>
        <v>238</v>
      </c>
      <c r="B242" s="30" t="s">
        <v>613</v>
      </c>
      <c r="C242" s="31" t="s">
        <v>614</v>
      </c>
      <c r="D242" s="31" t="s">
        <v>615</v>
      </c>
      <c r="E242" s="32">
        <v>42993</v>
      </c>
      <c r="F242" s="43">
        <f>103092799+2577320+1213274+725000+200000+72500000-90154197</f>
        <v>90154196</v>
      </c>
      <c r="G242" s="34">
        <f t="shared" si="17"/>
        <v>81399956</v>
      </c>
      <c r="H242" s="40">
        <f>1536299-768150</f>
        <v>768149</v>
      </c>
      <c r="I242" s="35">
        <f>2163701-1081851</f>
        <v>1081850</v>
      </c>
      <c r="J242" s="29">
        <v>44</v>
      </c>
      <c r="K242" s="29">
        <v>38</v>
      </c>
      <c r="L242" s="36">
        <f t="shared" si="18"/>
        <v>1849999</v>
      </c>
      <c r="M242" s="36">
        <f t="shared" si="19"/>
        <v>70299962</v>
      </c>
      <c r="N242" s="38">
        <f>F242-(H242*6)-1000000</f>
        <v>84545302</v>
      </c>
      <c r="O242" s="100" t="s">
        <v>616</v>
      </c>
      <c r="P242" s="39" t="s">
        <v>37</v>
      </c>
    </row>
    <row r="243" spans="1:16">
      <c r="A243" s="29">
        <f t="shared" si="20"/>
        <v>239</v>
      </c>
      <c r="B243" s="30" t="s">
        <v>613</v>
      </c>
      <c r="C243" s="31" t="s">
        <v>614</v>
      </c>
      <c r="D243" s="31" t="s">
        <v>615</v>
      </c>
      <c r="E243" s="32">
        <v>42993</v>
      </c>
      <c r="F243" s="43">
        <v>90154197</v>
      </c>
      <c r="G243" s="34">
        <f t="shared" si="17"/>
        <v>81400044</v>
      </c>
      <c r="H243" s="40">
        <v>768150</v>
      </c>
      <c r="I243" s="40">
        <v>1081851</v>
      </c>
      <c r="J243" s="29">
        <v>44</v>
      </c>
      <c r="K243" s="29">
        <v>41</v>
      </c>
      <c r="L243" s="36">
        <f t="shared" si="18"/>
        <v>1850001</v>
      </c>
      <c r="M243" s="36">
        <f t="shared" si="19"/>
        <v>75850041</v>
      </c>
      <c r="N243" s="38">
        <f>F243-(H243*3)-1000000</f>
        <v>86849747</v>
      </c>
      <c r="O243" s="100" t="s">
        <v>616</v>
      </c>
      <c r="P243" s="39" t="s">
        <v>37</v>
      </c>
    </row>
    <row r="244" spans="1:16">
      <c r="A244" s="29">
        <f t="shared" si="20"/>
        <v>240</v>
      </c>
      <c r="B244" s="30" t="s">
        <v>617</v>
      </c>
      <c r="C244" s="31" t="s">
        <v>618</v>
      </c>
      <c r="D244" s="31" t="s">
        <v>619</v>
      </c>
      <c r="E244" s="32">
        <v>43089</v>
      </c>
      <c r="F244" s="43">
        <f>46522500+1163063+150000+200000+15000000-31517782</f>
        <v>31517781</v>
      </c>
      <c r="G244" s="34">
        <f t="shared" si="17"/>
        <v>28637964</v>
      </c>
      <c r="H244" s="40">
        <v>417286</v>
      </c>
      <c r="I244" s="40">
        <v>378213</v>
      </c>
      <c r="J244" s="29">
        <v>36</v>
      </c>
      <c r="K244" s="29">
        <v>34</v>
      </c>
      <c r="L244" s="36">
        <f t="shared" si="18"/>
        <v>795499</v>
      </c>
      <c r="M244" s="37">
        <f t="shared" si="19"/>
        <v>27046966</v>
      </c>
      <c r="N244" s="38">
        <f>F244-(H244*2)</f>
        <v>30683209</v>
      </c>
      <c r="O244" s="39" t="s">
        <v>160</v>
      </c>
      <c r="P244" s="39" t="s">
        <v>30</v>
      </c>
    </row>
    <row r="245" spans="1:16">
      <c r="A245" s="29">
        <f t="shared" si="20"/>
        <v>241</v>
      </c>
      <c r="B245" s="30" t="s">
        <v>617</v>
      </c>
      <c r="C245" s="31" t="s">
        <v>618</v>
      </c>
      <c r="D245" s="31" t="s">
        <v>619</v>
      </c>
      <c r="E245" s="32">
        <v>43089</v>
      </c>
      <c r="F245" s="43">
        <v>31517782</v>
      </c>
      <c r="G245" s="34">
        <f t="shared" si="17"/>
        <v>28638036</v>
      </c>
      <c r="H245" s="40">
        <v>417287</v>
      </c>
      <c r="I245" s="40">
        <v>378214</v>
      </c>
      <c r="J245" s="29">
        <v>36</v>
      </c>
      <c r="K245" s="29">
        <v>34</v>
      </c>
      <c r="L245" s="36">
        <f t="shared" si="18"/>
        <v>795501</v>
      </c>
      <c r="M245" s="37">
        <f t="shared" si="19"/>
        <v>27047034</v>
      </c>
      <c r="N245" s="38">
        <f>F245-(H245*2)</f>
        <v>30683208</v>
      </c>
      <c r="O245" s="39" t="s">
        <v>160</v>
      </c>
      <c r="P245" s="39" t="s">
        <v>30</v>
      </c>
    </row>
    <row r="246" spans="1:16">
      <c r="A246" s="29">
        <f t="shared" si="20"/>
        <v>242</v>
      </c>
      <c r="B246" s="30" t="s">
        <v>620</v>
      </c>
      <c r="C246" s="31" t="s">
        <v>621</v>
      </c>
      <c r="D246" s="41" t="s">
        <v>622</v>
      </c>
      <c r="E246" s="32">
        <v>42761</v>
      </c>
      <c r="F246" s="33">
        <f>36528488+913212+1634715+200000+160723585-100000000</f>
        <v>100000000</v>
      </c>
      <c r="G246" s="34">
        <f t="shared" si="17"/>
        <v>68202000</v>
      </c>
      <c r="H246" s="33">
        <v>694500</v>
      </c>
      <c r="I246" s="33">
        <f t="shared" ref="I246:I254" si="21">+F246*1.2%</f>
        <v>1200000</v>
      </c>
      <c r="J246" s="29">
        <v>36</v>
      </c>
      <c r="K246" s="29">
        <v>23</v>
      </c>
      <c r="L246" s="36">
        <f t="shared" si="18"/>
        <v>1894500</v>
      </c>
      <c r="M246" s="36">
        <f t="shared" si="19"/>
        <v>43573500</v>
      </c>
      <c r="N246" s="38">
        <f>F246-(H246*13)-17500000-3750000-3750000</f>
        <v>65971500</v>
      </c>
      <c r="O246" s="39" t="s">
        <v>314</v>
      </c>
      <c r="P246" s="39" t="s">
        <v>42</v>
      </c>
    </row>
    <row r="247" spans="1:16">
      <c r="A247" s="29">
        <f t="shared" si="20"/>
        <v>243</v>
      </c>
      <c r="B247" s="30" t="s">
        <v>620</v>
      </c>
      <c r="C247" s="31" t="s">
        <v>621</v>
      </c>
      <c r="D247" s="41" t="s">
        <v>622</v>
      </c>
      <c r="E247" s="32">
        <v>42761</v>
      </c>
      <c r="F247" s="33">
        <v>100000000</v>
      </c>
      <c r="G247" s="34">
        <f t="shared" si="17"/>
        <v>68202000</v>
      </c>
      <c r="H247" s="33">
        <v>694500</v>
      </c>
      <c r="I247" s="33">
        <f t="shared" si="21"/>
        <v>1200000</v>
      </c>
      <c r="J247" s="29">
        <v>36</v>
      </c>
      <c r="K247" s="29">
        <v>23</v>
      </c>
      <c r="L247" s="36">
        <f t="shared" si="18"/>
        <v>1894500</v>
      </c>
      <c r="M247" s="36">
        <f t="shared" si="19"/>
        <v>43573500</v>
      </c>
      <c r="N247" s="38">
        <f>F247-(H247*13)-17500000-3750000-3750000</f>
        <v>65971500</v>
      </c>
      <c r="O247" s="39" t="s">
        <v>314</v>
      </c>
      <c r="P247" s="39" t="s">
        <v>42</v>
      </c>
    </row>
    <row r="248" spans="1:16">
      <c r="A248" s="29">
        <f t="shared" si="20"/>
        <v>244</v>
      </c>
      <c r="B248" s="30" t="s">
        <v>620</v>
      </c>
      <c r="C248" s="31" t="s">
        <v>621</v>
      </c>
      <c r="D248" s="41" t="s">
        <v>623</v>
      </c>
      <c r="E248" s="32">
        <v>43033</v>
      </c>
      <c r="F248" s="42">
        <f>59000+5841000</f>
        <v>5900000</v>
      </c>
      <c r="G248" s="34">
        <f t="shared" si="17"/>
        <v>6756000</v>
      </c>
      <c r="H248" s="35">
        <f>563000-I248</f>
        <v>492200</v>
      </c>
      <c r="I248" s="35">
        <f t="shared" si="21"/>
        <v>70800</v>
      </c>
      <c r="J248" s="29">
        <v>12</v>
      </c>
      <c r="K248" s="29">
        <v>8</v>
      </c>
      <c r="L248" s="36">
        <f t="shared" si="18"/>
        <v>563000</v>
      </c>
      <c r="M248" s="37">
        <f t="shared" si="19"/>
        <v>4504000</v>
      </c>
      <c r="N248" s="38">
        <f>F248-(H248*4)</f>
        <v>3931200</v>
      </c>
      <c r="O248" s="39" t="s">
        <v>624</v>
      </c>
      <c r="P248" s="39" t="s">
        <v>93</v>
      </c>
    </row>
    <row r="249" spans="1:16">
      <c r="A249" s="29">
        <f t="shared" si="20"/>
        <v>245</v>
      </c>
      <c r="B249" s="33" t="s">
        <v>625</v>
      </c>
      <c r="C249" s="73" t="s">
        <v>626</v>
      </c>
      <c r="D249" s="32"/>
      <c r="E249" s="32">
        <v>42152</v>
      </c>
      <c r="F249" s="48">
        <f>8888960+222224+200000+200000+40488816</f>
        <v>50000000</v>
      </c>
      <c r="G249" s="72">
        <f t="shared" si="17"/>
        <v>41601600</v>
      </c>
      <c r="H249" s="33">
        <v>555600</v>
      </c>
      <c r="I249" s="48">
        <f t="shared" si="21"/>
        <v>600000</v>
      </c>
      <c r="J249" s="29">
        <v>36</v>
      </c>
      <c r="K249" s="29">
        <v>3</v>
      </c>
      <c r="L249" s="33">
        <f t="shared" si="18"/>
        <v>1155600</v>
      </c>
      <c r="M249" s="33">
        <f t="shared" si="19"/>
        <v>3466800</v>
      </c>
      <c r="N249" s="50">
        <f>F249-(H249*33)-10000000-10000000</f>
        <v>11665200</v>
      </c>
      <c r="O249" s="52" t="s">
        <v>627</v>
      </c>
      <c r="P249" s="52" t="s">
        <v>85</v>
      </c>
    </row>
    <row r="250" spans="1:16">
      <c r="A250" s="29">
        <f t="shared" si="20"/>
        <v>246</v>
      </c>
      <c r="B250" s="30" t="s">
        <v>628</v>
      </c>
      <c r="C250" s="31" t="s">
        <v>629</v>
      </c>
      <c r="D250" s="32"/>
      <c r="E250" s="32">
        <v>42608</v>
      </c>
      <c r="F250" s="33">
        <f>191666200+2395828+2583338+200000+253154634</f>
        <v>450000000</v>
      </c>
      <c r="G250" s="34">
        <f t="shared" si="17"/>
        <v>513600000</v>
      </c>
      <c r="H250" s="35">
        <v>5300000</v>
      </c>
      <c r="I250" s="35">
        <f t="shared" si="21"/>
        <v>5400000</v>
      </c>
      <c r="J250" s="29">
        <v>48</v>
      </c>
      <c r="K250" s="29">
        <v>30</v>
      </c>
      <c r="L250" s="36">
        <f t="shared" si="18"/>
        <v>10700000</v>
      </c>
      <c r="M250" s="36">
        <f t="shared" si="19"/>
        <v>321000000</v>
      </c>
      <c r="N250" s="38">
        <f>F250-(H250*18)-50000000</f>
        <v>304600000</v>
      </c>
      <c r="O250" s="39" t="s">
        <v>630</v>
      </c>
      <c r="P250" s="39" t="s">
        <v>144</v>
      </c>
    </row>
    <row r="251" spans="1:16">
      <c r="A251" s="29">
        <f t="shared" si="20"/>
        <v>247</v>
      </c>
      <c r="B251" s="30" t="s">
        <v>631</v>
      </c>
      <c r="C251" s="31" t="s">
        <v>632</v>
      </c>
      <c r="D251" s="41" t="s">
        <v>633</v>
      </c>
      <c r="E251" s="32">
        <v>43063</v>
      </c>
      <c r="F251" s="42">
        <f>11663000+291575+66620+200000+17778805</f>
        <v>30000000</v>
      </c>
      <c r="G251" s="34">
        <f t="shared" si="17"/>
        <v>42984000</v>
      </c>
      <c r="H251" s="35">
        <f>1194000-I251</f>
        <v>834000</v>
      </c>
      <c r="I251" s="35">
        <f t="shared" si="21"/>
        <v>360000</v>
      </c>
      <c r="J251" s="29">
        <v>36</v>
      </c>
      <c r="K251" s="29">
        <v>33</v>
      </c>
      <c r="L251" s="36">
        <f t="shared" si="18"/>
        <v>1194000</v>
      </c>
      <c r="M251" s="37">
        <f t="shared" si="19"/>
        <v>39402000</v>
      </c>
      <c r="N251" s="38">
        <f>F251-(H251*3)</f>
        <v>27498000</v>
      </c>
      <c r="O251" s="39" t="s">
        <v>634</v>
      </c>
      <c r="P251" s="39" t="s">
        <v>30</v>
      </c>
    </row>
    <row r="252" spans="1:16">
      <c r="A252" s="29">
        <f t="shared" si="20"/>
        <v>248</v>
      </c>
      <c r="B252" s="30" t="s">
        <v>635</v>
      </c>
      <c r="C252" s="31" t="s">
        <v>636</v>
      </c>
      <c r="D252" s="32"/>
      <c r="E252" s="32">
        <v>42586</v>
      </c>
      <c r="F252" s="33">
        <f>37846261+946157+234022+121537+200000+10652023</f>
        <v>50000000</v>
      </c>
      <c r="G252" s="34">
        <f t="shared" si="17"/>
        <v>64416000</v>
      </c>
      <c r="H252" s="33">
        <f>2684000-I252</f>
        <v>2084000</v>
      </c>
      <c r="I252" s="33">
        <f t="shared" si="21"/>
        <v>600000</v>
      </c>
      <c r="J252" s="29">
        <v>24</v>
      </c>
      <c r="K252" s="29">
        <v>5</v>
      </c>
      <c r="L252" s="36">
        <f t="shared" si="18"/>
        <v>2684000</v>
      </c>
      <c r="M252" s="36">
        <f t="shared" si="19"/>
        <v>13420000</v>
      </c>
      <c r="N252" s="38">
        <f>F252-(H252*19)</f>
        <v>10404000</v>
      </c>
      <c r="O252" s="39" t="s">
        <v>498</v>
      </c>
      <c r="P252" s="39" t="s">
        <v>389</v>
      </c>
    </row>
    <row r="253" spans="1:16">
      <c r="A253" s="29">
        <f t="shared" si="20"/>
        <v>249</v>
      </c>
      <c r="B253" s="30" t="s">
        <v>635</v>
      </c>
      <c r="C253" s="31" t="s">
        <v>636</v>
      </c>
      <c r="D253" s="41" t="s">
        <v>637</v>
      </c>
      <c r="E253" s="32">
        <v>42720</v>
      </c>
      <c r="F253" s="33">
        <f>100000+9900000</f>
        <v>10000000</v>
      </c>
      <c r="G253" s="34">
        <f t="shared" si="17"/>
        <v>12888000</v>
      </c>
      <c r="H253" s="33">
        <v>417000</v>
      </c>
      <c r="I253" s="33">
        <f t="shared" si="21"/>
        <v>120000</v>
      </c>
      <c r="J253" s="29">
        <v>24</v>
      </c>
      <c r="K253" s="29">
        <v>10</v>
      </c>
      <c r="L253" s="36">
        <f t="shared" si="18"/>
        <v>537000</v>
      </c>
      <c r="M253" s="36">
        <f t="shared" si="19"/>
        <v>5370000</v>
      </c>
      <c r="N253" s="38">
        <f>F253-(H253*14)</f>
        <v>4162000</v>
      </c>
      <c r="O253" s="39" t="s">
        <v>638</v>
      </c>
      <c r="P253" s="39" t="s">
        <v>639</v>
      </c>
    </row>
    <row r="254" spans="1:16">
      <c r="A254" s="29">
        <f t="shared" si="20"/>
        <v>250</v>
      </c>
      <c r="B254" s="30" t="s">
        <v>640</v>
      </c>
      <c r="C254" s="31" t="s">
        <v>641</v>
      </c>
      <c r="D254" s="32"/>
      <c r="E254" s="32">
        <v>42313</v>
      </c>
      <c r="F254" s="33">
        <f>11886000+297150+104110+700000+200000+30000000+18500000+10000000+10000000+8000000+5970000+2045000+2200000+97740</f>
        <v>100000000</v>
      </c>
      <c r="G254" s="72">
        <f t="shared" si="17"/>
        <v>53200800</v>
      </c>
      <c r="H254" s="33">
        <v>277800</v>
      </c>
      <c r="I254" s="48">
        <f t="shared" si="21"/>
        <v>1200000</v>
      </c>
      <c r="J254" s="29">
        <v>36</v>
      </c>
      <c r="K254" s="29">
        <v>8</v>
      </c>
      <c r="L254" s="33">
        <f t="shared" si="18"/>
        <v>1477800</v>
      </c>
      <c r="M254" s="33">
        <f t="shared" si="19"/>
        <v>11822400</v>
      </c>
      <c r="N254" s="50">
        <f>F254-(H254*28)-5000000-20000000-5000000-5000000-20000000-5000000-5000000</f>
        <v>27221600</v>
      </c>
      <c r="O254" s="44" t="s">
        <v>642</v>
      </c>
      <c r="P254" s="44" t="s">
        <v>75</v>
      </c>
    </row>
    <row r="255" spans="1:16">
      <c r="A255" s="29">
        <f t="shared" si="20"/>
        <v>251</v>
      </c>
      <c r="B255" s="54" t="s">
        <v>643</v>
      </c>
      <c r="C255" s="55" t="s">
        <v>644</v>
      </c>
      <c r="D255" s="86" t="s">
        <v>645</v>
      </c>
      <c r="E255" s="63">
        <v>43040</v>
      </c>
      <c r="F255" s="68">
        <f>72550880+1813772+509310+1680000+1120178+70000+200000+7000000</f>
        <v>84944140</v>
      </c>
      <c r="G255" s="85">
        <f t="shared" si="17"/>
        <v>66000000</v>
      </c>
      <c r="H255" s="87">
        <v>1180670</v>
      </c>
      <c r="I255" s="87">
        <v>1019330</v>
      </c>
      <c r="J255" s="60">
        <v>30</v>
      </c>
      <c r="K255" s="60">
        <f>29+1</f>
        <v>30</v>
      </c>
      <c r="L255" s="36">
        <f t="shared" si="18"/>
        <v>2200000</v>
      </c>
      <c r="M255" s="37">
        <f t="shared" si="19"/>
        <v>66000000</v>
      </c>
      <c r="N255" s="38">
        <f>F255-(H255*0)</f>
        <v>84944140</v>
      </c>
      <c r="O255" s="39" t="s">
        <v>67</v>
      </c>
      <c r="P255" s="39" t="s">
        <v>30</v>
      </c>
    </row>
    <row r="256" spans="1:16">
      <c r="A256" s="29">
        <f t="shared" si="20"/>
        <v>252</v>
      </c>
      <c r="B256" s="30" t="s">
        <v>646</v>
      </c>
      <c r="C256" s="31" t="s">
        <v>647</v>
      </c>
      <c r="D256" s="32"/>
      <c r="E256" s="32">
        <v>42241</v>
      </c>
      <c r="F256" s="48">
        <v>50000000</v>
      </c>
      <c r="G256" s="72">
        <f t="shared" ref="G256:G319" si="22">+J256*L256</f>
        <v>34100100</v>
      </c>
      <c r="H256" s="33">
        <f>694450/2</f>
        <v>347225</v>
      </c>
      <c r="I256" s="48">
        <f>F256*1.2%</f>
        <v>600000</v>
      </c>
      <c r="J256" s="29">
        <v>36</v>
      </c>
      <c r="K256" s="29">
        <v>6</v>
      </c>
      <c r="L256" s="33">
        <f t="shared" si="18"/>
        <v>947225</v>
      </c>
      <c r="M256" s="33">
        <f t="shared" si="19"/>
        <v>5683350</v>
      </c>
      <c r="N256" s="50">
        <f>F256-(H256*30)-12500000-12500000</f>
        <v>14583250</v>
      </c>
      <c r="O256" s="62" t="s">
        <v>488</v>
      </c>
      <c r="P256" s="65" t="s">
        <v>85</v>
      </c>
    </row>
    <row r="257" spans="1:16">
      <c r="A257" s="29">
        <f t="shared" si="20"/>
        <v>253</v>
      </c>
      <c r="B257" s="30" t="s">
        <v>646</v>
      </c>
      <c r="C257" s="31" t="s">
        <v>647</v>
      </c>
      <c r="D257" s="32"/>
      <c r="E257" s="32">
        <v>42241</v>
      </c>
      <c r="F257" s="48">
        <v>50000000</v>
      </c>
      <c r="G257" s="72">
        <f t="shared" si="22"/>
        <v>34100100</v>
      </c>
      <c r="H257" s="33">
        <v>347225</v>
      </c>
      <c r="I257" s="48">
        <f>F257*1.2%</f>
        <v>600000</v>
      </c>
      <c r="J257" s="29">
        <v>36</v>
      </c>
      <c r="K257" s="29">
        <v>6</v>
      </c>
      <c r="L257" s="33">
        <f t="shared" si="18"/>
        <v>947225</v>
      </c>
      <c r="M257" s="33">
        <f t="shared" si="19"/>
        <v>5683350</v>
      </c>
      <c r="N257" s="50">
        <f>F257-(H257*30)-12500000-12500000</f>
        <v>14583250</v>
      </c>
      <c r="O257" s="62" t="s">
        <v>488</v>
      </c>
      <c r="P257" s="65" t="s">
        <v>85</v>
      </c>
    </row>
    <row r="258" spans="1:16">
      <c r="A258" s="29">
        <f t="shared" si="20"/>
        <v>254</v>
      </c>
      <c r="B258" s="54" t="s">
        <v>648</v>
      </c>
      <c r="C258" s="55" t="s">
        <v>649</v>
      </c>
      <c r="D258" s="101"/>
      <c r="E258" s="101">
        <v>42459</v>
      </c>
      <c r="F258" s="68">
        <f>191000+23972250+2500000+604081+100000+200000+10000000</f>
        <v>37567331</v>
      </c>
      <c r="G258" s="85">
        <f t="shared" si="22"/>
        <v>31136000</v>
      </c>
      <c r="H258" s="59">
        <v>522192</v>
      </c>
      <c r="I258" s="58">
        <v>450808</v>
      </c>
      <c r="J258" s="69" t="s">
        <v>650</v>
      </c>
      <c r="K258" s="60">
        <f>14+1</f>
        <v>15</v>
      </c>
      <c r="L258" s="42">
        <f t="shared" si="18"/>
        <v>973000</v>
      </c>
      <c r="M258" s="42">
        <f t="shared" si="19"/>
        <v>14595000</v>
      </c>
      <c r="N258" s="70">
        <f>F258-(H258*17)-7000000-174500-5527000</f>
        <v>15988567</v>
      </c>
      <c r="O258" s="44" t="s">
        <v>651</v>
      </c>
      <c r="P258" s="52" t="s">
        <v>85</v>
      </c>
    </row>
    <row r="259" spans="1:16">
      <c r="A259" s="29">
        <f t="shared" si="20"/>
        <v>255</v>
      </c>
      <c r="B259" s="30" t="s">
        <v>652</v>
      </c>
      <c r="C259" s="31">
        <v>912031</v>
      </c>
      <c r="D259" s="102"/>
      <c r="E259" s="102">
        <v>41214</v>
      </c>
      <c r="F259" s="33">
        <f>26503966+2870804+662600+100646+200000+0</f>
        <v>30338016</v>
      </c>
      <c r="G259" s="48">
        <f t="shared" si="22"/>
        <v>36000000</v>
      </c>
      <c r="H259" s="33">
        <v>105605</v>
      </c>
      <c r="I259" s="48">
        <v>394395</v>
      </c>
      <c r="J259" s="103">
        <v>72</v>
      </c>
      <c r="K259" s="29">
        <v>19</v>
      </c>
      <c r="L259" s="48">
        <f t="shared" si="18"/>
        <v>500000</v>
      </c>
      <c r="M259" s="48">
        <f t="shared" si="19"/>
        <v>9500000</v>
      </c>
      <c r="N259" s="70">
        <f>F259-(H259*53)-(596936)</f>
        <v>24144015</v>
      </c>
      <c r="O259" s="44" t="s">
        <v>653</v>
      </c>
      <c r="P259" s="44" t="s">
        <v>654</v>
      </c>
    </row>
    <row r="260" spans="1:16">
      <c r="A260" s="29">
        <f t="shared" si="20"/>
        <v>256</v>
      </c>
      <c r="B260" s="30" t="s">
        <v>655</v>
      </c>
      <c r="C260" s="31" t="s">
        <v>656</v>
      </c>
      <c r="D260" s="32"/>
      <c r="E260" s="32">
        <v>42209</v>
      </c>
      <c r="F260" s="48">
        <f>700000+200000+99100000</f>
        <v>100000000</v>
      </c>
      <c r="G260" s="72">
        <f t="shared" si="22"/>
        <v>53200800</v>
      </c>
      <c r="H260" s="33">
        <v>277800</v>
      </c>
      <c r="I260" s="33">
        <f>+F260*1.2%</f>
        <v>1200000</v>
      </c>
      <c r="J260" s="29">
        <v>36</v>
      </c>
      <c r="K260" s="29">
        <v>5</v>
      </c>
      <c r="L260" s="33">
        <f t="shared" si="18"/>
        <v>1477800</v>
      </c>
      <c r="M260" s="33">
        <f t="shared" si="19"/>
        <v>7389000</v>
      </c>
      <c r="N260" s="50">
        <f>F260-(H260*31)-10000000-10000000-10000000-10000000-10000000-10000000-10000000</f>
        <v>21388200</v>
      </c>
      <c r="O260" s="62" t="s">
        <v>657</v>
      </c>
      <c r="P260" s="39" t="s">
        <v>658</v>
      </c>
    </row>
    <row r="261" spans="1:16">
      <c r="A261" s="29">
        <f t="shared" si="20"/>
        <v>257</v>
      </c>
      <c r="B261" s="30" t="s">
        <v>659</v>
      </c>
      <c r="C261" s="31" t="s">
        <v>660</v>
      </c>
      <c r="D261" s="32"/>
      <c r="E261" s="32">
        <v>42585</v>
      </c>
      <c r="F261" s="42">
        <v>33542440</v>
      </c>
      <c r="G261" s="34">
        <f t="shared" si="22"/>
        <v>21700031</v>
      </c>
      <c r="H261" s="42">
        <v>297491</v>
      </c>
      <c r="I261" s="35">
        <v>402510</v>
      </c>
      <c r="J261" s="29">
        <v>31</v>
      </c>
      <c r="K261" s="29">
        <v>12</v>
      </c>
      <c r="L261" s="36">
        <f t="shared" ref="L261:L324" si="23">+H261+I261</f>
        <v>700001</v>
      </c>
      <c r="M261" s="36">
        <f t="shared" ref="M261:M324" si="24">+K261*L261</f>
        <v>8400012</v>
      </c>
      <c r="N261" s="38">
        <f>F261-(H261*19)-1500000-8500000-1500000-1500000</f>
        <v>14890111</v>
      </c>
      <c r="O261" s="39" t="s">
        <v>661</v>
      </c>
      <c r="P261" s="39" t="s">
        <v>389</v>
      </c>
    </row>
    <row r="262" spans="1:16">
      <c r="A262" s="29">
        <f t="shared" ref="A262:A325" si="25">+A261+1</f>
        <v>258</v>
      </c>
      <c r="B262" s="30" t="s">
        <v>659</v>
      </c>
      <c r="C262" s="31" t="s">
        <v>660</v>
      </c>
      <c r="D262" s="32"/>
      <c r="E262" s="32">
        <v>42585</v>
      </c>
      <c r="F262" s="42">
        <f>6250000+156250+116129+362500+200000+60000000-33542440</f>
        <v>33542439</v>
      </c>
      <c r="G262" s="34">
        <f t="shared" si="22"/>
        <v>21699969</v>
      </c>
      <c r="H262" s="35">
        <v>297490</v>
      </c>
      <c r="I262" s="35">
        <v>402509</v>
      </c>
      <c r="J262" s="29">
        <v>31</v>
      </c>
      <c r="K262" s="29">
        <v>12</v>
      </c>
      <c r="L262" s="36">
        <f t="shared" si="23"/>
        <v>699999</v>
      </c>
      <c r="M262" s="36">
        <f t="shared" si="24"/>
        <v>8399988</v>
      </c>
      <c r="N262" s="38">
        <f>F262-(H262*19)-1500000-8500000-1500000-1500000</f>
        <v>14890129</v>
      </c>
      <c r="O262" s="39" t="s">
        <v>661</v>
      </c>
      <c r="P262" s="39" t="s">
        <v>389</v>
      </c>
    </row>
    <row r="263" spans="1:16">
      <c r="A263" s="29">
        <f t="shared" si="25"/>
        <v>259</v>
      </c>
      <c r="B263" s="30" t="s">
        <v>662</v>
      </c>
      <c r="C263" s="31" t="s">
        <v>663</v>
      </c>
      <c r="D263" s="32"/>
      <c r="E263" s="32">
        <v>42619</v>
      </c>
      <c r="F263" s="33">
        <f>19165800+479145+177290+100000+200000+19877765</f>
        <v>40000000</v>
      </c>
      <c r="G263" s="34">
        <f t="shared" si="22"/>
        <v>26000000</v>
      </c>
      <c r="H263" s="33">
        <v>560000</v>
      </c>
      <c r="I263" s="33">
        <f>+F263*1.2%</f>
        <v>480000</v>
      </c>
      <c r="J263" s="29">
        <v>25</v>
      </c>
      <c r="K263" s="29">
        <v>7</v>
      </c>
      <c r="L263" s="36">
        <f t="shared" si="23"/>
        <v>1040000</v>
      </c>
      <c r="M263" s="36">
        <f t="shared" si="24"/>
        <v>7280000</v>
      </c>
      <c r="N263" s="38">
        <f>F263-(H263*18)-3000000-7000000-3000000-3000000</f>
        <v>13920000</v>
      </c>
      <c r="O263" s="39" t="s">
        <v>664</v>
      </c>
      <c r="P263" s="39" t="s">
        <v>144</v>
      </c>
    </row>
    <row r="264" spans="1:16">
      <c r="A264" s="29">
        <f t="shared" si="25"/>
        <v>260</v>
      </c>
      <c r="B264" s="30" t="s">
        <v>665</v>
      </c>
      <c r="C264" s="31" t="s">
        <v>666</v>
      </c>
      <c r="D264" s="32"/>
      <c r="E264" s="32">
        <v>42284</v>
      </c>
      <c r="F264" s="33">
        <f>26666400+666660+153290+466664+200000+50000000</f>
        <v>78153014</v>
      </c>
      <c r="G264" s="72">
        <f t="shared" si="22"/>
        <v>46500000</v>
      </c>
      <c r="H264" s="33">
        <v>562164</v>
      </c>
      <c r="I264" s="48">
        <v>937836</v>
      </c>
      <c r="J264" s="29">
        <v>31</v>
      </c>
      <c r="K264" s="29">
        <v>2</v>
      </c>
      <c r="L264" s="33">
        <f t="shared" si="23"/>
        <v>1500000</v>
      </c>
      <c r="M264" s="33">
        <f t="shared" si="24"/>
        <v>3000000</v>
      </c>
      <c r="N264" s="50">
        <f>F264-(H264*29)-25000000-25000000</f>
        <v>11850258</v>
      </c>
      <c r="O264" s="39" t="s">
        <v>667</v>
      </c>
      <c r="P264" s="39" t="s">
        <v>85</v>
      </c>
    </row>
    <row r="265" spans="1:16">
      <c r="A265" s="29">
        <f t="shared" si="25"/>
        <v>261</v>
      </c>
      <c r="B265" s="30" t="s">
        <v>668</v>
      </c>
      <c r="C265" s="31" t="s">
        <v>669</v>
      </c>
      <c r="D265" s="31" t="s">
        <v>670</v>
      </c>
      <c r="E265" s="32">
        <v>42944</v>
      </c>
      <c r="F265" s="43">
        <f>152760000+3819000+350000+200000+35000000</f>
        <v>192129000</v>
      </c>
      <c r="G265" s="34">
        <f t="shared" si="22"/>
        <v>182856000</v>
      </c>
      <c r="H265" s="40">
        <v>1503952</v>
      </c>
      <c r="I265" s="40">
        <v>2305548</v>
      </c>
      <c r="J265" s="29">
        <v>48</v>
      </c>
      <c r="K265" s="29">
        <v>41</v>
      </c>
      <c r="L265" s="36">
        <f t="shared" si="23"/>
        <v>3809500</v>
      </c>
      <c r="M265" s="37">
        <f t="shared" si="24"/>
        <v>156189500</v>
      </c>
      <c r="N265" s="38">
        <f>F265-(H265*7)-4000000</f>
        <v>177601336</v>
      </c>
      <c r="O265" s="39" t="s">
        <v>671</v>
      </c>
      <c r="P265" s="39" t="s">
        <v>30</v>
      </c>
    </row>
    <row r="266" spans="1:16">
      <c r="A266" s="29">
        <f t="shared" si="25"/>
        <v>262</v>
      </c>
      <c r="B266" s="30" t="s">
        <v>672</v>
      </c>
      <c r="C266" s="31" t="s">
        <v>673</v>
      </c>
      <c r="D266" s="41" t="s">
        <v>674</v>
      </c>
      <c r="E266" s="32">
        <v>43013</v>
      </c>
      <c r="F266" s="42">
        <f>45270000+1131750+358581+500000+200000+50000000</f>
        <v>97460331</v>
      </c>
      <c r="G266" s="34">
        <f t="shared" si="22"/>
        <v>87990000</v>
      </c>
      <c r="H266" s="35">
        <v>1344476</v>
      </c>
      <c r="I266" s="35">
        <v>1169524</v>
      </c>
      <c r="J266" s="29">
        <v>35</v>
      </c>
      <c r="K266" s="29">
        <v>30</v>
      </c>
      <c r="L266" s="36">
        <f t="shared" si="23"/>
        <v>2514000</v>
      </c>
      <c r="M266" s="37">
        <f t="shared" si="24"/>
        <v>75420000</v>
      </c>
      <c r="N266" s="38">
        <f>F266-(H266*5)</f>
        <v>90737951</v>
      </c>
      <c r="O266" s="39" t="s">
        <v>675</v>
      </c>
      <c r="P266" s="39" t="s">
        <v>30</v>
      </c>
    </row>
    <row r="267" spans="1:16">
      <c r="A267" s="29">
        <f t="shared" si="25"/>
        <v>263</v>
      </c>
      <c r="B267" s="30" t="s">
        <v>676</v>
      </c>
      <c r="C267" s="31" t="s">
        <v>677</v>
      </c>
      <c r="D267" s="31" t="s">
        <v>678</v>
      </c>
      <c r="E267" s="32">
        <v>43125</v>
      </c>
      <c r="F267" s="43">
        <f>32212500+805313+100000+200000+10000000</f>
        <v>43317813</v>
      </c>
      <c r="G267" s="34">
        <f t="shared" si="22"/>
        <v>62064000</v>
      </c>
      <c r="H267" s="40">
        <v>1204186</v>
      </c>
      <c r="I267" s="40">
        <v>519814</v>
      </c>
      <c r="J267" s="29">
        <v>36</v>
      </c>
      <c r="K267" s="29">
        <v>35</v>
      </c>
      <c r="L267" s="36">
        <f t="shared" si="23"/>
        <v>1724000</v>
      </c>
      <c r="M267" s="37">
        <f t="shared" si="24"/>
        <v>60340000</v>
      </c>
      <c r="N267" s="38">
        <f>F267-(H267*1)</f>
        <v>42113627</v>
      </c>
      <c r="O267" s="39" t="s">
        <v>536</v>
      </c>
      <c r="P267" s="39" t="s">
        <v>42</v>
      </c>
    </row>
    <row r="268" spans="1:16">
      <c r="A268" s="29">
        <f t="shared" si="25"/>
        <v>264</v>
      </c>
      <c r="B268" s="30" t="s">
        <v>679</v>
      </c>
      <c r="C268" s="31" t="s">
        <v>680</v>
      </c>
      <c r="D268" s="31" t="s">
        <v>681</v>
      </c>
      <c r="E268" s="32">
        <v>42886</v>
      </c>
      <c r="F268" s="42">
        <f>23606000+590150+100000+200000+15503850</f>
        <v>40000000</v>
      </c>
      <c r="G268" s="34">
        <f t="shared" si="22"/>
        <v>57330000</v>
      </c>
      <c r="H268" s="40">
        <v>1112500</v>
      </c>
      <c r="I268" s="33">
        <f>+F268*1.2%</f>
        <v>480000</v>
      </c>
      <c r="J268" s="29">
        <v>36</v>
      </c>
      <c r="K268" s="29">
        <v>27</v>
      </c>
      <c r="L268" s="36">
        <f t="shared" si="23"/>
        <v>1592500</v>
      </c>
      <c r="M268" s="37">
        <f t="shared" si="24"/>
        <v>42997500</v>
      </c>
      <c r="N268" s="38">
        <f>F268-(H268*9)</f>
        <v>29987500</v>
      </c>
      <c r="O268" s="44" t="s">
        <v>682</v>
      </c>
      <c r="P268" s="44" t="s">
        <v>376</v>
      </c>
    </row>
    <row r="269" spans="1:16">
      <c r="A269" s="29">
        <f t="shared" si="25"/>
        <v>265</v>
      </c>
      <c r="B269" s="30" t="s">
        <v>683</v>
      </c>
      <c r="C269" s="31" t="s">
        <v>684</v>
      </c>
      <c r="D269" s="31" t="s">
        <v>685</v>
      </c>
      <c r="E269" s="32">
        <v>42941</v>
      </c>
      <c r="F269" s="43">
        <f>1850192+46255+200000+200000+47703553</f>
        <v>50000000</v>
      </c>
      <c r="G269" s="34">
        <f t="shared" si="22"/>
        <v>35000000</v>
      </c>
      <c r="H269" s="40">
        <v>400000</v>
      </c>
      <c r="I269" s="40">
        <f>+F269*1.2%</f>
        <v>600000</v>
      </c>
      <c r="J269" s="29">
        <v>35</v>
      </c>
      <c r="K269" s="29">
        <v>28</v>
      </c>
      <c r="L269" s="36">
        <f t="shared" si="23"/>
        <v>1000000</v>
      </c>
      <c r="M269" s="37">
        <f t="shared" si="24"/>
        <v>28000000</v>
      </c>
      <c r="N269" s="38">
        <f>F269-(H269*7)</f>
        <v>47200000</v>
      </c>
      <c r="O269" s="44" t="s">
        <v>686</v>
      </c>
      <c r="P269" s="39" t="s">
        <v>30</v>
      </c>
    </row>
    <row r="270" spans="1:16">
      <c r="A270" s="29">
        <f t="shared" si="25"/>
        <v>266</v>
      </c>
      <c r="B270" s="30" t="s">
        <v>687</v>
      </c>
      <c r="C270" s="31" t="s">
        <v>688</v>
      </c>
      <c r="D270" s="31" t="s">
        <v>689</v>
      </c>
      <c r="E270" s="32">
        <v>42943</v>
      </c>
      <c r="F270" s="43">
        <f>27515510+687888+224845+200000+21371757-25000000</f>
        <v>25000000</v>
      </c>
      <c r="G270" s="34">
        <f t="shared" si="22"/>
        <v>21375750</v>
      </c>
      <c r="H270" s="40">
        <v>347750</v>
      </c>
      <c r="I270" s="40">
        <f>+F270*1.2%</f>
        <v>300000</v>
      </c>
      <c r="J270" s="29">
        <v>33</v>
      </c>
      <c r="K270" s="29">
        <v>26</v>
      </c>
      <c r="L270" s="36">
        <f t="shared" si="23"/>
        <v>647750</v>
      </c>
      <c r="M270" s="37">
        <f t="shared" si="24"/>
        <v>16841500</v>
      </c>
      <c r="N270" s="38">
        <f>F270-(H270*7)</f>
        <v>22565750</v>
      </c>
      <c r="O270" s="39" t="s">
        <v>46</v>
      </c>
      <c r="P270" s="39" t="s">
        <v>30</v>
      </c>
    </row>
    <row r="271" spans="1:16">
      <c r="A271" s="29">
        <f t="shared" si="25"/>
        <v>267</v>
      </c>
      <c r="B271" s="30" t="s">
        <v>687</v>
      </c>
      <c r="C271" s="31" t="s">
        <v>688</v>
      </c>
      <c r="D271" s="31" t="s">
        <v>689</v>
      </c>
      <c r="E271" s="32">
        <v>42943</v>
      </c>
      <c r="F271" s="43">
        <v>25000000</v>
      </c>
      <c r="G271" s="34">
        <f t="shared" si="22"/>
        <v>21375750</v>
      </c>
      <c r="H271" s="43">
        <v>347750</v>
      </c>
      <c r="I271" s="40">
        <f>+F271*1.2%</f>
        <v>300000</v>
      </c>
      <c r="J271" s="29">
        <v>33</v>
      </c>
      <c r="K271" s="29">
        <v>26</v>
      </c>
      <c r="L271" s="36">
        <f t="shared" si="23"/>
        <v>647750</v>
      </c>
      <c r="M271" s="37">
        <f t="shared" si="24"/>
        <v>16841500</v>
      </c>
      <c r="N271" s="38">
        <f>F271-(H271*7)</f>
        <v>22565750</v>
      </c>
      <c r="O271" s="39" t="s">
        <v>46</v>
      </c>
      <c r="P271" s="39" t="s">
        <v>30</v>
      </c>
    </row>
    <row r="272" spans="1:16">
      <c r="A272" s="29">
        <f t="shared" si="25"/>
        <v>268</v>
      </c>
      <c r="B272" s="30" t="s">
        <v>690</v>
      </c>
      <c r="C272" s="31" t="s">
        <v>691</v>
      </c>
      <c r="D272" s="41" t="s">
        <v>692</v>
      </c>
      <c r="E272" s="32">
        <v>42892</v>
      </c>
      <c r="F272" s="42">
        <f>61946606+2300000-1231808+1548665+594866+200000-32679165</f>
        <v>32679164</v>
      </c>
      <c r="G272" s="34">
        <f t="shared" si="22"/>
        <v>24000000</v>
      </c>
      <c r="H272" s="35">
        <v>357850</v>
      </c>
      <c r="I272" s="33">
        <v>392150</v>
      </c>
      <c r="J272" s="29">
        <v>32</v>
      </c>
      <c r="K272" s="29">
        <v>23</v>
      </c>
      <c r="L272" s="36">
        <f t="shared" si="23"/>
        <v>750000</v>
      </c>
      <c r="M272" s="37">
        <f t="shared" si="24"/>
        <v>17250000</v>
      </c>
      <c r="N272" s="38">
        <f>F272-(H272*9)-3750000</f>
        <v>25708514</v>
      </c>
      <c r="O272" s="39" t="s">
        <v>693</v>
      </c>
      <c r="P272" s="39" t="s">
        <v>136</v>
      </c>
    </row>
    <row r="273" spans="1:16">
      <c r="A273" s="29">
        <f t="shared" si="25"/>
        <v>269</v>
      </c>
      <c r="B273" s="30" t="s">
        <v>690</v>
      </c>
      <c r="C273" s="31" t="s">
        <v>691</v>
      </c>
      <c r="D273" s="41" t="s">
        <v>692</v>
      </c>
      <c r="E273" s="32">
        <v>42892</v>
      </c>
      <c r="F273" s="42">
        <v>32679165</v>
      </c>
      <c r="G273" s="34">
        <f t="shared" si="22"/>
        <v>24000000</v>
      </c>
      <c r="H273" s="35">
        <v>357850</v>
      </c>
      <c r="I273" s="35">
        <v>392150</v>
      </c>
      <c r="J273" s="29">
        <v>32</v>
      </c>
      <c r="K273" s="29">
        <v>23</v>
      </c>
      <c r="L273" s="36">
        <f t="shared" si="23"/>
        <v>750000</v>
      </c>
      <c r="M273" s="37">
        <f t="shared" si="24"/>
        <v>17250000</v>
      </c>
      <c r="N273" s="38">
        <f>F273-(H273*9)-3750000</f>
        <v>25708515</v>
      </c>
      <c r="O273" s="39" t="s">
        <v>693</v>
      </c>
      <c r="P273" s="39" t="s">
        <v>136</v>
      </c>
    </row>
    <row r="274" spans="1:16">
      <c r="A274" s="29">
        <f t="shared" si="25"/>
        <v>270</v>
      </c>
      <c r="B274" s="30" t="s">
        <v>694</v>
      </c>
      <c r="C274" s="31" t="s">
        <v>695</v>
      </c>
      <c r="D274" s="31" t="s">
        <v>696</v>
      </c>
      <c r="E274" s="32">
        <v>42985</v>
      </c>
      <c r="F274" s="33">
        <f>52504288+1312607+635385+474957+200000+44872763-50000000</f>
        <v>50000000</v>
      </c>
      <c r="G274" s="34">
        <f t="shared" si="22"/>
        <v>37547750</v>
      </c>
      <c r="H274" s="35">
        <v>694750</v>
      </c>
      <c r="I274" s="35">
        <f>+F274*1.2%</f>
        <v>600000</v>
      </c>
      <c r="J274" s="29">
        <v>29</v>
      </c>
      <c r="K274" s="29">
        <v>23</v>
      </c>
      <c r="L274" s="36">
        <f t="shared" si="23"/>
        <v>1294750</v>
      </c>
      <c r="M274" s="36">
        <f t="shared" si="24"/>
        <v>29779250</v>
      </c>
      <c r="N274" s="38">
        <f>F274-(H274*6)-5000000</f>
        <v>40831500</v>
      </c>
      <c r="O274" s="39" t="s">
        <v>697</v>
      </c>
      <c r="P274" s="39" t="s">
        <v>37</v>
      </c>
    </row>
    <row r="275" spans="1:16">
      <c r="A275" s="29">
        <f t="shared" si="25"/>
        <v>271</v>
      </c>
      <c r="B275" s="30" t="s">
        <v>694</v>
      </c>
      <c r="C275" s="31" t="s">
        <v>695</v>
      </c>
      <c r="D275" s="31" t="s">
        <v>696</v>
      </c>
      <c r="E275" s="32">
        <v>42985</v>
      </c>
      <c r="F275" s="33">
        <v>50000000</v>
      </c>
      <c r="G275" s="34">
        <f t="shared" si="22"/>
        <v>37547750</v>
      </c>
      <c r="H275" s="33">
        <v>694750</v>
      </c>
      <c r="I275" s="35">
        <f>+F275*1.2%</f>
        <v>600000</v>
      </c>
      <c r="J275" s="29">
        <v>29</v>
      </c>
      <c r="K275" s="29">
        <v>23</v>
      </c>
      <c r="L275" s="36">
        <f t="shared" si="23"/>
        <v>1294750</v>
      </c>
      <c r="M275" s="36">
        <f t="shared" si="24"/>
        <v>29779250</v>
      </c>
      <c r="N275" s="38">
        <f>F275-(H275*6)-5000000</f>
        <v>40831500</v>
      </c>
      <c r="O275" s="39" t="s">
        <v>697</v>
      </c>
      <c r="P275" s="39" t="s">
        <v>37</v>
      </c>
    </row>
    <row r="276" spans="1:16">
      <c r="A276" s="29">
        <f t="shared" si="25"/>
        <v>272</v>
      </c>
      <c r="B276" s="30" t="s">
        <v>698</v>
      </c>
      <c r="C276" s="31" t="s">
        <v>699</v>
      </c>
      <c r="D276" s="32"/>
      <c r="E276" s="32">
        <v>42180</v>
      </c>
      <c r="F276" s="48">
        <f>17500000</f>
        <v>17500000</v>
      </c>
      <c r="G276" s="72">
        <f t="shared" si="22"/>
        <v>16764700</v>
      </c>
      <c r="H276" s="33">
        <v>243100</v>
      </c>
      <c r="I276" s="48">
        <f>F276*1.2%</f>
        <v>210000</v>
      </c>
      <c r="J276" s="29">
        <v>37</v>
      </c>
      <c r="K276" s="29">
        <v>5</v>
      </c>
      <c r="L276" s="33">
        <f t="shared" si="23"/>
        <v>453100</v>
      </c>
      <c r="M276" s="33">
        <f t="shared" si="24"/>
        <v>2265500</v>
      </c>
      <c r="N276" s="50">
        <f>F276-(H276*32)-900000-1500000-500000-900000-1500000-500000-900000</f>
        <v>3020800</v>
      </c>
      <c r="O276" s="62" t="s">
        <v>700</v>
      </c>
      <c r="P276" s="65" t="s">
        <v>70</v>
      </c>
    </row>
    <row r="277" spans="1:16">
      <c r="A277" s="29">
        <f t="shared" si="25"/>
        <v>273</v>
      </c>
      <c r="B277" s="30" t="s">
        <v>698</v>
      </c>
      <c r="C277" s="31" t="s">
        <v>699</v>
      </c>
      <c r="D277" s="32"/>
      <c r="E277" s="32">
        <v>42180</v>
      </c>
      <c r="F277" s="48">
        <f>17500000</f>
        <v>17500000</v>
      </c>
      <c r="G277" s="72">
        <f t="shared" si="22"/>
        <v>16764700</v>
      </c>
      <c r="H277" s="33">
        <v>243100</v>
      </c>
      <c r="I277" s="48">
        <f>F277*1.2%</f>
        <v>210000</v>
      </c>
      <c r="J277" s="29">
        <v>37</v>
      </c>
      <c r="K277" s="29">
        <v>5</v>
      </c>
      <c r="L277" s="33">
        <f t="shared" si="23"/>
        <v>453100</v>
      </c>
      <c r="M277" s="33">
        <f t="shared" si="24"/>
        <v>2265500</v>
      </c>
      <c r="N277" s="50">
        <f>F277-(H277*32)-900000-1500000-500000-900000-1500000-500000-900000</f>
        <v>3020800</v>
      </c>
      <c r="O277" s="62" t="s">
        <v>700</v>
      </c>
      <c r="P277" s="65" t="s">
        <v>70</v>
      </c>
    </row>
    <row r="278" spans="1:16">
      <c r="A278" s="29">
        <f t="shared" si="25"/>
        <v>274</v>
      </c>
      <c r="B278" s="30" t="s">
        <v>701</v>
      </c>
      <c r="C278" s="31" t="s">
        <v>702</v>
      </c>
      <c r="D278" s="31" t="s">
        <v>703</v>
      </c>
      <c r="E278" s="32">
        <v>43089</v>
      </c>
      <c r="F278" s="43">
        <f>54775266+1369382+252247+200000+23403105</f>
        <v>80000000</v>
      </c>
      <c r="G278" s="34">
        <f t="shared" si="22"/>
        <v>68000000</v>
      </c>
      <c r="H278" s="40">
        <v>1040000</v>
      </c>
      <c r="I278" s="40">
        <f>+F278*1.2%</f>
        <v>960000</v>
      </c>
      <c r="J278" s="29">
        <v>34</v>
      </c>
      <c r="K278" s="29">
        <v>32</v>
      </c>
      <c r="L278" s="36">
        <f t="shared" si="23"/>
        <v>2000000</v>
      </c>
      <c r="M278" s="37">
        <f t="shared" si="24"/>
        <v>64000000</v>
      </c>
      <c r="N278" s="38">
        <f>F278-(H278*2)</f>
        <v>77920000</v>
      </c>
      <c r="O278" s="39" t="s">
        <v>704</v>
      </c>
      <c r="P278" s="39" t="s">
        <v>30</v>
      </c>
    </row>
    <row r="279" spans="1:16">
      <c r="A279" s="29">
        <f t="shared" si="25"/>
        <v>275</v>
      </c>
      <c r="B279" s="30" t="s">
        <v>705</v>
      </c>
      <c r="C279" s="31" t="s">
        <v>706</v>
      </c>
      <c r="D279" s="41" t="s">
        <v>707</v>
      </c>
      <c r="E279" s="32">
        <v>42972</v>
      </c>
      <c r="F279" s="42">
        <f>31082678+777067+500000+200000+50000000</f>
        <v>82559745</v>
      </c>
      <c r="G279" s="34">
        <f t="shared" si="22"/>
        <v>76248000</v>
      </c>
      <c r="H279" s="35">
        <v>1127283</v>
      </c>
      <c r="I279" s="35">
        <v>990717</v>
      </c>
      <c r="J279" s="29">
        <v>36</v>
      </c>
      <c r="K279" s="29">
        <v>30</v>
      </c>
      <c r="L279" s="36">
        <f t="shared" si="23"/>
        <v>2118000</v>
      </c>
      <c r="M279" s="37">
        <f t="shared" si="24"/>
        <v>63540000</v>
      </c>
      <c r="N279" s="38">
        <f>F279-(H279*6)-2000000</f>
        <v>73796047</v>
      </c>
      <c r="O279" s="39" t="s">
        <v>198</v>
      </c>
      <c r="P279" s="39" t="s">
        <v>30</v>
      </c>
    </row>
    <row r="280" spans="1:16">
      <c r="A280" s="29">
        <f t="shared" si="25"/>
        <v>276</v>
      </c>
      <c r="B280" s="30" t="s">
        <v>708</v>
      </c>
      <c r="C280" s="31" t="s">
        <v>709</v>
      </c>
      <c r="D280" s="32"/>
      <c r="E280" s="32">
        <v>42647</v>
      </c>
      <c r="F280" s="33">
        <f>10555800+263895+216774+405558+200000+60000000</f>
        <v>71642027</v>
      </c>
      <c r="G280" s="34">
        <f t="shared" si="22"/>
        <v>57505000</v>
      </c>
      <c r="H280" s="33">
        <v>995296</v>
      </c>
      <c r="I280" s="33">
        <v>859704</v>
      </c>
      <c r="J280" s="29">
        <v>31</v>
      </c>
      <c r="K280" s="29">
        <v>14</v>
      </c>
      <c r="L280" s="36">
        <f t="shared" si="23"/>
        <v>1855000</v>
      </c>
      <c r="M280" s="36">
        <f t="shared" si="24"/>
        <v>25970000</v>
      </c>
      <c r="N280" s="38">
        <f>F280-(H280*17)-20000000</f>
        <v>34721995</v>
      </c>
      <c r="O280" s="39" t="s">
        <v>710</v>
      </c>
      <c r="P280" s="39" t="s">
        <v>80</v>
      </c>
    </row>
    <row r="281" spans="1:16">
      <c r="A281" s="29">
        <f t="shared" si="25"/>
        <v>277</v>
      </c>
      <c r="B281" s="30" t="s">
        <v>711</v>
      </c>
      <c r="C281" s="31" t="s">
        <v>712</v>
      </c>
      <c r="D281" s="41" t="s">
        <v>713</v>
      </c>
      <c r="E281" s="32">
        <v>42930</v>
      </c>
      <c r="F281" s="42">
        <f>48954000+1223850+616452+260460+200000+23745238</f>
        <v>75000000</v>
      </c>
      <c r="G281" s="34">
        <f t="shared" si="22"/>
        <v>69930000</v>
      </c>
      <c r="H281" s="35">
        <v>1042500</v>
      </c>
      <c r="I281" s="35">
        <f>+F281*1.2%</f>
        <v>900000</v>
      </c>
      <c r="J281" s="29">
        <v>36</v>
      </c>
      <c r="K281" s="29">
        <v>28</v>
      </c>
      <c r="L281" s="36">
        <f t="shared" si="23"/>
        <v>1942500</v>
      </c>
      <c r="M281" s="37">
        <f t="shared" si="24"/>
        <v>54390000</v>
      </c>
      <c r="N281" s="38">
        <f>F281-(H281*8)</f>
        <v>66660000</v>
      </c>
      <c r="O281" s="39" t="s">
        <v>397</v>
      </c>
      <c r="P281" s="39" t="s">
        <v>42</v>
      </c>
    </row>
    <row r="282" spans="1:16">
      <c r="A282" s="29">
        <f t="shared" si="25"/>
        <v>278</v>
      </c>
      <c r="B282" s="30" t="s">
        <v>711</v>
      </c>
      <c r="C282" s="31" t="s">
        <v>712</v>
      </c>
      <c r="D282" s="41" t="s">
        <v>714</v>
      </c>
      <c r="E282" s="32">
        <v>43003</v>
      </c>
      <c r="F282" s="42">
        <f>100000+9900000</f>
        <v>10000000</v>
      </c>
      <c r="G282" s="34">
        <f t="shared" si="22"/>
        <v>14328000</v>
      </c>
      <c r="H282" s="35">
        <v>278000</v>
      </c>
      <c r="I282" s="35">
        <f>+F282*1.2%</f>
        <v>120000</v>
      </c>
      <c r="J282" s="29">
        <v>36</v>
      </c>
      <c r="K282" s="29">
        <v>31</v>
      </c>
      <c r="L282" s="36">
        <f t="shared" si="23"/>
        <v>398000</v>
      </c>
      <c r="M282" s="37">
        <f t="shared" si="24"/>
        <v>12338000</v>
      </c>
      <c r="N282" s="38">
        <f>F282-(H282*5)</f>
        <v>8610000</v>
      </c>
      <c r="O282" s="39" t="s">
        <v>397</v>
      </c>
      <c r="P282" s="39" t="s">
        <v>93</v>
      </c>
    </row>
    <row r="283" spans="1:16">
      <c r="A283" s="29">
        <f t="shared" si="25"/>
        <v>279</v>
      </c>
      <c r="B283" s="30" t="s">
        <v>715</v>
      </c>
      <c r="C283" s="31" t="s">
        <v>716</v>
      </c>
      <c r="D283" s="32"/>
      <c r="E283" s="32">
        <v>42515</v>
      </c>
      <c r="F283" s="42">
        <f>49388700+1234718+506113+200000+48670469</f>
        <v>100000000</v>
      </c>
      <c r="G283" s="48">
        <f t="shared" si="22"/>
        <v>93204000</v>
      </c>
      <c r="H283" s="33">
        <v>1389000</v>
      </c>
      <c r="I283" s="48">
        <f>+F283*1.2%</f>
        <v>1200000</v>
      </c>
      <c r="J283" s="29">
        <v>36</v>
      </c>
      <c r="K283" s="29">
        <v>15</v>
      </c>
      <c r="L283" s="33">
        <f t="shared" si="23"/>
        <v>2589000</v>
      </c>
      <c r="M283" s="33">
        <f t="shared" si="24"/>
        <v>38835000</v>
      </c>
      <c r="N283" s="82">
        <f>F283-(H283*21)-3000000-4000000-10000000-3000000-4000000</f>
        <v>46831000</v>
      </c>
      <c r="O283" s="39" t="s">
        <v>657</v>
      </c>
      <c r="P283" s="52" t="s">
        <v>85</v>
      </c>
    </row>
    <row r="284" spans="1:16">
      <c r="A284" s="29">
        <f t="shared" si="25"/>
        <v>280</v>
      </c>
      <c r="B284" s="30" t="s">
        <v>717</v>
      </c>
      <c r="C284" s="31" t="s">
        <v>716</v>
      </c>
      <c r="D284" s="32"/>
      <c r="E284" s="32">
        <v>42551</v>
      </c>
      <c r="F284" s="42">
        <f>1300000</f>
        <v>1300000</v>
      </c>
      <c r="G284" s="34">
        <f t="shared" si="22"/>
        <v>1680000</v>
      </c>
      <c r="H284" s="35">
        <v>54400</v>
      </c>
      <c r="I284" s="35">
        <f>+F284*1.2%</f>
        <v>15600</v>
      </c>
      <c r="J284" s="29">
        <v>24</v>
      </c>
      <c r="K284" s="29">
        <v>4</v>
      </c>
      <c r="L284" s="48">
        <f t="shared" si="23"/>
        <v>70000</v>
      </c>
      <c r="M284" s="48">
        <f t="shared" si="24"/>
        <v>280000</v>
      </c>
      <c r="N284" s="38">
        <f>F284-(H284*20)</f>
        <v>212000</v>
      </c>
      <c r="O284" s="39" t="s">
        <v>718</v>
      </c>
      <c r="P284" s="39" t="s">
        <v>32</v>
      </c>
    </row>
    <row r="285" spans="1:16">
      <c r="A285" s="29">
        <f t="shared" si="25"/>
        <v>281</v>
      </c>
      <c r="B285" s="30" t="s">
        <v>719</v>
      </c>
      <c r="C285" s="31" t="s">
        <v>720</v>
      </c>
      <c r="D285" s="31" t="s">
        <v>721</v>
      </c>
      <c r="E285" s="32">
        <v>42906</v>
      </c>
      <c r="F285" s="33">
        <f>1163940+68344180+1737703+404919+200000+38149258-55000000</f>
        <v>55000000</v>
      </c>
      <c r="G285" s="34">
        <f t="shared" si="22"/>
        <v>48771000</v>
      </c>
      <c r="H285" s="35">
        <v>694750</v>
      </c>
      <c r="I285" s="35">
        <f>F285*1.2%</f>
        <v>660000</v>
      </c>
      <c r="J285" s="29">
        <v>36</v>
      </c>
      <c r="K285" s="29">
        <v>28</v>
      </c>
      <c r="L285" s="36">
        <f t="shared" si="23"/>
        <v>1354750</v>
      </c>
      <c r="M285" s="37">
        <f t="shared" si="24"/>
        <v>37933000</v>
      </c>
      <c r="N285" s="38">
        <f>F285-(H285*8)-1250000</f>
        <v>48192000</v>
      </c>
      <c r="O285" s="39" t="s">
        <v>624</v>
      </c>
      <c r="P285" s="39" t="s">
        <v>80</v>
      </c>
    </row>
    <row r="286" spans="1:16">
      <c r="A286" s="29">
        <f t="shared" si="25"/>
        <v>282</v>
      </c>
      <c r="B286" s="30" t="s">
        <v>719</v>
      </c>
      <c r="C286" s="31" t="s">
        <v>720</v>
      </c>
      <c r="D286" s="31" t="s">
        <v>721</v>
      </c>
      <c r="E286" s="32">
        <v>42906</v>
      </c>
      <c r="F286" s="33">
        <v>55000000</v>
      </c>
      <c r="G286" s="34">
        <f t="shared" si="22"/>
        <v>48771000</v>
      </c>
      <c r="H286" s="33">
        <v>694750</v>
      </c>
      <c r="I286" s="35">
        <f>F286*1.2%</f>
        <v>660000</v>
      </c>
      <c r="J286" s="29">
        <v>36</v>
      </c>
      <c r="K286" s="29">
        <v>28</v>
      </c>
      <c r="L286" s="36">
        <f t="shared" si="23"/>
        <v>1354750</v>
      </c>
      <c r="M286" s="37">
        <f t="shared" si="24"/>
        <v>37933000</v>
      </c>
      <c r="N286" s="38">
        <f>F286-(H286*8)-1250000</f>
        <v>48192000</v>
      </c>
      <c r="O286" s="39" t="s">
        <v>624</v>
      </c>
      <c r="P286" s="39" t="s">
        <v>80</v>
      </c>
    </row>
    <row r="287" spans="1:16">
      <c r="A287" s="29">
        <f t="shared" si="25"/>
        <v>283</v>
      </c>
      <c r="B287" s="30" t="s">
        <v>722</v>
      </c>
      <c r="C287" s="31" t="s">
        <v>723</v>
      </c>
      <c r="D287" s="41" t="s">
        <v>724</v>
      </c>
      <c r="E287" s="32">
        <v>42867</v>
      </c>
      <c r="F287" s="42">
        <f>31082500+777063+410323+389175+200000+37140939-35000000</f>
        <v>35000000</v>
      </c>
      <c r="G287" s="34">
        <f t="shared" si="22"/>
        <v>32400000</v>
      </c>
      <c r="H287" s="35">
        <v>480000</v>
      </c>
      <c r="I287" s="33">
        <f>+F287*1.2%</f>
        <v>420000</v>
      </c>
      <c r="J287" s="29">
        <v>36</v>
      </c>
      <c r="K287" s="29">
        <v>26</v>
      </c>
      <c r="L287" s="36">
        <f t="shared" si="23"/>
        <v>900000</v>
      </c>
      <c r="M287" s="37">
        <f t="shared" si="24"/>
        <v>23400000</v>
      </c>
      <c r="N287" s="38">
        <f>F287-(H287*10)-750000-750000</f>
        <v>28700000</v>
      </c>
      <c r="O287" s="39" t="s">
        <v>63</v>
      </c>
      <c r="P287" s="39" t="s">
        <v>80</v>
      </c>
    </row>
    <row r="288" spans="1:16">
      <c r="A288" s="29">
        <f t="shared" si="25"/>
        <v>284</v>
      </c>
      <c r="B288" s="30" t="s">
        <v>722</v>
      </c>
      <c r="C288" s="31" t="s">
        <v>723</v>
      </c>
      <c r="D288" s="41" t="s">
        <v>724</v>
      </c>
      <c r="E288" s="32">
        <v>42867</v>
      </c>
      <c r="F288" s="42">
        <v>35000000</v>
      </c>
      <c r="G288" s="34">
        <f t="shared" si="22"/>
        <v>32400000</v>
      </c>
      <c r="H288" s="42">
        <v>480000</v>
      </c>
      <c r="I288" s="33">
        <f>+F288*1.2%</f>
        <v>420000</v>
      </c>
      <c r="J288" s="29">
        <v>36</v>
      </c>
      <c r="K288" s="29">
        <v>26</v>
      </c>
      <c r="L288" s="36">
        <f t="shared" si="23"/>
        <v>900000</v>
      </c>
      <c r="M288" s="37">
        <f t="shared" si="24"/>
        <v>23400000</v>
      </c>
      <c r="N288" s="38">
        <f>F288-(H288*10)-750000-750000</f>
        <v>28700000</v>
      </c>
      <c r="O288" s="39" t="s">
        <v>63</v>
      </c>
      <c r="P288" s="39" t="s">
        <v>80</v>
      </c>
    </row>
    <row r="289" spans="1:16">
      <c r="A289" s="29">
        <f t="shared" si="25"/>
        <v>285</v>
      </c>
      <c r="B289" s="30" t="s">
        <v>722</v>
      </c>
      <c r="C289" s="31" t="s">
        <v>723</v>
      </c>
      <c r="D289" s="31" t="s">
        <v>725</v>
      </c>
      <c r="E289" s="32">
        <v>43130</v>
      </c>
      <c r="F289" s="43">
        <f>25000+2475000</f>
        <v>2500000</v>
      </c>
      <c r="G289" s="34">
        <f t="shared" si="22"/>
        <v>2868000</v>
      </c>
      <c r="H289" s="40">
        <f>239000-I289</f>
        <v>209000</v>
      </c>
      <c r="I289" s="40">
        <f>+F289*1.2%</f>
        <v>30000</v>
      </c>
      <c r="J289" s="29">
        <v>12</v>
      </c>
      <c r="K289" s="29">
        <v>11</v>
      </c>
      <c r="L289" s="36">
        <f t="shared" si="23"/>
        <v>239000</v>
      </c>
      <c r="M289" s="37">
        <f t="shared" si="24"/>
        <v>2629000</v>
      </c>
      <c r="N289" s="38">
        <f>F289-(H289*1)</f>
        <v>2291000</v>
      </c>
      <c r="O289" s="39" t="s">
        <v>378</v>
      </c>
      <c r="P289" s="39" t="s">
        <v>284</v>
      </c>
    </row>
    <row r="290" spans="1:16">
      <c r="A290" s="29">
        <f t="shared" si="25"/>
        <v>286</v>
      </c>
      <c r="B290" s="30" t="s">
        <v>726</v>
      </c>
      <c r="C290" s="31" t="s">
        <v>727</v>
      </c>
      <c r="D290" s="31" t="s">
        <v>728</v>
      </c>
      <c r="E290" s="32">
        <v>43111</v>
      </c>
      <c r="F290" s="43">
        <f>43719000+1092975+445161+170000+200000+17000000-31313568</f>
        <v>31313568</v>
      </c>
      <c r="G290" s="34">
        <f t="shared" si="22"/>
        <v>27000000</v>
      </c>
      <c r="H290" s="40">
        <v>374237</v>
      </c>
      <c r="I290" s="40">
        <v>375763</v>
      </c>
      <c r="J290" s="29">
        <v>36</v>
      </c>
      <c r="K290" s="29">
        <v>34</v>
      </c>
      <c r="L290" s="36">
        <f t="shared" si="23"/>
        <v>750000</v>
      </c>
      <c r="M290" s="37">
        <f t="shared" si="24"/>
        <v>25500000</v>
      </c>
      <c r="N290" s="38">
        <f>F290-(H290*2)</f>
        <v>30565094</v>
      </c>
      <c r="O290" s="39" t="s">
        <v>729</v>
      </c>
      <c r="P290" s="39" t="s">
        <v>30</v>
      </c>
    </row>
    <row r="291" spans="1:16">
      <c r="A291" s="29">
        <f t="shared" si="25"/>
        <v>287</v>
      </c>
      <c r="B291" s="30" t="s">
        <v>726</v>
      </c>
      <c r="C291" s="31" t="s">
        <v>727</v>
      </c>
      <c r="D291" s="31" t="s">
        <v>728</v>
      </c>
      <c r="E291" s="32">
        <v>43111</v>
      </c>
      <c r="F291" s="43">
        <v>31313568</v>
      </c>
      <c r="G291" s="34">
        <f t="shared" si="22"/>
        <v>27000000</v>
      </c>
      <c r="H291" s="43">
        <v>374237</v>
      </c>
      <c r="I291" s="43">
        <v>375763</v>
      </c>
      <c r="J291" s="29">
        <v>36</v>
      </c>
      <c r="K291" s="29">
        <v>34</v>
      </c>
      <c r="L291" s="36">
        <f t="shared" si="23"/>
        <v>750000</v>
      </c>
      <c r="M291" s="37">
        <f t="shared" si="24"/>
        <v>25500000</v>
      </c>
      <c r="N291" s="38">
        <f>F291-(H291*2)</f>
        <v>30565094</v>
      </c>
      <c r="O291" s="39" t="s">
        <v>729</v>
      </c>
      <c r="P291" s="39" t="s">
        <v>30</v>
      </c>
    </row>
    <row r="292" spans="1:16">
      <c r="A292" s="29">
        <f t="shared" si="25"/>
        <v>288</v>
      </c>
      <c r="B292" s="30" t="s">
        <v>730</v>
      </c>
      <c r="C292" s="31" t="s">
        <v>731</v>
      </c>
      <c r="D292" s="41" t="s">
        <v>732</v>
      </c>
      <c r="E292" s="32">
        <v>42802</v>
      </c>
      <c r="F292" s="33">
        <f>6000000</f>
        <v>6000000</v>
      </c>
      <c r="G292" s="34">
        <f t="shared" si="22"/>
        <v>6000000</v>
      </c>
      <c r="H292" s="33">
        <f>+F292/J292</f>
        <v>250000</v>
      </c>
      <c r="I292" s="33">
        <v>0</v>
      </c>
      <c r="J292" s="29">
        <v>24</v>
      </c>
      <c r="K292" s="29">
        <v>12</v>
      </c>
      <c r="L292" s="36">
        <f t="shared" si="23"/>
        <v>250000</v>
      </c>
      <c r="M292" s="36">
        <f t="shared" si="24"/>
        <v>3000000</v>
      </c>
      <c r="N292" s="34">
        <f>+H292*K292</f>
        <v>3000000</v>
      </c>
      <c r="O292" s="39" t="s">
        <v>733</v>
      </c>
      <c r="P292" s="39" t="s">
        <v>734</v>
      </c>
    </row>
    <row r="293" spans="1:16">
      <c r="A293" s="29">
        <f t="shared" si="25"/>
        <v>289</v>
      </c>
      <c r="B293" s="30" t="s">
        <v>730</v>
      </c>
      <c r="C293" s="31" t="s">
        <v>731</v>
      </c>
      <c r="D293" s="31" t="s">
        <v>735</v>
      </c>
      <c r="E293" s="32">
        <v>42880</v>
      </c>
      <c r="F293" s="40">
        <f>47496000+1187400+200000</f>
        <v>48883400</v>
      </c>
      <c r="G293" s="34">
        <f t="shared" si="22"/>
        <v>60800000</v>
      </c>
      <c r="H293" s="35">
        <v>1313399</v>
      </c>
      <c r="I293" s="33">
        <v>586601</v>
      </c>
      <c r="J293" s="29">
        <v>32</v>
      </c>
      <c r="K293" s="29">
        <v>23</v>
      </c>
      <c r="L293" s="36">
        <f t="shared" si="23"/>
        <v>1900000</v>
      </c>
      <c r="M293" s="37">
        <f t="shared" si="24"/>
        <v>43700000</v>
      </c>
      <c r="N293" s="38">
        <f>F293-(H293*9)-2500000-2500000</f>
        <v>32062809</v>
      </c>
      <c r="O293" s="39" t="s">
        <v>736</v>
      </c>
      <c r="P293" s="44" t="s">
        <v>136</v>
      </c>
    </row>
    <row r="294" spans="1:16">
      <c r="A294" s="29">
        <f t="shared" si="25"/>
        <v>290</v>
      </c>
      <c r="B294" s="30" t="s">
        <v>737</v>
      </c>
      <c r="C294" s="31" t="s">
        <v>738</v>
      </c>
      <c r="D294" s="31" t="s">
        <v>739</v>
      </c>
      <c r="E294" s="32">
        <v>43097</v>
      </c>
      <c r="F294" s="43">
        <f>870890+200000+117089000</f>
        <v>118159890</v>
      </c>
      <c r="G294" s="34">
        <f t="shared" si="22"/>
        <v>45000000</v>
      </c>
      <c r="H294" s="40">
        <f>1500000-I294</f>
        <v>909201</v>
      </c>
      <c r="I294" s="40">
        <v>590799</v>
      </c>
      <c r="J294" s="29">
        <v>30</v>
      </c>
      <c r="K294" s="29">
        <v>28</v>
      </c>
      <c r="L294" s="36">
        <f t="shared" si="23"/>
        <v>1500000</v>
      </c>
      <c r="M294" s="37">
        <f t="shared" si="24"/>
        <v>42000000</v>
      </c>
      <c r="N294" s="38">
        <f>F294-(H294*2)</f>
        <v>116341488</v>
      </c>
      <c r="O294" s="39" t="s">
        <v>740</v>
      </c>
      <c r="P294" s="39" t="s">
        <v>161</v>
      </c>
    </row>
    <row r="295" spans="1:16">
      <c r="A295" s="29">
        <f t="shared" si="25"/>
        <v>291</v>
      </c>
      <c r="B295" s="30" t="s">
        <v>741</v>
      </c>
      <c r="C295" s="31" t="s">
        <v>742</v>
      </c>
      <c r="D295" s="31" t="s">
        <v>743</v>
      </c>
      <c r="E295" s="32">
        <v>42941</v>
      </c>
      <c r="F295" s="43">
        <f>69400000+1735000+250000+200000+25000000-48292500</f>
        <v>48292500</v>
      </c>
      <c r="G295" s="34">
        <f t="shared" si="22"/>
        <v>31680000</v>
      </c>
      <c r="H295" s="40">
        <v>380490</v>
      </c>
      <c r="I295" s="40">
        <f>+F295*1.2%</f>
        <v>579510</v>
      </c>
      <c r="J295" s="29">
        <v>33</v>
      </c>
      <c r="K295" s="29">
        <v>26</v>
      </c>
      <c r="L295" s="36">
        <f t="shared" si="23"/>
        <v>960000</v>
      </c>
      <c r="M295" s="37">
        <f t="shared" si="24"/>
        <v>24960000</v>
      </c>
      <c r="N295" s="38">
        <f>F295-(H295*7)-1000000</f>
        <v>44629070</v>
      </c>
      <c r="O295" s="44" t="s">
        <v>152</v>
      </c>
      <c r="P295" s="39" t="s">
        <v>30</v>
      </c>
    </row>
    <row r="296" spans="1:16">
      <c r="A296" s="29">
        <f t="shared" si="25"/>
        <v>292</v>
      </c>
      <c r="B296" s="30" t="s">
        <v>741</v>
      </c>
      <c r="C296" s="31" t="s">
        <v>742</v>
      </c>
      <c r="D296" s="31" t="s">
        <v>743</v>
      </c>
      <c r="E296" s="32">
        <v>42941</v>
      </c>
      <c r="F296" s="43">
        <v>48292500</v>
      </c>
      <c r="G296" s="34">
        <f t="shared" si="22"/>
        <v>31680000</v>
      </c>
      <c r="H296" s="43">
        <v>380490</v>
      </c>
      <c r="I296" s="40">
        <f>+F296*1.2%</f>
        <v>579510</v>
      </c>
      <c r="J296" s="29">
        <v>33</v>
      </c>
      <c r="K296" s="29">
        <v>26</v>
      </c>
      <c r="L296" s="36">
        <f t="shared" si="23"/>
        <v>960000</v>
      </c>
      <c r="M296" s="37">
        <f t="shared" si="24"/>
        <v>24960000</v>
      </c>
      <c r="N296" s="38">
        <f>F296-(H296*7)-1000000</f>
        <v>44629070</v>
      </c>
      <c r="O296" s="44" t="s">
        <v>152</v>
      </c>
      <c r="P296" s="39" t="s">
        <v>30</v>
      </c>
    </row>
    <row r="297" spans="1:16">
      <c r="A297" s="29">
        <f t="shared" si="25"/>
        <v>293</v>
      </c>
      <c r="B297" s="30" t="s">
        <v>744</v>
      </c>
      <c r="C297" s="31" t="s">
        <v>745</v>
      </c>
      <c r="D297" s="41" t="s">
        <v>746</v>
      </c>
      <c r="E297" s="32">
        <v>42768</v>
      </c>
      <c r="F297" s="33">
        <f>50000+4950000</f>
        <v>5000000</v>
      </c>
      <c r="G297" s="34">
        <f t="shared" si="22"/>
        <v>5004000</v>
      </c>
      <c r="H297" s="33">
        <f>139000</f>
        <v>139000</v>
      </c>
      <c r="I297" s="33">
        <v>0</v>
      </c>
      <c r="J297" s="29">
        <v>36</v>
      </c>
      <c r="K297" s="29">
        <v>23</v>
      </c>
      <c r="L297" s="36">
        <f t="shared" si="23"/>
        <v>139000</v>
      </c>
      <c r="M297" s="36">
        <f t="shared" si="24"/>
        <v>3197000</v>
      </c>
      <c r="N297" s="38">
        <f>F297-(H297*13)</f>
        <v>3193000</v>
      </c>
      <c r="O297" s="39" t="s">
        <v>417</v>
      </c>
      <c r="P297" s="39" t="s">
        <v>123</v>
      </c>
    </row>
    <row r="298" spans="1:16">
      <c r="A298" s="29">
        <f t="shared" si="25"/>
        <v>294</v>
      </c>
      <c r="B298" s="30" t="s">
        <v>744</v>
      </c>
      <c r="C298" s="31" t="s">
        <v>745</v>
      </c>
      <c r="D298" s="31" t="s">
        <v>747</v>
      </c>
      <c r="E298" s="32">
        <v>42787</v>
      </c>
      <c r="F298" s="42">
        <f>2000000</f>
        <v>2000000</v>
      </c>
      <c r="G298" s="34">
        <f t="shared" si="22"/>
        <v>2016000</v>
      </c>
      <c r="H298" s="42">
        <v>56000</v>
      </c>
      <c r="I298" s="104">
        <v>0</v>
      </c>
      <c r="J298" s="29">
        <v>36</v>
      </c>
      <c r="K298" s="29">
        <v>24</v>
      </c>
      <c r="L298" s="36">
        <f t="shared" si="23"/>
        <v>56000</v>
      </c>
      <c r="M298" s="36">
        <f t="shared" si="24"/>
        <v>1344000</v>
      </c>
      <c r="N298" s="38">
        <f>F298-(H298*12)</f>
        <v>1328000</v>
      </c>
      <c r="O298" s="39" t="s">
        <v>198</v>
      </c>
      <c r="P298" s="39" t="s">
        <v>123</v>
      </c>
    </row>
    <row r="299" spans="1:16">
      <c r="A299" s="29">
        <f t="shared" si="25"/>
        <v>295</v>
      </c>
      <c r="B299" s="30" t="s">
        <v>748</v>
      </c>
      <c r="C299" s="31" t="s">
        <v>749</v>
      </c>
      <c r="D299" s="31" t="s">
        <v>750</v>
      </c>
      <c r="E299" s="32">
        <v>42885</v>
      </c>
      <c r="F299" s="33">
        <f>13528471+338212+200000+200000+35733317-25000000</f>
        <v>25000000</v>
      </c>
      <c r="G299" s="34">
        <f t="shared" si="22"/>
        <v>22671250</v>
      </c>
      <c r="H299" s="40">
        <v>347750</v>
      </c>
      <c r="I299" s="33">
        <f>+F299*1.2%</f>
        <v>300000</v>
      </c>
      <c r="J299" s="29">
        <v>35</v>
      </c>
      <c r="K299" s="29">
        <v>26</v>
      </c>
      <c r="L299" s="36">
        <f t="shared" si="23"/>
        <v>647750</v>
      </c>
      <c r="M299" s="37">
        <f t="shared" si="24"/>
        <v>16841500</v>
      </c>
      <c r="N299" s="38">
        <f>F299-(H299*9)</f>
        <v>21870250</v>
      </c>
      <c r="O299" s="39" t="s">
        <v>751</v>
      </c>
      <c r="P299" s="39" t="s">
        <v>376</v>
      </c>
    </row>
    <row r="300" spans="1:16">
      <c r="A300" s="29">
        <f t="shared" si="25"/>
        <v>296</v>
      </c>
      <c r="B300" s="30" t="s">
        <v>748</v>
      </c>
      <c r="C300" s="31" t="s">
        <v>749</v>
      </c>
      <c r="D300" s="31" t="s">
        <v>750</v>
      </c>
      <c r="E300" s="32">
        <v>42885</v>
      </c>
      <c r="F300" s="40">
        <v>25000000</v>
      </c>
      <c r="G300" s="34">
        <f t="shared" si="22"/>
        <v>22671250</v>
      </c>
      <c r="H300" s="40">
        <v>347750</v>
      </c>
      <c r="I300" s="33">
        <f>+F300*1.2%</f>
        <v>300000</v>
      </c>
      <c r="J300" s="29">
        <v>35</v>
      </c>
      <c r="K300" s="29">
        <v>26</v>
      </c>
      <c r="L300" s="36">
        <f t="shared" si="23"/>
        <v>647750</v>
      </c>
      <c r="M300" s="37">
        <f t="shared" si="24"/>
        <v>16841500</v>
      </c>
      <c r="N300" s="38">
        <f>F300-(H300*9)</f>
        <v>21870250</v>
      </c>
      <c r="O300" s="39" t="s">
        <v>751</v>
      </c>
      <c r="P300" s="39" t="s">
        <v>376</v>
      </c>
    </row>
    <row r="301" spans="1:16">
      <c r="A301" s="29">
        <f t="shared" si="25"/>
        <v>297</v>
      </c>
      <c r="B301" s="30" t="s">
        <v>752</v>
      </c>
      <c r="C301" s="31" t="s">
        <v>753</v>
      </c>
      <c r="D301" s="41" t="s">
        <v>754</v>
      </c>
      <c r="E301" s="32">
        <v>42871</v>
      </c>
      <c r="F301" s="42">
        <f>26665600+666640+687484+550000+200000+56230276</f>
        <v>85000000</v>
      </c>
      <c r="G301" s="34">
        <f t="shared" si="22"/>
        <v>54000000</v>
      </c>
      <c r="H301" s="35">
        <v>480000</v>
      </c>
      <c r="I301" s="33">
        <f>F301*1.2%</f>
        <v>1020000</v>
      </c>
      <c r="J301" s="29">
        <v>36</v>
      </c>
      <c r="K301" s="29">
        <v>26</v>
      </c>
      <c r="L301" s="36">
        <f t="shared" si="23"/>
        <v>1500000</v>
      </c>
      <c r="M301" s="37">
        <f t="shared" si="24"/>
        <v>39000000</v>
      </c>
      <c r="N301" s="38">
        <f>F301-(H301*10)-1500000-1500000</f>
        <v>77200000</v>
      </c>
      <c r="O301" s="39" t="s">
        <v>187</v>
      </c>
      <c r="P301" s="39" t="s">
        <v>80</v>
      </c>
    </row>
    <row r="302" spans="1:16">
      <c r="A302" s="29">
        <f t="shared" si="25"/>
        <v>298</v>
      </c>
      <c r="B302" s="30" t="s">
        <v>755</v>
      </c>
      <c r="C302" s="31" t="s">
        <v>756</v>
      </c>
      <c r="D302" s="32"/>
      <c r="E302" s="32">
        <v>42506</v>
      </c>
      <c r="F302" s="42">
        <f>28712759+717819+876542+1700000+200000+157792880+10000000-F303</f>
        <v>100000000</v>
      </c>
      <c r="G302" s="34">
        <f t="shared" si="22"/>
        <v>120000000</v>
      </c>
      <c r="H302" s="35">
        <v>800000</v>
      </c>
      <c r="I302" s="34">
        <f>+F302*1.2%</f>
        <v>1200000</v>
      </c>
      <c r="J302" s="29">
        <v>60</v>
      </c>
      <c r="K302" s="29">
        <v>38</v>
      </c>
      <c r="L302" s="33">
        <f t="shared" si="23"/>
        <v>2000000</v>
      </c>
      <c r="M302" s="33">
        <f t="shared" si="24"/>
        <v>76000000</v>
      </c>
      <c r="N302" s="70">
        <f>F302-(H302*22)-3000000-3000000-4500000-3000000-3000000</f>
        <v>65900000</v>
      </c>
      <c r="O302" s="39" t="s">
        <v>757</v>
      </c>
      <c r="P302" s="39" t="s">
        <v>75</v>
      </c>
    </row>
    <row r="303" spans="1:16">
      <c r="A303" s="29">
        <f t="shared" si="25"/>
        <v>299</v>
      </c>
      <c r="B303" s="30" t="s">
        <v>755</v>
      </c>
      <c r="C303" s="31" t="s">
        <v>756</v>
      </c>
      <c r="D303" s="32"/>
      <c r="E303" s="32">
        <v>42506</v>
      </c>
      <c r="F303" s="42">
        <v>100000000</v>
      </c>
      <c r="G303" s="34">
        <f t="shared" si="22"/>
        <v>120000000</v>
      </c>
      <c r="H303" s="35">
        <v>800000</v>
      </c>
      <c r="I303" s="34">
        <f>+F303*1.2%</f>
        <v>1200000</v>
      </c>
      <c r="J303" s="29">
        <v>60</v>
      </c>
      <c r="K303" s="29">
        <v>38</v>
      </c>
      <c r="L303" s="33">
        <f t="shared" si="23"/>
        <v>2000000</v>
      </c>
      <c r="M303" s="33">
        <f t="shared" si="24"/>
        <v>76000000</v>
      </c>
      <c r="N303" s="70">
        <f>F303-(H303*22)-3000000-3000000-4500000-3000000-3000000</f>
        <v>65900000</v>
      </c>
      <c r="O303" s="39" t="s">
        <v>757</v>
      </c>
      <c r="P303" s="39" t="s">
        <v>75</v>
      </c>
    </row>
    <row r="304" spans="1:16">
      <c r="A304" s="29">
        <f t="shared" si="25"/>
        <v>300</v>
      </c>
      <c r="B304" s="30" t="s">
        <v>758</v>
      </c>
      <c r="C304" s="31" t="s">
        <v>759</v>
      </c>
      <c r="D304" s="31" t="s">
        <v>760</v>
      </c>
      <c r="E304" s="32">
        <v>42942</v>
      </c>
      <c r="F304" s="43">
        <f>72493221+1812331+275068+200000+25219380-50000000</f>
        <v>50000000</v>
      </c>
      <c r="G304" s="34">
        <f t="shared" si="22"/>
        <v>39000000</v>
      </c>
      <c r="H304" s="40">
        <v>900000</v>
      </c>
      <c r="I304" s="40">
        <f>+F304*1.2%</f>
        <v>600000</v>
      </c>
      <c r="J304" s="29">
        <v>26</v>
      </c>
      <c r="K304" s="29">
        <v>19</v>
      </c>
      <c r="L304" s="36">
        <f t="shared" si="23"/>
        <v>1500000</v>
      </c>
      <c r="M304" s="37">
        <f t="shared" si="24"/>
        <v>28500000</v>
      </c>
      <c r="N304" s="38">
        <f>F304-(H304*7)-3000000</f>
        <v>40700000</v>
      </c>
      <c r="O304" s="44" t="s">
        <v>571</v>
      </c>
      <c r="P304" s="39" t="s">
        <v>30</v>
      </c>
    </row>
    <row r="305" spans="1:16">
      <c r="A305" s="29">
        <f t="shared" si="25"/>
        <v>301</v>
      </c>
      <c r="B305" s="30" t="s">
        <v>758</v>
      </c>
      <c r="C305" s="31" t="s">
        <v>759</v>
      </c>
      <c r="D305" s="31" t="s">
        <v>760</v>
      </c>
      <c r="E305" s="32">
        <v>42942</v>
      </c>
      <c r="F305" s="43">
        <v>50000000</v>
      </c>
      <c r="G305" s="34">
        <f t="shared" si="22"/>
        <v>39000000</v>
      </c>
      <c r="H305" s="40">
        <v>900000</v>
      </c>
      <c r="I305" s="40">
        <f>+F305*1.2%</f>
        <v>600000</v>
      </c>
      <c r="J305" s="29">
        <v>26</v>
      </c>
      <c r="K305" s="29">
        <v>19</v>
      </c>
      <c r="L305" s="36">
        <f t="shared" si="23"/>
        <v>1500000</v>
      </c>
      <c r="M305" s="37">
        <f t="shared" si="24"/>
        <v>28500000</v>
      </c>
      <c r="N305" s="38">
        <f>F305-(H305*7)-3000000</f>
        <v>40700000</v>
      </c>
      <c r="O305" s="44" t="s">
        <v>571</v>
      </c>
      <c r="P305" s="39" t="s">
        <v>30</v>
      </c>
    </row>
    <row r="306" spans="1:16">
      <c r="A306" s="29">
        <f t="shared" si="25"/>
        <v>302</v>
      </c>
      <c r="B306" s="30" t="s">
        <v>761</v>
      </c>
      <c r="C306" s="31" t="s">
        <v>762</v>
      </c>
      <c r="D306" s="32"/>
      <c r="E306" s="32">
        <v>42209</v>
      </c>
      <c r="F306" s="48">
        <f>19554916+488873+645549+200000+75000000</f>
        <v>95889338</v>
      </c>
      <c r="G306" s="72">
        <f t="shared" si="22"/>
        <v>81921576</v>
      </c>
      <c r="H306" s="33">
        <v>1331800</v>
      </c>
      <c r="I306" s="48">
        <v>1150672</v>
      </c>
      <c r="J306" s="29">
        <v>33</v>
      </c>
      <c r="K306" s="29">
        <v>2</v>
      </c>
      <c r="L306" s="33">
        <f t="shared" si="23"/>
        <v>2482472</v>
      </c>
      <c r="M306" s="33">
        <f t="shared" si="24"/>
        <v>4964944</v>
      </c>
      <c r="N306" s="50">
        <f>F306-(H306*31)-1500000-17500000-1000000-1500000-10500000-1000000-1500000-7000000</f>
        <v>13103538</v>
      </c>
      <c r="O306" s="62" t="s">
        <v>763</v>
      </c>
      <c r="P306" s="65" t="s">
        <v>75</v>
      </c>
    </row>
    <row r="307" spans="1:16">
      <c r="A307" s="29">
        <f t="shared" si="25"/>
        <v>303</v>
      </c>
      <c r="B307" s="30" t="s">
        <v>764</v>
      </c>
      <c r="C307" s="31" t="s">
        <v>765</v>
      </c>
      <c r="D307" s="31" t="s">
        <v>766</v>
      </c>
      <c r="E307" s="32">
        <v>42976</v>
      </c>
      <c r="F307" s="43">
        <f>20000000+500000+300000+200000+39000000</f>
        <v>60000000</v>
      </c>
      <c r="G307" s="34">
        <f t="shared" si="22"/>
        <v>52500000</v>
      </c>
      <c r="H307" s="35">
        <v>780000</v>
      </c>
      <c r="I307" s="35">
        <f>+F307*1.2%</f>
        <v>720000</v>
      </c>
      <c r="J307" s="29">
        <v>35</v>
      </c>
      <c r="K307" s="29">
        <v>29</v>
      </c>
      <c r="L307" s="36">
        <f t="shared" si="23"/>
        <v>1500000</v>
      </c>
      <c r="M307" s="37">
        <f t="shared" si="24"/>
        <v>43500000</v>
      </c>
      <c r="N307" s="38">
        <f>F307-(H307*6)</f>
        <v>55320000</v>
      </c>
      <c r="O307" s="44" t="s">
        <v>767</v>
      </c>
      <c r="P307" s="39" t="s">
        <v>30</v>
      </c>
    </row>
    <row r="308" spans="1:16">
      <c r="A308" s="29">
        <f t="shared" si="25"/>
        <v>304</v>
      </c>
      <c r="B308" s="30" t="s">
        <v>768</v>
      </c>
      <c r="C308" s="31" t="s">
        <v>769</v>
      </c>
      <c r="D308" s="41" t="s">
        <v>770</v>
      </c>
      <c r="E308" s="32">
        <v>42884</v>
      </c>
      <c r="F308" s="42">
        <f>51824853+2000000+1295621+400000+200000+40000000-47860237</f>
        <v>47860237</v>
      </c>
      <c r="G308" s="34">
        <f t="shared" si="22"/>
        <v>42481250</v>
      </c>
      <c r="H308" s="35">
        <v>639427</v>
      </c>
      <c r="I308" s="33">
        <v>574323</v>
      </c>
      <c r="J308" s="29">
        <v>35</v>
      </c>
      <c r="K308" s="29">
        <v>26</v>
      </c>
      <c r="L308" s="36">
        <f t="shared" si="23"/>
        <v>1213750</v>
      </c>
      <c r="M308" s="37">
        <f t="shared" si="24"/>
        <v>31557500</v>
      </c>
      <c r="N308" s="38">
        <f>F308-(H308*9)-2500000-2500000</f>
        <v>37105394</v>
      </c>
      <c r="O308" s="39" t="s">
        <v>265</v>
      </c>
      <c r="P308" s="39" t="s">
        <v>376</v>
      </c>
    </row>
    <row r="309" spans="1:16">
      <c r="A309" s="29">
        <f t="shared" si="25"/>
        <v>305</v>
      </c>
      <c r="B309" s="30" t="s">
        <v>768</v>
      </c>
      <c r="C309" s="31" t="s">
        <v>769</v>
      </c>
      <c r="D309" s="41" t="s">
        <v>770</v>
      </c>
      <c r="E309" s="32">
        <v>42884</v>
      </c>
      <c r="F309" s="42">
        <v>47860237</v>
      </c>
      <c r="G309" s="34">
        <f t="shared" si="22"/>
        <v>42481250</v>
      </c>
      <c r="H309" s="35">
        <v>639427</v>
      </c>
      <c r="I309" s="33">
        <v>574323</v>
      </c>
      <c r="J309" s="29">
        <v>35</v>
      </c>
      <c r="K309" s="29">
        <v>26</v>
      </c>
      <c r="L309" s="36">
        <f t="shared" si="23"/>
        <v>1213750</v>
      </c>
      <c r="M309" s="37">
        <f t="shared" si="24"/>
        <v>31557500</v>
      </c>
      <c r="N309" s="38">
        <f>F309-(H309*9)-2500000-2500000</f>
        <v>37105394</v>
      </c>
      <c r="O309" s="39" t="s">
        <v>265</v>
      </c>
      <c r="P309" s="39" t="s">
        <v>376</v>
      </c>
    </row>
    <row r="310" spans="1:16">
      <c r="A310" s="29">
        <f t="shared" si="25"/>
        <v>306</v>
      </c>
      <c r="B310" s="30" t="s">
        <v>771</v>
      </c>
      <c r="C310" s="31" t="s">
        <v>772</v>
      </c>
      <c r="D310" s="31" t="s">
        <v>773</v>
      </c>
      <c r="E310" s="32">
        <v>43087</v>
      </c>
      <c r="F310" s="43">
        <f>5831400+145785+1700000+200000+192122815</f>
        <v>200000000</v>
      </c>
      <c r="G310" s="34">
        <f t="shared" si="22"/>
        <v>144956000</v>
      </c>
      <c r="H310" s="40">
        <v>2777000</v>
      </c>
      <c r="I310" s="40">
        <f>+F310*1.2%</f>
        <v>2400000</v>
      </c>
      <c r="J310" s="29">
        <v>28</v>
      </c>
      <c r="K310" s="29">
        <v>26</v>
      </c>
      <c r="L310" s="36">
        <f t="shared" si="23"/>
        <v>5177000</v>
      </c>
      <c r="M310" s="37">
        <f t="shared" si="24"/>
        <v>134602000</v>
      </c>
      <c r="N310" s="38">
        <f>F310-(H310*2)</f>
        <v>194446000</v>
      </c>
      <c r="O310" s="39" t="s">
        <v>143</v>
      </c>
      <c r="P310" s="39" t="s">
        <v>30</v>
      </c>
    </row>
    <row r="311" spans="1:16">
      <c r="A311" s="29">
        <f t="shared" si="25"/>
        <v>307</v>
      </c>
      <c r="B311" s="30" t="s">
        <v>774</v>
      </c>
      <c r="C311" s="31" t="s">
        <v>775</v>
      </c>
      <c r="D311" s="31" t="s">
        <v>776</v>
      </c>
      <c r="E311" s="32">
        <v>43087</v>
      </c>
      <c r="F311" s="40">
        <f>41285647+1032141+1000000+200000+100000000-71758894</f>
        <v>71758894</v>
      </c>
      <c r="G311" s="34">
        <f t="shared" si="22"/>
        <v>47599966</v>
      </c>
      <c r="H311" s="40">
        <v>538893</v>
      </c>
      <c r="I311" s="40">
        <v>861106</v>
      </c>
      <c r="J311" s="29">
        <v>34</v>
      </c>
      <c r="K311" s="29">
        <v>32</v>
      </c>
      <c r="L311" s="36">
        <f t="shared" si="23"/>
        <v>1399999</v>
      </c>
      <c r="M311" s="37">
        <f t="shared" si="24"/>
        <v>44799968</v>
      </c>
      <c r="N311" s="38">
        <f>F311-(H311*2)</f>
        <v>70681108</v>
      </c>
      <c r="O311" s="39" t="s">
        <v>143</v>
      </c>
      <c r="P311" s="39" t="s">
        <v>30</v>
      </c>
    </row>
    <row r="312" spans="1:16">
      <c r="A312" s="29">
        <f t="shared" si="25"/>
        <v>308</v>
      </c>
      <c r="B312" s="30" t="s">
        <v>774</v>
      </c>
      <c r="C312" s="31" t="s">
        <v>775</v>
      </c>
      <c r="D312" s="31" t="s">
        <v>776</v>
      </c>
      <c r="E312" s="32">
        <v>43087</v>
      </c>
      <c r="F312" s="40">
        <v>71758894</v>
      </c>
      <c r="G312" s="34">
        <f t="shared" si="22"/>
        <v>47600034</v>
      </c>
      <c r="H312" s="40">
        <v>538894</v>
      </c>
      <c r="I312" s="40">
        <v>861107</v>
      </c>
      <c r="J312" s="29">
        <v>34</v>
      </c>
      <c r="K312" s="29">
        <v>32</v>
      </c>
      <c r="L312" s="36">
        <f t="shared" si="23"/>
        <v>1400001</v>
      </c>
      <c r="M312" s="37">
        <f t="shared" si="24"/>
        <v>44800032</v>
      </c>
      <c r="N312" s="38">
        <f>F312-(H312*2)</f>
        <v>70681106</v>
      </c>
      <c r="O312" s="39" t="s">
        <v>143</v>
      </c>
      <c r="P312" s="39" t="s">
        <v>30</v>
      </c>
    </row>
    <row r="313" spans="1:16">
      <c r="A313" s="29">
        <f t="shared" si="25"/>
        <v>309</v>
      </c>
      <c r="B313" s="30" t="s">
        <v>777</v>
      </c>
      <c r="C313" s="31" t="s">
        <v>778</v>
      </c>
      <c r="D313" s="32"/>
      <c r="E313" s="32">
        <v>42594</v>
      </c>
      <c r="F313" s="43">
        <f>200000+200000+49600000-F314</f>
        <v>25000000</v>
      </c>
      <c r="G313" s="34">
        <f t="shared" si="22"/>
        <v>22200000</v>
      </c>
      <c r="H313" s="40">
        <v>625000</v>
      </c>
      <c r="I313" s="42">
        <f>+F313*1.2%</f>
        <v>300000</v>
      </c>
      <c r="J313" s="29">
        <v>24</v>
      </c>
      <c r="K313" s="29">
        <v>5</v>
      </c>
      <c r="L313" s="36">
        <f t="shared" si="23"/>
        <v>925000</v>
      </c>
      <c r="M313" s="92">
        <f t="shared" si="24"/>
        <v>4625000</v>
      </c>
      <c r="N313" s="38">
        <f>F313-(H313*19)-5000000</f>
        <v>8125000</v>
      </c>
      <c r="O313" s="39" t="s">
        <v>779</v>
      </c>
      <c r="P313" s="39" t="s">
        <v>389</v>
      </c>
    </row>
    <row r="314" spans="1:16">
      <c r="A314" s="29">
        <f t="shared" si="25"/>
        <v>310</v>
      </c>
      <c r="B314" s="30" t="s">
        <v>777</v>
      </c>
      <c r="C314" s="31" t="s">
        <v>778</v>
      </c>
      <c r="D314" s="32"/>
      <c r="E314" s="32">
        <v>42594</v>
      </c>
      <c r="F314" s="43">
        <v>25000000</v>
      </c>
      <c r="G314" s="34">
        <f t="shared" si="22"/>
        <v>22200000</v>
      </c>
      <c r="H314" s="33">
        <v>625000</v>
      </c>
      <c r="I314" s="42">
        <f>+F314*1.2%</f>
        <v>300000</v>
      </c>
      <c r="J314" s="29">
        <v>24</v>
      </c>
      <c r="K314" s="29">
        <v>5</v>
      </c>
      <c r="L314" s="36">
        <f t="shared" si="23"/>
        <v>925000</v>
      </c>
      <c r="M314" s="92">
        <f t="shared" si="24"/>
        <v>4625000</v>
      </c>
      <c r="N314" s="38">
        <f>F314-(H314*19)-5000000</f>
        <v>8125000</v>
      </c>
      <c r="O314" s="39" t="s">
        <v>779</v>
      </c>
      <c r="P314" s="39" t="s">
        <v>389</v>
      </c>
    </row>
    <row r="315" spans="1:16">
      <c r="A315" s="29">
        <f t="shared" si="25"/>
        <v>311</v>
      </c>
      <c r="B315" s="30" t="s">
        <v>780</v>
      </c>
      <c r="C315" s="31" t="s">
        <v>781</v>
      </c>
      <c r="D315" s="41" t="s">
        <v>782</v>
      </c>
      <c r="E315" s="32">
        <v>42761</v>
      </c>
      <c r="F315" s="33">
        <f>36749500+918738+417495+200000+35000000</f>
        <v>73285733</v>
      </c>
      <c r="G315" s="34">
        <f t="shared" si="22"/>
        <v>28470000</v>
      </c>
      <c r="H315" s="33">
        <v>1018571</v>
      </c>
      <c r="I315" s="33">
        <v>879429</v>
      </c>
      <c r="J315" s="29">
        <v>15</v>
      </c>
      <c r="K315" s="29">
        <v>2</v>
      </c>
      <c r="L315" s="36">
        <f t="shared" si="23"/>
        <v>1898000</v>
      </c>
      <c r="M315" s="36">
        <f t="shared" si="24"/>
        <v>3796000</v>
      </c>
      <c r="N315" s="38">
        <f>F315-(H315*13)-25000000-5000000-5000000</f>
        <v>25044310</v>
      </c>
      <c r="O315" s="39" t="s">
        <v>397</v>
      </c>
      <c r="P315" s="39" t="s">
        <v>42</v>
      </c>
    </row>
    <row r="316" spans="1:16">
      <c r="A316" s="29">
        <f t="shared" si="25"/>
        <v>312</v>
      </c>
      <c r="B316" s="30" t="s">
        <v>783</v>
      </c>
      <c r="C316" s="31" t="s">
        <v>781</v>
      </c>
      <c r="D316" s="31" t="s">
        <v>784</v>
      </c>
      <c r="E316" s="32">
        <v>42825</v>
      </c>
      <c r="F316" s="42">
        <f>2500000</f>
        <v>2500000</v>
      </c>
      <c r="G316" s="42">
        <f t="shared" si="22"/>
        <v>3252000</v>
      </c>
      <c r="H316" s="42">
        <f>135500-I316</f>
        <v>105500</v>
      </c>
      <c r="I316" s="42">
        <f>+F316*1.2%</f>
        <v>30000</v>
      </c>
      <c r="J316" s="29">
        <v>24</v>
      </c>
      <c r="K316" s="29">
        <v>13</v>
      </c>
      <c r="L316" s="71">
        <f t="shared" si="23"/>
        <v>135500</v>
      </c>
      <c r="M316" s="37">
        <f t="shared" si="24"/>
        <v>1761500</v>
      </c>
      <c r="N316" s="38">
        <f>F316-(H316*11)</f>
        <v>1339500</v>
      </c>
      <c r="O316" s="39" t="s">
        <v>785</v>
      </c>
      <c r="P316" s="39" t="s">
        <v>93</v>
      </c>
    </row>
    <row r="317" spans="1:16">
      <c r="A317" s="29">
        <f t="shared" si="25"/>
        <v>313</v>
      </c>
      <c r="B317" s="30" t="s">
        <v>786</v>
      </c>
      <c r="C317" s="31" t="s">
        <v>787</v>
      </c>
      <c r="D317" s="31" t="s">
        <v>788</v>
      </c>
      <c r="E317" s="32">
        <v>42976</v>
      </c>
      <c r="F317" s="43">
        <f>450000+200000+74350000</f>
        <v>75000000</v>
      </c>
      <c r="G317" s="34">
        <f t="shared" si="22"/>
        <v>46800000</v>
      </c>
      <c r="H317" s="35">
        <v>1050000</v>
      </c>
      <c r="I317" s="35">
        <f>+F317*1.2%</f>
        <v>900000</v>
      </c>
      <c r="J317" s="29">
        <v>24</v>
      </c>
      <c r="K317" s="29">
        <v>18</v>
      </c>
      <c r="L317" s="36">
        <f t="shared" si="23"/>
        <v>1950000</v>
      </c>
      <c r="M317" s="37">
        <f t="shared" si="24"/>
        <v>35100000</v>
      </c>
      <c r="N317" s="38">
        <f>F317-(H317*6)</f>
        <v>68700000</v>
      </c>
      <c r="O317" s="44" t="s">
        <v>143</v>
      </c>
      <c r="P317" s="39" t="s">
        <v>25</v>
      </c>
    </row>
    <row r="318" spans="1:16">
      <c r="A318" s="29">
        <f t="shared" si="25"/>
        <v>314</v>
      </c>
      <c r="B318" s="30" t="s">
        <v>789</v>
      </c>
      <c r="C318" s="31" t="s">
        <v>790</v>
      </c>
      <c r="D318" s="41" t="s">
        <v>791</v>
      </c>
      <c r="E318" s="32">
        <v>43066</v>
      </c>
      <c r="F318" s="42">
        <f>50000+200000+34750000</f>
        <v>35000000</v>
      </c>
      <c r="G318" s="34">
        <f t="shared" si="22"/>
        <v>50148000</v>
      </c>
      <c r="H318" s="35">
        <v>973000</v>
      </c>
      <c r="I318" s="35">
        <f>+F318*1.2%</f>
        <v>420000</v>
      </c>
      <c r="J318" s="29">
        <v>36</v>
      </c>
      <c r="K318" s="29">
        <v>33</v>
      </c>
      <c r="L318" s="36">
        <f t="shared" si="23"/>
        <v>1393000</v>
      </c>
      <c r="M318" s="37">
        <f t="shared" si="24"/>
        <v>45969000</v>
      </c>
      <c r="N318" s="38">
        <f>F318-(H318*3)</f>
        <v>32081000</v>
      </c>
      <c r="O318" s="39" t="s">
        <v>624</v>
      </c>
      <c r="P318" s="39" t="s">
        <v>30</v>
      </c>
    </row>
    <row r="319" spans="1:16">
      <c r="A319" s="29">
        <f t="shared" si="25"/>
        <v>315</v>
      </c>
      <c r="B319" s="54" t="s">
        <v>792</v>
      </c>
      <c r="C319" s="55" t="s">
        <v>793</v>
      </c>
      <c r="D319" s="55" t="s">
        <v>794</v>
      </c>
      <c r="E319" s="63">
        <v>42942</v>
      </c>
      <c r="F319" s="105">
        <f>57009000+1425225+429910+200000+40935865-50000000</f>
        <v>50000000</v>
      </c>
      <c r="G319" s="85">
        <f t="shared" si="22"/>
        <v>45000000</v>
      </c>
      <c r="H319" s="98">
        <v>650000</v>
      </c>
      <c r="I319" s="98">
        <f>+F319*1.2%</f>
        <v>600000</v>
      </c>
      <c r="J319" s="60">
        <v>36</v>
      </c>
      <c r="K319" s="60">
        <f>31+1</f>
        <v>32</v>
      </c>
      <c r="L319" s="36">
        <f t="shared" si="23"/>
        <v>1250000</v>
      </c>
      <c r="M319" s="37">
        <f t="shared" si="24"/>
        <v>40000000</v>
      </c>
      <c r="N319" s="38">
        <f>F319-(H319*4)-1250000</f>
        <v>46150000</v>
      </c>
      <c r="O319" s="44" t="s">
        <v>318</v>
      </c>
      <c r="P319" s="39" t="s">
        <v>30</v>
      </c>
    </row>
    <row r="320" spans="1:16">
      <c r="A320" s="29">
        <f t="shared" si="25"/>
        <v>316</v>
      </c>
      <c r="B320" s="54" t="s">
        <v>792</v>
      </c>
      <c r="C320" s="55" t="s">
        <v>793</v>
      </c>
      <c r="D320" s="55" t="s">
        <v>794</v>
      </c>
      <c r="E320" s="63">
        <v>42942</v>
      </c>
      <c r="F320" s="105">
        <v>50000000</v>
      </c>
      <c r="G320" s="85">
        <f t="shared" ref="G320:G383" si="26">+J320*L320</f>
        <v>45000000</v>
      </c>
      <c r="H320" s="98">
        <v>650000</v>
      </c>
      <c r="I320" s="98">
        <f>+F320*1.2%</f>
        <v>600000</v>
      </c>
      <c r="J320" s="60">
        <v>36</v>
      </c>
      <c r="K320" s="60">
        <f>31+1</f>
        <v>32</v>
      </c>
      <c r="L320" s="36">
        <f t="shared" si="23"/>
        <v>1250000</v>
      </c>
      <c r="M320" s="37">
        <f t="shared" si="24"/>
        <v>40000000</v>
      </c>
      <c r="N320" s="38">
        <f>F320-(H320*4)-1250000</f>
        <v>46150000</v>
      </c>
      <c r="O320" s="44" t="s">
        <v>318</v>
      </c>
      <c r="P320" s="39" t="s">
        <v>30</v>
      </c>
    </row>
    <row r="321" spans="1:16">
      <c r="A321" s="29">
        <f t="shared" si="25"/>
        <v>317</v>
      </c>
      <c r="B321" s="30" t="s">
        <v>795</v>
      </c>
      <c r="C321" s="31" t="s">
        <v>796</v>
      </c>
      <c r="D321" s="41" t="s">
        <v>797</v>
      </c>
      <c r="E321" s="32">
        <v>42872</v>
      </c>
      <c r="F321" s="42">
        <f>638949+450000+200000+73711051</f>
        <v>75000000</v>
      </c>
      <c r="G321" s="34">
        <f t="shared" si="26"/>
        <v>36000000</v>
      </c>
      <c r="H321" s="35">
        <v>100000</v>
      </c>
      <c r="I321" s="33">
        <f>F321*1.2%</f>
        <v>900000</v>
      </c>
      <c r="J321" s="29">
        <v>36</v>
      </c>
      <c r="K321" s="29">
        <v>26</v>
      </c>
      <c r="L321" s="36">
        <f t="shared" si="23"/>
        <v>1000000</v>
      </c>
      <c r="M321" s="37">
        <f t="shared" si="24"/>
        <v>26000000</v>
      </c>
      <c r="N321" s="38">
        <f>F321-(H321*10)</f>
        <v>74000000</v>
      </c>
      <c r="O321" s="39" t="s">
        <v>382</v>
      </c>
      <c r="P321" s="39" t="s">
        <v>25</v>
      </c>
    </row>
    <row r="322" spans="1:16">
      <c r="A322" s="29">
        <f t="shared" si="25"/>
        <v>318</v>
      </c>
      <c r="B322" s="30" t="s">
        <v>798</v>
      </c>
      <c r="C322" s="31" t="s">
        <v>799</v>
      </c>
      <c r="D322" s="32"/>
      <c r="E322" s="32">
        <v>42544</v>
      </c>
      <c r="F322" s="42">
        <f>15832200+395805+300000+200000+43271995</f>
        <v>60000000</v>
      </c>
      <c r="G322" s="34">
        <f t="shared" si="26"/>
        <v>55944000</v>
      </c>
      <c r="H322" s="35">
        <v>834000</v>
      </c>
      <c r="I322" s="35">
        <f>+F322*1.2%</f>
        <v>720000</v>
      </c>
      <c r="J322" s="29">
        <v>36</v>
      </c>
      <c r="K322" s="29">
        <v>16</v>
      </c>
      <c r="L322" s="48">
        <f t="shared" si="23"/>
        <v>1554000</v>
      </c>
      <c r="M322" s="48">
        <f t="shared" si="24"/>
        <v>24864000</v>
      </c>
      <c r="N322" s="38">
        <f>F322-(H322*20)-10000000</f>
        <v>33320000</v>
      </c>
      <c r="O322" s="39" t="s">
        <v>268</v>
      </c>
      <c r="P322" s="39" t="s">
        <v>30</v>
      </c>
    </row>
    <row r="323" spans="1:16">
      <c r="A323" s="29">
        <f t="shared" si="25"/>
        <v>319</v>
      </c>
      <c r="B323" s="30" t="s">
        <v>800</v>
      </c>
      <c r="C323" s="31" t="s">
        <v>801</v>
      </c>
      <c r="D323" s="41" t="s">
        <v>802</v>
      </c>
      <c r="E323" s="32">
        <v>42720</v>
      </c>
      <c r="F323" s="33">
        <f>26388000+659700+300000+200000+32452300</f>
        <v>60000000</v>
      </c>
      <c r="G323" s="34">
        <f t="shared" si="26"/>
        <v>55980000</v>
      </c>
      <c r="H323" s="33">
        <v>835000</v>
      </c>
      <c r="I323" s="33">
        <f>+F323*1.2%</f>
        <v>720000</v>
      </c>
      <c r="J323" s="29">
        <v>36</v>
      </c>
      <c r="K323" s="29">
        <v>22</v>
      </c>
      <c r="L323" s="36">
        <f t="shared" si="23"/>
        <v>1555000</v>
      </c>
      <c r="M323" s="36">
        <f t="shared" si="24"/>
        <v>34210000</v>
      </c>
      <c r="N323" s="38">
        <f>F323-(H323*14)-5000000-2500000-2500000</f>
        <v>38310000</v>
      </c>
      <c r="O323" s="39" t="s">
        <v>803</v>
      </c>
      <c r="P323" s="39" t="s">
        <v>70</v>
      </c>
    </row>
    <row r="324" spans="1:16">
      <c r="A324" s="29">
        <f t="shared" si="25"/>
        <v>320</v>
      </c>
      <c r="B324" s="30" t="s">
        <v>804</v>
      </c>
      <c r="C324" s="31" t="s">
        <v>805</v>
      </c>
      <c r="D324" s="41" t="s">
        <v>806</v>
      </c>
      <c r="E324" s="32">
        <v>43066</v>
      </c>
      <c r="F324" s="42">
        <f>60000000+1500000+900000+200000+87400000-75000000</f>
        <v>75000000</v>
      </c>
      <c r="G324" s="34">
        <f t="shared" si="26"/>
        <v>69903000</v>
      </c>
      <c r="H324" s="35">
        <f>2083500-1041750</f>
        <v>1041750</v>
      </c>
      <c r="I324" s="35">
        <f>+F324*1.2%</f>
        <v>900000</v>
      </c>
      <c r="J324" s="29">
        <v>36</v>
      </c>
      <c r="K324" s="29">
        <v>33</v>
      </c>
      <c r="L324" s="36">
        <f t="shared" si="23"/>
        <v>1941750</v>
      </c>
      <c r="M324" s="37">
        <f t="shared" si="24"/>
        <v>64077750</v>
      </c>
      <c r="N324" s="38">
        <f>F324-(H324*3)</f>
        <v>71874750</v>
      </c>
      <c r="O324" s="39" t="s">
        <v>436</v>
      </c>
      <c r="P324" s="39" t="s">
        <v>30</v>
      </c>
    </row>
    <row r="325" spans="1:16">
      <c r="A325" s="29">
        <f t="shared" si="25"/>
        <v>321</v>
      </c>
      <c r="B325" s="30" t="s">
        <v>804</v>
      </c>
      <c r="C325" s="31" t="s">
        <v>805</v>
      </c>
      <c r="D325" s="41" t="s">
        <v>806</v>
      </c>
      <c r="E325" s="32">
        <v>43066</v>
      </c>
      <c r="F325" s="74">
        <v>75000000</v>
      </c>
      <c r="G325" s="34">
        <f t="shared" si="26"/>
        <v>69903000</v>
      </c>
      <c r="H325" s="35">
        <v>1041750</v>
      </c>
      <c r="I325" s="35">
        <f>+F325*1.2%</f>
        <v>900000</v>
      </c>
      <c r="J325" s="29">
        <v>36</v>
      </c>
      <c r="K325" s="29">
        <f>33</f>
        <v>33</v>
      </c>
      <c r="L325" s="36">
        <f t="shared" ref="L325:L388" si="27">+H325+I325</f>
        <v>1941750</v>
      </c>
      <c r="M325" s="79">
        <f t="shared" ref="M325:M388" si="28">+K325*L325</f>
        <v>64077750</v>
      </c>
      <c r="N325" s="38">
        <f>F325-(H325*3)</f>
        <v>71874750</v>
      </c>
      <c r="O325" s="39" t="s">
        <v>436</v>
      </c>
      <c r="P325" s="39" t="s">
        <v>30</v>
      </c>
    </row>
    <row r="326" spans="1:16">
      <c r="A326" s="29">
        <f t="shared" ref="A326:A389" si="29">+A325+1</f>
        <v>322</v>
      </c>
      <c r="B326" s="30" t="s">
        <v>807</v>
      </c>
      <c r="C326" s="31" t="s">
        <v>808</v>
      </c>
      <c r="D326" s="41" t="s">
        <v>809</v>
      </c>
      <c r="E326" s="32">
        <v>42823</v>
      </c>
      <c r="F326" s="33">
        <f>19996000+499900+300000+200000+39004100</f>
        <v>60000000</v>
      </c>
      <c r="G326" s="34">
        <f t="shared" si="26"/>
        <v>60606000</v>
      </c>
      <c r="H326" s="33">
        <v>834000</v>
      </c>
      <c r="I326" s="33">
        <f>+F326*1.2%</f>
        <v>720000</v>
      </c>
      <c r="J326" s="29">
        <v>39</v>
      </c>
      <c r="K326" s="29">
        <v>28</v>
      </c>
      <c r="L326" s="36">
        <f t="shared" si="27"/>
        <v>1554000</v>
      </c>
      <c r="M326" s="36">
        <f t="shared" si="28"/>
        <v>43512000</v>
      </c>
      <c r="N326" s="38">
        <f>F326-(H326*11)-5000000-5000000</f>
        <v>40826000</v>
      </c>
      <c r="O326" s="39" t="s">
        <v>810</v>
      </c>
      <c r="P326" s="39" t="s">
        <v>42</v>
      </c>
    </row>
    <row r="327" spans="1:16">
      <c r="A327" s="29">
        <f t="shared" si="29"/>
        <v>323</v>
      </c>
      <c r="B327" s="54" t="s">
        <v>811</v>
      </c>
      <c r="C327" s="55" t="s">
        <v>812</v>
      </c>
      <c r="D327" s="86" t="s">
        <v>813</v>
      </c>
      <c r="E327" s="63">
        <v>42752</v>
      </c>
      <c r="F327" s="59">
        <v>30368552</v>
      </c>
      <c r="G327" s="85">
        <f t="shared" si="26"/>
        <v>28008036</v>
      </c>
      <c r="H327" s="59">
        <f>413578</f>
        <v>413578</v>
      </c>
      <c r="I327" s="59">
        <v>364423</v>
      </c>
      <c r="J327" s="60">
        <v>36</v>
      </c>
      <c r="K327" s="60">
        <f>30+1</f>
        <v>31</v>
      </c>
      <c r="L327" s="36">
        <f t="shared" si="27"/>
        <v>778001</v>
      </c>
      <c r="M327" s="36">
        <f t="shared" si="28"/>
        <v>24118031</v>
      </c>
      <c r="N327" s="38">
        <f>F327-(H327*4)-235114-3000000-178464-1000000</f>
        <v>24300662</v>
      </c>
      <c r="O327" s="39" t="s">
        <v>814</v>
      </c>
      <c r="P327" s="39" t="s">
        <v>451</v>
      </c>
    </row>
    <row r="328" spans="1:16">
      <c r="A328" s="29">
        <f t="shared" si="29"/>
        <v>324</v>
      </c>
      <c r="B328" s="54" t="s">
        <v>811</v>
      </c>
      <c r="C328" s="55" t="s">
        <v>812</v>
      </c>
      <c r="D328" s="86" t="s">
        <v>813</v>
      </c>
      <c r="E328" s="63">
        <v>42752</v>
      </c>
      <c r="F328" s="59">
        <f>50582197+4000000+441950+100000+1264555+638702+3167960+341740+200000+0-30368552</f>
        <v>30368552</v>
      </c>
      <c r="G328" s="85">
        <f t="shared" si="26"/>
        <v>28007964</v>
      </c>
      <c r="H328" s="59">
        <v>413577</v>
      </c>
      <c r="I328" s="59">
        <v>364422</v>
      </c>
      <c r="J328" s="60">
        <v>36</v>
      </c>
      <c r="K328" s="60">
        <f>30+1</f>
        <v>31</v>
      </c>
      <c r="L328" s="36">
        <f t="shared" si="27"/>
        <v>777999</v>
      </c>
      <c r="M328" s="36">
        <f t="shared" si="28"/>
        <v>24117969</v>
      </c>
      <c r="N328" s="38">
        <f>F328-(H328*4)-235114-3000000-178463-350000-1000000</f>
        <v>23950667</v>
      </c>
      <c r="O328" s="39" t="s">
        <v>814</v>
      </c>
      <c r="P328" s="39" t="s">
        <v>451</v>
      </c>
    </row>
    <row r="329" spans="1:16">
      <c r="A329" s="29">
        <f t="shared" si="29"/>
        <v>325</v>
      </c>
      <c r="B329" s="30" t="s">
        <v>815</v>
      </c>
      <c r="C329" s="31" t="s">
        <v>816</v>
      </c>
      <c r="D329" s="31" t="s">
        <v>817</v>
      </c>
      <c r="E329" s="32">
        <v>42850</v>
      </c>
      <c r="F329" s="42">
        <f>33452500+836313+165475+200000+15345712-25000000</f>
        <v>25000000</v>
      </c>
      <c r="G329" s="34">
        <f t="shared" si="26"/>
        <v>23310000</v>
      </c>
      <c r="H329" s="42">
        <v>347500</v>
      </c>
      <c r="I329" s="42">
        <f t="shared" ref="I329:I334" si="30">+F329*1.2%</f>
        <v>300000</v>
      </c>
      <c r="J329" s="29">
        <v>36</v>
      </c>
      <c r="K329" s="29">
        <v>26</v>
      </c>
      <c r="L329" s="36">
        <f t="shared" si="27"/>
        <v>647500</v>
      </c>
      <c r="M329" s="36">
        <f t="shared" si="28"/>
        <v>16835000</v>
      </c>
      <c r="N329" s="38">
        <f>F329-(H329*10)-1250000</f>
        <v>20275000</v>
      </c>
      <c r="O329" s="39" t="s">
        <v>283</v>
      </c>
      <c r="P329" s="39" t="s">
        <v>80</v>
      </c>
    </row>
    <row r="330" spans="1:16">
      <c r="A330" s="29">
        <f t="shared" si="29"/>
        <v>326</v>
      </c>
      <c r="B330" s="30" t="s">
        <v>815</v>
      </c>
      <c r="C330" s="31" t="s">
        <v>816</v>
      </c>
      <c r="D330" s="31" t="s">
        <v>817</v>
      </c>
      <c r="E330" s="32">
        <v>42850</v>
      </c>
      <c r="F330" s="33">
        <v>25000000</v>
      </c>
      <c r="G330" s="34">
        <f t="shared" si="26"/>
        <v>23310000</v>
      </c>
      <c r="H330" s="42">
        <v>347500</v>
      </c>
      <c r="I330" s="33">
        <f t="shared" si="30"/>
        <v>300000</v>
      </c>
      <c r="J330" s="29">
        <v>36</v>
      </c>
      <c r="K330" s="29">
        <v>26</v>
      </c>
      <c r="L330" s="36">
        <f t="shared" si="27"/>
        <v>647500</v>
      </c>
      <c r="M330" s="36">
        <f t="shared" si="28"/>
        <v>16835000</v>
      </c>
      <c r="N330" s="38">
        <f>F330-(H330*10)-1250000</f>
        <v>20275000</v>
      </c>
      <c r="O330" s="39" t="s">
        <v>283</v>
      </c>
      <c r="P330" s="39" t="s">
        <v>80</v>
      </c>
    </row>
    <row r="331" spans="1:16">
      <c r="A331" s="29">
        <f t="shared" si="29"/>
        <v>327</v>
      </c>
      <c r="B331" s="30" t="s">
        <v>815</v>
      </c>
      <c r="C331" s="31" t="s">
        <v>816</v>
      </c>
      <c r="D331" s="31" t="s">
        <v>818</v>
      </c>
      <c r="E331" s="32">
        <v>43084</v>
      </c>
      <c r="F331" s="43">
        <f>50000+4950000</f>
        <v>5000000</v>
      </c>
      <c r="G331" s="34">
        <f t="shared" si="26"/>
        <v>6456000</v>
      </c>
      <c r="H331" s="40">
        <f>269000-I331</f>
        <v>209000</v>
      </c>
      <c r="I331" s="40">
        <f t="shared" si="30"/>
        <v>60000</v>
      </c>
      <c r="J331" s="29">
        <v>24</v>
      </c>
      <c r="K331" s="29">
        <v>22</v>
      </c>
      <c r="L331" s="36">
        <f t="shared" si="27"/>
        <v>269000</v>
      </c>
      <c r="M331" s="37">
        <f t="shared" si="28"/>
        <v>5918000</v>
      </c>
      <c r="N331" s="38">
        <f>F331-(H331*2)</f>
        <v>4582000</v>
      </c>
      <c r="O331" s="39" t="s">
        <v>814</v>
      </c>
      <c r="P331" s="39" t="s">
        <v>32</v>
      </c>
    </row>
    <row r="332" spans="1:16">
      <c r="A332" s="29">
        <f t="shared" si="29"/>
        <v>328</v>
      </c>
      <c r="B332" s="30" t="s">
        <v>819</v>
      </c>
      <c r="C332" s="31" t="s">
        <v>820</v>
      </c>
      <c r="D332" s="32"/>
      <c r="E332" s="32">
        <v>42333</v>
      </c>
      <c r="F332" s="42">
        <f>3667400+91685+200000+200000+45840915</f>
        <v>50000000</v>
      </c>
      <c r="G332" s="72">
        <f t="shared" si="26"/>
        <v>33300000</v>
      </c>
      <c r="H332" s="40">
        <v>300000</v>
      </c>
      <c r="I332" s="42">
        <f t="shared" si="30"/>
        <v>600000</v>
      </c>
      <c r="J332" s="29">
        <v>37</v>
      </c>
      <c r="K332" s="29">
        <v>10</v>
      </c>
      <c r="L332" s="33">
        <f t="shared" si="27"/>
        <v>900000</v>
      </c>
      <c r="M332" s="33">
        <f t="shared" si="28"/>
        <v>9000000</v>
      </c>
      <c r="N332" s="50">
        <f>F332-(H332*27)-1500000-10000000-1500000-1500000-10000000-1500000-1500000</f>
        <v>14400000</v>
      </c>
      <c r="O332" s="39" t="s">
        <v>521</v>
      </c>
      <c r="P332" s="44" t="s">
        <v>75</v>
      </c>
    </row>
    <row r="333" spans="1:16">
      <c r="A333" s="29">
        <f t="shared" si="29"/>
        <v>329</v>
      </c>
      <c r="B333" s="30" t="s">
        <v>821</v>
      </c>
      <c r="C333" s="31" t="s">
        <v>822</v>
      </c>
      <c r="D333" s="41" t="s">
        <v>823</v>
      </c>
      <c r="E333" s="32">
        <v>42872</v>
      </c>
      <c r="F333" s="42">
        <f>33260000+831500+536516+217400+200000+19954584</f>
        <v>55000000</v>
      </c>
      <c r="G333" s="34">
        <f t="shared" si="26"/>
        <v>33000000</v>
      </c>
      <c r="H333" s="35">
        <v>340000</v>
      </c>
      <c r="I333" s="33">
        <f t="shared" si="30"/>
        <v>660000</v>
      </c>
      <c r="J333" s="29">
        <v>33</v>
      </c>
      <c r="K333" s="29">
        <v>23</v>
      </c>
      <c r="L333" s="36">
        <f t="shared" si="27"/>
        <v>1000000</v>
      </c>
      <c r="M333" s="37">
        <f t="shared" si="28"/>
        <v>23000000</v>
      </c>
      <c r="N333" s="38">
        <f>F333-(H333*10)-3000000-5000000</f>
        <v>43600000</v>
      </c>
      <c r="O333" s="39" t="s">
        <v>187</v>
      </c>
      <c r="P333" s="39" t="s">
        <v>80</v>
      </c>
    </row>
    <row r="334" spans="1:16">
      <c r="A334" s="29">
        <f t="shared" si="29"/>
        <v>330</v>
      </c>
      <c r="B334" s="30" t="s">
        <v>824</v>
      </c>
      <c r="C334" s="31" t="s">
        <v>825</v>
      </c>
      <c r="D334" s="31" t="s">
        <v>826</v>
      </c>
      <c r="E334" s="32">
        <v>43104</v>
      </c>
      <c r="F334" s="43">
        <f>63920000+1598000+298065+760800+200000+6673000+66030000+514000+6135</f>
        <v>140000000</v>
      </c>
      <c r="G334" s="34">
        <f t="shared" si="26"/>
        <v>130500000</v>
      </c>
      <c r="H334" s="40">
        <v>1945000</v>
      </c>
      <c r="I334" s="40">
        <f t="shared" si="30"/>
        <v>1680000</v>
      </c>
      <c r="J334" s="29">
        <v>36</v>
      </c>
      <c r="K334" s="29">
        <v>34</v>
      </c>
      <c r="L334" s="36">
        <f t="shared" si="27"/>
        <v>3625000</v>
      </c>
      <c r="M334" s="37">
        <f t="shared" si="28"/>
        <v>123250000</v>
      </c>
      <c r="N334" s="38">
        <f>F334-(H334*2)</f>
        <v>136110000</v>
      </c>
      <c r="O334" s="39" t="s">
        <v>827</v>
      </c>
      <c r="P334" s="39" t="s">
        <v>30</v>
      </c>
    </row>
    <row r="335" spans="1:16">
      <c r="A335" s="29">
        <f t="shared" si="29"/>
        <v>331</v>
      </c>
      <c r="B335" s="30" t="s">
        <v>828</v>
      </c>
      <c r="C335" s="31" t="s">
        <v>829</v>
      </c>
      <c r="D335" s="31" t="s">
        <v>830</v>
      </c>
      <c r="E335" s="32">
        <v>42891</v>
      </c>
      <c r="F335" s="33">
        <f>45313398+1132835+355845+388423+100000+200000+10000000-28745251</f>
        <v>28745250</v>
      </c>
      <c r="G335" s="34">
        <f t="shared" si="26"/>
        <v>23832000</v>
      </c>
      <c r="H335" s="35">
        <v>399807</v>
      </c>
      <c r="I335" s="33">
        <v>344943</v>
      </c>
      <c r="J335" s="29">
        <v>32</v>
      </c>
      <c r="K335" s="29">
        <v>26</v>
      </c>
      <c r="L335" s="36">
        <f t="shared" si="27"/>
        <v>744750</v>
      </c>
      <c r="M335" s="37">
        <f t="shared" si="28"/>
        <v>19363500</v>
      </c>
      <c r="N335" s="38">
        <f>F335-(H335*6)-500000-155057-500000-244750</f>
        <v>24946601</v>
      </c>
      <c r="O335" s="39" t="s">
        <v>814</v>
      </c>
      <c r="P335" s="39" t="s">
        <v>136</v>
      </c>
    </row>
    <row r="336" spans="1:16">
      <c r="A336" s="29">
        <f t="shared" si="29"/>
        <v>332</v>
      </c>
      <c r="B336" s="30" t="s">
        <v>828</v>
      </c>
      <c r="C336" s="31" t="s">
        <v>829</v>
      </c>
      <c r="D336" s="31" t="s">
        <v>830</v>
      </c>
      <c r="E336" s="32">
        <v>42891</v>
      </c>
      <c r="F336" s="33">
        <v>28745251</v>
      </c>
      <c r="G336" s="34">
        <f t="shared" si="26"/>
        <v>23832000</v>
      </c>
      <c r="H336" s="33">
        <v>399807</v>
      </c>
      <c r="I336" s="33">
        <v>344943</v>
      </c>
      <c r="J336" s="29">
        <v>32</v>
      </c>
      <c r="K336" s="29">
        <v>27</v>
      </c>
      <c r="L336" s="36">
        <f t="shared" si="27"/>
        <v>744750</v>
      </c>
      <c r="M336" s="37">
        <f t="shared" si="28"/>
        <v>20108250</v>
      </c>
      <c r="N336" s="38">
        <f>F336-(H336*7)-500000-500000</f>
        <v>24946602</v>
      </c>
      <c r="O336" s="39" t="s">
        <v>814</v>
      </c>
      <c r="P336" s="39" t="s">
        <v>136</v>
      </c>
    </row>
    <row r="337" spans="1:16">
      <c r="A337" s="29">
        <f t="shared" si="29"/>
        <v>333</v>
      </c>
      <c r="B337" s="30" t="s">
        <v>831</v>
      </c>
      <c r="C337" s="31" t="s">
        <v>832</v>
      </c>
      <c r="D337" s="47"/>
      <c r="E337" s="47">
        <v>42580</v>
      </c>
      <c r="F337" s="45">
        <f>32205000+805125+75000+200000+7500000-20392563</f>
        <v>20392562</v>
      </c>
      <c r="G337" s="45">
        <f t="shared" si="26"/>
        <v>10500000</v>
      </c>
      <c r="H337" s="106">
        <v>255289</v>
      </c>
      <c r="I337" s="48">
        <v>244711</v>
      </c>
      <c r="J337" s="29">
        <v>21</v>
      </c>
      <c r="K337" s="29">
        <v>2</v>
      </c>
      <c r="L337" s="46">
        <f t="shared" si="27"/>
        <v>500000</v>
      </c>
      <c r="M337" s="33">
        <f t="shared" si="28"/>
        <v>1000000</v>
      </c>
      <c r="N337" s="38">
        <f>F337-(H337*19)-2500000-5000000-2500000-2500000</f>
        <v>3042071</v>
      </c>
      <c r="O337" s="51" t="s">
        <v>833</v>
      </c>
      <c r="P337" s="39" t="s">
        <v>144</v>
      </c>
    </row>
    <row r="338" spans="1:16">
      <c r="A338" s="29">
        <f t="shared" si="29"/>
        <v>334</v>
      </c>
      <c r="B338" s="30" t="s">
        <v>831</v>
      </c>
      <c r="C338" s="31" t="s">
        <v>832</v>
      </c>
      <c r="D338" s="47"/>
      <c r="E338" s="47">
        <v>42580</v>
      </c>
      <c r="F338" s="45">
        <v>20392563</v>
      </c>
      <c r="G338" s="45">
        <f t="shared" si="26"/>
        <v>10500000</v>
      </c>
      <c r="H338" s="45">
        <v>255289</v>
      </c>
      <c r="I338" s="45">
        <v>244711</v>
      </c>
      <c r="J338" s="29">
        <v>21</v>
      </c>
      <c r="K338" s="29">
        <v>2</v>
      </c>
      <c r="L338" s="46">
        <f t="shared" si="27"/>
        <v>500000</v>
      </c>
      <c r="M338" s="33">
        <f t="shared" si="28"/>
        <v>1000000</v>
      </c>
      <c r="N338" s="38">
        <f>F338-(H338*19)-2500000-5000000-2500000-2500000</f>
        <v>3042072</v>
      </c>
      <c r="O338" s="51" t="s">
        <v>833</v>
      </c>
      <c r="P338" s="39" t="s">
        <v>144</v>
      </c>
    </row>
    <row r="339" spans="1:16">
      <c r="A339" s="29">
        <f t="shared" si="29"/>
        <v>335</v>
      </c>
      <c r="B339" s="30" t="s">
        <v>834</v>
      </c>
      <c r="C339" s="31">
        <v>921578</v>
      </c>
      <c r="D339" s="102"/>
      <c r="E339" s="102">
        <v>41213</v>
      </c>
      <c r="F339" s="33">
        <f>1086374+43454944+4353510+200000+0</f>
        <v>49094828</v>
      </c>
      <c r="G339" s="48">
        <f t="shared" si="26"/>
        <v>46800000</v>
      </c>
      <c r="H339" s="48">
        <v>11765</v>
      </c>
      <c r="I339" s="48">
        <v>638235</v>
      </c>
      <c r="J339" s="103">
        <v>72</v>
      </c>
      <c r="K339" s="29">
        <v>57</v>
      </c>
      <c r="L339" s="48">
        <f t="shared" si="27"/>
        <v>650000</v>
      </c>
      <c r="M339" s="48">
        <f t="shared" si="28"/>
        <v>37050000</v>
      </c>
      <c r="N339" s="70">
        <f>F339-(H339*15)-(7013210)-(772162)-(5000000)-(45525)-(5000000)-(4176765)-5000000-145065</f>
        <v>21765626</v>
      </c>
      <c r="O339" s="44" t="s">
        <v>835</v>
      </c>
      <c r="P339" s="44" t="s">
        <v>836</v>
      </c>
    </row>
    <row r="340" spans="1:16">
      <c r="A340" s="29">
        <f t="shared" si="29"/>
        <v>336</v>
      </c>
      <c r="B340" s="54" t="s">
        <v>837</v>
      </c>
      <c r="C340" s="55" t="s">
        <v>838</v>
      </c>
      <c r="D340" s="86" t="s">
        <v>839</v>
      </c>
      <c r="E340" s="63">
        <v>42879</v>
      </c>
      <c r="F340" s="68">
        <f>1700000+200000+198100000</f>
        <v>200000000</v>
      </c>
      <c r="G340" s="85">
        <f t="shared" si="26"/>
        <v>182000000</v>
      </c>
      <c r="H340" s="87">
        <v>2800000</v>
      </c>
      <c r="I340" s="59">
        <f>+F340*1.2%</f>
        <v>2400000</v>
      </c>
      <c r="J340" s="60">
        <v>35</v>
      </c>
      <c r="K340" s="60">
        <f>26+1</f>
        <v>27</v>
      </c>
      <c r="L340" s="36">
        <f t="shared" si="27"/>
        <v>5200000</v>
      </c>
      <c r="M340" s="37">
        <f t="shared" si="28"/>
        <v>140400000</v>
      </c>
      <c r="N340" s="38">
        <f>F340-(H340*8)-5000000-5000000</f>
        <v>167600000</v>
      </c>
      <c r="O340" s="39" t="s">
        <v>840</v>
      </c>
      <c r="P340" s="39" t="s">
        <v>376</v>
      </c>
    </row>
    <row r="341" spans="1:16">
      <c r="A341" s="29">
        <f t="shared" si="29"/>
        <v>337</v>
      </c>
      <c r="B341" s="30" t="s">
        <v>841</v>
      </c>
      <c r="C341" s="31" t="s">
        <v>842</v>
      </c>
      <c r="D341" s="41" t="s">
        <v>843</v>
      </c>
      <c r="E341" s="32">
        <v>42802</v>
      </c>
      <c r="F341" s="33">
        <f>51388700+1284718+562673+636113+200000+60927796</f>
        <v>115000000</v>
      </c>
      <c r="G341" s="34">
        <f t="shared" si="26"/>
        <v>104688000</v>
      </c>
      <c r="H341" s="33">
        <v>1528000</v>
      </c>
      <c r="I341" s="33">
        <f>+F341*1.2%</f>
        <v>1380000</v>
      </c>
      <c r="J341" s="29">
        <v>36</v>
      </c>
      <c r="K341" s="29">
        <v>24</v>
      </c>
      <c r="L341" s="36">
        <f t="shared" si="27"/>
        <v>2908000</v>
      </c>
      <c r="M341" s="36">
        <f t="shared" si="28"/>
        <v>69792000</v>
      </c>
      <c r="N341" s="38">
        <f>F341-(H341*12)-15000000-2500000-2500000</f>
        <v>76664000</v>
      </c>
      <c r="O341" s="39" t="s">
        <v>844</v>
      </c>
      <c r="P341" s="39" t="s">
        <v>75</v>
      </c>
    </row>
    <row r="342" spans="1:16">
      <c r="A342" s="29">
        <f t="shared" si="29"/>
        <v>338</v>
      </c>
      <c r="B342" s="30" t="s">
        <v>845</v>
      </c>
      <c r="C342" s="31" t="s">
        <v>846</v>
      </c>
      <c r="D342" s="88"/>
      <c r="E342" s="88">
        <v>42416</v>
      </c>
      <c r="F342" s="42">
        <f>50386996+1259675+505033+20000+200000+2000000</f>
        <v>54371704</v>
      </c>
      <c r="G342" s="34">
        <f t="shared" si="26"/>
        <v>49269500</v>
      </c>
      <c r="H342" s="35">
        <v>755240</v>
      </c>
      <c r="I342" s="35">
        <v>652460</v>
      </c>
      <c r="J342" s="29">
        <v>35</v>
      </c>
      <c r="K342" s="29">
        <v>10</v>
      </c>
      <c r="L342" s="42">
        <f t="shared" si="27"/>
        <v>1407700</v>
      </c>
      <c r="M342" s="42">
        <f t="shared" si="28"/>
        <v>14077000</v>
      </c>
      <c r="N342" s="107">
        <f>F342-(H342*25)-5000000-2500000-2500000-5000000-2500000-2500000</f>
        <v>15490704</v>
      </c>
      <c r="O342" s="39" t="s">
        <v>847</v>
      </c>
      <c r="P342" s="39" t="s">
        <v>85</v>
      </c>
    </row>
    <row r="343" spans="1:16">
      <c r="A343" s="29">
        <f t="shared" si="29"/>
        <v>339</v>
      </c>
      <c r="B343" s="30" t="s">
        <v>845</v>
      </c>
      <c r="C343" s="31" t="s">
        <v>846</v>
      </c>
      <c r="D343" s="41" t="s">
        <v>848</v>
      </c>
      <c r="E343" s="32">
        <v>42677</v>
      </c>
      <c r="F343" s="96">
        <f>1664000+41600+7819+20000+2000000</f>
        <v>3733419</v>
      </c>
      <c r="G343" s="34">
        <f t="shared" si="26"/>
        <v>4824000</v>
      </c>
      <c r="H343" s="33">
        <v>156199</v>
      </c>
      <c r="I343" s="33">
        <v>44801</v>
      </c>
      <c r="J343" s="29">
        <v>24</v>
      </c>
      <c r="K343" s="29">
        <v>8</v>
      </c>
      <c r="L343" s="36">
        <f t="shared" si="27"/>
        <v>201000</v>
      </c>
      <c r="M343" s="36">
        <f t="shared" si="28"/>
        <v>1608000</v>
      </c>
      <c r="N343" s="38">
        <f>F343-(H343*16)</f>
        <v>1234235</v>
      </c>
      <c r="O343" s="39" t="s">
        <v>849</v>
      </c>
      <c r="P343" s="39" t="s">
        <v>432</v>
      </c>
    </row>
    <row r="344" spans="1:16">
      <c r="A344" s="29">
        <f t="shared" si="29"/>
        <v>340</v>
      </c>
      <c r="B344" s="30" t="s">
        <v>850</v>
      </c>
      <c r="C344" s="31" t="s">
        <v>851</v>
      </c>
      <c r="D344" s="32"/>
      <c r="E344" s="32">
        <v>42650</v>
      </c>
      <c r="F344" s="33">
        <f>14694700+367368+122878+700000+200000+83915054-50000000</f>
        <v>50000000</v>
      </c>
      <c r="G344" s="34">
        <f t="shared" si="26"/>
        <v>40129500</v>
      </c>
      <c r="H344" s="33">
        <v>694500</v>
      </c>
      <c r="I344" s="33">
        <f>+F344*1.2%</f>
        <v>600000</v>
      </c>
      <c r="J344" s="29">
        <v>31</v>
      </c>
      <c r="K344" s="29">
        <v>14</v>
      </c>
      <c r="L344" s="36">
        <f t="shared" si="27"/>
        <v>1294500</v>
      </c>
      <c r="M344" s="36">
        <f t="shared" si="28"/>
        <v>18123000</v>
      </c>
      <c r="N344" s="38">
        <f>F344-(H344*17)-1250000-7500000-1250000-1250000</f>
        <v>26943500</v>
      </c>
      <c r="O344" s="39" t="s">
        <v>198</v>
      </c>
      <c r="P344" s="39" t="s">
        <v>80</v>
      </c>
    </row>
    <row r="345" spans="1:16">
      <c r="A345" s="29">
        <f t="shared" si="29"/>
        <v>341</v>
      </c>
      <c r="B345" s="30" t="s">
        <v>850</v>
      </c>
      <c r="C345" s="31" t="s">
        <v>851</v>
      </c>
      <c r="D345" s="32"/>
      <c r="E345" s="32">
        <v>42650</v>
      </c>
      <c r="F345" s="33">
        <v>50000000</v>
      </c>
      <c r="G345" s="34">
        <f t="shared" si="26"/>
        <v>40129500</v>
      </c>
      <c r="H345" s="33">
        <v>694500</v>
      </c>
      <c r="I345" s="33">
        <f>+F345*1.2%</f>
        <v>600000</v>
      </c>
      <c r="J345" s="29">
        <v>31</v>
      </c>
      <c r="K345" s="29">
        <v>14</v>
      </c>
      <c r="L345" s="36">
        <f t="shared" si="27"/>
        <v>1294500</v>
      </c>
      <c r="M345" s="36">
        <f t="shared" si="28"/>
        <v>18123000</v>
      </c>
      <c r="N345" s="38">
        <f>F345-(H345*17)-1250000-7500000-1250000-1250000</f>
        <v>26943500</v>
      </c>
      <c r="O345" s="39" t="s">
        <v>198</v>
      </c>
      <c r="P345" s="39" t="s">
        <v>80</v>
      </c>
    </row>
    <row r="346" spans="1:16">
      <c r="A346" s="29">
        <f t="shared" si="29"/>
        <v>342</v>
      </c>
      <c r="B346" s="30" t="s">
        <v>852</v>
      </c>
      <c r="C346" s="31" t="s">
        <v>853</v>
      </c>
      <c r="D346" s="32"/>
      <c r="E346" s="32">
        <v>42669</v>
      </c>
      <c r="F346" s="33">
        <f>27939400+698485+1229394+200000+125000000</f>
        <v>155067279</v>
      </c>
      <c r="G346" s="34">
        <f t="shared" si="26"/>
        <v>132084000</v>
      </c>
      <c r="H346" s="33">
        <v>1808193</v>
      </c>
      <c r="I346" s="33">
        <v>1860807</v>
      </c>
      <c r="J346" s="29">
        <v>36</v>
      </c>
      <c r="K346" s="29">
        <v>20</v>
      </c>
      <c r="L346" s="36">
        <f t="shared" si="27"/>
        <v>3669000</v>
      </c>
      <c r="M346" s="36">
        <f t="shared" si="28"/>
        <v>73380000</v>
      </c>
      <c r="N346" s="38">
        <f>F346-(H346*16)-7500000-15000000-7500000-7500000</f>
        <v>88636191</v>
      </c>
      <c r="O346" s="39" t="s">
        <v>854</v>
      </c>
      <c r="P346" s="39" t="s">
        <v>75</v>
      </c>
    </row>
    <row r="347" spans="1:16">
      <c r="A347" s="29">
        <f t="shared" si="29"/>
        <v>343</v>
      </c>
      <c r="B347" s="30" t="s">
        <v>855</v>
      </c>
      <c r="C347" s="31" t="s">
        <v>856</v>
      </c>
      <c r="D347" s="41" t="s">
        <v>857</v>
      </c>
      <c r="E347" s="32">
        <v>43011</v>
      </c>
      <c r="F347" s="42">
        <f>125330464+5000000+3133262+920621+1000000+200000+100000000</f>
        <v>235584347</v>
      </c>
      <c r="G347" s="34">
        <f t="shared" si="26"/>
        <v>210600000</v>
      </c>
      <c r="H347" s="35">
        <v>3022988</v>
      </c>
      <c r="I347" s="35">
        <v>2827012</v>
      </c>
      <c r="J347" s="29">
        <v>36</v>
      </c>
      <c r="K347" s="29">
        <v>31</v>
      </c>
      <c r="L347" s="36">
        <f t="shared" si="27"/>
        <v>5850000</v>
      </c>
      <c r="M347" s="37">
        <f t="shared" si="28"/>
        <v>181350000</v>
      </c>
      <c r="N347" s="38">
        <f>F347-(H347*5)+1850000-1850000-7000000</f>
        <v>213469407</v>
      </c>
      <c r="O347" s="39" t="s">
        <v>50</v>
      </c>
      <c r="P347" s="39" t="s">
        <v>30</v>
      </c>
    </row>
    <row r="348" spans="1:16">
      <c r="A348" s="29">
        <f t="shared" si="29"/>
        <v>344</v>
      </c>
      <c r="B348" s="30" t="s">
        <v>858</v>
      </c>
      <c r="C348" s="31" t="s">
        <v>859</v>
      </c>
      <c r="D348" s="32"/>
      <c r="E348" s="32">
        <v>42244</v>
      </c>
      <c r="F348" s="33">
        <f>5592470+139812+500000+200000+67718+73500000</f>
        <v>80000000</v>
      </c>
      <c r="G348" s="72">
        <f t="shared" si="26"/>
        <v>72492000</v>
      </c>
      <c r="H348" s="33">
        <v>1111200</v>
      </c>
      <c r="I348" s="48">
        <f>F348*1.2%</f>
        <v>960000</v>
      </c>
      <c r="J348" s="29">
        <v>35</v>
      </c>
      <c r="K348" s="29">
        <v>5</v>
      </c>
      <c r="L348" s="33">
        <f t="shared" si="27"/>
        <v>2071200</v>
      </c>
      <c r="M348" s="33">
        <f t="shared" si="28"/>
        <v>10356000</v>
      </c>
      <c r="N348" s="50">
        <f>F348-(H348*30)-2000000-10000000-3000000-2000000-10000000-3000000-2000000</f>
        <v>14664000</v>
      </c>
      <c r="O348" s="39" t="s">
        <v>268</v>
      </c>
      <c r="P348" s="65" t="s">
        <v>85</v>
      </c>
    </row>
    <row r="349" spans="1:16">
      <c r="A349" s="29">
        <f t="shared" si="29"/>
        <v>345</v>
      </c>
      <c r="B349" s="30" t="s">
        <v>860</v>
      </c>
      <c r="C349" s="31" t="s">
        <v>861</v>
      </c>
      <c r="D349" s="31" t="s">
        <v>862</v>
      </c>
      <c r="E349" s="32">
        <v>42982</v>
      </c>
      <c r="F349" s="43">
        <f>49580000+1239500+323226+150000+200000+15000000-33246363</f>
        <v>33246363</v>
      </c>
      <c r="G349" s="34">
        <f t="shared" si="26"/>
        <v>30000000</v>
      </c>
      <c r="H349" s="35">
        <v>351043</v>
      </c>
      <c r="I349" s="35">
        <v>398957</v>
      </c>
      <c r="J349" s="29">
        <v>40</v>
      </c>
      <c r="K349" s="29">
        <v>34</v>
      </c>
      <c r="L349" s="36">
        <f t="shared" si="27"/>
        <v>750000</v>
      </c>
      <c r="M349" s="37">
        <f t="shared" si="28"/>
        <v>25500000</v>
      </c>
      <c r="N349" s="38">
        <f>F349-(H349*6)-750000</f>
        <v>30390105</v>
      </c>
      <c r="O349" s="44" t="s">
        <v>863</v>
      </c>
      <c r="P349" s="39" t="s">
        <v>37</v>
      </c>
    </row>
    <row r="350" spans="1:16">
      <c r="A350" s="29">
        <f t="shared" si="29"/>
        <v>346</v>
      </c>
      <c r="B350" s="30" t="s">
        <v>860</v>
      </c>
      <c r="C350" s="31" t="s">
        <v>861</v>
      </c>
      <c r="D350" s="31" t="s">
        <v>862</v>
      </c>
      <c r="E350" s="32">
        <v>42982</v>
      </c>
      <c r="F350" s="43">
        <v>33246363</v>
      </c>
      <c r="G350" s="34">
        <f t="shared" si="26"/>
        <v>30000000</v>
      </c>
      <c r="H350" s="43">
        <f>351044</f>
        <v>351044</v>
      </c>
      <c r="I350" s="35">
        <v>398956</v>
      </c>
      <c r="J350" s="29">
        <v>40</v>
      </c>
      <c r="K350" s="29">
        <v>34</v>
      </c>
      <c r="L350" s="36">
        <f t="shared" si="27"/>
        <v>750000</v>
      </c>
      <c r="M350" s="37">
        <f t="shared" si="28"/>
        <v>25500000</v>
      </c>
      <c r="N350" s="38">
        <f>F350-(H350*6)-750000</f>
        <v>30390099</v>
      </c>
      <c r="O350" s="44" t="s">
        <v>863</v>
      </c>
      <c r="P350" s="39" t="s">
        <v>37</v>
      </c>
    </row>
    <row r="351" spans="1:16">
      <c r="A351" s="29">
        <f t="shared" si="29"/>
        <v>347</v>
      </c>
      <c r="B351" s="30" t="s">
        <v>864</v>
      </c>
      <c r="C351" s="31" t="s">
        <v>865</v>
      </c>
      <c r="D351" s="41" t="s">
        <v>866</v>
      </c>
      <c r="E351" s="32">
        <v>42884</v>
      </c>
      <c r="F351" s="42">
        <f>850535+21263+200000+200000+48728202</f>
        <v>50000000</v>
      </c>
      <c r="G351" s="34">
        <f t="shared" si="26"/>
        <v>71622000</v>
      </c>
      <c r="H351" s="35">
        <v>1389500</v>
      </c>
      <c r="I351" s="33">
        <f>+F351*1.2%</f>
        <v>600000</v>
      </c>
      <c r="J351" s="29">
        <v>36</v>
      </c>
      <c r="K351" s="29">
        <v>27</v>
      </c>
      <c r="L351" s="36">
        <f t="shared" si="27"/>
        <v>1989500</v>
      </c>
      <c r="M351" s="37">
        <f t="shared" si="28"/>
        <v>53716500</v>
      </c>
      <c r="N351" s="38">
        <f>F351-(H351*9)</f>
        <v>37494500</v>
      </c>
      <c r="O351" s="39" t="s">
        <v>867</v>
      </c>
      <c r="P351" s="39" t="s">
        <v>376</v>
      </c>
    </row>
    <row r="352" spans="1:16">
      <c r="A352" s="29">
        <f t="shared" si="29"/>
        <v>348</v>
      </c>
      <c r="B352" s="30" t="s">
        <v>868</v>
      </c>
      <c r="C352" s="31" t="s">
        <v>869</v>
      </c>
      <c r="D352" s="31" t="s">
        <v>870</v>
      </c>
      <c r="E352" s="32">
        <v>42867</v>
      </c>
      <c r="F352" s="33">
        <f>35762023+894051+353781+500000+200000+50000000</f>
        <v>87709855</v>
      </c>
      <c r="G352" s="34">
        <f t="shared" si="26"/>
        <v>81450000</v>
      </c>
      <c r="H352" s="33">
        <v>1209982</v>
      </c>
      <c r="I352" s="33">
        <v>1052518</v>
      </c>
      <c r="J352" s="29">
        <v>36</v>
      </c>
      <c r="K352" s="29">
        <v>26</v>
      </c>
      <c r="L352" s="36">
        <f t="shared" si="27"/>
        <v>2262500</v>
      </c>
      <c r="M352" s="37">
        <f t="shared" si="28"/>
        <v>58825000</v>
      </c>
      <c r="N352" s="38">
        <f>F352-(H352*10)-2000000-3000000</f>
        <v>70610035</v>
      </c>
      <c r="O352" s="39" t="s">
        <v>198</v>
      </c>
      <c r="P352" s="39" t="s">
        <v>80</v>
      </c>
    </row>
    <row r="353" spans="1:16">
      <c r="A353" s="29">
        <f t="shared" si="29"/>
        <v>349</v>
      </c>
      <c r="B353" s="30" t="s">
        <v>871</v>
      </c>
      <c r="C353" s="31" t="s">
        <v>872</v>
      </c>
      <c r="D353" s="32"/>
      <c r="E353" s="32">
        <v>42222</v>
      </c>
      <c r="F353" s="33">
        <f>350000+34650000</f>
        <v>35000000</v>
      </c>
      <c r="G353" s="72">
        <f t="shared" si="26"/>
        <v>50122800</v>
      </c>
      <c r="H353" s="33">
        <v>972300</v>
      </c>
      <c r="I353" s="48">
        <f>F353*1.2%</f>
        <v>420000</v>
      </c>
      <c r="J353" s="29">
        <v>36</v>
      </c>
      <c r="K353" s="29">
        <v>5</v>
      </c>
      <c r="L353" s="33">
        <f t="shared" si="27"/>
        <v>1392300</v>
      </c>
      <c r="M353" s="33">
        <f t="shared" si="28"/>
        <v>6961500</v>
      </c>
      <c r="N353" s="50">
        <f>F353-(H353*31)</f>
        <v>4858700</v>
      </c>
      <c r="O353" s="39" t="s">
        <v>873</v>
      </c>
      <c r="P353" s="39" t="s">
        <v>342</v>
      </c>
    </row>
    <row r="354" spans="1:16">
      <c r="A354" s="29">
        <f t="shared" si="29"/>
        <v>350</v>
      </c>
      <c r="B354" s="30" t="s">
        <v>874</v>
      </c>
      <c r="C354" s="31" t="s">
        <v>875</v>
      </c>
      <c r="D354" s="41" t="s">
        <v>876</v>
      </c>
      <c r="E354" s="32">
        <v>43017</v>
      </c>
      <c r="F354" s="43">
        <f>36660000+916500+400258+233400+200000+21589842</f>
        <v>60000000</v>
      </c>
      <c r="G354" s="34">
        <f t="shared" si="26"/>
        <v>41958000</v>
      </c>
      <c r="H354" s="35">
        <v>834000</v>
      </c>
      <c r="I354" s="35">
        <f>+F354*1.2%</f>
        <v>720000</v>
      </c>
      <c r="J354" s="29">
        <v>27</v>
      </c>
      <c r="K354" s="29">
        <v>22</v>
      </c>
      <c r="L354" s="36">
        <f t="shared" si="27"/>
        <v>1554000</v>
      </c>
      <c r="M354" s="37">
        <f t="shared" si="28"/>
        <v>34188000</v>
      </c>
      <c r="N354" s="38">
        <f>F354-(H354*5)</f>
        <v>55830000</v>
      </c>
      <c r="O354" s="44" t="s">
        <v>877</v>
      </c>
      <c r="P354" s="108" t="s">
        <v>30</v>
      </c>
    </row>
    <row r="355" spans="1:16">
      <c r="A355" s="29">
        <f t="shared" si="29"/>
        <v>351</v>
      </c>
      <c r="B355" s="30" t="s">
        <v>878</v>
      </c>
      <c r="C355" s="31" t="s">
        <v>879</v>
      </c>
      <c r="D355" s="31" t="s">
        <v>880</v>
      </c>
      <c r="E355" s="32">
        <v>42941</v>
      </c>
      <c r="F355" s="43">
        <f>40253000+1006325+200000+0</f>
        <v>41459325</v>
      </c>
      <c r="G355" s="34">
        <f t="shared" si="26"/>
        <v>33600000</v>
      </c>
      <c r="H355" s="40">
        <v>902488</v>
      </c>
      <c r="I355" s="40">
        <v>497512</v>
      </c>
      <c r="J355" s="29">
        <v>24</v>
      </c>
      <c r="K355" s="29">
        <v>17</v>
      </c>
      <c r="L355" s="36">
        <f t="shared" si="27"/>
        <v>1400000</v>
      </c>
      <c r="M355" s="37">
        <f t="shared" si="28"/>
        <v>23800000</v>
      </c>
      <c r="N355" s="38">
        <f>F355-(H355*7)-2500000</f>
        <v>32641909</v>
      </c>
      <c r="O355" s="44" t="s">
        <v>498</v>
      </c>
      <c r="P355" s="108" t="s">
        <v>239</v>
      </c>
    </row>
    <row r="356" spans="1:16">
      <c r="A356" s="29">
        <f t="shared" si="29"/>
        <v>352</v>
      </c>
      <c r="B356" s="30" t="s">
        <v>881</v>
      </c>
      <c r="C356" s="31" t="s">
        <v>879</v>
      </c>
      <c r="D356" s="31" t="s">
        <v>882</v>
      </c>
      <c r="E356" s="32">
        <v>43063</v>
      </c>
      <c r="F356" s="43">
        <f>38000+3762000</f>
        <v>3800000</v>
      </c>
      <c r="G356" s="34">
        <f t="shared" si="26"/>
        <v>4356000</v>
      </c>
      <c r="H356" s="35">
        <v>317400</v>
      </c>
      <c r="I356" s="35">
        <f>+F356*1.2%</f>
        <v>45600</v>
      </c>
      <c r="J356" s="29">
        <v>12</v>
      </c>
      <c r="K356" s="29">
        <v>9</v>
      </c>
      <c r="L356" s="36">
        <f t="shared" si="27"/>
        <v>363000</v>
      </c>
      <c r="M356" s="37">
        <f t="shared" si="28"/>
        <v>3267000</v>
      </c>
      <c r="N356" s="38">
        <f>F356-(H356*3)</f>
        <v>2847800</v>
      </c>
      <c r="O356" s="39" t="s">
        <v>624</v>
      </c>
      <c r="P356" s="108" t="s">
        <v>32</v>
      </c>
    </row>
    <row r="357" spans="1:16">
      <c r="A357" s="29">
        <f t="shared" si="29"/>
        <v>353</v>
      </c>
      <c r="B357" s="30" t="s">
        <v>883</v>
      </c>
      <c r="C357" s="31" t="s">
        <v>884</v>
      </c>
      <c r="D357" s="31" t="s">
        <v>885</v>
      </c>
      <c r="E357" s="32">
        <v>42942</v>
      </c>
      <c r="F357" s="43">
        <f>46300890+1157522+1500000+200000+5000000+15000000</f>
        <v>69158412</v>
      </c>
      <c r="G357" s="34">
        <f t="shared" si="26"/>
        <v>63034848</v>
      </c>
      <c r="H357" s="40">
        <v>921067</v>
      </c>
      <c r="I357" s="40">
        <v>829901</v>
      </c>
      <c r="J357" s="29">
        <v>36</v>
      </c>
      <c r="K357" s="29">
        <v>29</v>
      </c>
      <c r="L357" s="36">
        <f t="shared" si="27"/>
        <v>1750968</v>
      </c>
      <c r="M357" s="37">
        <f t="shared" si="28"/>
        <v>50778072</v>
      </c>
      <c r="N357" s="38">
        <f>F357-(H357*7)-3500000</f>
        <v>59210943</v>
      </c>
      <c r="O357" s="44" t="s">
        <v>886</v>
      </c>
      <c r="P357" s="108" t="s">
        <v>30</v>
      </c>
    </row>
    <row r="358" spans="1:16">
      <c r="A358" s="29">
        <f t="shared" si="29"/>
        <v>354</v>
      </c>
      <c r="B358" s="30" t="s">
        <v>883</v>
      </c>
      <c r="C358" s="31" t="s">
        <v>884</v>
      </c>
      <c r="D358" s="31" t="s">
        <v>885</v>
      </c>
      <c r="E358" s="32">
        <v>42947</v>
      </c>
      <c r="F358" s="43">
        <v>130000000</v>
      </c>
      <c r="G358" s="34">
        <f t="shared" si="26"/>
        <v>83214184</v>
      </c>
      <c r="H358" s="40">
        <v>689032</v>
      </c>
      <c r="I358" s="40">
        <f>+F358*1.2%</f>
        <v>1560000</v>
      </c>
      <c r="J358" s="29">
        <v>37</v>
      </c>
      <c r="K358" s="29">
        <v>30</v>
      </c>
      <c r="L358" s="36">
        <f t="shared" si="27"/>
        <v>2249032</v>
      </c>
      <c r="M358" s="37">
        <f t="shared" si="28"/>
        <v>67470960</v>
      </c>
      <c r="N358" s="38">
        <f>F358-(H358*7)-3500000</f>
        <v>121676776</v>
      </c>
      <c r="O358" s="44" t="s">
        <v>886</v>
      </c>
      <c r="P358" s="108" t="s">
        <v>30</v>
      </c>
    </row>
    <row r="359" spans="1:16">
      <c r="A359" s="29">
        <f t="shared" si="29"/>
        <v>355</v>
      </c>
      <c r="B359" s="30" t="s">
        <v>887</v>
      </c>
      <c r="C359" s="31" t="s">
        <v>888</v>
      </c>
      <c r="D359" s="32"/>
      <c r="E359" s="32">
        <v>42503</v>
      </c>
      <c r="F359" s="42">
        <f>876000+200000+116524000-F360</f>
        <v>58800000</v>
      </c>
      <c r="G359" s="34">
        <f t="shared" si="26"/>
        <v>31701600</v>
      </c>
      <c r="H359" s="42">
        <v>175000</v>
      </c>
      <c r="I359" s="34">
        <f>+F359*1.2%</f>
        <v>705600</v>
      </c>
      <c r="J359" s="29">
        <v>36</v>
      </c>
      <c r="K359" s="29">
        <v>14</v>
      </c>
      <c r="L359" s="33">
        <f t="shared" si="27"/>
        <v>880600</v>
      </c>
      <c r="M359" s="33">
        <f t="shared" si="28"/>
        <v>12328400</v>
      </c>
      <c r="N359" s="70">
        <f>F359-(H359*22)-17500000</f>
        <v>37450000</v>
      </c>
      <c r="O359" s="39" t="s">
        <v>889</v>
      </c>
      <c r="P359" s="108" t="s">
        <v>75</v>
      </c>
    </row>
    <row r="360" spans="1:16">
      <c r="A360" s="29">
        <f t="shared" si="29"/>
        <v>356</v>
      </c>
      <c r="B360" s="30" t="s">
        <v>887</v>
      </c>
      <c r="C360" s="31" t="s">
        <v>888</v>
      </c>
      <c r="D360" s="32"/>
      <c r="E360" s="32">
        <v>42503</v>
      </c>
      <c r="F360" s="42">
        <v>58800000</v>
      </c>
      <c r="G360" s="34">
        <f t="shared" si="26"/>
        <v>31701600</v>
      </c>
      <c r="H360" s="42">
        <v>175000</v>
      </c>
      <c r="I360" s="34">
        <f>+F360*1.2%</f>
        <v>705600</v>
      </c>
      <c r="J360" s="29">
        <v>36</v>
      </c>
      <c r="K360" s="29">
        <v>14</v>
      </c>
      <c r="L360" s="33">
        <f t="shared" si="27"/>
        <v>880600</v>
      </c>
      <c r="M360" s="33">
        <f t="shared" si="28"/>
        <v>12328400</v>
      </c>
      <c r="N360" s="70">
        <f>F360-(H360*22)-17500000</f>
        <v>37450000</v>
      </c>
      <c r="O360" s="39" t="s">
        <v>889</v>
      </c>
      <c r="P360" s="108" t="s">
        <v>75</v>
      </c>
    </row>
    <row r="361" spans="1:16">
      <c r="A361" s="29">
        <f t="shared" si="29"/>
        <v>357</v>
      </c>
      <c r="B361" s="30" t="s">
        <v>890</v>
      </c>
      <c r="C361" s="31" t="s">
        <v>891</v>
      </c>
      <c r="D361" s="32"/>
      <c r="E361" s="32">
        <v>42325</v>
      </c>
      <c r="F361" s="33">
        <f>83677166+2091929+1055247+250000+200000+25000000-F362</f>
        <v>56137171</v>
      </c>
      <c r="G361" s="72">
        <f t="shared" si="26"/>
        <v>49413900</v>
      </c>
      <c r="H361" s="33">
        <v>779704</v>
      </c>
      <c r="I361" s="48">
        <f>1347292-I362</f>
        <v>673646</v>
      </c>
      <c r="J361" s="29">
        <v>34</v>
      </c>
      <c r="K361" s="29">
        <v>6</v>
      </c>
      <c r="L361" s="33">
        <f t="shared" si="27"/>
        <v>1453350</v>
      </c>
      <c r="M361" s="33">
        <f t="shared" si="28"/>
        <v>8720100</v>
      </c>
      <c r="N361" s="50">
        <f>F361-(H361*28)-2000000-6000000-2000000-2000000-6000000-2000000-2000000</f>
        <v>12305459</v>
      </c>
      <c r="O361" s="44" t="s">
        <v>892</v>
      </c>
      <c r="P361" s="109" t="s">
        <v>75</v>
      </c>
    </row>
    <row r="362" spans="1:16">
      <c r="A362" s="29">
        <f t="shared" si="29"/>
        <v>358</v>
      </c>
      <c r="B362" s="30" t="s">
        <v>890</v>
      </c>
      <c r="C362" s="31" t="s">
        <v>891</v>
      </c>
      <c r="D362" s="32"/>
      <c r="E362" s="32">
        <v>42325</v>
      </c>
      <c r="F362" s="33">
        <v>56137171</v>
      </c>
      <c r="G362" s="72">
        <f t="shared" si="26"/>
        <v>49413900</v>
      </c>
      <c r="H362" s="33">
        <v>779704</v>
      </c>
      <c r="I362" s="48">
        <v>673646</v>
      </c>
      <c r="J362" s="29">
        <v>34</v>
      </c>
      <c r="K362" s="29">
        <v>6</v>
      </c>
      <c r="L362" s="33">
        <f t="shared" si="27"/>
        <v>1453350</v>
      </c>
      <c r="M362" s="33">
        <f t="shared" si="28"/>
        <v>8720100</v>
      </c>
      <c r="N362" s="50">
        <f>F362-(H362*28)-2000000-6000000-2000000-2000000-6000000-2000000-2000000</f>
        <v>12305459</v>
      </c>
      <c r="O362" s="44" t="s">
        <v>892</v>
      </c>
      <c r="P362" s="109" t="s">
        <v>75</v>
      </c>
    </row>
    <row r="363" spans="1:16">
      <c r="A363" s="29">
        <f t="shared" si="29"/>
        <v>359</v>
      </c>
      <c r="B363" s="30" t="s">
        <v>890</v>
      </c>
      <c r="C363" s="31" t="s">
        <v>891</v>
      </c>
      <c r="D363" s="41" t="s">
        <v>893</v>
      </c>
      <c r="E363" s="32">
        <v>42775</v>
      </c>
      <c r="F363" s="33">
        <f>177000+17523000</f>
        <v>17700000</v>
      </c>
      <c r="G363" s="34">
        <f t="shared" si="26"/>
        <v>25380000</v>
      </c>
      <c r="H363" s="33">
        <v>492600</v>
      </c>
      <c r="I363" s="33">
        <f>+F363*1.2%</f>
        <v>212400</v>
      </c>
      <c r="J363" s="29">
        <v>36</v>
      </c>
      <c r="K363" s="29">
        <v>23</v>
      </c>
      <c r="L363" s="36">
        <f t="shared" si="27"/>
        <v>705000</v>
      </c>
      <c r="M363" s="36">
        <f t="shared" si="28"/>
        <v>16215000</v>
      </c>
      <c r="N363" s="38">
        <f>F363-(H363*13)</f>
        <v>11296200</v>
      </c>
      <c r="O363" s="39" t="s">
        <v>428</v>
      </c>
      <c r="P363" s="108" t="s">
        <v>123</v>
      </c>
    </row>
    <row r="364" spans="1:16" s="110" customFormat="1">
      <c r="A364" s="29">
        <f t="shared" si="29"/>
        <v>360</v>
      </c>
      <c r="B364" s="30" t="s">
        <v>894</v>
      </c>
      <c r="C364" s="31" t="s">
        <v>895</v>
      </c>
      <c r="D364" s="41" t="s">
        <v>896</v>
      </c>
      <c r="E364" s="32">
        <v>42930</v>
      </c>
      <c r="F364" s="42">
        <f>21660000+541500+293032+500000+200000+56805468</f>
        <v>80000000</v>
      </c>
      <c r="G364" s="34">
        <f t="shared" si="26"/>
        <v>54594000</v>
      </c>
      <c r="H364" s="35">
        <v>556500</v>
      </c>
      <c r="I364" s="35">
        <f>+F364*1.2%</f>
        <v>960000</v>
      </c>
      <c r="J364" s="29">
        <v>36</v>
      </c>
      <c r="K364" s="29">
        <v>28</v>
      </c>
      <c r="L364" s="36">
        <f t="shared" si="27"/>
        <v>1516500</v>
      </c>
      <c r="M364" s="37">
        <f t="shared" si="28"/>
        <v>42462000</v>
      </c>
      <c r="N364" s="38">
        <f>F364-(H364*8)-5000000</f>
        <v>70548000</v>
      </c>
      <c r="O364" s="39" t="s">
        <v>897</v>
      </c>
      <c r="P364" s="108" t="s">
        <v>42</v>
      </c>
    </row>
    <row r="365" spans="1:16">
      <c r="A365" s="29">
        <f t="shared" si="29"/>
        <v>361</v>
      </c>
      <c r="B365" s="30" t="s">
        <v>898</v>
      </c>
      <c r="C365" s="31" t="s">
        <v>899</v>
      </c>
      <c r="D365" s="41" t="s">
        <v>900</v>
      </c>
      <c r="E365" s="32">
        <v>43063</v>
      </c>
      <c r="F365" s="42">
        <f>27498000+687450+200000+200000+21414550</f>
        <v>50000000</v>
      </c>
      <c r="G365" s="34">
        <f t="shared" si="26"/>
        <v>71604000</v>
      </c>
      <c r="H365" s="35">
        <f>1989000-I365</f>
        <v>1389000</v>
      </c>
      <c r="I365" s="35">
        <f>+F365*1.2%</f>
        <v>600000</v>
      </c>
      <c r="J365" s="29">
        <v>36</v>
      </c>
      <c r="K365" s="29">
        <v>33</v>
      </c>
      <c r="L365" s="36">
        <f t="shared" si="27"/>
        <v>1989000</v>
      </c>
      <c r="M365" s="37">
        <f t="shared" si="28"/>
        <v>65637000</v>
      </c>
      <c r="N365" s="38">
        <f>F365-(H365*3)</f>
        <v>45833000</v>
      </c>
      <c r="O365" s="44" t="s">
        <v>605</v>
      </c>
      <c r="P365" s="108" t="s">
        <v>30</v>
      </c>
    </row>
    <row r="366" spans="1:16">
      <c r="A366" s="29">
        <f t="shared" si="29"/>
        <v>362</v>
      </c>
      <c r="B366" s="30" t="s">
        <v>901</v>
      </c>
      <c r="C366" s="31" t="s">
        <v>902</v>
      </c>
      <c r="D366" s="31" t="s">
        <v>903</v>
      </c>
      <c r="E366" s="32">
        <v>43097</v>
      </c>
      <c r="F366" s="43">
        <f>36664000+916600+100000+200000+10000000-F367</f>
        <v>23940300</v>
      </c>
      <c r="G366" s="34">
        <f t="shared" si="26"/>
        <v>16874973</v>
      </c>
      <c r="H366" s="40">
        <v>337716</v>
      </c>
      <c r="I366" s="40">
        <v>287283</v>
      </c>
      <c r="J366" s="29">
        <v>27</v>
      </c>
      <c r="K366" s="29">
        <v>25</v>
      </c>
      <c r="L366" s="36">
        <f t="shared" si="27"/>
        <v>624999</v>
      </c>
      <c r="M366" s="37">
        <f t="shared" si="28"/>
        <v>15624975</v>
      </c>
      <c r="N366" s="38">
        <f>F366-(H366*2)</f>
        <v>23264868</v>
      </c>
      <c r="O366" s="39" t="s">
        <v>904</v>
      </c>
      <c r="P366" s="108" t="s">
        <v>30</v>
      </c>
    </row>
    <row r="367" spans="1:16">
      <c r="A367" s="29">
        <f t="shared" si="29"/>
        <v>363</v>
      </c>
      <c r="B367" s="54" t="s">
        <v>901</v>
      </c>
      <c r="C367" s="55" t="s">
        <v>902</v>
      </c>
      <c r="D367" s="55" t="s">
        <v>903</v>
      </c>
      <c r="E367" s="63">
        <v>43097</v>
      </c>
      <c r="F367" s="105">
        <v>23940300</v>
      </c>
      <c r="G367" s="85">
        <f t="shared" si="26"/>
        <v>16875054</v>
      </c>
      <c r="H367" s="98">
        <v>337717</v>
      </c>
      <c r="I367" s="98">
        <f>287284+1</f>
        <v>287285</v>
      </c>
      <c r="J367" s="60">
        <v>27</v>
      </c>
      <c r="K367" s="60">
        <f>25+1</f>
        <v>26</v>
      </c>
      <c r="L367" s="36">
        <f t="shared" si="27"/>
        <v>625002</v>
      </c>
      <c r="M367" s="37">
        <f t="shared" si="28"/>
        <v>16250052</v>
      </c>
      <c r="N367" s="38">
        <f>F367-(H367*1)</f>
        <v>23602583</v>
      </c>
      <c r="O367" s="39" t="s">
        <v>904</v>
      </c>
      <c r="P367" s="108" t="s">
        <v>30</v>
      </c>
    </row>
    <row r="368" spans="1:16">
      <c r="A368" s="29">
        <f t="shared" si="29"/>
        <v>364</v>
      </c>
      <c r="B368" s="30" t="s">
        <v>905</v>
      </c>
      <c r="C368" s="31" t="s">
        <v>906</v>
      </c>
      <c r="D368" s="31" t="s">
        <v>907</v>
      </c>
      <c r="E368" s="32">
        <v>43018</v>
      </c>
      <c r="F368" s="43">
        <f>600000+200000+89200000</f>
        <v>90000000</v>
      </c>
      <c r="G368" s="34">
        <f t="shared" si="26"/>
        <v>71892000</v>
      </c>
      <c r="H368" s="35">
        <v>917000</v>
      </c>
      <c r="I368" s="35">
        <f>+F368*1.2%</f>
        <v>1080000</v>
      </c>
      <c r="J368" s="29">
        <v>36</v>
      </c>
      <c r="K368" s="29">
        <v>31</v>
      </c>
      <c r="L368" s="36">
        <f t="shared" si="27"/>
        <v>1997000</v>
      </c>
      <c r="M368" s="37">
        <f t="shared" si="28"/>
        <v>61907000</v>
      </c>
      <c r="N368" s="38">
        <f>F368-(H368*5)-2000000</f>
        <v>83415000</v>
      </c>
      <c r="O368" s="44" t="s">
        <v>908</v>
      </c>
      <c r="P368" s="108" t="s">
        <v>30</v>
      </c>
    </row>
    <row r="369" spans="1:16">
      <c r="A369" s="29">
        <f t="shared" si="29"/>
        <v>365</v>
      </c>
      <c r="B369" s="30" t="s">
        <v>909</v>
      </c>
      <c r="C369" s="31" t="s">
        <v>910</v>
      </c>
      <c r="D369" s="32"/>
      <c r="E369" s="32">
        <v>42508</v>
      </c>
      <c r="F369" s="42">
        <f>30000000+281032+300000+200000+30000000</f>
        <v>60781032</v>
      </c>
      <c r="G369" s="34">
        <f t="shared" si="26"/>
        <v>48794000</v>
      </c>
      <c r="H369" s="35">
        <v>844628</v>
      </c>
      <c r="I369" s="84">
        <v>729372</v>
      </c>
      <c r="J369" s="29">
        <v>31</v>
      </c>
      <c r="K369" s="29">
        <v>9</v>
      </c>
      <c r="L369" s="33">
        <f t="shared" si="27"/>
        <v>1574000</v>
      </c>
      <c r="M369" s="33">
        <f t="shared" si="28"/>
        <v>14166000</v>
      </c>
      <c r="N369" s="70">
        <f>F369-(H369*22)-5000000-5000000-5000000-2500000-2500000-5000000</f>
        <v>17199216</v>
      </c>
      <c r="O369" s="39" t="s">
        <v>911</v>
      </c>
      <c r="P369" s="108" t="s">
        <v>75</v>
      </c>
    </row>
    <row r="370" spans="1:16">
      <c r="A370" s="29">
        <f t="shared" si="29"/>
        <v>366</v>
      </c>
      <c r="B370" s="30" t="s">
        <v>912</v>
      </c>
      <c r="C370" s="31" t="s">
        <v>913</v>
      </c>
      <c r="D370" s="41" t="s">
        <v>914</v>
      </c>
      <c r="E370" s="32">
        <v>42760</v>
      </c>
      <c r="F370" s="33">
        <f>28332000+708300+700000+200000+70059700</f>
        <v>100000000</v>
      </c>
      <c r="G370" s="34">
        <f t="shared" si="26"/>
        <v>75081000</v>
      </c>
      <c r="H370" s="33">
        <v>1389000</v>
      </c>
      <c r="I370" s="33">
        <f>+F370*1.2%</f>
        <v>1200000</v>
      </c>
      <c r="J370" s="29">
        <v>29</v>
      </c>
      <c r="K370" s="29">
        <v>16</v>
      </c>
      <c r="L370" s="36">
        <f t="shared" si="27"/>
        <v>2589000</v>
      </c>
      <c r="M370" s="36">
        <f t="shared" si="28"/>
        <v>41424000</v>
      </c>
      <c r="N370" s="38">
        <f>F370-(H370*13)-20000000</f>
        <v>61943000</v>
      </c>
      <c r="O370" s="39" t="s">
        <v>915</v>
      </c>
      <c r="P370" s="108" t="s">
        <v>42</v>
      </c>
    </row>
    <row r="371" spans="1:16">
      <c r="A371" s="29">
        <f t="shared" si="29"/>
        <v>367</v>
      </c>
      <c r="B371" s="30" t="s">
        <v>916</v>
      </c>
      <c r="C371" s="31" t="s">
        <v>917</v>
      </c>
      <c r="D371" s="31" t="s">
        <v>918</v>
      </c>
      <c r="E371" s="32">
        <v>42982</v>
      </c>
      <c r="F371" s="43">
        <f>60554000+1513850+590968+394460+200000+36746722</f>
        <v>100000000</v>
      </c>
      <c r="G371" s="34">
        <f t="shared" si="26"/>
        <v>93222000</v>
      </c>
      <c r="H371" s="35">
        <v>1389500</v>
      </c>
      <c r="I371" s="35">
        <f>+F371*1.2%</f>
        <v>1200000</v>
      </c>
      <c r="J371" s="29">
        <v>36</v>
      </c>
      <c r="K371" s="29">
        <v>30</v>
      </c>
      <c r="L371" s="36">
        <f t="shared" si="27"/>
        <v>2589500</v>
      </c>
      <c r="M371" s="37">
        <f t="shared" si="28"/>
        <v>77685000</v>
      </c>
      <c r="N371" s="38">
        <f>F371-(H371*6)-3000000</f>
        <v>88663000</v>
      </c>
      <c r="O371" s="44" t="s">
        <v>919</v>
      </c>
      <c r="P371" s="108" t="s">
        <v>37</v>
      </c>
    </row>
    <row r="372" spans="1:16">
      <c r="A372" s="29">
        <f t="shared" si="29"/>
        <v>368</v>
      </c>
      <c r="B372" s="30" t="s">
        <v>920</v>
      </c>
      <c r="C372" s="31" t="s">
        <v>921</v>
      </c>
      <c r="D372" s="31" t="s">
        <v>922</v>
      </c>
      <c r="E372" s="32">
        <v>42852</v>
      </c>
      <c r="F372" s="33">
        <f>27355000+683875+200000+200000+21561125</f>
        <v>50000000</v>
      </c>
      <c r="G372" s="34">
        <f t="shared" si="26"/>
        <v>37555000</v>
      </c>
      <c r="H372" s="42">
        <v>695000</v>
      </c>
      <c r="I372" s="33">
        <f>+F372*1.2%</f>
        <v>600000</v>
      </c>
      <c r="J372" s="29">
        <v>29</v>
      </c>
      <c r="K372" s="29">
        <v>19</v>
      </c>
      <c r="L372" s="36">
        <f t="shared" si="27"/>
        <v>1295000</v>
      </c>
      <c r="M372" s="37">
        <f t="shared" si="28"/>
        <v>24605000</v>
      </c>
      <c r="N372" s="38">
        <f>F372-(H372*10)</f>
        <v>43050000</v>
      </c>
      <c r="O372" s="39" t="s">
        <v>367</v>
      </c>
      <c r="P372" s="108" t="s">
        <v>80</v>
      </c>
    </row>
    <row r="373" spans="1:16">
      <c r="A373" s="29">
        <f t="shared" si="29"/>
        <v>369</v>
      </c>
      <c r="B373" s="54" t="s">
        <v>923</v>
      </c>
      <c r="C373" s="55">
        <v>960616</v>
      </c>
      <c r="D373" s="93"/>
      <c r="E373" s="93">
        <v>41213</v>
      </c>
      <c r="F373" s="59">
        <f>26633122+853329+7500000+5070183+1180550+200000+0</f>
        <v>41437184</v>
      </c>
      <c r="G373" s="58">
        <f t="shared" si="26"/>
        <v>50400000</v>
      </c>
      <c r="H373" s="59">
        <v>161315</v>
      </c>
      <c r="I373" s="58">
        <v>538685</v>
      </c>
      <c r="J373" s="95">
        <v>72</v>
      </c>
      <c r="K373" s="60">
        <f>61+1</f>
        <v>62</v>
      </c>
      <c r="L373" s="48">
        <f t="shared" si="27"/>
        <v>700000</v>
      </c>
      <c r="M373" s="48">
        <f t="shared" si="28"/>
        <v>43400000</v>
      </c>
      <c r="N373" s="70">
        <f>F373-(H373*10)-160000-(712073)-(1942286)-(636852)-(1500000)-(4361315)-1000000</f>
        <v>29511508</v>
      </c>
      <c r="O373" s="44" t="s">
        <v>924</v>
      </c>
      <c r="P373" s="109" t="s">
        <v>836</v>
      </c>
    </row>
    <row r="374" spans="1:16">
      <c r="A374" s="29">
        <f t="shared" si="29"/>
        <v>370</v>
      </c>
      <c r="B374" s="30" t="s">
        <v>925</v>
      </c>
      <c r="C374" s="31" t="s">
        <v>926</v>
      </c>
      <c r="D374" s="31" t="s">
        <v>927</v>
      </c>
      <c r="E374" s="32">
        <v>43047</v>
      </c>
      <c r="F374" s="43">
        <f>201013200+1250000+1107996+200000-75000000-78571196</f>
        <v>50000000</v>
      </c>
      <c r="G374" s="34">
        <f t="shared" si="26"/>
        <v>22500000</v>
      </c>
      <c r="H374" s="40">
        <v>150000</v>
      </c>
      <c r="I374" s="40">
        <f t="shared" ref="I374:I380" si="31">+F374*1.2%</f>
        <v>600000</v>
      </c>
      <c r="J374" s="29">
        <v>30</v>
      </c>
      <c r="K374" s="29">
        <v>26</v>
      </c>
      <c r="L374" s="36">
        <f t="shared" si="27"/>
        <v>750000</v>
      </c>
      <c r="M374" s="37">
        <f t="shared" si="28"/>
        <v>19500000</v>
      </c>
      <c r="N374" s="38">
        <f>F374-(H374*4)</f>
        <v>49400000</v>
      </c>
      <c r="O374" s="39" t="s">
        <v>928</v>
      </c>
      <c r="P374" s="108" t="s">
        <v>239</v>
      </c>
    </row>
    <row r="375" spans="1:16">
      <c r="A375" s="29">
        <f t="shared" si="29"/>
        <v>371</v>
      </c>
      <c r="B375" s="30" t="s">
        <v>929</v>
      </c>
      <c r="C375" s="31" t="s">
        <v>930</v>
      </c>
      <c r="D375" s="41" t="s">
        <v>931</v>
      </c>
      <c r="E375" s="32">
        <v>42741</v>
      </c>
      <c r="F375" s="33">
        <f>26582500+664563+251613+200000+200000+22101324</f>
        <v>50000000</v>
      </c>
      <c r="G375" s="34">
        <f t="shared" si="26"/>
        <v>44030000</v>
      </c>
      <c r="H375" s="33">
        <f>695000</f>
        <v>695000</v>
      </c>
      <c r="I375" s="33">
        <f t="shared" si="31"/>
        <v>600000</v>
      </c>
      <c r="J375" s="29">
        <v>34</v>
      </c>
      <c r="K375" s="29">
        <v>20</v>
      </c>
      <c r="L375" s="36">
        <f t="shared" si="27"/>
        <v>1295000</v>
      </c>
      <c r="M375" s="36">
        <f t="shared" si="28"/>
        <v>25900000</v>
      </c>
      <c r="N375" s="38">
        <f>F375-(H375*14)-4000000-3000000-3000000</f>
        <v>30270000</v>
      </c>
      <c r="O375" s="39" t="s">
        <v>79</v>
      </c>
      <c r="P375" s="108" t="s">
        <v>70</v>
      </c>
    </row>
    <row r="376" spans="1:16">
      <c r="A376" s="29">
        <f t="shared" si="29"/>
        <v>372</v>
      </c>
      <c r="B376" s="30" t="s">
        <v>932</v>
      </c>
      <c r="C376" s="31" t="s">
        <v>933</v>
      </c>
      <c r="D376" s="41" t="s">
        <v>934</v>
      </c>
      <c r="E376" s="32">
        <v>42825</v>
      </c>
      <c r="F376" s="33">
        <f>200000+200000+49600000</f>
        <v>50000000</v>
      </c>
      <c r="G376" s="34">
        <f t="shared" si="26"/>
        <v>21510000</v>
      </c>
      <c r="H376" s="33">
        <v>834000</v>
      </c>
      <c r="I376" s="33">
        <f t="shared" si="31"/>
        <v>600000</v>
      </c>
      <c r="J376" s="29">
        <v>15</v>
      </c>
      <c r="K376" s="29">
        <v>4</v>
      </c>
      <c r="L376" s="36">
        <f t="shared" si="27"/>
        <v>1434000</v>
      </c>
      <c r="M376" s="36">
        <f t="shared" si="28"/>
        <v>5736000</v>
      </c>
      <c r="N376" s="38">
        <f>F376-(H376*11)-10000000-10000000</f>
        <v>20826000</v>
      </c>
      <c r="O376" s="39" t="s">
        <v>935</v>
      </c>
      <c r="P376" s="108" t="s">
        <v>25</v>
      </c>
    </row>
    <row r="377" spans="1:16">
      <c r="A377" s="29">
        <f t="shared" si="29"/>
        <v>373</v>
      </c>
      <c r="B377" s="30" t="s">
        <v>936</v>
      </c>
      <c r="C377" s="31" t="s">
        <v>937</v>
      </c>
      <c r="D377" s="31" t="s">
        <v>938</v>
      </c>
      <c r="E377" s="32">
        <v>42978</v>
      </c>
      <c r="F377" s="43">
        <f>81576166+4500000+2039404+621035+684238+200000+60379157-75000000</f>
        <v>75000000</v>
      </c>
      <c r="G377" s="34">
        <f t="shared" si="26"/>
        <v>66700000</v>
      </c>
      <c r="H377" s="35">
        <f>1100000-H378</f>
        <v>550000</v>
      </c>
      <c r="I377" s="35">
        <f t="shared" si="31"/>
        <v>900000</v>
      </c>
      <c r="J377" s="29">
        <v>46</v>
      </c>
      <c r="K377" s="29">
        <v>40</v>
      </c>
      <c r="L377" s="36">
        <f t="shared" si="27"/>
        <v>1450000</v>
      </c>
      <c r="M377" s="37">
        <f t="shared" si="28"/>
        <v>58000000</v>
      </c>
      <c r="N377" s="38">
        <f>F377-(H377*6)-2500000</f>
        <v>69200000</v>
      </c>
      <c r="O377" s="44" t="s">
        <v>939</v>
      </c>
      <c r="P377" s="108" t="s">
        <v>93</v>
      </c>
    </row>
    <row r="378" spans="1:16">
      <c r="A378" s="29">
        <f t="shared" si="29"/>
        <v>374</v>
      </c>
      <c r="B378" s="30" t="s">
        <v>936</v>
      </c>
      <c r="C378" s="31" t="s">
        <v>937</v>
      </c>
      <c r="D378" s="31" t="s">
        <v>938</v>
      </c>
      <c r="E378" s="32">
        <v>42978</v>
      </c>
      <c r="F378" s="43">
        <v>75000000</v>
      </c>
      <c r="G378" s="34">
        <f t="shared" si="26"/>
        <v>66700000</v>
      </c>
      <c r="H378" s="43">
        <v>550000</v>
      </c>
      <c r="I378" s="35">
        <f t="shared" si="31"/>
        <v>900000</v>
      </c>
      <c r="J378" s="29">
        <v>46</v>
      </c>
      <c r="K378" s="29">
        <v>40</v>
      </c>
      <c r="L378" s="36">
        <f t="shared" si="27"/>
        <v>1450000</v>
      </c>
      <c r="M378" s="37">
        <f t="shared" si="28"/>
        <v>58000000</v>
      </c>
      <c r="N378" s="38">
        <f>F378-(H378*6)-2500000</f>
        <v>69200000</v>
      </c>
      <c r="O378" s="44" t="s">
        <v>939</v>
      </c>
      <c r="P378" s="108" t="s">
        <v>30</v>
      </c>
    </row>
    <row r="379" spans="1:16">
      <c r="A379" s="29">
        <f t="shared" si="29"/>
        <v>375</v>
      </c>
      <c r="B379" s="30" t="s">
        <v>940</v>
      </c>
      <c r="C379" s="31" t="s">
        <v>941</v>
      </c>
      <c r="D379" s="41" t="s">
        <v>942</v>
      </c>
      <c r="E379" s="32">
        <v>42881</v>
      </c>
      <c r="F379" s="42">
        <f>31660000+791500+183400+200000+17165100</f>
        <v>50000000</v>
      </c>
      <c r="G379" s="34">
        <f t="shared" si="26"/>
        <v>45342500</v>
      </c>
      <c r="H379" s="35">
        <v>695500</v>
      </c>
      <c r="I379" s="33">
        <f t="shared" si="31"/>
        <v>600000</v>
      </c>
      <c r="J379" s="29">
        <v>35</v>
      </c>
      <c r="K379" s="29">
        <v>26</v>
      </c>
      <c r="L379" s="36">
        <f t="shared" si="27"/>
        <v>1295500</v>
      </c>
      <c r="M379" s="37">
        <f t="shared" si="28"/>
        <v>33683000</v>
      </c>
      <c r="N379" s="38">
        <f>F379-(H379*9)</f>
        <v>43740500</v>
      </c>
      <c r="O379" s="39" t="s">
        <v>943</v>
      </c>
      <c r="P379" s="108" t="s">
        <v>376</v>
      </c>
    </row>
    <row r="380" spans="1:16">
      <c r="A380" s="29">
        <f t="shared" si="29"/>
        <v>376</v>
      </c>
      <c r="B380" s="30" t="s">
        <v>944</v>
      </c>
      <c r="C380" s="31" t="s">
        <v>945</v>
      </c>
      <c r="D380" s="88"/>
      <c r="E380" s="88">
        <v>41878</v>
      </c>
      <c r="F380" s="48">
        <f>14583650+364591+1700000+200000+183151759</f>
        <v>200000000</v>
      </c>
      <c r="G380" s="72">
        <f t="shared" si="26"/>
        <v>252000000</v>
      </c>
      <c r="H380" s="33">
        <v>1100000</v>
      </c>
      <c r="I380" s="48">
        <f t="shared" si="31"/>
        <v>2400000</v>
      </c>
      <c r="J380" s="29">
        <v>72</v>
      </c>
      <c r="K380" s="29">
        <v>30</v>
      </c>
      <c r="L380" s="48">
        <f t="shared" si="27"/>
        <v>3500000</v>
      </c>
      <c r="M380" s="48">
        <f t="shared" si="28"/>
        <v>105000000</v>
      </c>
      <c r="N380" s="50">
        <f>F380-(H380*42)-(5000000)-(20000000)-(5000000)-5000000-20000000-5000000-5000000-20000000-5000000-5000000</f>
        <v>58800000</v>
      </c>
      <c r="O380" s="62" t="s">
        <v>946</v>
      </c>
      <c r="P380" s="111" t="s">
        <v>947</v>
      </c>
    </row>
    <row r="381" spans="1:16">
      <c r="A381" s="29">
        <f t="shared" si="29"/>
        <v>377</v>
      </c>
      <c r="B381" s="30" t="s">
        <v>948</v>
      </c>
      <c r="C381" s="31" t="s">
        <v>949</v>
      </c>
      <c r="D381" s="31" t="s">
        <v>950</v>
      </c>
      <c r="E381" s="32">
        <v>43110</v>
      </c>
      <c r="F381" s="43">
        <f>2099250+75519657+1940473+544869+150000+200000+15000000-47727125</f>
        <v>47727124</v>
      </c>
      <c r="G381" s="34">
        <f t="shared" si="26"/>
        <v>34799971</v>
      </c>
      <c r="H381" s="40">
        <v>627274</v>
      </c>
      <c r="I381" s="40">
        <v>572725</v>
      </c>
      <c r="J381" s="29">
        <v>29</v>
      </c>
      <c r="K381" s="29">
        <v>27</v>
      </c>
      <c r="L381" s="36">
        <f t="shared" si="27"/>
        <v>1199999</v>
      </c>
      <c r="M381" s="37">
        <f t="shared" si="28"/>
        <v>32399973</v>
      </c>
      <c r="N381" s="38">
        <f>F381-(H381*2)</f>
        <v>46472576</v>
      </c>
      <c r="O381" s="39" t="s">
        <v>951</v>
      </c>
      <c r="P381" s="108" t="s">
        <v>30</v>
      </c>
    </row>
    <row r="382" spans="1:16">
      <c r="A382" s="29">
        <f t="shared" si="29"/>
        <v>378</v>
      </c>
      <c r="B382" s="30" t="s">
        <v>948</v>
      </c>
      <c r="C382" s="31" t="s">
        <v>949</v>
      </c>
      <c r="D382" s="31" t="s">
        <v>950</v>
      </c>
      <c r="E382" s="32">
        <v>43110</v>
      </c>
      <c r="F382" s="43">
        <v>47727125</v>
      </c>
      <c r="G382" s="34">
        <f t="shared" si="26"/>
        <v>34800029</v>
      </c>
      <c r="H382" s="43">
        <v>627275</v>
      </c>
      <c r="I382" s="43">
        <v>572726</v>
      </c>
      <c r="J382" s="29">
        <v>29</v>
      </c>
      <c r="K382" s="29">
        <v>27</v>
      </c>
      <c r="L382" s="36">
        <f t="shared" si="27"/>
        <v>1200001</v>
      </c>
      <c r="M382" s="37">
        <f t="shared" si="28"/>
        <v>32400027</v>
      </c>
      <c r="N382" s="38">
        <f>F382-(H382*2)</f>
        <v>46472575</v>
      </c>
      <c r="O382" s="39" t="s">
        <v>951</v>
      </c>
      <c r="P382" s="108" t="s">
        <v>30</v>
      </c>
    </row>
    <row r="383" spans="1:16">
      <c r="A383" s="29">
        <f t="shared" si="29"/>
        <v>379</v>
      </c>
      <c r="B383" s="30" t="s">
        <v>952</v>
      </c>
      <c r="C383" s="31" t="s">
        <v>953</v>
      </c>
      <c r="D383" s="31" t="s">
        <v>954</v>
      </c>
      <c r="E383" s="32">
        <v>42787</v>
      </c>
      <c r="F383" s="42">
        <f>6199000</f>
        <v>6199000</v>
      </c>
      <c r="G383" s="34">
        <f t="shared" si="26"/>
        <v>6228000</v>
      </c>
      <c r="H383" s="42">
        <v>173000</v>
      </c>
      <c r="I383" s="104">
        <v>0</v>
      </c>
      <c r="J383" s="29">
        <v>36</v>
      </c>
      <c r="K383" s="29">
        <v>24</v>
      </c>
      <c r="L383" s="36">
        <f t="shared" si="27"/>
        <v>173000</v>
      </c>
      <c r="M383" s="36">
        <f t="shared" si="28"/>
        <v>4152000</v>
      </c>
      <c r="N383" s="38">
        <f>F383-(H383*12)</f>
        <v>4123000</v>
      </c>
      <c r="O383" s="39" t="s">
        <v>515</v>
      </c>
      <c r="P383" s="108" t="s">
        <v>123</v>
      </c>
    </row>
    <row r="384" spans="1:16">
      <c r="A384" s="29">
        <f t="shared" si="29"/>
        <v>380</v>
      </c>
      <c r="B384" s="30" t="s">
        <v>955</v>
      </c>
      <c r="C384" s="31" t="s">
        <v>956</v>
      </c>
      <c r="D384" s="41"/>
      <c r="E384" s="32">
        <v>42859</v>
      </c>
      <c r="F384" s="42">
        <f>54935593-11508983+1373390+315128+200000+0</f>
        <v>45315128</v>
      </c>
      <c r="G384" s="34">
        <f t="shared" ref="G384:G447" si="32">+J384*L384</f>
        <v>64926000</v>
      </c>
      <c r="H384" s="42">
        <v>1259718</v>
      </c>
      <c r="I384" s="33">
        <v>543782</v>
      </c>
      <c r="J384" s="29">
        <v>36</v>
      </c>
      <c r="K384" s="29">
        <v>26</v>
      </c>
      <c r="L384" s="36">
        <f t="shared" si="27"/>
        <v>1803500</v>
      </c>
      <c r="M384" s="37">
        <f t="shared" si="28"/>
        <v>46891000</v>
      </c>
      <c r="N384" s="38">
        <f>F384-(H384*10)</f>
        <v>32717948</v>
      </c>
      <c r="O384" s="39" t="s">
        <v>957</v>
      </c>
      <c r="P384" s="108" t="s">
        <v>80</v>
      </c>
    </row>
    <row r="385" spans="1:16">
      <c r="A385" s="29">
        <f t="shared" si="29"/>
        <v>381</v>
      </c>
      <c r="B385" s="54" t="s">
        <v>958</v>
      </c>
      <c r="C385" s="55" t="s">
        <v>959</v>
      </c>
      <c r="D385" s="55" t="s">
        <v>960</v>
      </c>
      <c r="E385" s="63">
        <v>42879</v>
      </c>
      <c r="F385" s="68">
        <f>33242881+2000000+831072+5361861+550000+250000+200000+25000000-33717907</f>
        <v>33717907</v>
      </c>
      <c r="G385" s="85">
        <f t="shared" si="32"/>
        <v>23625000</v>
      </c>
      <c r="H385" s="98">
        <v>270385</v>
      </c>
      <c r="I385" s="59">
        <v>404615</v>
      </c>
      <c r="J385" s="60">
        <v>35</v>
      </c>
      <c r="K385" s="60">
        <f>34+1</f>
        <v>35</v>
      </c>
      <c r="L385" s="36">
        <f t="shared" si="27"/>
        <v>675000</v>
      </c>
      <c r="M385" s="37">
        <f t="shared" si="28"/>
        <v>23625000</v>
      </c>
      <c r="N385" s="38">
        <f>F385-(H385*0)-1500000</f>
        <v>32217907</v>
      </c>
      <c r="O385" s="44" t="s">
        <v>961</v>
      </c>
      <c r="P385" s="108" t="s">
        <v>376</v>
      </c>
    </row>
    <row r="386" spans="1:16">
      <c r="A386" s="29">
        <f t="shared" si="29"/>
        <v>382</v>
      </c>
      <c r="B386" s="54" t="s">
        <v>958</v>
      </c>
      <c r="C386" s="55" t="s">
        <v>959</v>
      </c>
      <c r="D386" s="55" t="s">
        <v>960</v>
      </c>
      <c r="E386" s="63">
        <v>42879</v>
      </c>
      <c r="F386" s="68">
        <v>33717907</v>
      </c>
      <c r="G386" s="85">
        <f t="shared" si="32"/>
        <v>23625000</v>
      </c>
      <c r="H386" s="68">
        <v>270385</v>
      </c>
      <c r="I386" s="68">
        <v>404615</v>
      </c>
      <c r="J386" s="60">
        <v>35</v>
      </c>
      <c r="K386" s="60">
        <f>34+1</f>
        <v>35</v>
      </c>
      <c r="L386" s="36">
        <f t="shared" si="27"/>
        <v>675000</v>
      </c>
      <c r="M386" s="37">
        <f t="shared" si="28"/>
        <v>23625000</v>
      </c>
      <c r="N386" s="38">
        <f>F386-(H386*0)-1500000</f>
        <v>32217907</v>
      </c>
      <c r="O386" s="44" t="s">
        <v>961</v>
      </c>
      <c r="P386" s="108" t="s">
        <v>376</v>
      </c>
    </row>
    <row r="387" spans="1:16">
      <c r="A387" s="29">
        <f t="shared" si="29"/>
        <v>383</v>
      </c>
      <c r="B387" s="30" t="s">
        <v>962</v>
      </c>
      <c r="C387" s="31" t="s">
        <v>963</v>
      </c>
      <c r="D387" s="31" t="s">
        <v>964</v>
      </c>
      <c r="E387" s="32">
        <v>43063</v>
      </c>
      <c r="F387" s="43">
        <f>23766156+594154+137662+200000+20000000-22348986</f>
        <v>22348986</v>
      </c>
      <c r="G387" s="34">
        <f t="shared" si="32"/>
        <v>19200000</v>
      </c>
      <c r="H387" s="40">
        <v>331812</v>
      </c>
      <c r="I387" s="35">
        <v>268188</v>
      </c>
      <c r="J387" s="29">
        <v>32</v>
      </c>
      <c r="K387" s="29">
        <v>29</v>
      </c>
      <c r="L387" s="36">
        <f t="shared" si="27"/>
        <v>600000</v>
      </c>
      <c r="M387" s="37">
        <f t="shared" si="28"/>
        <v>17400000</v>
      </c>
      <c r="N387" s="38">
        <f>F387-(H387*3)</f>
        <v>21353550</v>
      </c>
      <c r="O387" s="39" t="s">
        <v>965</v>
      </c>
      <c r="P387" s="108" t="s">
        <v>30</v>
      </c>
    </row>
    <row r="388" spans="1:16">
      <c r="A388" s="29">
        <f t="shared" si="29"/>
        <v>384</v>
      </c>
      <c r="B388" s="30" t="s">
        <v>962</v>
      </c>
      <c r="C388" s="31" t="s">
        <v>963</v>
      </c>
      <c r="D388" s="31" t="s">
        <v>964</v>
      </c>
      <c r="E388" s="32">
        <v>43063</v>
      </c>
      <c r="F388" s="43">
        <v>22348986</v>
      </c>
      <c r="G388" s="34">
        <f t="shared" si="32"/>
        <v>19200000</v>
      </c>
      <c r="H388" s="40">
        <v>331812</v>
      </c>
      <c r="I388" s="40">
        <v>268188</v>
      </c>
      <c r="J388" s="29">
        <v>32</v>
      </c>
      <c r="K388" s="29">
        <v>29</v>
      </c>
      <c r="L388" s="36">
        <f t="shared" si="27"/>
        <v>600000</v>
      </c>
      <c r="M388" s="37">
        <f t="shared" si="28"/>
        <v>17400000</v>
      </c>
      <c r="N388" s="38">
        <f>F388-(H388*3)</f>
        <v>21353550</v>
      </c>
      <c r="O388" s="39" t="s">
        <v>965</v>
      </c>
      <c r="P388" s="108" t="s">
        <v>30</v>
      </c>
    </row>
    <row r="389" spans="1:16">
      <c r="A389" s="29">
        <f t="shared" si="29"/>
        <v>385</v>
      </c>
      <c r="B389" s="30" t="s">
        <v>966</v>
      </c>
      <c r="C389" s="31" t="s">
        <v>967</v>
      </c>
      <c r="D389" s="41" t="s">
        <v>967</v>
      </c>
      <c r="E389" s="32">
        <v>42977</v>
      </c>
      <c r="F389" s="42">
        <f>500000+200000+79300000</f>
        <v>80000000</v>
      </c>
      <c r="G389" s="34">
        <f t="shared" si="32"/>
        <v>53280000</v>
      </c>
      <c r="H389" s="35">
        <v>1260000</v>
      </c>
      <c r="I389" s="35">
        <f>+F389*1.2%</f>
        <v>960000</v>
      </c>
      <c r="J389" s="29">
        <v>24</v>
      </c>
      <c r="K389" s="29">
        <v>18</v>
      </c>
      <c r="L389" s="36">
        <f t="shared" ref="L389:L452" si="33">+H389+I389</f>
        <v>2220000</v>
      </c>
      <c r="M389" s="37">
        <f t="shared" ref="M389:M452" si="34">+K389*L389</f>
        <v>39960000</v>
      </c>
      <c r="N389" s="38">
        <f>F389-(H389*6)</f>
        <v>72440000</v>
      </c>
      <c r="O389" s="39" t="s">
        <v>968</v>
      </c>
      <c r="P389" s="108" t="s">
        <v>30</v>
      </c>
    </row>
    <row r="390" spans="1:16">
      <c r="A390" s="29">
        <f t="shared" ref="A390:A453" si="35">+A389+1</f>
        <v>386</v>
      </c>
      <c r="B390" s="30" t="s">
        <v>969</v>
      </c>
      <c r="C390" s="31" t="s">
        <v>970</v>
      </c>
      <c r="D390" s="41" t="s">
        <v>971</v>
      </c>
      <c r="E390" s="32">
        <v>42871</v>
      </c>
      <c r="F390" s="42">
        <f>10124300+253108+1219355+1200000+200000+137003237</f>
        <v>150000000</v>
      </c>
      <c r="G390" s="34">
        <f t="shared" si="32"/>
        <v>118400000</v>
      </c>
      <c r="H390" s="35">
        <v>1900000</v>
      </c>
      <c r="I390" s="33">
        <f>F390*1.2%</f>
        <v>1800000</v>
      </c>
      <c r="J390" s="29">
        <v>32</v>
      </c>
      <c r="K390" s="29">
        <v>22</v>
      </c>
      <c r="L390" s="36">
        <f t="shared" si="33"/>
        <v>3700000</v>
      </c>
      <c r="M390" s="37">
        <f t="shared" si="34"/>
        <v>81400000</v>
      </c>
      <c r="N390" s="38">
        <f>F390-(H390*10)-5000000-5000000</f>
        <v>121000000</v>
      </c>
      <c r="O390" s="39" t="s">
        <v>198</v>
      </c>
      <c r="P390" s="108" t="s">
        <v>80</v>
      </c>
    </row>
    <row r="391" spans="1:16">
      <c r="A391" s="29">
        <f t="shared" si="35"/>
        <v>387</v>
      </c>
      <c r="B391" s="30" t="s">
        <v>972</v>
      </c>
      <c r="C391" s="31" t="s">
        <v>973</v>
      </c>
      <c r="D391" s="47"/>
      <c r="E391" s="47">
        <v>42398</v>
      </c>
      <c r="F391" s="33">
        <f>108611481+2715287+428500+200000+42850000</f>
        <v>154805268</v>
      </c>
      <c r="G391" s="33">
        <f t="shared" si="32"/>
        <v>136500000</v>
      </c>
      <c r="H391" s="35">
        <v>1642337</v>
      </c>
      <c r="I391" s="84">
        <v>1857663</v>
      </c>
      <c r="J391" s="29">
        <v>39</v>
      </c>
      <c r="K391" s="29">
        <v>14</v>
      </c>
      <c r="L391" s="33">
        <f t="shared" si="33"/>
        <v>3500000</v>
      </c>
      <c r="M391" s="33">
        <f t="shared" si="34"/>
        <v>49000000</v>
      </c>
      <c r="N391" s="70">
        <f>F391-(H391*25)-20000000-4000000-3000000-20000000-4000000-3000000</f>
        <v>59746843</v>
      </c>
      <c r="O391" s="39" t="s">
        <v>974</v>
      </c>
      <c r="P391" s="108" t="s">
        <v>85</v>
      </c>
    </row>
    <row r="392" spans="1:16">
      <c r="A392" s="29">
        <f t="shared" si="35"/>
        <v>388</v>
      </c>
      <c r="B392" s="30" t="s">
        <v>975</v>
      </c>
      <c r="C392" s="31" t="s">
        <v>976</v>
      </c>
      <c r="D392" s="41" t="s">
        <v>977</v>
      </c>
      <c r="E392" s="32">
        <v>42871</v>
      </c>
      <c r="F392" s="42">
        <f>31666000+791650+487742+683340+200000+66171268-50000000</f>
        <v>50000000</v>
      </c>
      <c r="G392" s="34">
        <f t="shared" si="32"/>
        <v>45000000</v>
      </c>
      <c r="H392" s="35">
        <v>650000</v>
      </c>
      <c r="I392" s="33">
        <f>F392*1.2%</f>
        <v>600000</v>
      </c>
      <c r="J392" s="29">
        <v>36</v>
      </c>
      <c r="K392" s="29">
        <v>26</v>
      </c>
      <c r="L392" s="36">
        <f t="shared" si="33"/>
        <v>1250000</v>
      </c>
      <c r="M392" s="37">
        <f t="shared" si="34"/>
        <v>32500000</v>
      </c>
      <c r="N392" s="38">
        <f>F392-(H392*10)-1250000-1250000</f>
        <v>41000000</v>
      </c>
      <c r="O392" s="39" t="s">
        <v>265</v>
      </c>
      <c r="P392" s="108" t="s">
        <v>80</v>
      </c>
    </row>
    <row r="393" spans="1:16">
      <c r="A393" s="29">
        <f t="shared" si="35"/>
        <v>389</v>
      </c>
      <c r="B393" s="30" t="s">
        <v>975</v>
      </c>
      <c r="C393" s="31" t="s">
        <v>976</v>
      </c>
      <c r="D393" s="41" t="s">
        <v>977</v>
      </c>
      <c r="E393" s="32">
        <v>42871</v>
      </c>
      <c r="F393" s="42">
        <v>50000000</v>
      </c>
      <c r="G393" s="34">
        <f t="shared" si="32"/>
        <v>45000000</v>
      </c>
      <c r="H393" s="35">
        <v>650000</v>
      </c>
      <c r="I393" s="33">
        <f>F393*1.2%</f>
        <v>600000</v>
      </c>
      <c r="J393" s="29">
        <v>36</v>
      </c>
      <c r="K393" s="29">
        <v>26</v>
      </c>
      <c r="L393" s="36">
        <f t="shared" si="33"/>
        <v>1250000</v>
      </c>
      <c r="M393" s="37">
        <f t="shared" si="34"/>
        <v>32500000</v>
      </c>
      <c r="N393" s="38">
        <f>F393-(H393*10)-1250000-1250000</f>
        <v>41000000</v>
      </c>
      <c r="O393" s="39" t="s">
        <v>265</v>
      </c>
      <c r="P393" s="108" t="s">
        <v>80</v>
      </c>
    </row>
    <row r="394" spans="1:16">
      <c r="A394" s="29">
        <f t="shared" si="35"/>
        <v>390</v>
      </c>
      <c r="B394" s="30" t="s">
        <v>975</v>
      </c>
      <c r="C394" s="31" t="s">
        <v>976</v>
      </c>
      <c r="D394" s="31" t="s">
        <v>978</v>
      </c>
      <c r="E394" s="32">
        <v>42884</v>
      </c>
      <c r="F394" s="33">
        <f>700000+700000+24000</f>
        <v>1424000</v>
      </c>
      <c r="G394" s="34">
        <f t="shared" si="32"/>
        <v>1860000</v>
      </c>
      <c r="H394" s="35">
        <v>60412</v>
      </c>
      <c r="I394" s="33">
        <f>+F394*1.2%</f>
        <v>17088</v>
      </c>
      <c r="J394" s="29">
        <v>24</v>
      </c>
      <c r="K394" s="29">
        <v>15</v>
      </c>
      <c r="L394" s="36">
        <f t="shared" si="33"/>
        <v>77500</v>
      </c>
      <c r="M394" s="37">
        <f t="shared" si="34"/>
        <v>1162500</v>
      </c>
      <c r="N394" s="38">
        <f>F394-(H394*9)</f>
        <v>880292</v>
      </c>
      <c r="O394" s="39" t="s">
        <v>961</v>
      </c>
      <c r="P394" s="108" t="s">
        <v>220</v>
      </c>
    </row>
    <row r="395" spans="1:16">
      <c r="A395" s="29">
        <f t="shared" si="35"/>
        <v>391</v>
      </c>
      <c r="B395" s="30" t="s">
        <v>979</v>
      </c>
      <c r="C395" s="31" t="s">
        <v>980</v>
      </c>
      <c r="D395" s="41" t="s">
        <v>981</v>
      </c>
      <c r="E395" s="32">
        <v>43003</v>
      </c>
      <c r="F395" s="42">
        <f>32355000+808875+176450+200000+16459675-25000000</f>
        <v>25000000</v>
      </c>
      <c r="G395" s="34">
        <f t="shared" si="32"/>
        <v>20072500</v>
      </c>
      <c r="H395" s="35">
        <v>347500</v>
      </c>
      <c r="I395" s="35">
        <f>+F395*1.2%</f>
        <v>300000</v>
      </c>
      <c r="J395" s="29">
        <v>31</v>
      </c>
      <c r="K395" s="29">
        <v>26</v>
      </c>
      <c r="L395" s="36">
        <f t="shared" si="33"/>
        <v>647500</v>
      </c>
      <c r="M395" s="37">
        <f t="shared" si="34"/>
        <v>16835000</v>
      </c>
      <c r="N395" s="38">
        <f>F395-(H395*5)-1250000</f>
        <v>22012500</v>
      </c>
      <c r="O395" s="39" t="s">
        <v>536</v>
      </c>
      <c r="P395" s="108" t="s">
        <v>30</v>
      </c>
    </row>
    <row r="396" spans="1:16">
      <c r="A396" s="29">
        <f t="shared" si="35"/>
        <v>392</v>
      </c>
      <c r="B396" s="30" t="s">
        <v>979</v>
      </c>
      <c r="C396" s="31" t="s">
        <v>980</v>
      </c>
      <c r="D396" s="41" t="s">
        <v>981</v>
      </c>
      <c r="E396" s="32">
        <v>43003</v>
      </c>
      <c r="F396" s="42">
        <v>25000000</v>
      </c>
      <c r="G396" s="34">
        <f t="shared" si="32"/>
        <v>20072500</v>
      </c>
      <c r="H396" s="42">
        <v>347500</v>
      </c>
      <c r="I396" s="35">
        <f>+F396*1.2%</f>
        <v>300000</v>
      </c>
      <c r="J396" s="29">
        <v>31</v>
      </c>
      <c r="K396" s="29">
        <v>26</v>
      </c>
      <c r="L396" s="36">
        <f t="shared" si="33"/>
        <v>647500</v>
      </c>
      <c r="M396" s="37">
        <f t="shared" si="34"/>
        <v>16835000</v>
      </c>
      <c r="N396" s="38">
        <f>F396-(H396*5)-1250000</f>
        <v>22012500</v>
      </c>
      <c r="O396" s="39" t="s">
        <v>536</v>
      </c>
      <c r="P396" s="108" t="s">
        <v>30</v>
      </c>
    </row>
    <row r="397" spans="1:16">
      <c r="A397" s="29">
        <f t="shared" si="35"/>
        <v>393</v>
      </c>
      <c r="B397" s="30" t="s">
        <v>982</v>
      </c>
      <c r="C397" s="31" t="s">
        <v>983</v>
      </c>
      <c r="D397" s="41" t="s">
        <v>984</v>
      </c>
      <c r="E397" s="32">
        <v>42906</v>
      </c>
      <c r="F397" s="42">
        <f>40509956+1012749+594900+200000+57682395-50000000</f>
        <v>50000000</v>
      </c>
      <c r="G397" s="34">
        <f t="shared" si="32"/>
        <v>36000000</v>
      </c>
      <c r="H397" s="35">
        <v>400000</v>
      </c>
      <c r="I397" s="35">
        <f>F397*1.2%</f>
        <v>600000</v>
      </c>
      <c r="J397" s="29">
        <v>36</v>
      </c>
      <c r="K397" s="29">
        <v>28</v>
      </c>
      <c r="L397" s="36">
        <f t="shared" si="33"/>
        <v>1000000</v>
      </c>
      <c r="M397" s="37">
        <f t="shared" si="34"/>
        <v>28000000</v>
      </c>
      <c r="N397" s="38">
        <f>F397-(H397*8)-1500000</f>
        <v>45300000</v>
      </c>
      <c r="O397" s="39" t="s">
        <v>500</v>
      </c>
      <c r="P397" s="108" t="s">
        <v>80</v>
      </c>
    </row>
    <row r="398" spans="1:16">
      <c r="A398" s="29">
        <f t="shared" si="35"/>
        <v>394</v>
      </c>
      <c r="B398" s="30" t="s">
        <v>982</v>
      </c>
      <c r="C398" s="31" t="s">
        <v>983</v>
      </c>
      <c r="D398" s="41" t="s">
        <v>984</v>
      </c>
      <c r="E398" s="32">
        <v>42906</v>
      </c>
      <c r="F398" s="42">
        <v>50000000</v>
      </c>
      <c r="G398" s="34">
        <f t="shared" si="32"/>
        <v>36000000</v>
      </c>
      <c r="H398" s="42">
        <v>400000</v>
      </c>
      <c r="I398" s="35">
        <f>F398*1.2%</f>
        <v>600000</v>
      </c>
      <c r="J398" s="29">
        <v>36</v>
      </c>
      <c r="K398" s="29">
        <v>28</v>
      </c>
      <c r="L398" s="36">
        <f t="shared" si="33"/>
        <v>1000000</v>
      </c>
      <c r="M398" s="37">
        <f t="shared" si="34"/>
        <v>28000000</v>
      </c>
      <c r="N398" s="38">
        <f>F398-(H398*8)-1500000</f>
        <v>45300000</v>
      </c>
      <c r="O398" s="39" t="s">
        <v>500</v>
      </c>
      <c r="P398" s="108" t="s">
        <v>80</v>
      </c>
    </row>
    <row r="399" spans="1:16">
      <c r="A399" s="29">
        <f t="shared" si="35"/>
        <v>395</v>
      </c>
      <c r="B399" s="30" t="s">
        <v>982</v>
      </c>
      <c r="C399" s="31" t="s">
        <v>983</v>
      </c>
      <c r="D399" s="41" t="s">
        <v>985</v>
      </c>
      <c r="E399" s="32">
        <v>43003</v>
      </c>
      <c r="F399" s="42">
        <f>120000+11880000</f>
        <v>12000000</v>
      </c>
      <c r="G399" s="34">
        <f t="shared" si="32"/>
        <v>15456000</v>
      </c>
      <c r="H399" s="35">
        <f>+F399/J399</f>
        <v>500000</v>
      </c>
      <c r="I399" s="35">
        <f>+F399*1.2%</f>
        <v>144000</v>
      </c>
      <c r="J399" s="29">
        <v>24</v>
      </c>
      <c r="K399" s="29">
        <v>19</v>
      </c>
      <c r="L399" s="36">
        <f t="shared" si="33"/>
        <v>644000</v>
      </c>
      <c r="M399" s="37">
        <f t="shared" si="34"/>
        <v>12236000</v>
      </c>
      <c r="N399" s="34">
        <f>+H399*K399</f>
        <v>9500000</v>
      </c>
      <c r="O399" s="39" t="s">
        <v>498</v>
      </c>
      <c r="P399" s="108" t="s">
        <v>93</v>
      </c>
    </row>
    <row r="400" spans="1:16">
      <c r="A400" s="29">
        <f t="shared" si="35"/>
        <v>396</v>
      </c>
      <c r="B400" s="30" t="s">
        <v>986</v>
      </c>
      <c r="C400" s="31" t="s">
        <v>987</v>
      </c>
      <c r="D400" s="31" t="s">
        <v>988</v>
      </c>
      <c r="E400" s="32">
        <v>43130</v>
      </c>
      <c r="F400" s="43">
        <f>214396380+5359910+2000000+200000+200000000-210978145</f>
        <v>210978145</v>
      </c>
      <c r="G400" s="34">
        <f t="shared" si="32"/>
        <v>138449961</v>
      </c>
      <c r="H400" s="40">
        <v>1018262</v>
      </c>
      <c r="I400" s="40">
        <v>2531737</v>
      </c>
      <c r="J400" s="29">
        <v>39</v>
      </c>
      <c r="K400" s="29">
        <v>38</v>
      </c>
      <c r="L400" s="36">
        <f t="shared" si="33"/>
        <v>3549999</v>
      </c>
      <c r="M400" s="37">
        <f t="shared" si="34"/>
        <v>134899962</v>
      </c>
      <c r="N400" s="38">
        <f>F400-(H400*1)</f>
        <v>209959883</v>
      </c>
      <c r="O400" s="39" t="s">
        <v>989</v>
      </c>
      <c r="P400" s="108" t="s">
        <v>42</v>
      </c>
    </row>
    <row r="401" spans="1:16">
      <c r="A401" s="29">
        <f t="shared" si="35"/>
        <v>397</v>
      </c>
      <c r="B401" s="30" t="s">
        <v>986</v>
      </c>
      <c r="C401" s="31" t="s">
        <v>987</v>
      </c>
      <c r="D401" s="31" t="s">
        <v>988</v>
      </c>
      <c r="E401" s="32">
        <v>43130</v>
      </c>
      <c r="F401" s="43">
        <v>210978145</v>
      </c>
      <c r="G401" s="34">
        <f t="shared" si="32"/>
        <v>138450039</v>
      </c>
      <c r="H401" s="40">
        <v>1018263</v>
      </c>
      <c r="I401" s="40">
        <v>2531738</v>
      </c>
      <c r="J401" s="29">
        <v>39</v>
      </c>
      <c r="K401" s="29">
        <v>38</v>
      </c>
      <c r="L401" s="36">
        <f t="shared" si="33"/>
        <v>3550001</v>
      </c>
      <c r="M401" s="37">
        <f t="shared" si="34"/>
        <v>134900038</v>
      </c>
      <c r="N401" s="38">
        <f>F401-(H401*1)</f>
        <v>209959882</v>
      </c>
      <c r="O401" s="39" t="s">
        <v>989</v>
      </c>
      <c r="P401" s="108" t="s">
        <v>42</v>
      </c>
    </row>
    <row r="402" spans="1:16">
      <c r="A402" s="29">
        <f t="shared" si="35"/>
        <v>398</v>
      </c>
      <c r="B402" s="30" t="s">
        <v>990</v>
      </c>
      <c r="C402" s="31" t="s">
        <v>991</v>
      </c>
      <c r="D402" s="31" t="s">
        <v>992</v>
      </c>
      <c r="E402" s="32">
        <v>42985</v>
      </c>
      <c r="F402" s="33">
        <f>14997000+374925+177290+700000+200000+83550785</f>
        <v>100000000</v>
      </c>
      <c r="G402" s="34">
        <f t="shared" si="32"/>
        <v>82864000</v>
      </c>
      <c r="H402" s="35">
        <v>1389500</v>
      </c>
      <c r="I402" s="35">
        <f>+F402*1.2%</f>
        <v>1200000</v>
      </c>
      <c r="J402" s="29">
        <v>32</v>
      </c>
      <c r="K402" s="29">
        <v>26</v>
      </c>
      <c r="L402" s="36">
        <f t="shared" si="33"/>
        <v>2589500</v>
      </c>
      <c r="M402" s="36">
        <f t="shared" si="34"/>
        <v>67327000</v>
      </c>
      <c r="N402" s="38">
        <f>F402-(H402*6)</f>
        <v>91663000</v>
      </c>
      <c r="O402" s="39" t="s">
        <v>993</v>
      </c>
      <c r="P402" s="108" t="s">
        <v>37</v>
      </c>
    </row>
    <row r="403" spans="1:16">
      <c r="A403" s="29">
        <f t="shared" si="35"/>
        <v>399</v>
      </c>
      <c r="B403" s="30" t="s">
        <v>994</v>
      </c>
      <c r="C403" s="31" t="s">
        <v>995</v>
      </c>
      <c r="D403" s="31" t="s">
        <v>996</v>
      </c>
      <c r="E403" s="32">
        <v>43020</v>
      </c>
      <c r="F403" s="43">
        <f>36110000+902750+391613+288900+200000+27106737-32500000</f>
        <v>32500000</v>
      </c>
      <c r="G403" s="34">
        <f t="shared" si="32"/>
        <v>30042000</v>
      </c>
      <c r="H403" s="35">
        <v>444500</v>
      </c>
      <c r="I403" s="35">
        <f>+F403*1.2%</f>
        <v>390000</v>
      </c>
      <c r="J403" s="29">
        <v>36</v>
      </c>
      <c r="K403" s="29">
        <v>31</v>
      </c>
      <c r="L403" s="36">
        <f t="shared" si="33"/>
        <v>834500</v>
      </c>
      <c r="M403" s="37">
        <f t="shared" si="34"/>
        <v>25869500</v>
      </c>
      <c r="N403" s="38">
        <f>F403-(H403*5)</f>
        <v>30277500</v>
      </c>
      <c r="O403" s="44" t="s">
        <v>997</v>
      </c>
      <c r="P403" s="108" t="s">
        <v>30</v>
      </c>
    </row>
    <row r="404" spans="1:16">
      <c r="A404" s="29">
        <f t="shared" si="35"/>
        <v>400</v>
      </c>
      <c r="B404" s="30" t="s">
        <v>994</v>
      </c>
      <c r="C404" s="31" t="s">
        <v>995</v>
      </c>
      <c r="D404" s="31" t="s">
        <v>996</v>
      </c>
      <c r="E404" s="32">
        <v>43020</v>
      </c>
      <c r="F404" s="43">
        <v>32500000</v>
      </c>
      <c r="G404" s="34">
        <f t="shared" si="32"/>
        <v>30042000</v>
      </c>
      <c r="H404" s="43">
        <v>444500</v>
      </c>
      <c r="I404" s="35">
        <f>+F404*1.2%</f>
        <v>390000</v>
      </c>
      <c r="J404" s="29">
        <v>36</v>
      </c>
      <c r="K404" s="29">
        <v>31</v>
      </c>
      <c r="L404" s="36">
        <f t="shared" si="33"/>
        <v>834500</v>
      </c>
      <c r="M404" s="37">
        <f t="shared" si="34"/>
        <v>25869500</v>
      </c>
      <c r="N404" s="38">
        <f>F404-(H404*5)</f>
        <v>30277500</v>
      </c>
      <c r="O404" s="44" t="s">
        <v>997</v>
      </c>
      <c r="P404" s="108" t="s">
        <v>30</v>
      </c>
    </row>
    <row r="405" spans="1:16">
      <c r="A405" s="29">
        <f t="shared" si="35"/>
        <v>401</v>
      </c>
      <c r="B405" s="30" t="s">
        <v>998</v>
      </c>
      <c r="C405" s="31" t="s">
        <v>999</v>
      </c>
      <c r="D405" s="31" t="s">
        <v>1000</v>
      </c>
      <c r="E405" s="32">
        <v>42942</v>
      </c>
      <c r="F405" s="43">
        <f>19594762+489869+345948+200000+45000000</f>
        <v>65630579</v>
      </c>
      <c r="G405" s="34">
        <f t="shared" si="32"/>
        <v>70000000</v>
      </c>
      <c r="H405" s="40">
        <v>1212433</v>
      </c>
      <c r="I405" s="40">
        <v>787567</v>
      </c>
      <c r="J405" s="29">
        <v>35</v>
      </c>
      <c r="K405" s="29">
        <v>28</v>
      </c>
      <c r="L405" s="36">
        <f t="shared" si="33"/>
        <v>2000000</v>
      </c>
      <c r="M405" s="37">
        <f t="shared" si="34"/>
        <v>56000000</v>
      </c>
      <c r="N405" s="38">
        <f>F405-(H405*7)</f>
        <v>57143548</v>
      </c>
      <c r="O405" s="44" t="s">
        <v>1001</v>
      </c>
      <c r="P405" s="108" t="s">
        <v>30</v>
      </c>
    </row>
    <row r="406" spans="1:16">
      <c r="A406" s="29">
        <f t="shared" si="35"/>
        <v>402</v>
      </c>
      <c r="B406" s="30" t="s">
        <v>1002</v>
      </c>
      <c r="C406" s="31" t="s">
        <v>1003</v>
      </c>
      <c r="D406" s="31" t="s">
        <v>1004</v>
      </c>
      <c r="E406" s="32">
        <v>43088</v>
      </c>
      <c r="F406" s="43">
        <f>31100000+777500+689000+200000+67233500-50000000</f>
        <v>50000000</v>
      </c>
      <c r="G406" s="34">
        <f t="shared" si="32"/>
        <v>25000000</v>
      </c>
      <c r="H406" s="40">
        <v>400000</v>
      </c>
      <c r="I406" s="40">
        <f>+F406*1.2%</f>
        <v>600000</v>
      </c>
      <c r="J406" s="29">
        <v>25</v>
      </c>
      <c r="K406" s="29">
        <v>23</v>
      </c>
      <c r="L406" s="36">
        <f t="shared" si="33"/>
        <v>1000000</v>
      </c>
      <c r="M406" s="37">
        <f t="shared" si="34"/>
        <v>23000000</v>
      </c>
      <c r="N406" s="38">
        <f>F406-(H406*2)</f>
        <v>49200000</v>
      </c>
      <c r="O406" s="39" t="s">
        <v>67</v>
      </c>
      <c r="P406" s="108" t="s">
        <v>30</v>
      </c>
    </row>
    <row r="407" spans="1:16">
      <c r="A407" s="29">
        <f t="shared" si="35"/>
        <v>403</v>
      </c>
      <c r="B407" s="30" t="s">
        <v>1002</v>
      </c>
      <c r="C407" s="31" t="s">
        <v>1003</v>
      </c>
      <c r="D407" s="31" t="s">
        <v>1004</v>
      </c>
      <c r="E407" s="32">
        <v>43088</v>
      </c>
      <c r="F407" s="43">
        <v>50000000</v>
      </c>
      <c r="G407" s="34">
        <f t="shared" si="32"/>
        <v>25000000</v>
      </c>
      <c r="H407" s="40">
        <v>400000</v>
      </c>
      <c r="I407" s="40">
        <f>+F407*1.2%</f>
        <v>600000</v>
      </c>
      <c r="J407" s="29">
        <v>25</v>
      </c>
      <c r="K407" s="29">
        <v>23</v>
      </c>
      <c r="L407" s="36">
        <f t="shared" si="33"/>
        <v>1000000</v>
      </c>
      <c r="M407" s="37">
        <f t="shared" si="34"/>
        <v>23000000</v>
      </c>
      <c r="N407" s="38">
        <f>F407-(H407*2)</f>
        <v>49200000</v>
      </c>
      <c r="O407" s="39" t="s">
        <v>67</v>
      </c>
      <c r="P407" s="108" t="s">
        <v>30</v>
      </c>
    </row>
    <row r="408" spans="1:16">
      <c r="A408" s="29">
        <f t="shared" si="35"/>
        <v>404</v>
      </c>
      <c r="B408" s="30" t="s">
        <v>1005</v>
      </c>
      <c r="C408" s="31" t="s">
        <v>1006</v>
      </c>
      <c r="D408" s="31" t="s">
        <v>1007</v>
      </c>
      <c r="E408" s="32">
        <v>43018</v>
      </c>
      <c r="F408" s="43">
        <f>29433046+735826+287698+300000+200000+30000000</f>
        <v>60956570</v>
      </c>
      <c r="G408" s="34">
        <f t="shared" si="32"/>
        <v>55407500</v>
      </c>
      <c r="H408" s="35">
        <v>766021</v>
      </c>
      <c r="I408" s="35">
        <v>731479</v>
      </c>
      <c r="J408" s="29">
        <v>37</v>
      </c>
      <c r="K408" s="29">
        <v>32</v>
      </c>
      <c r="L408" s="36">
        <f t="shared" si="33"/>
        <v>1497500</v>
      </c>
      <c r="M408" s="37">
        <f t="shared" si="34"/>
        <v>47920000</v>
      </c>
      <c r="N408" s="38">
        <f>F408-(H408*5)</f>
        <v>57126465</v>
      </c>
      <c r="O408" s="44" t="s">
        <v>908</v>
      </c>
      <c r="P408" s="108" t="s">
        <v>30</v>
      </c>
    </row>
    <row r="409" spans="1:16">
      <c r="A409" s="29">
        <f t="shared" si="35"/>
        <v>405</v>
      </c>
      <c r="B409" s="30" t="s">
        <v>1008</v>
      </c>
      <c r="C409" s="31" t="s">
        <v>1009</v>
      </c>
      <c r="D409" s="31" t="s">
        <v>1010</v>
      </c>
      <c r="E409" s="32">
        <v>42941</v>
      </c>
      <c r="F409" s="43">
        <f>60924187+1523105+625000+200000+62500000</f>
        <v>125772292</v>
      </c>
      <c r="G409" s="34">
        <f t="shared" si="32"/>
        <v>77000000</v>
      </c>
      <c r="H409" s="40">
        <v>690732</v>
      </c>
      <c r="I409" s="40">
        <v>1509268</v>
      </c>
      <c r="J409" s="29">
        <v>35</v>
      </c>
      <c r="K409" s="29">
        <v>28</v>
      </c>
      <c r="L409" s="36">
        <f t="shared" si="33"/>
        <v>2200000</v>
      </c>
      <c r="M409" s="37">
        <f t="shared" si="34"/>
        <v>61600000</v>
      </c>
      <c r="N409" s="38">
        <f>F409-(H409*7)-5000000</f>
        <v>115937168</v>
      </c>
      <c r="O409" s="44" t="s">
        <v>1011</v>
      </c>
      <c r="P409" s="108" t="s">
        <v>30</v>
      </c>
    </row>
    <row r="410" spans="1:16">
      <c r="A410" s="29">
        <f t="shared" si="35"/>
        <v>406</v>
      </c>
      <c r="B410" s="30" t="s">
        <v>1012</v>
      </c>
      <c r="C410" s="31" t="s">
        <v>1013</v>
      </c>
      <c r="D410" s="41" t="s">
        <v>1014</v>
      </c>
      <c r="E410" s="32">
        <v>42853</v>
      </c>
      <c r="F410" s="42">
        <f>1685140+43749800+1135874+200000+0</f>
        <v>46770814</v>
      </c>
      <c r="G410" s="34">
        <f t="shared" si="32"/>
        <v>30258000</v>
      </c>
      <c r="H410" s="35">
        <v>699500</v>
      </c>
      <c r="I410" s="33">
        <v>561250</v>
      </c>
      <c r="J410" s="29">
        <v>24</v>
      </c>
      <c r="K410" s="29">
        <v>14</v>
      </c>
      <c r="L410" s="36">
        <f t="shared" si="33"/>
        <v>1260750</v>
      </c>
      <c r="M410" s="37">
        <f t="shared" si="34"/>
        <v>17650500</v>
      </c>
      <c r="N410" s="38">
        <f>F410-(H410*10)-3000000-3000000</f>
        <v>33775814</v>
      </c>
      <c r="O410" s="39" t="s">
        <v>500</v>
      </c>
      <c r="P410" s="108" t="s">
        <v>136</v>
      </c>
    </row>
    <row r="411" spans="1:16">
      <c r="A411" s="29">
        <f t="shared" si="35"/>
        <v>407</v>
      </c>
      <c r="B411" s="30" t="s">
        <v>1012</v>
      </c>
      <c r="C411" s="31" t="s">
        <v>1013</v>
      </c>
      <c r="D411" s="31" t="s">
        <v>1015</v>
      </c>
      <c r="E411" s="32">
        <v>42886</v>
      </c>
      <c r="F411" s="42">
        <f>80000+7920000</f>
        <v>8000000</v>
      </c>
      <c r="G411" s="34">
        <f t="shared" si="32"/>
        <v>9162000</v>
      </c>
      <c r="H411" s="42">
        <v>667500</v>
      </c>
      <c r="I411" s="33">
        <f>+F411*1.2%</f>
        <v>96000</v>
      </c>
      <c r="J411" s="29">
        <v>12</v>
      </c>
      <c r="K411" s="29">
        <v>3</v>
      </c>
      <c r="L411" s="36">
        <f t="shared" si="33"/>
        <v>763500</v>
      </c>
      <c r="M411" s="37">
        <f t="shared" si="34"/>
        <v>2290500</v>
      </c>
      <c r="N411" s="38">
        <f>F411-(H411*9)</f>
        <v>1992500</v>
      </c>
      <c r="O411" s="44" t="s">
        <v>500</v>
      </c>
      <c r="P411" s="109" t="s">
        <v>220</v>
      </c>
    </row>
    <row r="412" spans="1:16">
      <c r="A412" s="29">
        <f t="shared" si="35"/>
        <v>408</v>
      </c>
      <c r="B412" s="30" t="s">
        <v>1012</v>
      </c>
      <c r="C412" s="31" t="s">
        <v>1013</v>
      </c>
      <c r="D412" s="31" t="s">
        <v>1016</v>
      </c>
      <c r="E412" s="32">
        <v>43068</v>
      </c>
      <c r="F412" s="43">
        <f>100000+9900000</f>
        <v>10000000</v>
      </c>
      <c r="G412" s="34">
        <f t="shared" si="32"/>
        <v>11448000</v>
      </c>
      <c r="H412" s="40">
        <f>954000-I412</f>
        <v>834000</v>
      </c>
      <c r="I412" s="40">
        <f>+F412*1.2%</f>
        <v>120000</v>
      </c>
      <c r="J412" s="29">
        <v>12</v>
      </c>
      <c r="K412" s="29">
        <v>9</v>
      </c>
      <c r="L412" s="36">
        <f t="shared" si="33"/>
        <v>954000</v>
      </c>
      <c r="M412" s="37">
        <f t="shared" si="34"/>
        <v>8586000</v>
      </c>
      <c r="N412" s="38">
        <f>F412-(H412*3)</f>
        <v>7498000</v>
      </c>
      <c r="O412" s="39" t="s">
        <v>500</v>
      </c>
      <c r="P412" s="108" t="s">
        <v>32</v>
      </c>
    </row>
    <row r="413" spans="1:16">
      <c r="A413" s="29">
        <f t="shared" si="35"/>
        <v>409</v>
      </c>
      <c r="B413" s="30" t="s">
        <v>1017</v>
      </c>
      <c r="C413" s="31" t="s">
        <v>1018</v>
      </c>
      <c r="D413" s="32"/>
      <c r="E413" s="32">
        <v>42585</v>
      </c>
      <c r="F413" s="33">
        <f>28332000+708300+139355+300000+200000+30000000</f>
        <v>59679655</v>
      </c>
      <c r="G413" s="34">
        <f t="shared" si="32"/>
        <v>85464000</v>
      </c>
      <c r="H413" s="33">
        <v>1657844</v>
      </c>
      <c r="I413" s="33">
        <v>716156</v>
      </c>
      <c r="J413" s="29">
        <v>36</v>
      </c>
      <c r="K413" s="29">
        <v>17</v>
      </c>
      <c r="L413" s="36">
        <f t="shared" si="33"/>
        <v>2374000</v>
      </c>
      <c r="M413" s="36">
        <f t="shared" si="34"/>
        <v>40358000</v>
      </c>
      <c r="N413" s="38">
        <f>F413-(H413*19)</f>
        <v>28180619</v>
      </c>
      <c r="O413" s="39" t="s">
        <v>201</v>
      </c>
      <c r="P413" s="108" t="s">
        <v>389</v>
      </c>
    </row>
    <row r="414" spans="1:16">
      <c r="A414" s="29">
        <f t="shared" si="35"/>
        <v>410</v>
      </c>
      <c r="B414" s="30" t="s">
        <v>1019</v>
      </c>
      <c r="C414" s="31" t="s">
        <v>1020</v>
      </c>
      <c r="D414" s="41" t="s">
        <v>1021</v>
      </c>
      <c r="E414" s="32">
        <v>42860</v>
      </c>
      <c r="F414" s="42">
        <f>70747500+1768688+1120645+792525+200000+75370642-75000000</f>
        <v>75000000</v>
      </c>
      <c r="G414" s="34">
        <f t="shared" si="32"/>
        <v>69903000</v>
      </c>
      <c r="H414" s="35">
        <v>1041750</v>
      </c>
      <c r="I414" s="33">
        <f>+F414*1.2%</f>
        <v>900000</v>
      </c>
      <c r="J414" s="29">
        <v>36</v>
      </c>
      <c r="K414" s="29">
        <v>26</v>
      </c>
      <c r="L414" s="36">
        <f t="shared" si="33"/>
        <v>1941750</v>
      </c>
      <c r="M414" s="37">
        <f t="shared" si="34"/>
        <v>50485500</v>
      </c>
      <c r="N414" s="38">
        <f>F414-(H414*10)-3500000-2500000</f>
        <v>58582500</v>
      </c>
      <c r="O414" s="39" t="s">
        <v>939</v>
      </c>
      <c r="P414" s="108" t="s">
        <v>80</v>
      </c>
    </row>
    <row r="415" spans="1:16">
      <c r="A415" s="29">
        <f t="shared" si="35"/>
        <v>411</v>
      </c>
      <c r="B415" s="54" t="s">
        <v>1019</v>
      </c>
      <c r="C415" s="55" t="s">
        <v>1020</v>
      </c>
      <c r="D415" s="86" t="s">
        <v>1021</v>
      </c>
      <c r="E415" s="63">
        <v>42860</v>
      </c>
      <c r="F415" s="68">
        <v>75000000</v>
      </c>
      <c r="G415" s="85">
        <f t="shared" si="32"/>
        <v>69903000</v>
      </c>
      <c r="H415" s="68">
        <v>1041750</v>
      </c>
      <c r="I415" s="59">
        <f>+F415*1.2%</f>
        <v>900000</v>
      </c>
      <c r="J415" s="60">
        <v>36</v>
      </c>
      <c r="K415" s="60">
        <f>26+1</f>
        <v>27</v>
      </c>
      <c r="L415" s="36">
        <f t="shared" si="33"/>
        <v>1941750</v>
      </c>
      <c r="M415" s="37">
        <f t="shared" si="34"/>
        <v>52427250</v>
      </c>
      <c r="N415" s="38">
        <f>F415-(H415*9)-3500000-2500000</f>
        <v>59624250</v>
      </c>
      <c r="O415" s="39" t="s">
        <v>939</v>
      </c>
      <c r="P415" s="108" t="s">
        <v>80</v>
      </c>
    </row>
    <row r="416" spans="1:16">
      <c r="A416" s="29">
        <f t="shared" si="35"/>
        <v>412</v>
      </c>
      <c r="B416" s="30" t="s">
        <v>1019</v>
      </c>
      <c r="C416" s="31" t="s">
        <v>1020</v>
      </c>
      <c r="D416" s="41" t="s">
        <v>1022</v>
      </c>
      <c r="E416" s="32">
        <v>42928</v>
      </c>
      <c r="F416" s="42">
        <f>700000+700000+24000</f>
        <v>1424000</v>
      </c>
      <c r="G416" s="34">
        <f t="shared" si="32"/>
        <v>1638000</v>
      </c>
      <c r="H416" s="42">
        <v>119412</v>
      </c>
      <c r="I416" s="35">
        <f>+F416*1.2%</f>
        <v>17088</v>
      </c>
      <c r="J416" s="29">
        <v>12</v>
      </c>
      <c r="K416" s="29">
        <v>4</v>
      </c>
      <c r="L416" s="36">
        <f t="shared" si="33"/>
        <v>136500</v>
      </c>
      <c r="M416" s="37">
        <f t="shared" si="34"/>
        <v>546000</v>
      </c>
      <c r="N416" s="38">
        <f>F416-(H416*8)</f>
        <v>468704</v>
      </c>
      <c r="O416" s="39" t="s">
        <v>1023</v>
      </c>
      <c r="P416" s="108" t="s">
        <v>93</v>
      </c>
    </row>
    <row r="417" spans="1:16">
      <c r="A417" s="29">
        <f t="shared" si="35"/>
        <v>413</v>
      </c>
      <c r="B417" s="30" t="s">
        <v>1024</v>
      </c>
      <c r="C417" s="31" t="s">
        <v>1025</v>
      </c>
      <c r="D417" s="31" t="s">
        <v>1026</v>
      </c>
      <c r="E417" s="32">
        <v>43105</v>
      </c>
      <c r="F417" s="43">
        <f>47480000+1187000+232258+450000+200000+45000000</f>
        <v>94549258</v>
      </c>
      <c r="G417" s="34">
        <f t="shared" si="32"/>
        <v>90936000</v>
      </c>
      <c r="H417" s="40">
        <v>1391409</v>
      </c>
      <c r="I417" s="40">
        <v>1134591</v>
      </c>
      <c r="J417" s="29">
        <v>36</v>
      </c>
      <c r="K417" s="29">
        <v>34</v>
      </c>
      <c r="L417" s="36">
        <f t="shared" si="33"/>
        <v>2526000</v>
      </c>
      <c r="M417" s="37">
        <f t="shared" si="34"/>
        <v>85884000</v>
      </c>
      <c r="N417" s="38">
        <f>F417-(H417*2)</f>
        <v>91766440</v>
      </c>
      <c r="O417" s="39" t="s">
        <v>840</v>
      </c>
      <c r="P417" s="108" t="s">
        <v>30</v>
      </c>
    </row>
    <row r="418" spans="1:16">
      <c r="A418" s="29">
        <f t="shared" si="35"/>
        <v>414</v>
      </c>
      <c r="B418" s="30" t="s">
        <v>1027</v>
      </c>
      <c r="C418" s="31" t="s">
        <v>1028</v>
      </c>
      <c r="D418" s="31" t="s">
        <v>1029</v>
      </c>
      <c r="E418" s="32">
        <v>43034</v>
      </c>
      <c r="F418" s="43">
        <f>200000+200000+49600000</f>
        <v>50000000</v>
      </c>
      <c r="G418" s="34">
        <f t="shared" si="32"/>
        <v>57204000</v>
      </c>
      <c r="H418" s="35">
        <v>4167000</v>
      </c>
      <c r="I418" s="35">
        <f>+F418*1.2%</f>
        <v>600000</v>
      </c>
      <c r="J418" s="29">
        <v>12</v>
      </c>
      <c r="K418" s="29">
        <v>8</v>
      </c>
      <c r="L418" s="36">
        <f t="shared" si="33"/>
        <v>4767000</v>
      </c>
      <c r="M418" s="37">
        <f t="shared" si="34"/>
        <v>38136000</v>
      </c>
      <c r="N418" s="38">
        <f>F418-(H418*4)</f>
        <v>33332000</v>
      </c>
      <c r="O418" s="44" t="s">
        <v>1030</v>
      </c>
      <c r="P418" s="108" t="s">
        <v>25</v>
      </c>
    </row>
    <row r="419" spans="1:16">
      <c r="A419" s="29">
        <f t="shared" si="35"/>
        <v>415</v>
      </c>
      <c r="B419" s="30" t="s">
        <v>1031</v>
      </c>
      <c r="C419" s="31" t="s">
        <v>1032</v>
      </c>
      <c r="D419" s="31" t="s">
        <v>1033</v>
      </c>
      <c r="E419" s="32">
        <v>43073</v>
      </c>
      <c r="F419" s="43">
        <f>1662904+115233716+5925000+2922416+930670+7379564+297700+463113+200000+15352906+20958346+10000000-90663168</f>
        <v>90663167</v>
      </c>
      <c r="G419" s="34">
        <f t="shared" si="32"/>
        <v>68510000</v>
      </c>
      <c r="H419" s="40">
        <v>927042</v>
      </c>
      <c r="I419" s="40">
        <v>1087958</v>
      </c>
      <c r="J419" s="29">
        <v>34</v>
      </c>
      <c r="K419" s="29">
        <v>32</v>
      </c>
      <c r="L419" s="36">
        <f t="shared" si="33"/>
        <v>2015000</v>
      </c>
      <c r="M419" s="37">
        <f t="shared" si="34"/>
        <v>64480000</v>
      </c>
      <c r="N419" s="38">
        <f>F419-(H419*2)</f>
        <v>88809083</v>
      </c>
      <c r="O419" s="39" t="s">
        <v>1034</v>
      </c>
      <c r="P419" s="108" t="s">
        <v>30</v>
      </c>
    </row>
    <row r="420" spans="1:16">
      <c r="A420" s="29">
        <f t="shared" si="35"/>
        <v>416</v>
      </c>
      <c r="B420" s="54" t="s">
        <v>1031</v>
      </c>
      <c r="C420" s="55" t="s">
        <v>1032</v>
      </c>
      <c r="D420" s="55" t="s">
        <v>1033</v>
      </c>
      <c r="E420" s="63">
        <v>43073</v>
      </c>
      <c r="F420" s="105">
        <v>90663168</v>
      </c>
      <c r="G420" s="85">
        <f t="shared" si="32"/>
        <v>68510000</v>
      </c>
      <c r="H420" s="98">
        <v>927042</v>
      </c>
      <c r="I420" s="98">
        <v>1087958</v>
      </c>
      <c r="J420" s="60">
        <v>34</v>
      </c>
      <c r="K420" s="60">
        <f>31+1</f>
        <v>32</v>
      </c>
      <c r="L420" s="36">
        <f t="shared" si="33"/>
        <v>2015000</v>
      </c>
      <c r="M420" s="37">
        <f t="shared" si="34"/>
        <v>64480000</v>
      </c>
      <c r="N420" s="38">
        <f>F420-(H420*2)</f>
        <v>88809084</v>
      </c>
      <c r="O420" s="39" t="s">
        <v>1034</v>
      </c>
      <c r="P420" s="108" t="s">
        <v>30</v>
      </c>
    </row>
    <row r="421" spans="1:16">
      <c r="A421" s="29">
        <f t="shared" si="35"/>
        <v>417</v>
      </c>
      <c r="B421" s="30" t="s">
        <v>1035</v>
      </c>
      <c r="C421" s="31" t="s">
        <v>1036</v>
      </c>
      <c r="D421" s="31" t="s">
        <v>1037</v>
      </c>
      <c r="E421" s="32">
        <v>43021</v>
      </c>
      <c r="F421" s="43">
        <f>23884000+597100+313290+200000+200000+24805610</f>
        <v>50000000</v>
      </c>
      <c r="G421" s="34">
        <f t="shared" si="32"/>
        <v>40145000</v>
      </c>
      <c r="H421" s="40">
        <v>695000</v>
      </c>
      <c r="I421" s="35">
        <f>+F421*1.2%</f>
        <v>600000</v>
      </c>
      <c r="J421" s="29">
        <v>31</v>
      </c>
      <c r="K421" s="29">
        <v>26</v>
      </c>
      <c r="L421" s="36">
        <f t="shared" si="33"/>
        <v>1295000</v>
      </c>
      <c r="M421" s="37">
        <f t="shared" si="34"/>
        <v>33670000</v>
      </c>
      <c r="N421" s="38">
        <f>F421-(H421*5)-2500000</f>
        <v>44025000</v>
      </c>
      <c r="O421" s="39" t="s">
        <v>1038</v>
      </c>
      <c r="P421" s="108" t="s">
        <v>30</v>
      </c>
    </row>
    <row r="422" spans="1:16">
      <c r="A422" s="29">
        <f t="shared" si="35"/>
        <v>418</v>
      </c>
      <c r="B422" s="30" t="s">
        <v>1039</v>
      </c>
      <c r="C422" s="31" t="s">
        <v>1040</v>
      </c>
      <c r="D422" s="31" t="s">
        <v>1041</v>
      </c>
      <c r="E422" s="32">
        <v>42704</v>
      </c>
      <c r="F422" s="42">
        <f>22498500+562463+700000+200000+76039037-50000000</f>
        <v>50000000</v>
      </c>
      <c r="G422" s="34">
        <f t="shared" si="32"/>
        <v>34200000</v>
      </c>
      <c r="H422" s="40">
        <v>350000</v>
      </c>
      <c r="I422" s="33">
        <f>+F422*1.2%</f>
        <v>600000</v>
      </c>
      <c r="J422" s="29">
        <v>36</v>
      </c>
      <c r="K422" s="29">
        <v>21</v>
      </c>
      <c r="L422" s="36">
        <f t="shared" si="33"/>
        <v>950000</v>
      </c>
      <c r="M422" s="36">
        <f t="shared" si="34"/>
        <v>19950000</v>
      </c>
      <c r="N422" s="38">
        <f>F422-(H422*15)-2500000-7500000-2500000-2500000</f>
        <v>29750000</v>
      </c>
      <c r="O422" s="39" t="s">
        <v>897</v>
      </c>
      <c r="P422" s="108" t="s">
        <v>42</v>
      </c>
    </row>
    <row r="423" spans="1:16">
      <c r="A423" s="29">
        <f t="shared" si="35"/>
        <v>419</v>
      </c>
      <c r="B423" s="30" t="s">
        <v>1039</v>
      </c>
      <c r="C423" s="31" t="s">
        <v>1040</v>
      </c>
      <c r="D423" s="31" t="s">
        <v>1041</v>
      </c>
      <c r="E423" s="32">
        <v>42704</v>
      </c>
      <c r="F423" s="42">
        <v>50000000</v>
      </c>
      <c r="G423" s="34">
        <f t="shared" si="32"/>
        <v>34200000</v>
      </c>
      <c r="H423" s="42">
        <v>350000</v>
      </c>
      <c r="I423" s="33">
        <f>+F423*1.2%</f>
        <v>600000</v>
      </c>
      <c r="J423" s="29">
        <v>36</v>
      </c>
      <c r="K423" s="29">
        <v>21</v>
      </c>
      <c r="L423" s="36">
        <f t="shared" si="33"/>
        <v>950000</v>
      </c>
      <c r="M423" s="36">
        <f t="shared" si="34"/>
        <v>19950000</v>
      </c>
      <c r="N423" s="50">
        <f>F423-(H423*15)-2500000-7500000-2500000-2500000</f>
        <v>29750000</v>
      </c>
      <c r="O423" s="39" t="s">
        <v>897</v>
      </c>
      <c r="P423" s="108" t="s">
        <v>42</v>
      </c>
    </row>
    <row r="424" spans="1:16">
      <c r="A424" s="29">
        <f t="shared" si="35"/>
        <v>420</v>
      </c>
      <c r="B424" s="30" t="s">
        <v>1042</v>
      </c>
      <c r="C424" s="31" t="s">
        <v>1040</v>
      </c>
      <c r="D424" s="41" t="s">
        <v>1043</v>
      </c>
      <c r="E424" s="32">
        <v>42907</v>
      </c>
      <c r="F424" s="42">
        <f>60000+200000+5740000</f>
        <v>6000000</v>
      </c>
      <c r="G424" s="34">
        <f t="shared" si="32"/>
        <v>6864000</v>
      </c>
      <c r="H424" s="42">
        <f>+F424/J424</f>
        <v>500000</v>
      </c>
      <c r="I424" s="35">
        <f>F424*1.2%</f>
        <v>72000</v>
      </c>
      <c r="J424" s="29">
        <v>12</v>
      </c>
      <c r="K424" s="29">
        <v>4</v>
      </c>
      <c r="L424" s="36">
        <f t="shared" si="33"/>
        <v>572000</v>
      </c>
      <c r="M424" s="37">
        <f t="shared" si="34"/>
        <v>2288000</v>
      </c>
      <c r="N424" s="34">
        <f>+H424*K424</f>
        <v>2000000</v>
      </c>
      <c r="O424" s="39" t="s">
        <v>1044</v>
      </c>
      <c r="P424" s="108" t="s">
        <v>342</v>
      </c>
    </row>
    <row r="425" spans="1:16">
      <c r="A425" s="29">
        <f t="shared" si="35"/>
        <v>421</v>
      </c>
      <c r="B425" s="54" t="s">
        <v>1045</v>
      </c>
      <c r="C425" s="55" t="s">
        <v>1046</v>
      </c>
      <c r="D425" s="86" t="s">
        <v>1047</v>
      </c>
      <c r="E425" s="63">
        <v>42867</v>
      </c>
      <c r="F425" s="68">
        <f>2394500+133738260+3403319+1419427+150000+200000+15000000-78152753</f>
        <v>78152753</v>
      </c>
      <c r="G425" s="85">
        <f t="shared" si="32"/>
        <v>70500000</v>
      </c>
      <c r="H425" s="87">
        <v>562167</v>
      </c>
      <c r="I425" s="59">
        <v>937833</v>
      </c>
      <c r="J425" s="60">
        <v>47</v>
      </c>
      <c r="K425" s="60">
        <f>39+1</f>
        <v>40</v>
      </c>
      <c r="L425" s="36">
        <f t="shared" si="33"/>
        <v>1500000</v>
      </c>
      <c r="M425" s="37">
        <f t="shared" si="34"/>
        <v>60000000</v>
      </c>
      <c r="N425" s="38">
        <f>F425-(H425*7)-1000000-1500000</f>
        <v>71717584</v>
      </c>
      <c r="O425" s="39" t="s">
        <v>863</v>
      </c>
      <c r="P425" s="108" t="s">
        <v>80</v>
      </c>
    </row>
    <row r="426" spans="1:16">
      <c r="A426" s="29">
        <f t="shared" si="35"/>
        <v>422</v>
      </c>
      <c r="B426" s="54" t="s">
        <v>1045</v>
      </c>
      <c r="C426" s="55" t="s">
        <v>1046</v>
      </c>
      <c r="D426" s="86" t="s">
        <v>1047</v>
      </c>
      <c r="E426" s="63">
        <v>42867</v>
      </c>
      <c r="F426" s="68">
        <v>78152753</v>
      </c>
      <c r="G426" s="85">
        <f t="shared" si="32"/>
        <v>70500000</v>
      </c>
      <c r="H426" s="68">
        <v>562167</v>
      </c>
      <c r="I426" s="68">
        <v>937833</v>
      </c>
      <c r="J426" s="60">
        <v>47</v>
      </c>
      <c r="K426" s="60">
        <f>39+1</f>
        <v>40</v>
      </c>
      <c r="L426" s="36">
        <f t="shared" si="33"/>
        <v>1500000</v>
      </c>
      <c r="M426" s="37">
        <f t="shared" si="34"/>
        <v>60000000</v>
      </c>
      <c r="N426" s="38">
        <f>F426-(H426*7)-1000000-1500000</f>
        <v>71717584</v>
      </c>
      <c r="O426" s="39" t="s">
        <v>863</v>
      </c>
      <c r="P426" s="108" t="s">
        <v>80</v>
      </c>
    </row>
    <row r="427" spans="1:16">
      <c r="A427" s="29">
        <f t="shared" si="35"/>
        <v>423</v>
      </c>
      <c r="B427" s="54" t="s">
        <v>1045</v>
      </c>
      <c r="C427" s="55" t="s">
        <v>1046</v>
      </c>
      <c r="D427" s="55" t="s">
        <v>1048</v>
      </c>
      <c r="E427" s="63">
        <v>42958</v>
      </c>
      <c r="F427" s="105">
        <f>100000+200000+9700000</f>
        <v>10000000</v>
      </c>
      <c r="G427" s="85">
        <f t="shared" si="32"/>
        <v>12900000</v>
      </c>
      <c r="H427" s="87">
        <v>417500</v>
      </c>
      <c r="I427" s="87">
        <f>+F427*1.2%</f>
        <v>120000</v>
      </c>
      <c r="J427" s="112">
        <v>24</v>
      </c>
      <c r="K427" s="60">
        <f>18+1</f>
        <v>19</v>
      </c>
      <c r="L427" s="36">
        <f t="shared" si="33"/>
        <v>537500</v>
      </c>
      <c r="M427" s="37">
        <f t="shared" si="34"/>
        <v>10212500</v>
      </c>
      <c r="N427" s="38">
        <f>F427-(H427*5)</f>
        <v>7912500</v>
      </c>
      <c r="O427" s="44" t="s">
        <v>1049</v>
      </c>
      <c r="P427" s="108" t="s">
        <v>93</v>
      </c>
    </row>
    <row r="428" spans="1:16">
      <c r="A428" s="29">
        <f t="shared" si="35"/>
        <v>424</v>
      </c>
      <c r="B428" s="30" t="s">
        <v>1050</v>
      </c>
      <c r="C428" s="31" t="s">
        <v>1051</v>
      </c>
      <c r="D428" s="32"/>
      <c r="E428" s="32">
        <v>42639</v>
      </c>
      <c r="F428" s="33">
        <f>200000+200000+49600000</f>
        <v>50000000</v>
      </c>
      <c r="G428" s="34">
        <f t="shared" si="32"/>
        <v>34800000</v>
      </c>
      <c r="H428" s="33">
        <v>850000</v>
      </c>
      <c r="I428" s="33">
        <f>+F428*1.2%</f>
        <v>600000</v>
      </c>
      <c r="J428" s="29">
        <v>24</v>
      </c>
      <c r="K428" s="29">
        <v>7</v>
      </c>
      <c r="L428" s="36">
        <f t="shared" si="33"/>
        <v>1450000</v>
      </c>
      <c r="M428" s="36">
        <f t="shared" si="34"/>
        <v>10150000</v>
      </c>
      <c r="N428" s="38">
        <f>F428-(H428*17)-5000000-5000000-5000000-5000000</f>
        <v>15550000</v>
      </c>
      <c r="O428" s="39" t="s">
        <v>997</v>
      </c>
      <c r="P428" s="108" t="s">
        <v>51</v>
      </c>
    </row>
    <row r="429" spans="1:16">
      <c r="A429" s="29">
        <f t="shared" si="35"/>
        <v>425</v>
      </c>
      <c r="B429" s="30" t="s">
        <v>1052</v>
      </c>
      <c r="C429" s="31" t="s">
        <v>1053</v>
      </c>
      <c r="D429" s="32"/>
      <c r="E429" s="32">
        <v>42552</v>
      </c>
      <c r="F429" s="33">
        <f>200000+200000+49600000</f>
        <v>50000000</v>
      </c>
      <c r="G429" s="34">
        <f t="shared" si="32"/>
        <v>44030000</v>
      </c>
      <c r="H429" s="40">
        <v>695000</v>
      </c>
      <c r="I429" s="33">
        <f>+F429*1.2%</f>
        <v>600000</v>
      </c>
      <c r="J429" s="29">
        <v>34</v>
      </c>
      <c r="K429" s="29">
        <v>14</v>
      </c>
      <c r="L429" s="36">
        <f t="shared" si="33"/>
        <v>1295000</v>
      </c>
      <c r="M429" s="36">
        <f t="shared" si="34"/>
        <v>18130000</v>
      </c>
      <c r="N429" s="38">
        <f>F429-(H429*20)-2500000-5000000-2500000-2500000</f>
        <v>23600000</v>
      </c>
      <c r="O429" s="39" t="s">
        <v>700</v>
      </c>
      <c r="P429" s="108" t="s">
        <v>51</v>
      </c>
    </row>
    <row r="430" spans="1:16">
      <c r="A430" s="29">
        <f t="shared" si="35"/>
        <v>426</v>
      </c>
      <c r="B430" s="30" t="s">
        <v>1054</v>
      </c>
      <c r="C430" s="31" t="s">
        <v>1055</v>
      </c>
      <c r="D430" s="41" t="s">
        <v>1056</v>
      </c>
      <c r="E430" s="32">
        <v>43013</v>
      </c>
      <c r="F430" s="42">
        <f>36776329+919408+452143+132237+200000+11519883</f>
        <v>50000000</v>
      </c>
      <c r="G430" s="34">
        <f t="shared" si="32"/>
        <v>71622000</v>
      </c>
      <c r="H430" s="35">
        <v>1389500</v>
      </c>
      <c r="I430" s="35">
        <f>+F430*1.2%</f>
        <v>600000</v>
      </c>
      <c r="J430" s="29">
        <v>36</v>
      </c>
      <c r="K430" s="29">
        <v>31</v>
      </c>
      <c r="L430" s="36">
        <f t="shared" si="33"/>
        <v>1989500</v>
      </c>
      <c r="M430" s="37">
        <f t="shared" si="34"/>
        <v>61674500</v>
      </c>
      <c r="N430" s="38">
        <f>F430-(H430*5)</f>
        <v>43052500</v>
      </c>
      <c r="O430" s="39" t="s">
        <v>1057</v>
      </c>
      <c r="P430" s="108" t="s">
        <v>30</v>
      </c>
    </row>
    <row r="431" spans="1:16">
      <c r="A431" s="29">
        <f t="shared" si="35"/>
        <v>427</v>
      </c>
      <c r="B431" s="30" t="s">
        <v>1058</v>
      </c>
      <c r="C431" s="31" t="s">
        <v>1059</v>
      </c>
      <c r="D431" s="32"/>
      <c r="E431" s="32">
        <v>42669</v>
      </c>
      <c r="F431" s="33">
        <f>18332400+458310+200000+200000+30809290</f>
        <v>50000000</v>
      </c>
      <c r="G431" s="34">
        <f t="shared" si="32"/>
        <v>42735000</v>
      </c>
      <c r="H431" s="33">
        <v>695000</v>
      </c>
      <c r="I431" s="33">
        <f>+F431*1.2%</f>
        <v>600000</v>
      </c>
      <c r="J431" s="29">
        <v>33</v>
      </c>
      <c r="K431" s="29">
        <v>17</v>
      </c>
      <c r="L431" s="36">
        <f t="shared" si="33"/>
        <v>1295000</v>
      </c>
      <c r="M431" s="36">
        <f t="shared" si="34"/>
        <v>22015000</v>
      </c>
      <c r="N431" s="38">
        <f>F431-(H431*16)-3000000-4000000-3000000-3000000</f>
        <v>25880000</v>
      </c>
      <c r="O431" s="39" t="s">
        <v>540</v>
      </c>
      <c r="P431" s="108" t="s">
        <v>75</v>
      </c>
    </row>
    <row r="432" spans="1:16">
      <c r="A432" s="29">
        <f t="shared" si="35"/>
        <v>428</v>
      </c>
      <c r="B432" s="54" t="s">
        <v>1060</v>
      </c>
      <c r="C432" s="55" t="s">
        <v>1061</v>
      </c>
      <c r="D432" s="55" t="s">
        <v>1062</v>
      </c>
      <c r="E432" s="63">
        <v>42950</v>
      </c>
      <c r="F432" s="105">
        <f>33517922+837948+244345+100000+200000+10000000-22450108</f>
        <v>22450107</v>
      </c>
      <c r="G432" s="85">
        <f t="shared" si="32"/>
        <v>17499965</v>
      </c>
      <c r="H432" s="87">
        <v>230598</v>
      </c>
      <c r="I432" s="87">
        <v>269401</v>
      </c>
      <c r="J432" s="113">
        <v>35</v>
      </c>
      <c r="K432" s="60">
        <f>28+1</f>
        <v>29</v>
      </c>
      <c r="L432" s="36">
        <f t="shared" si="33"/>
        <v>499999</v>
      </c>
      <c r="M432" s="37">
        <f t="shared" si="34"/>
        <v>14499971</v>
      </c>
      <c r="N432" s="38">
        <f>F432-(H432*6)-1250000</f>
        <v>19816519</v>
      </c>
      <c r="O432" s="44" t="s">
        <v>1063</v>
      </c>
      <c r="P432" s="108" t="s">
        <v>30</v>
      </c>
    </row>
    <row r="433" spans="1:16">
      <c r="A433" s="29">
        <f t="shared" si="35"/>
        <v>429</v>
      </c>
      <c r="B433" s="54" t="s">
        <v>1060</v>
      </c>
      <c r="C433" s="55" t="s">
        <v>1061</v>
      </c>
      <c r="D433" s="55" t="s">
        <v>1062</v>
      </c>
      <c r="E433" s="63">
        <v>42950</v>
      </c>
      <c r="F433" s="105">
        <v>22450108</v>
      </c>
      <c r="G433" s="85">
        <f t="shared" si="32"/>
        <v>17500035</v>
      </c>
      <c r="H433" s="87">
        <v>230599</v>
      </c>
      <c r="I433" s="87">
        <v>269402</v>
      </c>
      <c r="J433" s="113">
        <v>35</v>
      </c>
      <c r="K433" s="60">
        <f>28+1</f>
        <v>29</v>
      </c>
      <c r="L433" s="36">
        <f t="shared" si="33"/>
        <v>500001</v>
      </c>
      <c r="M433" s="37">
        <f t="shared" si="34"/>
        <v>14500029</v>
      </c>
      <c r="N433" s="38">
        <f>F433-(H433*6)-1250000</f>
        <v>19816514</v>
      </c>
      <c r="O433" s="44" t="s">
        <v>1063</v>
      </c>
      <c r="P433" s="108" t="s">
        <v>30</v>
      </c>
    </row>
    <row r="434" spans="1:16">
      <c r="A434" s="29">
        <f t="shared" si="35"/>
        <v>430</v>
      </c>
      <c r="B434" s="30" t="s">
        <v>1064</v>
      </c>
      <c r="C434" s="31" t="s">
        <v>1065</v>
      </c>
      <c r="D434" s="32"/>
      <c r="E434" s="32">
        <v>42346</v>
      </c>
      <c r="F434" s="42">
        <f>1879616+83294134+2129344+616216+940000+200000+25940000+16612000+34500000+16948000-F435</f>
        <v>91529655</v>
      </c>
      <c r="G434" s="114">
        <f t="shared" si="32"/>
        <v>88000000</v>
      </c>
      <c r="H434" s="35">
        <v>1101644</v>
      </c>
      <c r="I434" s="84">
        <v>1098356</v>
      </c>
      <c r="J434" s="29">
        <v>40</v>
      </c>
      <c r="K434" s="29">
        <v>13</v>
      </c>
      <c r="L434" s="33">
        <f t="shared" si="33"/>
        <v>2200000</v>
      </c>
      <c r="M434" s="33">
        <f t="shared" si="34"/>
        <v>28600000</v>
      </c>
      <c r="N434" s="50">
        <f>F434-(H434*27)-10000000-2500000-2500000-10000000-2500000-2500000</f>
        <v>31785267</v>
      </c>
      <c r="O434" s="39" t="s">
        <v>1066</v>
      </c>
      <c r="P434" s="109" t="s">
        <v>80</v>
      </c>
    </row>
    <row r="435" spans="1:16">
      <c r="A435" s="29">
        <f t="shared" si="35"/>
        <v>431</v>
      </c>
      <c r="B435" s="30" t="s">
        <v>1064</v>
      </c>
      <c r="C435" s="31" t="s">
        <v>1065</v>
      </c>
      <c r="D435" s="32"/>
      <c r="E435" s="32">
        <v>42346</v>
      </c>
      <c r="F435" s="42">
        <v>91529655</v>
      </c>
      <c r="G435" s="114">
        <f t="shared" si="32"/>
        <v>68488400</v>
      </c>
      <c r="H435" s="35">
        <v>613854</v>
      </c>
      <c r="I435" s="84">
        <v>1098356</v>
      </c>
      <c r="J435" s="29">
        <v>40</v>
      </c>
      <c r="K435" s="29">
        <v>13</v>
      </c>
      <c r="L435" s="33">
        <f t="shared" si="33"/>
        <v>1712210</v>
      </c>
      <c r="M435" s="33">
        <f t="shared" si="34"/>
        <v>22258730</v>
      </c>
      <c r="N435" s="50">
        <f>F435-(H435*27)-10000000-2500000-2500000-10000000-2500000-2500000</f>
        <v>44955597</v>
      </c>
      <c r="O435" s="39" t="s">
        <v>1066</v>
      </c>
      <c r="P435" s="109" t="s">
        <v>80</v>
      </c>
    </row>
    <row r="436" spans="1:16">
      <c r="A436" s="29">
        <f t="shared" si="35"/>
        <v>432</v>
      </c>
      <c r="B436" s="30" t="s">
        <v>1064</v>
      </c>
      <c r="C436" s="31" t="s">
        <v>1065</v>
      </c>
      <c r="D436" s="41" t="s">
        <v>1067</v>
      </c>
      <c r="E436" s="32">
        <v>42790</v>
      </c>
      <c r="F436" s="33">
        <f>20894720+522368+100000+200000+10000000</f>
        <v>31717088</v>
      </c>
      <c r="G436" s="34">
        <f t="shared" si="32"/>
        <v>45432000</v>
      </c>
      <c r="H436" s="33">
        <v>881395</v>
      </c>
      <c r="I436" s="33">
        <v>380605</v>
      </c>
      <c r="J436" s="29">
        <v>36</v>
      </c>
      <c r="K436" s="29">
        <v>24</v>
      </c>
      <c r="L436" s="36">
        <f t="shared" si="33"/>
        <v>1262000</v>
      </c>
      <c r="M436" s="36">
        <f t="shared" si="34"/>
        <v>30288000</v>
      </c>
      <c r="N436" s="38">
        <f>F436-(H436*12)</f>
        <v>21140348</v>
      </c>
      <c r="O436" s="39" t="s">
        <v>143</v>
      </c>
      <c r="P436" s="108" t="s">
        <v>70</v>
      </c>
    </row>
    <row r="437" spans="1:16">
      <c r="A437" s="29">
        <f t="shared" si="35"/>
        <v>433</v>
      </c>
      <c r="B437" s="30" t="s">
        <v>1068</v>
      </c>
      <c r="C437" s="31" t="s">
        <v>1069</v>
      </c>
      <c r="D437" s="41" t="s">
        <v>1070</v>
      </c>
      <c r="E437" s="32">
        <v>42780</v>
      </c>
      <c r="F437" s="33">
        <f>41939000+1048475+696774+380610+200000+35735141-40000000</f>
        <v>40000000</v>
      </c>
      <c r="G437" s="34">
        <f t="shared" si="32"/>
        <v>19800000</v>
      </c>
      <c r="H437" s="33">
        <v>70000</v>
      </c>
      <c r="I437" s="33">
        <f>+F437*1.2%</f>
        <v>480000</v>
      </c>
      <c r="J437" s="29">
        <v>36</v>
      </c>
      <c r="K437" s="29">
        <v>23</v>
      </c>
      <c r="L437" s="36">
        <f t="shared" si="33"/>
        <v>550000</v>
      </c>
      <c r="M437" s="36">
        <f t="shared" si="34"/>
        <v>12650000</v>
      </c>
      <c r="N437" s="38">
        <f>F437-(H437*13)-10000000-1250000-1250000</f>
        <v>26590000</v>
      </c>
      <c r="O437" s="39" t="s">
        <v>1071</v>
      </c>
      <c r="P437" s="108" t="s">
        <v>70</v>
      </c>
    </row>
    <row r="438" spans="1:16">
      <c r="A438" s="29">
        <f t="shared" si="35"/>
        <v>434</v>
      </c>
      <c r="B438" s="30" t="s">
        <v>1068</v>
      </c>
      <c r="C438" s="31" t="s">
        <v>1069</v>
      </c>
      <c r="D438" s="41" t="s">
        <v>1070</v>
      </c>
      <c r="E438" s="32">
        <v>42780</v>
      </c>
      <c r="F438" s="33">
        <v>40000000</v>
      </c>
      <c r="G438" s="34">
        <f t="shared" si="32"/>
        <v>19800000</v>
      </c>
      <c r="H438" s="33">
        <v>70000</v>
      </c>
      <c r="I438" s="33">
        <f>+F438*1.2%</f>
        <v>480000</v>
      </c>
      <c r="J438" s="29">
        <v>36</v>
      </c>
      <c r="K438" s="29">
        <v>23</v>
      </c>
      <c r="L438" s="36">
        <f t="shared" si="33"/>
        <v>550000</v>
      </c>
      <c r="M438" s="36">
        <f t="shared" si="34"/>
        <v>12650000</v>
      </c>
      <c r="N438" s="38">
        <f>F438-(H438*13)-10000000-1250000-1250000</f>
        <v>26590000</v>
      </c>
      <c r="O438" s="39" t="s">
        <v>1071</v>
      </c>
      <c r="P438" s="108" t="s">
        <v>70</v>
      </c>
    </row>
    <row r="439" spans="1:16">
      <c r="A439" s="29">
        <f t="shared" si="35"/>
        <v>435</v>
      </c>
      <c r="B439" s="30" t="s">
        <v>585</v>
      </c>
      <c r="C439" s="31" t="s">
        <v>1072</v>
      </c>
      <c r="D439" s="31" t="s">
        <v>1072</v>
      </c>
      <c r="E439" s="32">
        <v>42989</v>
      </c>
      <c r="F439" s="43">
        <f>90500+8959500</f>
        <v>9050000</v>
      </c>
      <c r="G439" s="34">
        <f t="shared" si="32"/>
        <v>12978000</v>
      </c>
      <c r="H439" s="35">
        <v>251900</v>
      </c>
      <c r="I439" s="35">
        <f>+F439*1.2%</f>
        <v>108600</v>
      </c>
      <c r="J439" s="29">
        <v>36</v>
      </c>
      <c r="K439" s="29">
        <v>30</v>
      </c>
      <c r="L439" s="36">
        <f t="shared" si="33"/>
        <v>360500</v>
      </c>
      <c r="M439" s="37">
        <f t="shared" si="34"/>
        <v>10815000</v>
      </c>
      <c r="N439" s="38">
        <f>F439-(H439*6)</f>
        <v>7538600</v>
      </c>
      <c r="O439" s="44" t="s">
        <v>1073</v>
      </c>
      <c r="P439" s="108" t="s">
        <v>32</v>
      </c>
    </row>
    <row r="440" spans="1:16">
      <c r="A440" s="29">
        <f t="shared" si="35"/>
        <v>436</v>
      </c>
      <c r="B440" s="30" t="s">
        <v>1074</v>
      </c>
      <c r="C440" s="31" t="s">
        <v>1075</v>
      </c>
      <c r="D440" s="32"/>
      <c r="E440" s="32">
        <v>42493</v>
      </c>
      <c r="F440" s="45">
        <f>45496646+1137416+244361+300000+200000+30000000-F441</f>
        <v>38689211</v>
      </c>
      <c r="G440" s="48">
        <f t="shared" si="32"/>
        <v>36000000</v>
      </c>
      <c r="H440" s="33">
        <v>285730</v>
      </c>
      <c r="I440" s="48">
        <v>464270</v>
      </c>
      <c r="J440" s="49" t="s">
        <v>1076</v>
      </c>
      <c r="K440" s="29">
        <v>26</v>
      </c>
      <c r="L440" s="33">
        <f t="shared" si="33"/>
        <v>750000</v>
      </c>
      <c r="M440" s="33">
        <f t="shared" si="34"/>
        <v>19500000</v>
      </c>
      <c r="N440" s="70">
        <f>F440-(H440*22)-8000000</f>
        <v>24403151</v>
      </c>
      <c r="O440" s="51" t="s">
        <v>1077</v>
      </c>
      <c r="P440" s="115" t="s">
        <v>75</v>
      </c>
    </row>
    <row r="441" spans="1:16">
      <c r="A441" s="29">
        <f t="shared" si="35"/>
        <v>437</v>
      </c>
      <c r="B441" s="30" t="s">
        <v>1074</v>
      </c>
      <c r="C441" s="31" t="s">
        <v>1075</v>
      </c>
      <c r="D441" s="32"/>
      <c r="E441" s="32">
        <v>42493</v>
      </c>
      <c r="F441" s="45">
        <v>38689212</v>
      </c>
      <c r="G441" s="48">
        <f t="shared" si="32"/>
        <v>36000000</v>
      </c>
      <c r="H441" s="33">
        <v>285729</v>
      </c>
      <c r="I441" s="33">
        <v>464271</v>
      </c>
      <c r="J441" s="49" t="s">
        <v>1076</v>
      </c>
      <c r="K441" s="29">
        <v>26</v>
      </c>
      <c r="L441" s="33">
        <f t="shared" si="33"/>
        <v>750000</v>
      </c>
      <c r="M441" s="33">
        <f t="shared" si="34"/>
        <v>19500000</v>
      </c>
      <c r="N441" s="70">
        <f>F441-(H441*22)-8000000</f>
        <v>24403174</v>
      </c>
      <c r="O441" s="51" t="s">
        <v>1077</v>
      </c>
      <c r="P441" s="115" t="s">
        <v>75</v>
      </c>
    </row>
    <row r="442" spans="1:16">
      <c r="A442" s="29">
        <f t="shared" si="35"/>
        <v>438</v>
      </c>
      <c r="B442" s="30" t="s">
        <v>1078</v>
      </c>
      <c r="C442" s="31" t="s">
        <v>1079</v>
      </c>
      <c r="D442" s="41" t="s">
        <v>1080</v>
      </c>
      <c r="E442" s="32">
        <v>42983</v>
      </c>
      <c r="F442" s="42">
        <f>200000+200000+49600000</f>
        <v>50000000</v>
      </c>
      <c r="G442" s="34">
        <f t="shared" si="32"/>
        <v>46638000</v>
      </c>
      <c r="H442" s="35">
        <v>695500</v>
      </c>
      <c r="I442" s="35">
        <f>+F442*1.2%</f>
        <v>600000</v>
      </c>
      <c r="J442" s="29">
        <v>36</v>
      </c>
      <c r="K442" s="29">
        <v>30</v>
      </c>
      <c r="L442" s="36">
        <f t="shared" si="33"/>
        <v>1295500</v>
      </c>
      <c r="M442" s="37">
        <f t="shared" si="34"/>
        <v>38865000</v>
      </c>
      <c r="N442" s="38">
        <f>F442-(H442*6)</f>
        <v>45827000</v>
      </c>
      <c r="O442" s="39" t="s">
        <v>571</v>
      </c>
      <c r="P442" s="108" t="s">
        <v>161</v>
      </c>
    </row>
    <row r="443" spans="1:16">
      <c r="A443" s="29">
        <f t="shared" si="35"/>
        <v>439</v>
      </c>
      <c r="B443" s="30" t="s">
        <v>1081</v>
      </c>
      <c r="C443" s="31" t="s">
        <v>1082</v>
      </c>
      <c r="D443" s="41" t="s">
        <v>1083</v>
      </c>
      <c r="E443" s="32">
        <v>42926</v>
      </c>
      <c r="F443" s="42">
        <f>59409845+1485246+583442+180000+200000+18000000-39929267</f>
        <v>39929266</v>
      </c>
      <c r="G443" s="34">
        <f t="shared" si="32"/>
        <v>40800000</v>
      </c>
      <c r="H443" s="35">
        <v>720849</v>
      </c>
      <c r="I443" s="35">
        <v>479151</v>
      </c>
      <c r="J443" s="29">
        <v>34</v>
      </c>
      <c r="K443" s="29">
        <v>26</v>
      </c>
      <c r="L443" s="36">
        <f t="shared" si="33"/>
        <v>1200000</v>
      </c>
      <c r="M443" s="37">
        <f t="shared" si="34"/>
        <v>31200000</v>
      </c>
      <c r="N443" s="38">
        <f>F443-(H443*8)</f>
        <v>34162474</v>
      </c>
      <c r="O443" s="39" t="s">
        <v>1084</v>
      </c>
      <c r="P443" s="108" t="s">
        <v>42</v>
      </c>
    </row>
    <row r="444" spans="1:16">
      <c r="A444" s="29">
        <f t="shared" si="35"/>
        <v>440</v>
      </c>
      <c r="B444" s="30" t="s">
        <v>1081</v>
      </c>
      <c r="C444" s="31" t="s">
        <v>1082</v>
      </c>
      <c r="D444" s="41" t="s">
        <v>1083</v>
      </c>
      <c r="E444" s="32">
        <v>42926</v>
      </c>
      <c r="F444" s="42">
        <v>39929267</v>
      </c>
      <c r="G444" s="34">
        <f t="shared" si="32"/>
        <v>40800000</v>
      </c>
      <c r="H444" s="42">
        <v>720849</v>
      </c>
      <c r="I444" s="35">
        <v>479151</v>
      </c>
      <c r="J444" s="29">
        <v>34</v>
      </c>
      <c r="K444" s="29">
        <v>26</v>
      </c>
      <c r="L444" s="36">
        <f t="shared" si="33"/>
        <v>1200000</v>
      </c>
      <c r="M444" s="37">
        <f t="shared" si="34"/>
        <v>31200000</v>
      </c>
      <c r="N444" s="38">
        <f>F444-(H444*8)</f>
        <v>34162475</v>
      </c>
      <c r="O444" s="39" t="s">
        <v>1084</v>
      </c>
      <c r="P444" s="108" t="s">
        <v>42</v>
      </c>
    </row>
    <row r="445" spans="1:16">
      <c r="A445" s="29">
        <f t="shared" si="35"/>
        <v>441</v>
      </c>
      <c r="B445" s="30" t="s">
        <v>1085</v>
      </c>
      <c r="C445" s="31" t="s">
        <v>1086</v>
      </c>
      <c r="D445" s="31" t="s">
        <v>1087</v>
      </c>
      <c r="E445" s="32">
        <v>42944</v>
      </c>
      <c r="F445" s="43">
        <f>22794563+569864+27946+200000+10000000</f>
        <v>33592373</v>
      </c>
      <c r="G445" s="34">
        <f t="shared" si="32"/>
        <v>28726500</v>
      </c>
      <c r="H445" s="40">
        <v>467391</v>
      </c>
      <c r="I445" s="40">
        <v>403109</v>
      </c>
      <c r="J445" s="29">
        <v>33</v>
      </c>
      <c r="K445" s="29">
        <v>26</v>
      </c>
      <c r="L445" s="36">
        <f t="shared" si="33"/>
        <v>870500</v>
      </c>
      <c r="M445" s="37">
        <f t="shared" si="34"/>
        <v>22633000</v>
      </c>
      <c r="N445" s="38">
        <f>F445-(H445*7)-2500000</f>
        <v>27820636</v>
      </c>
      <c r="O445" s="39" t="s">
        <v>63</v>
      </c>
      <c r="P445" s="108" t="s">
        <v>30</v>
      </c>
    </row>
    <row r="446" spans="1:16">
      <c r="A446" s="29">
        <f t="shared" si="35"/>
        <v>442</v>
      </c>
      <c r="B446" s="30" t="s">
        <v>1088</v>
      </c>
      <c r="C446" s="31" t="s">
        <v>1089</v>
      </c>
      <c r="D446" s="32"/>
      <c r="E446" s="32">
        <v>42264</v>
      </c>
      <c r="F446" s="33">
        <f>163400+63777840+1598531+960287+362222+200000+32937720</f>
        <v>100000000</v>
      </c>
      <c r="G446" s="72">
        <f t="shared" si="32"/>
        <v>93200400</v>
      </c>
      <c r="H446" s="33">
        <v>1388900</v>
      </c>
      <c r="I446" s="33">
        <f t="shared" ref="I446:I452" si="36">+F446*1.2%</f>
        <v>1200000</v>
      </c>
      <c r="J446" s="29">
        <v>36</v>
      </c>
      <c r="K446" s="29">
        <v>6</v>
      </c>
      <c r="L446" s="33">
        <f t="shared" si="33"/>
        <v>2588900</v>
      </c>
      <c r="M446" s="33">
        <f t="shared" si="34"/>
        <v>15533400</v>
      </c>
      <c r="N446" s="50">
        <f>F446-(H446*30)-3000000-11000000-3000000-3000000-11000000-3000000-3000000</f>
        <v>21333000</v>
      </c>
      <c r="O446" s="39" t="s">
        <v>417</v>
      </c>
      <c r="P446" s="108" t="s">
        <v>42</v>
      </c>
    </row>
    <row r="447" spans="1:16" s="241" customFormat="1">
      <c r="A447" s="60">
        <f t="shared" si="35"/>
        <v>443</v>
      </c>
      <c r="B447" s="54" t="s">
        <v>1090</v>
      </c>
      <c r="C447" s="55" t="s">
        <v>1091</v>
      </c>
      <c r="D447" s="55" t="s">
        <v>1092</v>
      </c>
      <c r="E447" s="63">
        <v>42851</v>
      </c>
      <c r="F447" s="68">
        <f>10000000</f>
        <v>10000000</v>
      </c>
      <c r="G447" s="85">
        <f t="shared" si="32"/>
        <v>12900000</v>
      </c>
      <c r="H447" s="68">
        <v>417500</v>
      </c>
      <c r="I447" s="59">
        <f t="shared" si="36"/>
        <v>120000</v>
      </c>
      <c r="J447" s="60">
        <v>24</v>
      </c>
      <c r="K447" s="60">
        <v>14</v>
      </c>
      <c r="L447" s="85">
        <f t="shared" si="33"/>
        <v>537500</v>
      </c>
      <c r="M447" s="68">
        <f t="shared" si="34"/>
        <v>7525000</v>
      </c>
      <c r="N447" s="85">
        <f>F447-(H447*10)</f>
        <v>5825000</v>
      </c>
      <c r="O447" s="239" t="s">
        <v>1093</v>
      </c>
      <c r="P447" s="240" t="s">
        <v>93</v>
      </c>
    </row>
    <row r="448" spans="1:16" s="241" customFormat="1">
      <c r="A448" s="60">
        <f t="shared" si="35"/>
        <v>444</v>
      </c>
      <c r="B448" s="54" t="s">
        <v>1090</v>
      </c>
      <c r="C448" s="55" t="s">
        <v>1091</v>
      </c>
      <c r="D448" s="86" t="s">
        <v>1094</v>
      </c>
      <c r="E448" s="63">
        <v>42934</v>
      </c>
      <c r="F448" s="68">
        <f>500000+200000+49300000</f>
        <v>50000000</v>
      </c>
      <c r="G448" s="85">
        <f t="shared" ref="G448:G495" si="37">+J448*L448</f>
        <v>71622000</v>
      </c>
      <c r="H448" s="68">
        <f>1989500-I448</f>
        <v>1389500</v>
      </c>
      <c r="I448" s="87">
        <f t="shared" si="36"/>
        <v>600000</v>
      </c>
      <c r="J448" s="60">
        <v>36</v>
      </c>
      <c r="K448" s="60">
        <v>28</v>
      </c>
      <c r="L448" s="85">
        <f t="shared" si="33"/>
        <v>1989500</v>
      </c>
      <c r="M448" s="68">
        <f t="shared" si="34"/>
        <v>55706000</v>
      </c>
      <c r="N448" s="85">
        <f>F448-(H448*8)</f>
        <v>38884000</v>
      </c>
      <c r="O448" s="239" t="s">
        <v>736</v>
      </c>
      <c r="P448" s="240" t="s">
        <v>93</v>
      </c>
    </row>
    <row r="449" spans="1:16" s="241" customFormat="1">
      <c r="A449" s="60">
        <f t="shared" si="35"/>
        <v>445</v>
      </c>
      <c r="B449" s="54" t="s">
        <v>1090</v>
      </c>
      <c r="C449" s="55" t="s">
        <v>1091</v>
      </c>
      <c r="D449" s="55" t="s">
        <v>1095</v>
      </c>
      <c r="E449" s="63">
        <v>43005</v>
      </c>
      <c r="F449" s="105">
        <f>19160000+239500+30000+200000+16370500</f>
        <v>36000000</v>
      </c>
      <c r="G449" s="85">
        <f t="shared" si="37"/>
        <v>51552000</v>
      </c>
      <c r="H449" s="87">
        <f>+F449/J449</f>
        <v>1000000</v>
      </c>
      <c r="I449" s="87">
        <f t="shared" si="36"/>
        <v>432000</v>
      </c>
      <c r="J449" s="60">
        <v>36</v>
      </c>
      <c r="K449" s="60">
        <v>31</v>
      </c>
      <c r="L449" s="85">
        <f t="shared" si="33"/>
        <v>1432000</v>
      </c>
      <c r="M449" s="68">
        <f t="shared" si="34"/>
        <v>44392000</v>
      </c>
      <c r="N449" s="85">
        <f>+H449*K449</f>
        <v>31000000</v>
      </c>
      <c r="O449" s="239" t="s">
        <v>1096</v>
      </c>
      <c r="P449" s="240" t="s">
        <v>30</v>
      </c>
    </row>
    <row r="450" spans="1:16" s="241" customFormat="1">
      <c r="A450" s="60">
        <f t="shared" si="35"/>
        <v>446</v>
      </c>
      <c r="B450" s="54" t="s">
        <v>1090</v>
      </c>
      <c r="C450" s="55" t="s">
        <v>1091</v>
      </c>
      <c r="D450" s="55" t="s">
        <v>1097</v>
      </c>
      <c r="E450" s="63">
        <v>43075</v>
      </c>
      <c r="F450" s="105">
        <f>500000+49500000</f>
        <v>50000000</v>
      </c>
      <c r="G450" s="85">
        <f t="shared" si="37"/>
        <v>71604000</v>
      </c>
      <c r="H450" s="98">
        <f>1989000-I450</f>
        <v>1389000</v>
      </c>
      <c r="I450" s="98">
        <f t="shared" si="36"/>
        <v>600000</v>
      </c>
      <c r="J450" s="60">
        <v>36</v>
      </c>
      <c r="K450" s="60">
        <v>33</v>
      </c>
      <c r="L450" s="85">
        <f t="shared" si="33"/>
        <v>1989000</v>
      </c>
      <c r="M450" s="68">
        <f t="shared" si="34"/>
        <v>65637000</v>
      </c>
      <c r="N450" s="85">
        <f>F450-(H450*3)</f>
        <v>45833000</v>
      </c>
      <c r="O450" s="239" t="s">
        <v>1098</v>
      </c>
      <c r="P450" s="240" t="s">
        <v>32</v>
      </c>
    </row>
    <row r="451" spans="1:16" s="241" customFormat="1">
      <c r="A451" s="60">
        <f t="shared" si="35"/>
        <v>447</v>
      </c>
      <c r="B451" s="54" t="s">
        <v>1090</v>
      </c>
      <c r="C451" s="55" t="s">
        <v>1091</v>
      </c>
      <c r="D451" s="55" t="s">
        <v>1099</v>
      </c>
      <c r="E451" s="63">
        <v>43091</v>
      </c>
      <c r="F451" s="105">
        <f>20000000</f>
        <v>20000000</v>
      </c>
      <c r="G451" s="85">
        <f t="shared" si="37"/>
        <v>25776000</v>
      </c>
      <c r="H451" s="98">
        <f>1074000-I451</f>
        <v>834000</v>
      </c>
      <c r="I451" s="98">
        <f t="shared" si="36"/>
        <v>240000</v>
      </c>
      <c r="J451" s="60">
        <v>24</v>
      </c>
      <c r="K451" s="60">
        <v>22</v>
      </c>
      <c r="L451" s="85">
        <f t="shared" si="33"/>
        <v>1074000</v>
      </c>
      <c r="M451" s="68">
        <f t="shared" si="34"/>
        <v>23628000</v>
      </c>
      <c r="N451" s="85">
        <f>F451-(H451*2)</f>
        <v>18332000</v>
      </c>
      <c r="O451" s="239" t="s">
        <v>1100</v>
      </c>
      <c r="P451" s="240" t="s">
        <v>32</v>
      </c>
    </row>
    <row r="452" spans="1:16">
      <c r="A452" s="29">
        <f t="shared" si="35"/>
        <v>448</v>
      </c>
      <c r="B452" s="30" t="s">
        <v>1101</v>
      </c>
      <c r="C452" s="31" t="s">
        <v>1102</v>
      </c>
      <c r="D452" s="32"/>
      <c r="E452" s="32">
        <v>42333</v>
      </c>
      <c r="F452" s="42">
        <f>450000+200000+74350000-F453</f>
        <v>37500000</v>
      </c>
      <c r="G452" s="72">
        <f t="shared" si="37"/>
        <v>14500000</v>
      </c>
      <c r="H452" s="42">
        <v>50000</v>
      </c>
      <c r="I452" s="42">
        <f t="shared" si="36"/>
        <v>450000</v>
      </c>
      <c r="J452" s="29">
        <v>29</v>
      </c>
      <c r="K452" s="29">
        <v>2</v>
      </c>
      <c r="L452" s="33">
        <f t="shared" si="33"/>
        <v>500000</v>
      </c>
      <c r="M452" s="33">
        <f t="shared" si="34"/>
        <v>1000000</v>
      </c>
      <c r="N452" s="50">
        <f>F452-(H452*27)-2500000-10000000-2500000-10000000-2500000</f>
        <v>8650000</v>
      </c>
      <c r="O452" s="39" t="s">
        <v>1103</v>
      </c>
      <c r="P452" s="108" t="s">
        <v>548</v>
      </c>
    </row>
    <row r="453" spans="1:16">
      <c r="A453" s="29">
        <f t="shared" si="35"/>
        <v>449</v>
      </c>
      <c r="B453" s="30" t="s">
        <v>1101</v>
      </c>
      <c r="C453" s="31" t="s">
        <v>1102</v>
      </c>
      <c r="D453" s="32"/>
      <c r="E453" s="32">
        <v>42333</v>
      </c>
      <c r="F453" s="42">
        <v>37500000</v>
      </c>
      <c r="G453" s="72">
        <f t="shared" si="37"/>
        <v>14500000</v>
      </c>
      <c r="H453" s="42">
        <v>50000</v>
      </c>
      <c r="I453" s="42">
        <v>450000</v>
      </c>
      <c r="J453" s="29">
        <v>29</v>
      </c>
      <c r="K453" s="29">
        <v>2</v>
      </c>
      <c r="L453" s="33">
        <f t="shared" ref="L453:L516" si="38">+H453+I453</f>
        <v>500000</v>
      </c>
      <c r="M453" s="33">
        <f t="shared" ref="M453:M516" si="39">+K453*L453</f>
        <v>1000000</v>
      </c>
      <c r="N453" s="50">
        <f>F453-(H453*27)-2500000-10000000-2500000-10000000-2500000</f>
        <v>8650000</v>
      </c>
      <c r="O453" s="39" t="s">
        <v>1103</v>
      </c>
      <c r="P453" s="108" t="s">
        <v>548</v>
      </c>
    </row>
    <row r="454" spans="1:16">
      <c r="A454" s="29">
        <f t="shared" ref="A454:A517" si="40">+A453+1</f>
        <v>450</v>
      </c>
      <c r="B454" s="30" t="s">
        <v>1104</v>
      </c>
      <c r="C454" s="31" t="s">
        <v>1105</v>
      </c>
      <c r="D454" s="31" t="s">
        <v>1106</v>
      </c>
      <c r="E454" s="32">
        <v>42860</v>
      </c>
      <c r="F454" s="33">
        <f>300000+200000+59500000</f>
        <v>60000000</v>
      </c>
      <c r="G454" s="34">
        <f t="shared" si="37"/>
        <v>47328000</v>
      </c>
      <c r="H454" s="35">
        <v>1252000</v>
      </c>
      <c r="I454" s="33">
        <f>+F454*1.2%</f>
        <v>720000</v>
      </c>
      <c r="J454" s="29">
        <v>24</v>
      </c>
      <c r="K454" s="29">
        <v>14</v>
      </c>
      <c r="L454" s="36">
        <f t="shared" si="38"/>
        <v>1972000</v>
      </c>
      <c r="M454" s="37">
        <f t="shared" si="39"/>
        <v>27608000</v>
      </c>
      <c r="N454" s="38">
        <f>F454-(H454*10)</f>
        <v>47480000</v>
      </c>
      <c r="O454" s="39" t="s">
        <v>1107</v>
      </c>
      <c r="P454" s="108" t="s">
        <v>161</v>
      </c>
    </row>
    <row r="455" spans="1:16">
      <c r="A455" s="29">
        <f t="shared" si="40"/>
        <v>451</v>
      </c>
      <c r="B455" s="30" t="s">
        <v>1108</v>
      </c>
      <c r="C455" s="31" t="s">
        <v>1109</v>
      </c>
      <c r="D455" s="32"/>
      <c r="E455" s="32">
        <v>42551</v>
      </c>
      <c r="F455" s="42">
        <f>200000+200000+49600000</f>
        <v>50000000</v>
      </c>
      <c r="G455" s="34">
        <f t="shared" si="37"/>
        <v>44030000</v>
      </c>
      <c r="H455" s="35">
        <v>695000</v>
      </c>
      <c r="I455" s="35">
        <f>+F455*1.2%</f>
        <v>600000</v>
      </c>
      <c r="J455" s="29">
        <v>34</v>
      </c>
      <c r="K455" s="29">
        <v>14</v>
      </c>
      <c r="L455" s="48">
        <f t="shared" si="38"/>
        <v>1295000</v>
      </c>
      <c r="M455" s="48">
        <f t="shared" si="39"/>
        <v>18130000</v>
      </c>
      <c r="N455" s="38">
        <f>F455-(H455*20)-1000000-8000000-1000000-1000000</f>
        <v>25100000</v>
      </c>
      <c r="O455" s="39" t="s">
        <v>1110</v>
      </c>
      <c r="P455" s="108" t="s">
        <v>30</v>
      </c>
    </row>
    <row r="456" spans="1:16">
      <c r="A456" s="29">
        <f t="shared" si="40"/>
        <v>452</v>
      </c>
      <c r="B456" s="30" t="s">
        <v>1111</v>
      </c>
      <c r="C456" s="31" t="s">
        <v>1112</v>
      </c>
      <c r="D456" s="31" t="s">
        <v>1113</v>
      </c>
      <c r="E456" s="32">
        <v>42899</v>
      </c>
      <c r="F456" s="33">
        <f>43766396+1094160+603261+562336+200000+53773847</f>
        <v>100000000</v>
      </c>
      <c r="G456" s="34">
        <f t="shared" si="37"/>
        <v>90632500</v>
      </c>
      <c r="H456" s="35">
        <v>1389500</v>
      </c>
      <c r="I456" s="33">
        <f>+F456*1.2%</f>
        <v>1200000</v>
      </c>
      <c r="J456" s="29">
        <v>35</v>
      </c>
      <c r="K456" s="29">
        <v>26</v>
      </c>
      <c r="L456" s="36">
        <f t="shared" si="38"/>
        <v>2589500</v>
      </c>
      <c r="M456" s="37">
        <f t="shared" si="39"/>
        <v>67327000</v>
      </c>
      <c r="N456" s="38">
        <f>F456-(H456*9)</f>
        <v>87494500</v>
      </c>
      <c r="O456" s="39" t="s">
        <v>160</v>
      </c>
      <c r="P456" s="116" t="s">
        <v>80</v>
      </c>
    </row>
    <row r="457" spans="1:16">
      <c r="A457" s="29">
        <f t="shared" si="40"/>
        <v>453</v>
      </c>
      <c r="B457" s="30" t="s">
        <v>1114</v>
      </c>
      <c r="C457" s="31" t="s">
        <v>1115</v>
      </c>
      <c r="D457" s="31" t="s">
        <v>1116</v>
      </c>
      <c r="E457" s="32">
        <v>43068</v>
      </c>
      <c r="F457" s="43">
        <f>79094446+90000000+1977361+1000000+200000+100000000</f>
        <v>272271807</v>
      </c>
      <c r="G457" s="34">
        <f t="shared" si="37"/>
        <v>155000000</v>
      </c>
      <c r="H457" s="40">
        <v>1732738</v>
      </c>
      <c r="I457" s="40">
        <v>3267262</v>
      </c>
      <c r="J457" s="29">
        <v>31</v>
      </c>
      <c r="K457" s="29">
        <v>28</v>
      </c>
      <c r="L457" s="36">
        <f t="shared" si="38"/>
        <v>5000000</v>
      </c>
      <c r="M457" s="37">
        <f t="shared" si="39"/>
        <v>140000000</v>
      </c>
      <c r="N457" s="38">
        <f>F457-(H457*3)-7000000</f>
        <v>260073593</v>
      </c>
      <c r="O457" s="39" t="s">
        <v>1117</v>
      </c>
      <c r="P457" s="108" t="s">
        <v>30</v>
      </c>
    </row>
    <row r="458" spans="1:16">
      <c r="A458" s="29">
        <f t="shared" si="40"/>
        <v>454</v>
      </c>
      <c r="B458" s="30" t="s">
        <v>1118</v>
      </c>
      <c r="C458" s="31" t="s">
        <v>1119</v>
      </c>
      <c r="D458" s="32"/>
      <c r="E458" s="32">
        <v>42453</v>
      </c>
      <c r="F458" s="42">
        <f>61020016+1525500+500000+200000+50000000-F459</f>
        <v>56622758</v>
      </c>
      <c r="G458" s="34">
        <f t="shared" si="37"/>
        <v>49844000</v>
      </c>
      <c r="H458" s="33">
        <v>786527</v>
      </c>
      <c r="I458" s="48">
        <v>679473</v>
      </c>
      <c r="J458" s="49" t="s">
        <v>1120</v>
      </c>
      <c r="K458" s="29">
        <v>11</v>
      </c>
      <c r="L458" s="42">
        <f t="shared" si="38"/>
        <v>1466000</v>
      </c>
      <c r="M458" s="42">
        <f t="shared" si="39"/>
        <v>16126000</v>
      </c>
      <c r="N458" s="70">
        <f>F458-(H458*23)-4000000-3500000-3500000-4000000-3500000-3500000</f>
        <v>16532637</v>
      </c>
      <c r="O458" s="39" t="s">
        <v>1121</v>
      </c>
      <c r="P458" s="115" t="s">
        <v>85</v>
      </c>
    </row>
    <row r="459" spans="1:16">
      <c r="A459" s="29">
        <f t="shared" si="40"/>
        <v>455</v>
      </c>
      <c r="B459" s="30" t="s">
        <v>1118</v>
      </c>
      <c r="C459" s="31" t="s">
        <v>1119</v>
      </c>
      <c r="D459" s="32"/>
      <c r="E459" s="32">
        <v>42453</v>
      </c>
      <c r="F459" s="42">
        <v>56622758</v>
      </c>
      <c r="G459" s="34">
        <f t="shared" si="37"/>
        <v>49844000</v>
      </c>
      <c r="H459" s="33">
        <v>786527</v>
      </c>
      <c r="I459" s="33">
        <v>679473</v>
      </c>
      <c r="J459" s="49" t="s">
        <v>1120</v>
      </c>
      <c r="K459" s="29">
        <v>11</v>
      </c>
      <c r="L459" s="42">
        <f t="shared" si="38"/>
        <v>1466000</v>
      </c>
      <c r="M459" s="42">
        <f t="shared" si="39"/>
        <v>16126000</v>
      </c>
      <c r="N459" s="70">
        <f>F459-(H459*23)-4000000-3500000-3500000-4000000-3500000-3500000</f>
        <v>16532637</v>
      </c>
      <c r="O459" s="39" t="s">
        <v>1121</v>
      </c>
      <c r="P459" s="115" t="s">
        <v>85</v>
      </c>
    </row>
    <row r="460" spans="1:16">
      <c r="A460" s="29">
        <f t="shared" si="40"/>
        <v>456</v>
      </c>
      <c r="B460" s="30" t="s">
        <v>1122</v>
      </c>
      <c r="C460" s="31" t="s">
        <v>1123</v>
      </c>
      <c r="D460" s="31" t="s">
        <v>1124</v>
      </c>
      <c r="E460" s="32">
        <v>42992</v>
      </c>
      <c r="F460" s="43">
        <f>650000+200000+94150000</f>
        <v>95000000</v>
      </c>
      <c r="G460" s="34">
        <f t="shared" si="37"/>
        <v>88578000</v>
      </c>
      <c r="H460" s="40">
        <v>1320500</v>
      </c>
      <c r="I460" s="35">
        <f t="shared" ref="I460:I471" si="41">+F460*1.2%</f>
        <v>1140000</v>
      </c>
      <c r="J460" s="29">
        <v>36</v>
      </c>
      <c r="K460" s="29">
        <v>30</v>
      </c>
      <c r="L460" s="36">
        <f t="shared" si="38"/>
        <v>2460500</v>
      </c>
      <c r="M460" s="36">
        <f t="shared" si="39"/>
        <v>73815000</v>
      </c>
      <c r="N460" s="38">
        <f>F460-(H460*6)-3000000</f>
        <v>84077000</v>
      </c>
      <c r="O460" s="39" t="s">
        <v>1073</v>
      </c>
      <c r="P460" s="108" t="s">
        <v>37</v>
      </c>
    </row>
    <row r="461" spans="1:16">
      <c r="A461" s="29">
        <f t="shared" si="40"/>
        <v>457</v>
      </c>
      <c r="B461" s="30" t="s">
        <v>1125</v>
      </c>
      <c r="C461" s="31" t="s">
        <v>1126</v>
      </c>
      <c r="D461" s="41" t="s">
        <v>1127</v>
      </c>
      <c r="E461" s="32">
        <v>43042</v>
      </c>
      <c r="F461" s="42">
        <f>29575000+739375+315484+200000+200000+18970141</f>
        <v>50000000</v>
      </c>
      <c r="G461" s="34">
        <f t="shared" si="37"/>
        <v>41440000</v>
      </c>
      <c r="H461" s="35">
        <v>695000</v>
      </c>
      <c r="I461" s="35">
        <f t="shared" si="41"/>
        <v>600000</v>
      </c>
      <c r="J461" s="29">
        <v>32</v>
      </c>
      <c r="K461" s="29">
        <v>28</v>
      </c>
      <c r="L461" s="36">
        <f t="shared" si="38"/>
        <v>1295000</v>
      </c>
      <c r="M461" s="37">
        <f t="shared" si="39"/>
        <v>36260000</v>
      </c>
      <c r="N461" s="38">
        <f>F461-(H461*4)-3000000</f>
        <v>44220000</v>
      </c>
      <c r="O461" s="39" t="s">
        <v>1128</v>
      </c>
      <c r="P461" s="108" t="s">
        <v>30</v>
      </c>
    </row>
    <row r="462" spans="1:16">
      <c r="A462" s="29">
        <f t="shared" si="40"/>
        <v>458</v>
      </c>
      <c r="B462" s="30" t="s">
        <v>1129</v>
      </c>
      <c r="C462" s="31" t="s">
        <v>1130</v>
      </c>
      <c r="D462" s="31" t="s">
        <v>1131</v>
      </c>
      <c r="E462" s="32">
        <v>43017</v>
      </c>
      <c r="F462" s="43">
        <f>5083150+127079+352903+550000+200000+78686868</f>
        <v>85000000</v>
      </c>
      <c r="G462" s="34">
        <f t="shared" si="37"/>
        <v>79200000</v>
      </c>
      <c r="H462" s="35">
        <v>1180000</v>
      </c>
      <c r="I462" s="35">
        <f t="shared" si="41"/>
        <v>1020000</v>
      </c>
      <c r="J462" s="29">
        <v>36</v>
      </c>
      <c r="K462" s="29">
        <v>31</v>
      </c>
      <c r="L462" s="36">
        <f t="shared" si="38"/>
        <v>2200000</v>
      </c>
      <c r="M462" s="37">
        <f t="shared" si="39"/>
        <v>68200000</v>
      </c>
      <c r="N462" s="38">
        <f>F462-(H462*5)-2800000</f>
        <v>76300000</v>
      </c>
      <c r="O462" s="44" t="s">
        <v>1132</v>
      </c>
      <c r="P462" s="108" t="s">
        <v>30</v>
      </c>
    </row>
    <row r="463" spans="1:16">
      <c r="A463" s="29">
        <f t="shared" si="40"/>
        <v>459</v>
      </c>
      <c r="B463" s="30" t="s">
        <v>1133</v>
      </c>
      <c r="C463" s="31" t="s">
        <v>1134</v>
      </c>
      <c r="D463" s="31" t="s">
        <v>1135</v>
      </c>
      <c r="E463" s="32">
        <v>42943</v>
      </c>
      <c r="F463" s="43">
        <f>23888600+597215+2200000+200000+223114185-125000000</f>
        <v>125000000</v>
      </c>
      <c r="G463" s="34">
        <f t="shared" si="37"/>
        <v>104004000</v>
      </c>
      <c r="H463" s="40">
        <v>1389000</v>
      </c>
      <c r="I463" s="40">
        <f t="shared" si="41"/>
        <v>1500000</v>
      </c>
      <c r="J463" s="29">
        <v>36</v>
      </c>
      <c r="K463" s="29">
        <v>29</v>
      </c>
      <c r="L463" s="36">
        <f t="shared" si="38"/>
        <v>2889000</v>
      </c>
      <c r="M463" s="37">
        <f t="shared" si="39"/>
        <v>83781000</v>
      </c>
      <c r="N463" s="38">
        <f>F463-(H463*7)-2500000</f>
        <v>112777000</v>
      </c>
      <c r="O463" s="39" t="s">
        <v>301</v>
      </c>
      <c r="P463" s="108" t="s">
        <v>30</v>
      </c>
    </row>
    <row r="464" spans="1:16">
      <c r="A464" s="29">
        <f t="shared" si="40"/>
        <v>460</v>
      </c>
      <c r="B464" s="30" t="s">
        <v>1133</v>
      </c>
      <c r="C464" s="31" t="s">
        <v>1134</v>
      </c>
      <c r="D464" s="31" t="s">
        <v>1135</v>
      </c>
      <c r="E464" s="32">
        <v>42943</v>
      </c>
      <c r="F464" s="43">
        <v>125000000</v>
      </c>
      <c r="G464" s="34">
        <f t="shared" si="37"/>
        <v>104004000</v>
      </c>
      <c r="H464" s="43">
        <v>1389000</v>
      </c>
      <c r="I464" s="40">
        <f t="shared" si="41"/>
        <v>1500000</v>
      </c>
      <c r="J464" s="29">
        <v>36</v>
      </c>
      <c r="K464" s="29">
        <v>29</v>
      </c>
      <c r="L464" s="36">
        <f t="shared" si="38"/>
        <v>2889000</v>
      </c>
      <c r="M464" s="37">
        <f t="shared" si="39"/>
        <v>83781000</v>
      </c>
      <c r="N464" s="38">
        <f>F464-(H464*7)-2500000</f>
        <v>112777000</v>
      </c>
      <c r="O464" s="39" t="s">
        <v>301</v>
      </c>
      <c r="P464" s="108" t="s">
        <v>30</v>
      </c>
    </row>
    <row r="465" spans="1:16">
      <c r="A465" s="29">
        <f t="shared" si="40"/>
        <v>461</v>
      </c>
      <c r="B465" s="30" t="s">
        <v>1136</v>
      </c>
      <c r="C465" s="31" t="s">
        <v>1137</v>
      </c>
      <c r="D465" s="47"/>
      <c r="E465" s="47">
        <v>42403</v>
      </c>
      <c r="F465" s="45">
        <f>41444500+1036113+395106+585555+200000+56338726</f>
        <v>100000000</v>
      </c>
      <c r="G465" s="48">
        <f t="shared" si="37"/>
        <v>85433700</v>
      </c>
      <c r="H465" s="33">
        <v>1388900</v>
      </c>
      <c r="I465" s="48">
        <f t="shared" si="41"/>
        <v>1200000</v>
      </c>
      <c r="J465" s="49" t="s">
        <v>1138</v>
      </c>
      <c r="K465" s="29">
        <v>8</v>
      </c>
      <c r="L465" s="33">
        <f t="shared" si="38"/>
        <v>2588900</v>
      </c>
      <c r="M465" s="33">
        <f t="shared" si="39"/>
        <v>20711200</v>
      </c>
      <c r="N465" s="70">
        <f>F465-(H465*25)-10000000-5000000-5000000-10000000-5000000-5000000</f>
        <v>25277500</v>
      </c>
      <c r="O465" s="51" t="s">
        <v>1139</v>
      </c>
      <c r="P465" s="115" t="s">
        <v>1140</v>
      </c>
    </row>
    <row r="466" spans="1:16">
      <c r="A466" s="29">
        <f t="shared" si="40"/>
        <v>462</v>
      </c>
      <c r="B466" s="30" t="s">
        <v>1141</v>
      </c>
      <c r="C466" s="31" t="s">
        <v>1142</v>
      </c>
      <c r="D466" s="31" t="s">
        <v>1143</v>
      </c>
      <c r="E466" s="32">
        <v>42765</v>
      </c>
      <c r="F466" s="33">
        <f>160000+44332000+1112300+456680+200000+43739020</f>
        <v>90000000</v>
      </c>
      <c r="G466" s="34">
        <f t="shared" si="37"/>
        <v>74880000</v>
      </c>
      <c r="H466" s="33">
        <v>1000000</v>
      </c>
      <c r="I466" s="33">
        <f t="shared" si="41"/>
        <v>1080000</v>
      </c>
      <c r="J466" s="29">
        <v>36</v>
      </c>
      <c r="K466" s="29">
        <v>23</v>
      </c>
      <c r="L466" s="36">
        <f t="shared" si="38"/>
        <v>2080000</v>
      </c>
      <c r="M466" s="36">
        <f t="shared" si="39"/>
        <v>47840000</v>
      </c>
      <c r="N466" s="38">
        <f>F466-(H466*13)-12000000-3000000-3000000</f>
        <v>59000000</v>
      </c>
      <c r="O466" s="39" t="s">
        <v>1084</v>
      </c>
      <c r="P466" s="108" t="s">
        <v>42</v>
      </c>
    </row>
    <row r="467" spans="1:16">
      <c r="A467" s="29">
        <f t="shared" si="40"/>
        <v>463</v>
      </c>
      <c r="B467" s="30" t="s">
        <v>1144</v>
      </c>
      <c r="C467" s="31" t="s">
        <v>1145</v>
      </c>
      <c r="D467" s="31" t="s">
        <v>1146</v>
      </c>
      <c r="E467" s="32">
        <v>43104</v>
      </c>
      <c r="F467" s="43">
        <f>13938770+1887500+395657+413224+550000+200000+67614849-42500000</f>
        <v>42500000</v>
      </c>
      <c r="G467" s="34">
        <f t="shared" si="37"/>
        <v>39618000</v>
      </c>
      <c r="H467" s="40">
        <v>590500</v>
      </c>
      <c r="I467" s="40">
        <f t="shared" si="41"/>
        <v>510000</v>
      </c>
      <c r="J467" s="29">
        <v>36</v>
      </c>
      <c r="K467" s="29">
        <v>34</v>
      </c>
      <c r="L467" s="36">
        <f t="shared" si="38"/>
        <v>1100500</v>
      </c>
      <c r="M467" s="37">
        <f t="shared" si="39"/>
        <v>37417000</v>
      </c>
      <c r="N467" s="38">
        <f>F467-(H467*2)</f>
        <v>41319000</v>
      </c>
      <c r="O467" s="39" t="s">
        <v>729</v>
      </c>
      <c r="P467" s="108" t="s">
        <v>30</v>
      </c>
    </row>
    <row r="468" spans="1:16">
      <c r="A468" s="29">
        <f t="shared" si="40"/>
        <v>464</v>
      </c>
      <c r="B468" s="30" t="s">
        <v>1144</v>
      </c>
      <c r="C468" s="31" t="s">
        <v>1145</v>
      </c>
      <c r="D468" s="31" t="s">
        <v>1146</v>
      </c>
      <c r="E468" s="32">
        <v>43104</v>
      </c>
      <c r="F468" s="43">
        <v>42500000</v>
      </c>
      <c r="G468" s="34">
        <f t="shared" si="37"/>
        <v>39618000</v>
      </c>
      <c r="H468" s="40">
        <v>590500</v>
      </c>
      <c r="I468" s="40">
        <f t="shared" si="41"/>
        <v>510000</v>
      </c>
      <c r="J468" s="29">
        <v>36</v>
      </c>
      <c r="K468" s="29">
        <v>34</v>
      </c>
      <c r="L468" s="36">
        <f t="shared" si="38"/>
        <v>1100500</v>
      </c>
      <c r="M468" s="37">
        <f t="shared" si="39"/>
        <v>37417000</v>
      </c>
      <c r="N468" s="38">
        <f>F468-(H468*2)</f>
        <v>41319000</v>
      </c>
      <c r="O468" s="39" t="s">
        <v>729</v>
      </c>
      <c r="P468" s="108" t="s">
        <v>30</v>
      </c>
    </row>
    <row r="469" spans="1:16">
      <c r="A469" s="29">
        <f t="shared" si="40"/>
        <v>465</v>
      </c>
      <c r="B469" s="30" t="s">
        <v>1147</v>
      </c>
      <c r="C469" s="31" t="s">
        <v>1148</v>
      </c>
      <c r="D469" s="32"/>
      <c r="E469" s="32">
        <v>42636</v>
      </c>
      <c r="F469" s="33">
        <f>179166100+4479153+1208339+200000+114946408</f>
        <v>300000000</v>
      </c>
      <c r="G469" s="34">
        <f t="shared" si="37"/>
        <v>279612000</v>
      </c>
      <c r="H469" s="33">
        <v>4167000</v>
      </c>
      <c r="I469" s="33">
        <f t="shared" si="41"/>
        <v>3600000</v>
      </c>
      <c r="J469" s="29">
        <v>36</v>
      </c>
      <c r="K469" s="29">
        <v>19</v>
      </c>
      <c r="L469" s="36">
        <f t="shared" si="38"/>
        <v>7767000</v>
      </c>
      <c r="M469" s="36">
        <f t="shared" si="39"/>
        <v>147573000</v>
      </c>
      <c r="N469" s="38">
        <f>F469-(H469*17)-5000000-45000000-5000000</f>
        <v>174161000</v>
      </c>
      <c r="O469" s="39" t="s">
        <v>1149</v>
      </c>
      <c r="P469" s="108" t="s">
        <v>42</v>
      </c>
    </row>
    <row r="470" spans="1:16">
      <c r="A470" s="29">
        <f t="shared" si="40"/>
        <v>466</v>
      </c>
      <c r="B470" s="30" t="s">
        <v>1147</v>
      </c>
      <c r="C470" s="31" t="s">
        <v>1148</v>
      </c>
      <c r="D470" s="32"/>
      <c r="E470" s="32">
        <v>42647</v>
      </c>
      <c r="F470" s="33">
        <f>2450000+1000000+24000</f>
        <v>3474000</v>
      </c>
      <c r="G470" s="34">
        <f t="shared" si="37"/>
        <v>4974768</v>
      </c>
      <c r="H470" s="33">
        <f>+F470/J470</f>
        <v>96500</v>
      </c>
      <c r="I470" s="33">
        <f t="shared" si="41"/>
        <v>41688</v>
      </c>
      <c r="J470" s="29">
        <v>36</v>
      </c>
      <c r="K470" s="29">
        <v>19</v>
      </c>
      <c r="L470" s="36">
        <f t="shared" si="38"/>
        <v>138188</v>
      </c>
      <c r="M470" s="36">
        <f t="shared" si="39"/>
        <v>2625572</v>
      </c>
      <c r="N470" s="38">
        <f>F470-(H470*17)</f>
        <v>1833500</v>
      </c>
      <c r="O470" s="39" t="s">
        <v>1150</v>
      </c>
      <c r="P470" s="108" t="s">
        <v>372</v>
      </c>
    </row>
    <row r="471" spans="1:16">
      <c r="A471" s="29">
        <f t="shared" si="40"/>
        <v>467</v>
      </c>
      <c r="B471" s="30" t="s">
        <v>1147</v>
      </c>
      <c r="C471" s="31" t="s">
        <v>1148</v>
      </c>
      <c r="D471" s="41" t="s">
        <v>1151</v>
      </c>
      <c r="E471" s="32">
        <v>43033</v>
      </c>
      <c r="F471" s="42">
        <f>75000+7425000</f>
        <v>7500000</v>
      </c>
      <c r="G471" s="34">
        <f t="shared" si="37"/>
        <v>8400000</v>
      </c>
      <c r="H471" s="35">
        <f>+F471/J471</f>
        <v>750000</v>
      </c>
      <c r="I471" s="35">
        <f t="shared" si="41"/>
        <v>90000</v>
      </c>
      <c r="J471" s="29">
        <v>10</v>
      </c>
      <c r="K471" s="29">
        <v>6</v>
      </c>
      <c r="L471" s="36">
        <f t="shared" si="38"/>
        <v>840000</v>
      </c>
      <c r="M471" s="37">
        <f t="shared" si="39"/>
        <v>5040000</v>
      </c>
      <c r="N471" s="34">
        <f>+H471*K471</f>
        <v>4500000</v>
      </c>
      <c r="O471" s="39" t="s">
        <v>382</v>
      </c>
      <c r="P471" s="108" t="s">
        <v>93</v>
      </c>
    </row>
    <row r="472" spans="1:16">
      <c r="A472" s="29">
        <f t="shared" si="40"/>
        <v>468</v>
      </c>
      <c r="B472" s="30" t="s">
        <v>1152</v>
      </c>
      <c r="C472" s="31" t="s">
        <v>1153</v>
      </c>
      <c r="D472" s="32"/>
      <c r="E472" s="32">
        <v>42615</v>
      </c>
      <c r="F472" s="33">
        <v>38065145</v>
      </c>
      <c r="G472" s="34">
        <f t="shared" si="37"/>
        <v>25141537</v>
      </c>
      <c r="H472" s="33">
        <v>222719</v>
      </c>
      <c r="I472" s="33">
        <v>456782</v>
      </c>
      <c r="J472" s="29">
        <v>37</v>
      </c>
      <c r="K472" s="29">
        <v>19</v>
      </c>
      <c r="L472" s="36">
        <f t="shared" si="38"/>
        <v>679501</v>
      </c>
      <c r="M472" s="36">
        <f t="shared" si="39"/>
        <v>12910519</v>
      </c>
      <c r="N472" s="38">
        <f>F472-(H472*18)-2500000-5000000-2500000-2500000</f>
        <v>21556203</v>
      </c>
      <c r="O472" s="39" t="s">
        <v>1154</v>
      </c>
      <c r="P472" s="108" t="s">
        <v>144</v>
      </c>
    </row>
    <row r="473" spans="1:16">
      <c r="A473" s="29">
        <f t="shared" si="40"/>
        <v>469</v>
      </c>
      <c r="B473" s="30" t="s">
        <v>1152</v>
      </c>
      <c r="C473" s="31" t="s">
        <v>1153</v>
      </c>
      <c r="D473" s="32"/>
      <c r="E473" s="32">
        <v>42615</v>
      </c>
      <c r="F473" s="33">
        <f>15000000+375000+105290+450000+200000+60000000-38065145</f>
        <v>38065145</v>
      </c>
      <c r="G473" s="34">
        <f t="shared" si="37"/>
        <v>25141463</v>
      </c>
      <c r="H473" s="33">
        <v>222718</v>
      </c>
      <c r="I473" s="33">
        <v>456781</v>
      </c>
      <c r="J473" s="29">
        <v>37</v>
      </c>
      <c r="K473" s="29">
        <v>19</v>
      </c>
      <c r="L473" s="36">
        <f t="shared" si="38"/>
        <v>679499</v>
      </c>
      <c r="M473" s="36">
        <f t="shared" si="39"/>
        <v>12910481</v>
      </c>
      <c r="N473" s="38">
        <f>F473-(H473*18)-2500000-5000000-2500000-2500000</f>
        <v>21556221</v>
      </c>
      <c r="O473" s="39" t="s">
        <v>1154</v>
      </c>
      <c r="P473" s="108" t="s">
        <v>144</v>
      </c>
    </row>
    <row r="474" spans="1:16">
      <c r="A474" s="29">
        <f t="shared" si="40"/>
        <v>470</v>
      </c>
      <c r="B474" s="30" t="s">
        <v>1155</v>
      </c>
      <c r="C474" s="31" t="s">
        <v>1156</v>
      </c>
      <c r="D474" s="31" t="s">
        <v>1157</v>
      </c>
      <c r="E474" s="32">
        <v>42879</v>
      </c>
      <c r="F474" s="33">
        <f>160505572+4012639+234944+200000+19046845</f>
        <v>184000000</v>
      </c>
      <c r="G474" s="34">
        <f t="shared" si="37"/>
        <v>171500000</v>
      </c>
      <c r="H474" s="35">
        <v>2692000</v>
      </c>
      <c r="I474" s="33">
        <f>+F474*1.2%</f>
        <v>2208000</v>
      </c>
      <c r="J474" s="29">
        <v>35</v>
      </c>
      <c r="K474" s="29">
        <v>26</v>
      </c>
      <c r="L474" s="36">
        <f t="shared" si="38"/>
        <v>4900000</v>
      </c>
      <c r="M474" s="37">
        <f t="shared" si="39"/>
        <v>127400000</v>
      </c>
      <c r="N474" s="38">
        <f>F474-(H474*9)-2500000-2500000</f>
        <v>154772000</v>
      </c>
      <c r="O474" s="39" t="s">
        <v>1158</v>
      </c>
      <c r="P474" s="108" t="s">
        <v>376</v>
      </c>
    </row>
    <row r="475" spans="1:16">
      <c r="A475" s="29">
        <f t="shared" si="40"/>
        <v>471</v>
      </c>
      <c r="B475" s="30" t="s">
        <v>1155</v>
      </c>
      <c r="C475" s="31" t="s">
        <v>1156</v>
      </c>
      <c r="D475" s="31" t="s">
        <v>1159</v>
      </c>
      <c r="E475" s="32">
        <v>42886</v>
      </c>
      <c r="F475" s="42">
        <f>700000+700000+24000</f>
        <v>1424000</v>
      </c>
      <c r="G475" s="34">
        <f t="shared" si="37"/>
        <v>1860000</v>
      </c>
      <c r="H475" s="40">
        <v>60412</v>
      </c>
      <c r="I475" s="33">
        <f>+F475*1.2%</f>
        <v>17088</v>
      </c>
      <c r="J475" s="29">
        <v>24</v>
      </c>
      <c r="K475" s="29">
        <v>15</v>
      </c>
      <c r="L475" s="36">
        <f t="shared" si="38"/>
        <v>77500</v>
      </c>
      <c r="M475" s="37">
        <f t="shared" si="39"/>
        <v>1162500</v>
      </c>
      <c r="N475" s="38">
        <f>F475-(H475*9)</f>
        <v>880292</v>
      </c>
      <c r="O475" s="44" t="s">
        <v>1158</v>
      </c>
      <c r="P475" s="109" t="s">
        <v>220</v>
      </c>
    </row>
    <row r="476" spans="1:16">
      <c r="A476" s="29">
        <f t="shared" si="40"/>
        <v>472</v>
      </c>
      <c r="B476" s="30" t="s">
        <v>1160</v>
      </c>
      <c r="C476" s="31" t="s">
        <v>1161</v>
      </c>
      <c r="D476" s="32"/>
      <c r="E476" s="32">
        <v>42333</v>
      </c>
      <c r="F476" s="42">
        <f>22403100+560078+700000+200000+76136822-F477</f>
        <v>50000000</v>
      </c>
      <c r="G476" s="72">
        <f t="shared" si="37"/>
        <v>41422400</v>
      </c>
      <c r="H476" s="40">
        <v>694450</v>
      </c>
      <c r="I476" s="42">
        <f>+F476*1.2%</f>
        <v>600000</v>
      </c>
      <c r="J476" s="29">
        <v>32</v>
      </c>
      <c r="K476" s="29">
        <v>5</v>
      </c>
      <c r="L476" s="33">
        <f t="shared" si="38"/>
        <v>1294450</v>
      </c>
      <c r="M476" s="33">
        <f t="shared" si="39"/>
        <v>6472250</v>
      </c>
      <c r="N476" s="50">
        <f>F476-(H476*27)-2500000-5000000-2500000-2500000-5000000-2500000-2500000</f>
        <v>8749850</v>
      </c>
      <c r="O476" s="39" t="s">
        <v>268</v>
      </c>
      <c r="P476" s="109" t="s">
        <v>75</v>
      </c>
    </row>
    <row r="477" spans="1:16">
      <c r="A477" s="29">
        <f t="shared" si="40"/>
        <v>473</v>
      </c>
      <c r="B477" s="30" t="s">
        <v>1160</v>
      </c>
      <c r="C477" s="31" t="s">
        <v>1161</v>
      </c>
      <c r="D477" s="32"/>
      <c r="E477" s="32">
        <v>42333</v>
      </c>
      <c r="F477" s="42">
        <v>50000000</v>
      </c>
      <c r="G477" s="72">
        <f t="shared" si="37"/>
        <v>41422400</v>
      </c>
      <c r="H477" s="42">
        <v>694450</v>
      </c>
      <c r="I477" s="42">
        <v>600000</v>
      </c>
      <c r="J477" s="29">
        <v>32</v>
      </c>
      <c r="K477" s="29">
        <v>5</v>
      </c>
      <c r="L477" s="33">
        <f t="shared" si="38"/>
        <v>1294450</v>
      </c>
      <c r="M477" s="33">
        <f t="shared" si="39"/>
        <v>6472250</v>
      </c>
      <c r="N477" s="50">
        <f>F477-(H477*27)-2500000-5000000-2500000-2500000-5000000-2500000-2500000</f>
        <v>8749850</v>
      </c>
      <c r="O477" s="39" t="s">
        <v>268</v>
      </c>
      <c r="P477" s="109" t="s">
        <v>75</v>
      </c>
    </row>
    <row r="478" spans="1:16">
      <c r="A478" s="29">
        <f t="shared" si="40"/>
        <v>474</v>
      </c>
      <c r="B478" s="54" t="s">
        <v>1162</v>
      </c>
      <c r="C478" s="55" t="s">
        <v>1163</v>
      </c>
      <c r="D478" s="63"/>
      <c r="E478" s="63">
        <v>42593</v>
      </c>
      <c r="F478" s="105">
        <v>35841379</v>
      </c>
      <c r="G478" s="85">
        <f t="shared" si="37"/>
        <v>26950049</v>
      </c>
      <c r="H478" s="105">
        <v>119904</v>
      </c>
      <c r="I478" s="105">
        <v>430097</v>
      </c>
      <c r="J478" s="60">
        <v>49</v>
      </c>
      <c r="K478" s="60">
        <f>38+1</f>
        <v>39</v>
      </c>
      <c r="L478" s="36">
        <f t="shared" si="38"/>
        <v>550001</v>
      </c>
      <c r="M478" s="92">
        <f t="shared" si="39"/>
        <v>21450039</v>
      </c>
      <c r="N478" s="38">
        <f>F478-(H478*10)-1250000-5000000-1000000-1250000</f>
        <v>26142339</v>
      </c>
      <c r="O478" s="39" t="s">
        <v>1164</v>
      </c>
      <c r="P478" s="108" t="s">
        <v>389</v>
      </c>
    </row>
    <row r="479" spans="1:16">
      <c r="A479" s="29">
        <f t="shared" si="40"/>
        <v>475</v>
      </c>
      <c r="B479" s="54" t="s">
        <v>1162</v>
      </c>
      <c r="C479" s="55" t="s">
        <v>1163</v>
      </c>
      <c r="D479" s="63"/>
      <c r="E479" s="63">
        <v>42593</v>
      </c>
      <c r="F479" s="105">
        <f>57102301+5000000+1427558+491152+1811746+600000+50000+200000+5000000-35841379</f>
        <v>35841378</v>
      </c>
      <c r="G479" s="85">
        <f t="shared" si="37"/>
        <v>26949951</v>
      </c>
      <c r="H479" s="59">
        <v>119903</v>
      </c>
      <c r="I479" s="87">
        <v>430096</v>
      </c>
      <c r="J479" s="60">
        <v>49</v>
      </c>
      <c r="K479" s="60">
        <f>39+1</f>
        <v>40</v>
      </c>
      <c r="L479" s="36">
        <f t="shared" si="38"/>
        <v>549999</v>
      </c>
      <c r="M479" s="92">
        <f t="shared" si="39"/>
        <v>21999960</v>
      </c>
      <c r="N479" s="38">
        <f>F479-(H479*9)-1250000-44500-5000000-100000-1000000-1250000</f>
        <v>26117751</v>
      </c>
      <c r="O479" s="39" t="s">
        <v>1164</v>
      </c>
      <c r="P479" s="108" t="s">
        <v>389</v>
      </c>
    </row>
    <row r="480" spans="1:16">
      <c r="A480" s="29">
        <f t="shared" si="40"/>
        <v>476</v>
      </c>
      <c r="B480" s="30" t="s">
        <v>1165</v>
      </c>
      <c r="C480" s="31" t="s">
        <v>1166</v>
      </c>
      <c r="D480" s="31" t="s">
        <v>1167</v>
      </c>
      <c r="E480" s="32">
        <v>43018</v>
      </c>
      <c r="F480" s="43">
        <f>200000+200000+49600000</f>
        <v>50000000</v>
      </c>
      <c r="G480" s="34">
        <f t="shared" si="37"/>
        <v>27550000</v>
      </c>
      <c r="H480" s="33">
        <v>850000</v>
      </c>
      <c r="I480" s="35">
        <f>+F480*1.2%</f>
        <v>600000</v>
      </c>
      <c r="J480" s="29">
        <v>19</v>
      </c>
      <c r="K480" s="29">
        <v>14</v>
      </c>
      <c r="L480" s="36">
        <f t="shared" si="38"/>
        <v>1450000</v>
      </c>
      <c r="M480" s="37">
        <f t="shared" si="39"/>
        <v>20300000</v>
      </c>
      <c r="N480" s="38">
        <f>F480-(H480*5)</f>
        <v>45750000</v>
      </c>
      <c r="O480" s="44" t="s">
        <v>1168</v>
      </c>
      <c r="P480" s="108" t="s">
        <v>161</v>
      </c>
    </row>
    <row r="481" spans="1:16">
      <c r="A481" s="29">
        <f t="shared" si="40"/>
        <v>477</v>
      </c>
      <c r="B481" s="30" t="s">
        <v>1169</v>
      </c>
      <c r="C481" s="31" t="s">
        <v>1170</v>
      </c>
      <c r="D481" s="32"/>
      <c r="E481" s="32">
        <v>42305</v>
      </c>
      <c r="F481" s="33">
        <f>17777600+444440+15000000</f>
        <v>33222040</v>
      </c>
      <c r="G481" s="72">
        <f t="shared" si="37"/>
        <v>47576304</v>
      </c>
      <c r="H481" s="33">
        <v>922900</v>
      </c>
      <c r="I481" s="48">
        <v>398664</v>
      </c>
      <c r="J481" s="29">
        <v>36</v>
      </c>
      <c r="K481" s="29">
        <v>8</v>
      </c>
      <c r="L481" s="33">
        <f t="shared" si="38"/>
        <v>1321564</v>
      </c>
      <c r="M481" s="33">
        <f t="shared" si="39"/>
        <v>10572512</v>
      </c>
      <c r="N481" s="50">
        <f>F481-(H481*28)</f>
        <v>7380840</v>
      </c>
      <c r="O481" s="44" t="s">
        <v>700</v>
      </c>
      <c r="P481" s="109" t="s">
        <v>75</v>
      </c>
    </row>
    <row r="482" spans="1:16">
      <c r="A482" s="29">
        <f t="shared" si="40"/>
        <v>478</v>
      </c>
      <c r="B482" s="30" t="s">
        <v>1171</v>
      </c>
      <c r="C482" s="31" t="s">
        <v>1172</v>
      </c>
      <c r="D482" s="32"/>
      <c r="E482" s="32">
        <v>42523</v>
      </c>
      <c r="F482" s="42">
        <f>44964302+1124108+239703+500000+200000+50000000</f>
        <v>97028113</v>
      </c>
      <c r="G482" s="42">
        <f t="shared" si="37"/>
        <v>87920000</v>
      </c>
      <c r="H482" s="35">
        <v>1347663</v>
      </c>
      <c r="I482" s="35">
        <v>1164337</v>
      </c>
      <c r="J482" s="29">
        <v>35</v>
      </c>
      <c r="K482" s="29">
        <v>14</v>
      </c>
      <c r="L482" s="37">
        <f t="shared" si="38"/>
        <v>2512000</v>
      </c>
      <c r="M482" s="37">
        <f t="shared" si="39"/>
        <v>35168000</v>
      </c>
      <c r="N482" s="117">
        <f>F482-(H482*21)-20000000</f>
        <v>48727190</v>
      </c>
      <c r="O482" s="39" t="s">
        <v>1173</v>
      </c>
      <c r="P482" s="108" t="s">
        <v>70</v>
      </c>
    </row>
    <row r="483" spans="1:16">
      <c r="A483" s="29">
        <f t="shared" si="40"/>
        <v>479</v>
      </c>
      <c r="B483" s="30" t="s">
        <v>1171</v>
      </c>
      <c r="C483" s="31" t="s">
        <v>1172</v>
      </c>
      <c r="D483" s="41" t="s">
        <v>1174</v>
      </c>
      <c r="E483" s="32">
        <v>42865</v>
      </c>
      <c r="F483" s="42">
        <f>6500000</f>
        <v>6500000</v>
      </c>
      <c r="G483" s="34">
        <f t="shared" si="37"/>
        <v>7446000</v>
      </c>
      <c r="H483" s="42">
        <v>542500</v>
      </c>
      <c r="I483" s="33">
        <f>F483*1.2%</f>
        <v>78000</v>
      </c>
      <c r="J483" s="29">
        <v>12</v>
      </c>
      <c r="K483" s="29">
        <v>2</v>
      </c>
      <c r="L483" s="36">
        <f t="shared" si="38"/>
        <v>620500</v>
      </c>
      <c r="M483" s="37">
        <f t="shared" si="39"/>
        <v>1241000</v>
      </c>
      <c r="N483" s="38">
        <f>F483-(H483*10)</f>
        <v>1075000</v>
      </c>
      <c r="O483" s="39" t="s">
        <v>1175</v>
      </c>
      <c r="P483" s="108" t="s">
        <v>25</v>
      </c>
    </row>
    <row r="484" spans="1:16">
      <c r="A484" s="29">
        <f t="shared" si="40"/>
        <v>480</v>
      </c>
      <c r="B484" s="30" t="s">
        <v>1176</v>
      </c>
      <c r="C484" s="31" t="s">
        <v>1177</v>
      </c>
      <c r="D484" s="41" t="s">
        <v>1178</v>
      </c>
      <c r="E484" s="32">
        <v>42884</v>
      </c>
      <c r="F484" s="42">
        <f>342800000+8570000+1572000+200000+146858000-250000000</f>
        <v>250000000</v>
      </c>
      <c r="G484" s="34">
        <f t="shared" si="37"/>
        <v>175000000</v>
      </c>
      <c r="H484" s="35">
        <v>2000000</v>
      </c>
      <c r="I484" s="33">
        <f>+F484*1.2%</f>
        <v>3000000</v>
      </c>
      <c r="J484" s="29">
        <v>35</v>
      </c>
      <c r="K484" s="29">
        <v>26</v>
      </c>
      <c r="L484" s="36">
        <f t="shared" si="38"/>
        <v>5000000</v>
      </c>
      <c r="M484" s="37">
        <f t="shared" si="39"/>
        <v>130000000</v>
      </c>
      <c r="N484" s="38">
        <f>F484-(H484*9)-5000000-4600000</f>
        <v>222400000</v>
      </c>
      <c r="O484" s="39" t="s">
        <v>1179</v>
      </c>
      <c r="P484" s="108" t="s">
        <v>376</v>
      </c>
    </row>
    <row r="485" spans="1:16">
      <c r="A485" s="29">
        <f t="shared" si="40"/>
        <v>481</v>
      </c>
      <c r="B485" s="30" t="s">
        <v>1176</v>
      </c>
      <c r="C485" s="31" t="s">
        <v>1177</v>
      </c>
      <c r="D485" s="41" t="s">
        <v>1178</v>
      </c>
      <c r="E485" s="32">
        <v>42884</v>
      </c>
      <c r="F485" s="42">
        <v>250000000</v>
      </c>
      <c r="G485" s="34">
        <f t="shared" si="37"/>
        <v>175000000</v>
      </c>
      <c r="H485" s="35">
        <v>2000000</v>
      </c>
      <c r="I485" s="33">
        <f>+F485*1.2%</f>
        <v>3000000</v>
      </c>
      <c r="J485" s="29">
        <v>35</v>
      </c>
      <c r="K485" s="29">
        <v>26</v>
      </c>
      <c r="L485" s="36">
        <f t="shared" si="38"/>
        <v>5000000</v>
      </c>
      <c r="M485" s="37">
        <f t="shared" si="39"/>
        <v>130000000</v>
      </c>
      <c r="N485" s="38">
        <f>F485-(H485*9)-5000000-4600000</f>
        <v>222400000</v>
      </c>
      <c r="O485" s="39" t="s">
        <v>1179</v>
      </c>
      <c r="P485" s="108" t="s">
        <v>376</v>
      </c>
    </row>
    <row r="486" spans="1:16">
      <c r="A486" s="29">
        <f t="shared" si="40"/>
        <v>482</v>
      </c>
      <c r="B486" s="30" t="s">
        <v>1180</v>
      </c>
      <c r="C486" s="31" t="s">
        <v>1181</v>
      </c>
      <c r="D486" s="47"/>
      <c r="E486" s="47">
        <v>42425</v>
      </c>
      <c r="F486" s="42">
        <f>700000+200000+99100000-F487</f>
        <v>50000000</v>
      </c>
      <c r="G486" s="34">
        <f t="shared" si="37"/>
        <v>42716850</v>
      </c>
      <c r="H486" s="33">
        <v>694450</v>
      </c>
      <c r="I486" s="48">
        <f>1200000-I487</f>
        <v>600000</v>
      </c>
      <c r="J486" s="49" t="s">
        <v>1138</v>
      </c>
      <c r="K486" s="29">
        <v>9</v>
      </c>
      <c r="L486" s="42">
        <f t="shared" si="38"/>
        <v>1294450</v>
      </c>
      <c r="M486" s="42">
        <f t="shared" si="39"/>
        <v>11650050</v>
      </c>
      <c r="N486" s="38">
        <f>F486-(H486*24)-7500000-2500000-7500000-2500000</f>
        <v>13333200</v>
      </c>
      <c r="O486" s="39" t="s">
        <v>1182</v>
      </c>
      <c r="P486" s="108" t="s">
        <v>1183</v>
      </c>
    </row>
    <row r="487" spans="1:16">
      <c r="A487" s="29">
        <f t="shared" si="40"/>
        <v>483</v>
      </c>
      <c r="B487" s="30" t="s">
        <v>1180</v>
      </c>
      <c r="C487" s="31" t="s">
        <v>1181</v>
      </c>
      <c r="D487" s="47"/>
      <c r="E487" s="47">
        <v>42425</v>
      </c>
      <c r="F487" s="42">
        <v>50000000</v>
      </c>
      <c r="G487" s="34">
        <f t="shared" si="37"/>
        <v>42716850</v>
      </c>
      <c r="H487" s="33">
        <v>694450</v>
      </c>
      <c r="I487" s="33">
        <v>600000</v>
      </c>
      <c r="J487" s="49" t="s">
        <v>1138</v>
      </c>
      <c r="K487" s="29">
        <v>9</v>
      </c>
      <c r="L487" s="42">
        <f t="shared" si="38"/>
        <v>1294450</v>
      </c>
      <c r="M487" s="42">
        <f t="shared" si="39"/>
        <v>11650050</v>
      </c>
      <c r="N487" s="38">
        <f>F487-(H487*24)-7500000-2500000-7500000-2500000</f>
        <v>13333200</v>
      </c>
      <c r="O487" s="39" t="s">
        <v>1182</v>
      </c>
      <c r="P487" s="108" t="s">
        <v>1183</v>
      </c>
    </row>
    <row r="488" spans="1:16">
      <c r="A488" s="29">
        <f t="shared" si="40"/>
        <v>484</v>
      </c>
      <c r="B488" s="30" t="s">
        <v>1184</v>
      </c>
      <c r="C488" s="31" t="s">
        <v>1185</v>
      </c>
      <c r="D488" s="31" t="s">
        <v>1186</v>
      </c>
      <c r="E488" s="32">
        <v>42865</v>
      </c>
      <c r="F488" s="33">
        <f>32355000+808875+313548+176450+200000+16146127</f>
        <v>50000000</v>
      </c>
      <c r="G488" s="34">
        <f t="shared" si="37"/>
        <v>46602000</v>
      </c>
      <c r="H488" s="35">
        <v>694500</v>
      </c>
      <c r="I488" s="33">
        <f t="shared" ref="I488:I495" si="42">+F488*1.2%</f>
        <v>600000</v>
      </c>
      <c r="J488" s="29">
        <v>36</v>
      </c>
      <c r="K488" s="29">
        <v>26</v>
      </c>
      <c r="L488" s="36">
        <f t="shared" si="38"/>
        <v>1294500</v>
      </c>
      <c r="M488" s="37">
        <f t="shared" si="39"/>
        <v>33657000</v>
      </c>
      <c r="N488" s="38">
        <f>F488-(H488*10)</f>
        <v>43055000</v>
      </c>
      <c r="O488" s="39" t="s">
        <v>97</v>
      </c>
      <c r="P488" s="108" t="s">
        <v>80</v>
      </c>
    </row>
    <row r="489" spans="1:16">
      <c r="A489" s="29">
        <f t="shared" si="40"/>
        <v>485</v>
      </c>
      <c r="B489" s="30" t="s">
        <v>1187</v>
      </c>
      <c r="C489" s="31" t="s">
        <v>1188</v>
      </c>
      <c r="D489" s="41" t="s">
        <v>1189</v>
      </c>
      <c r="E489" s="32">
        <v>42762</v>
      </c>
      <c r="F489" s="33">
        <f>700000+200000+99100000-50000000</f>
        <v>50000000</v>
      </c>
      <c r="G489" s="34">
        <f t="shared" si="37"/>
        <v>19600000</v>
      </c>
      <c r="H489" s="33">
        <v>625000</v>
      </c>
      <c r="I489" s="33">
        <f t="shared" si="42"/>
        <v>600000</v>
      </c>
      <c r="J489" s="29">
        <v>16</v>
      </c>
      <c r="K489" s="29">
        <v>3</v>
      </c>
      <c r="L489" s="36">
        <f t="shared" si="38"/>
        <v>1225000</v>
      </c>
      <c r="M489" s="36">
        <f t="shared" si="39"/>
        <v>3675000</v>
      </c>
      <c r="N489" s="38">
        <f>F489-(H489*13)-15000000-5000000-5000000</f>
        <v>16875000</v>
      </c>
      <c r="O489" s="39" t="s">
        <v>1190</v>
      </c>
      <c r="P489" s="39" t="s">
        <v>51</v>
      </c>
    </row>
    <row r="490" spans="1:16">
      <c r="A490" s="29">
        <f t="shared" si="40"/>
        <v>486</v>
      </c>
      <c r="B490" s="30" t="s">
        <v>1187</v>
      </c>
      <c r="C490" s="31" t="s">
        <v>1188</v>
      </c>
      <c r="D490" s="41" t="s">
        <v>1189</v>
      </c>
      <c r="E490" s="32">
        <v>42762</v>
      </c>
      <c r="F490" s="33">
        <v>50000000</v>
      </c>
      <c r="G490" s="34">
        <f t="shared" si="37"/>
        <v>19600000</v>
      </c>
      <c r="H490" s="33">
        <v>625000</v>
      </c>
      <c r="I490" s="33">
        <f t="shared" si="42"/>
        <v>600000</v>
      </c>
      <c r="J490" s="29">
        <v>16</v>
      </c>
      <c r="K490" s="29">
        <v>3</v>
      </c>
      <c r="L490" s="36">
        <f t="shared" si="38"/>
        <v>1225000</v>
      </c>
      <c r="M490" s="36">
        <f t="shared" si="39"/>
        <v>3675000</v>
      </c>
      <c r="N490" s="38">
        <f>F490-(H490*13)-15000000-5000000-5000000</f>
        <v>16875000</v>
      </c>
      <c r="O490" s="39" t="s">
        <v>1190</v>
      </c>
      <c r="P490" s="108" t="s">
        <v>51</v>
      </c>
    </row>
    <row r="491" spans="1:16">
      <c r="A491" s="29">
        <f t="shared" si="40"/>
        <v>487</v>
      </c>
      <c r="B491" s="30" t="s">
        <v>1191</v>
      </c>
      <c r="C491" s="31" t="s">
        <v>1192</v>
      </c>
      <c r="D491" s="31" t="s">
        <v>1193</v>
      </c>
      <c r="E491" s="32">
        <v>42926</v>
      </c>
      <c r="F491" s="33">
        <f>17220000+430500+211742+50000+200000+16887758</f>
        <v>35000000</v>
      </c>
      <c r="G491" s="34">
        <f t="shared" si="37"/>
        <v>21692000</v>
      </c>
      <c r="H491" s="35">
        <v>218000</v>
      </c>
      <c r="I491" s="33">
        <f t="shared" si="42"/>
        <v>420000</v>
      </c>
      <c r="J491" s="29">
        <v>34</v>
      </c>
      <c r="K491" s="29">
        <v>26</v>
      </c>
      <c r="L491" s="36">
        <f t="shared" si="38"/>
        <v>638000</v>
      </c>
      <c r="M491" s="37">
        <f t="shared" si="39"/>
        <v>16588000</v>
      </c>
      <c r="N491" s="38">
        <f>F491-(H491*8)</f>
        <v>33256000</v>
      </c>
      <c r="O491" s="39" t="s">
        <v>265</v>
      </c>
      <c r="P491" s="108" t="s">
        <v>42</v>
      </c>
    </row>
    <row r="492" spans="1:16">
      <c r="A492" s="29">
        <f t="shared" si="40"/>
        <v>488</v>
      </c>
      <c r="B492" s="30" t="s">
        <v>1194</v>
      </c>
      <c r="C492" s="31" t="s">
        <v>1195</v>
      </c>
      <c r="D492" s="32"/>
      <c r="E492" s="32">
        <v>42355</v>
      </c>
      <c r="F492" s="33">
        <f>41793500+1044838+332065+200000+31629597</f>
        <v>75000000</v>
      </c>
      <c r="G492" s="48">
        <f t="shared" si="37"/>
        <v>69901200</v>
      </c>
      <c r="H492" s="33">
        <v>1041700</v>
      </c>
      <c r="I492" s="48">
        <f t="shared" si="42"/>
        <v>900000</v>
      </c>
      <c r="J492" s="29">
        <v>36</v>
      </c>
      <c r="K492" s="29">
        <v>10</v>
      </c>
      <c r="L492" s="33">
        <f t="shared" si="38"/>
        <v>1941700</v>
      </c>
      <c r="M492" s="33">
        <f t="shared" si="39"/>
        <v>19417000</v>
      </c>
      <c r="N492" s="50">
        <f>F492-(H492*26)-7500000-2500000-2500000-7500000-2500000-2500000</f>
        <v>22915800</v>
      </c>
      <c r="O492" s="39" t="s">
        <v>1196</v>
      </c>
      <c r="P492" s="109" t="s">
        <v>85</v>
      </c>
    </row>
    <row r="493" spans="1:16">
      <c r="A493" s="29">
        <f t="shared" si="40"/>
        <v>489</v>
      </c>
      <c r="B493" s="30" t="s">
        <v>1197</v>
      </c>
      <c r="C493" s="31" t="s">
        <v>1198</v>
      </c>
      <c r="D493" s="41" t="s">
        <v>1199</v>
      </c>
      <c r="E493" s="32">
        <v>42984</v>
      </c>
      <c r="F493" s="42">
        <f>64669568+1616739+605588+353304+200000+30500000+2050000+4801-50000000</f>
        <v>50000000</v>
      </c>
      <c r="G493" s="34">
        <f t="shared" si="37"/>
        <v>46611000</v>
      </c>
      <c r="H493" s="35">
        <v>694750</v>
      </c>
      <c r="I493" s="35">
        <f t="shared" si="42"/>
        <v>600000</v>
      </c>
      <c r="J493" s="29">
        <v>36</v>
      </c>
      <c r="K493" s="29">
        <v>30</v>
      </c>
      <c r="L493" s="36">
        <f t="shared" si="38"/>
        <v>1294750</v>
      </c>
      <c r="M493" s="37">
        <f t="shared" si="39"/>
        <v>38842500</v>
      </c>
      <c r="N493" s="38">
        <f>F493-(H493*6)-1000000</f>
        <v>44831500</v>
      </c>
      <c r="O493" s="39" t="s">
        <v>1200</v>
      </c>
      <c r="P493" s="108" t="s">
        <v>37</v>
      </c>
    </row>
    <row r="494" spans="1:16">
      <c r="A494" s="29">
        <f t="shared" si="40"/>
        <v>490</v>
      </c>
      <c r="B494" s="30" t="s">
        <v>1197</v>
      </c>
      <c r="C494" s="31" t="s">
        <v>1198</v>
      </c>
      <c r="D494" s="41" t="s">
        <v>1199</v>
      </c>
      <c r="E494" s="32">
        <v>42984</v>
      </c>
      <c r="F494" s="42">
        <v>50000000</v>
      </c>
      <c r="G494" s="34">
        <f t="shared" si="37"/>
        <v>46611000</v>
      </c>
      <c r="H494" s="42">
        <v>694750</v>
      </c>
      <c r="I494" s="35">
        <f t="shared" si="42"/>
        <v>600000</v>
      </c>
      <c r="J494" s="29">
        <v>36</v>
      </c>
      <c r="K494" s="29">
        <v>30</v>
      </c>
      <c r="L494" s="36">
        <f t="shared" si="38"/>
        <v>1294750</v>
      </c>
      <c r="M494" s="37">
        <f t="shared" si="39"/>
        <v>38842500</v>
      </c>
      <c r="N494" s="38">
        <f>F494-(H494*6)-1000000</f>
        <v>44831500</v>
      </c>
      <c r="O494" s="39" t="s">
        <v>1200</v>
      </c>
      <c r="P494" s="108" t="s">
        <v>37</v>
      </c>
    </row>
    <row r="495" spans="1:16">
      <c r="A495" s="29">
        <f t="shared" si="40"/>
        <v>491</v>
      </c>
      <c r="B495" s="30" t="s">
        <v>1201</v>
      </c>
      <c r="C495" s="31" t="s">
        <v>1202</v>
      </c>
      <c r="D495" s="41" t="s">
        <v>1203</v>
      </c>
      <c r="E495" s="32">
        <v>42972</v>
      </c>
      <c r="F495" s="42">
        <f>450000+200000+74350000</f>
        <v>75000000</v>
      </c>
      <c r="G495" s="34">
        <f t="shared" si="37"/>
        <v>47430000</v>
      </c>
      <c r="H495" s="35">
        <v>417500</v>
      </c>
      <c r="I495" s="35">
        <f t="shared" si="42"/>
        <v>900000</v>
      </c>
      <c r="J495" s="29">
        <v>36</v>
      </c>
      <c r="K495" s="29">
        <v>30</v>
      </c>
      <c r="L495" s="36">
        <f t="shared" si="38"/>
        <v>1317500</v>
      </c>
      <c r="M495" s="37">
        <f t="shared" si="39"/>
        <v>39525000</v>
      </c>
      <c r="N495" s="38">
        <f>F495-(H495*6)-5000000</f>
        <v>67495000</v>
      </c>
      <c r="O495" s="39" t="s">
        <v>1204</v>
      </c>
      <c r="P495" s="108" t="s">
        <v>30</v>
      </c>
    </row>
    <row r="496" spans="1:16">
      <c r="A496" s="29">
        <f t="shared" si="40"/>
        <v>492</v>
      </c>
      <c r="B496" s="54" t="s">
        <v>1205</v>
      </c>
      <c r="C496" s="55" t="s">
        <v>1206</v>
      </c>
      <c r="D496" s="63"/>
      <c r="E496" s="63">
        <v>41968</v>
      </c>
      <c r="F496" s="58">
        <f>55317932+1382948+500000+200000+40000000+10000000</f>
        <v>107400880</v>
      </c>
      <c r="G496" s="64">
        <f>J496*L496</f>
        <v>88000000</v>
      </c>
      <c r="H496" s="59">
        <v>711189</v>
      </c>
      <c r="I496" s="58">
        <v>1288811</v>
      </c>
      <c r="J496" s="60">
        <v>44</v>
      </c>
      <c r="K496" s="60">
        <f>34+1</f>
        <v>35</v>
      </c>
      <c r="L496" s="48">
        <f t="shared" si="38"/>
        <v>2000000</v>
      </c>
      <c r="M496" s="48">
        <f t="shared" si="39"/>
        <v>70000000</v>
      </c>
      <c r="N496" s="50">
        <f>F496-(H496*9)-(2500000)-(6900000)-2500000-9000000-10000000-6187500-2500000</f>
        <v>61412679</v>
      </c>
      <c r="O496" s="62" t="s">
        <v>1207</v>
      </c>
      <c r="P496" s="115" t="s">
        <v>42</v>
      </c>
    </row>
    <row r="497" spans="1:16">
      <c r="A497" s="29">
        <f t="shared" si="40"/>
        <v>493</v>
      </c>
      <c r="B497" s="30" t="s">
        <v>1208</v>
      </c>
      <c r="C497" s="31" t="s">
        <v>1209</v>
      </c>
      <c r="D497" s="41" t="s">
        <v>1210</v>
      </c>
      <c r="E497" s="32">
        <v>42706</v>
      </c>
      <c r="F497" s="33">
        <f>100000+200000+39700000</f>
        <v>40000000</v>
      </c>
      <c r="G497" s="34">
        <f t="shared" ref="G497:G528" si="43">+J497*L497</f>
        <v>27360000</v>
      </c>
      <c r="H497" s="33">
        <v>280000</v>
      </c>
      <c r="I497" s="33">
        <f>+F497*1.2%</f>
        <v>480000</v>
      </c>
      <c r="J497" s="29">
        <v>36</v>
      </c>
      <c r="K497" s="29">
        <v>21</v>
      </c>
      <c r="L497" s="36">
        <f t="shared" si="38"/>
        <v>760000</v>
      </c>
      <c r="M497" s="36">
        <f t="shared" si="39"/>
        <v>15960000</v>
      </c>
      <c r="N497" s="38">
        <f>F497-(H497*15)-10000000</f>
        <v>25800000</v>
      </c>
      <c r="O497" s="39" t="s">
        <v>1211</v>
      </c>
      <c r="P497" s="108" t="s">
        <v>51</v>
      </c>
    </row>
    <row r="498" spans="1:16">
      <c r="A498" s="29">
        <f t="shared" si="40"/>
        <v>494</v>
      </c>
      <c r="B498" s="30" t="s">
        <v>1212</v>
      </c>
      <c r="C498" s="31" t="s">
        <v>1213</v>
      </c>
      <c r="D498" s="32"/>
      <c r="E498" s="32">
        <v>42453</v>
      </c>
      <c r="F498" s="42">
        <f>80834200+2020855+691658+200000+66253287</f>
        <v>150000000</v>
      </c>
      <c r="G498" s="34">
        <f t="shared" si="43"/>
        <v>139806000</v>
      </c>
      <c r="H498" s="33">
        <v>2083500</v>
      </c>
      <c r="I498" s="48">
        <f>+F498*1.2%</f>
        <v>1800000</v>
      </c>
      <c r="J498" s="49" t="s">
        <v>83</v>
      </c>
      <c r="K498" s="29">
        <v>13</v>
      </c>
      <c r="L498" s="42">
        <f t="shared" si="38"/>
        <v>3883500</v>
      </c>
      <c r="M498" s="42">
        <f t="shared" si="39"/>
        <v>50485500</v>
      </c>
      <c r="N498" s="70">
        <f>F498-(H498*23)-20000000-2500000-2500000-20000000-2500000-30830000-2500000</f>
        <v>21249500</v>
      </c>
      <c r="O498" s="39" t="s">
        <v>207</v>
      </c>
      <c r="P498" s="115" t="s">
        <v>85</v>
      </c>
    </row>
    <row r="499" spans="1:16">
      <c r="A499" s="29">
        <f t="shared" si="40"/>
        <v>495</v>
      </c>
      <c r="B499" s="30" t="s">
        <v>1214</v>
      </c>
      <c r="C499" s="31" t="s">
        <v>1215</v>
      </c>
      <c r="D499" s="31" t="s">
        <v>1216</v>
      </c>
      <c r="E499" s="32">
        <v>43125</v>
      </c>
      <c r="F499" s="43">
        <f>81767858+2044196+100000+200000+10000000</f>
        <v>94112054</v>
      </c>
      <c r="G499" s="34">
        <f t="shared" si="43"/>
        <v>35923721</v>
      </c>
      <c r="H499" s="40">
        <v>674077</v>
      </c>
      <c r="I499" s="40">
        <v>564672</v>
      </c>
      <c r="J499" s="29">
        <v>29</v>
      </c>
      <c r="K499" s="29">
        <v>28</v>
      </c>
      <c r="L499" s="36">
        <f t="shared" si="38"/>
        <v>1238749</v>
      </c>
      <c r="M499" s="37">
        <f t="shared" si="39"/>
        <v>34684972</v>
      </c>
      <c r="N499" s="38">
        <f>F499-(H499*1)</f>
        <v>93437977</v>
      </c>
      <c r="O499" s="39" t="s">
        <v>1030</v>
      </c>
      <c r="P499" s="108" t="s">
        <v>42</v>
      </c>
    </row>
    <row r="500" spans="1:16">
      <c r="A500" s="29">
        <f t="shared" si="40"/>
        <v>496</v>
      </c>
      <c r="B500" s="30" t="s">
        <v>1214</v>
      </c>
      <c r="C500" s="31" t="s">
        <v>1215</v>
      </c>
      <c r="D500" s="31" t="s">
        <v>1216</v>
      </c>
      <c r="E500" s="32">
        <v>43125</v>
      </c>
      <c r="F500" s="43">
        <v>47056027</v>
      </c>
      <c r="G500" s="34">
        <f t="shared" si="43"/>
        <v>35923779</v>
      </c>
      <c r="H500" s="40">
        <f>674078</f>
        <v>674078</v>
      </c>
      <c r="I500" s="40">
        <v>564673</v>
      </c>
      <c r="J500" s="29">
        <v>29</v>
      </c>
      <c r="K500" s="29">
        <v>28</v>
      </c>
      <c r="L500" s="36">
        <f t="shared" si="38"/>
        <v>1238751</v>
      </c>
      <c r="M500" s="37">
        <f t="shared" si="39"/>
        <v>34685028</v>
      </c>
      <c r="N500" s="38">
        <f>F500-(H500*1)</f>
        <v>46381949</v>
      </c>
      <c r="O500" s="39" t="s">
        <v>1030</v>
      </c>
      <c r="P500" s="108" t="s">
        <v>42</v>
      </c>
    </row>
    <row r="501" spans="1:16">
      <c r="A501" s="29">
        <f t="shared" si="40"/>
        <v>497</v>
      </c>
      <c r="B501" s="30" t="s">
        <v>1217</v>
      </c>
      <c r="C501" s="31" t="s">
        <v>1218</v>
      </c>
      <c r="D501" s="32"/>
      <c r="E501" s="32">
        <v>42544</v>
      </c>
      <c r="F501" s="42">
        <f>700000+200000+99100000</f>
        <v>100000000</v>
      </c>
      <c r="G501" s="34">
        <f t="shared" si="43"/>
        <v>88026000</v>
      </c>
      <c r="H501" s="35">
        <v>1389000</v>
      </c>
      <c r="I501" s="35">
        <f>+F501*1.2%</f>
        <v>1200000</v>
      </c>
      <c r="J501" s="29">
        <v>34</v>
      </c>
      <c r="K501" s="29">
        <v>14</v>
      </c>
      <c r="L501" s="48">
        <f t="shared" si="38"/>
        <v>2589000</v>
      </c>
      <c r="M501" s="48">
        <f t="shared" si="39"/>
        <v>36246000</v>
      </c>
      <c r="N501" s="38">
        <f>F501-(H501*20)-2500000-20000000-2500000-2500000</f>
        <v>44720000</v>
      </c>
      <c r="O501" s="39" t="s">
        <v>268</v>
      </c>
      <c r="P501" s="108" t="s">
        <v>161</v>
      </c>
    </row>
    <row r="502" spans="1:16">
      <c r="A502" s="29">
        <f t="shared" si="40"/>
        <v>498</v>
      </c>
      <c r="B502" s="30" t="s">
        <v>1219</v>
      </c>
      <c r="C502" s="31" t="s">
        <v>1220</v>
      </c>
      <c r="D502" s="41" t="s">
        <v>1221</v>
      </c>
      <c r="E502" s="32">
        <v>42810</v>
      </c>
      <c r="F502" s="33">
        <f>7000000</f>
        <v>7000000</v>
      </c>
      <c r="G502" s="45">
        <f t="shared" si="43"/>
        <v>7000000</v>
      </c>
      <c r="H502" s="33">
        <f>+F502/J502</f>
        <v>250000</v>
      </c>
      <c r="I502" s="33">
        <v>0</v>
      </c>
      <c r="J502" s="29">
        <v>28</v>
      </c>
      <c r="K502" s="29">
        <v>16</v>
      </c>
      <c r="L502" s="46">
        <f t="shared" si="38"/>
        <v>250000</v>
      </c>
      <c r="M502" s="33">
        <f t="shared" si="39"/>
        <v>4000000</v>
      </c>
      <c r="N502" s="34">
        <f>+H502*K502</f>
        <v>4000000</v>
      </c>
      <c r="O502" s="39" t="s">
        <v>1222</v>
      </c>
      <c r="P502" s="108" t="s">
        <v>342</v>
      </c>
    </row>
    <row r="503" spans="1:16">
      <c r="A503" s="29">
        <f t="shared" si="40"/>
        <v>499</v>
      </c>
      <c r="B503" s="30" t="s">
        <v>1223</v>
      </c>
      <c r="C503" s="31" t="s">
        <v>1220</v>
      </c>
      <c r="D503" s="41" t="s">
        <v>1224</v>
      </c>
      <c r="E503" s="32">
        <v>42975</v>
      </c>
      <c r="F503" s="42">
        <f>175000000</f>
        <v>175000000</v>
      </c>
      <c r="G503" s="34">
        <f t="shared" si="43"/>
        <v>110000000</v>
      </c>
      <c r="H503" s="42">
        <v>400000</v>
      </c>
      <c r="I503" s="35">
        <f>+F503*1.2%</f>
        <v>2100000</v>
      </c>
      <c r="J503" s="29">
        <v>44</v>
      </c>
      <c r="K503" s="29">
        <v>38</v>
      </c>
      <c r="L503" s="36">
        <f t="shared" si="38"/>
        <v>2500000</v>
      </c>
      <c r="M503" s="37">
        <f t="shared" si="39"/>
        <v>95000000</v>
      </c>
      <c r="N503" s="38">
        <f>F503-(H503*6)-7500000</f>
        <v>165100000</v>
      </c>
      <c r="O503" s="39" t="s">
        <v>1225</v>
      </c>
      <c r="P503" s="108" t="s">
        <v>30</v>
      </c>
    </row>
    <row r="504" spans="1:16">
      <c r="A504" s="29">
        <f t="shared" si="40"/>
        <v>500</v>
      </c>
      <c r="B504" s="54" t="s">
        <v>1226</v>
      </c>
      <c r="C504" s="55" t="s">
        <v>1227</v>
      </c>
      <c r="D504" s="63"/>
      <c r="E504" s="63">
        <v>42515</v>
      </c>
      <c r="F504" s="68">
        <f>79098738+1968750+2026687+350000+200000+35000000-59322088</f>
        <v>59322087</v>
      </c>
      <c r="G504" s="58">
        <f t="shared" si="43"/>
        <v>53750000</v>
      </c>
      <c r="H504" s="59">
        <v>538135</v>
      </c>
      <c r="I504" s="58">
        <v>711865</v>
      </c>
      <c r="J504" s="60">
        <v>43</v>
      </c>
      <c r="K504" s="60">
        <f>30+1</f>
        <v>31</v>
      </c>
      <c r="L504" s="33">
        <f t="shared" si="38"/>
        <v>1250000</v>
      </c>
      <c r="M504" s="33">
        <f t="shared" si="39"/>
        <v>38750000</v>
      </c>
      <c r="N504" s="82">
        <f>F504-(H504*12)-2000000-1500000-7500000-2000000-1500000</f>
        <v>38364467</v>
      </c>
      <c r="O504" s="39" t="s">
        <v>1228</v>
      </c>
      <c r="P504" s="115" t="s">
        <v>85</v>
      </c>
    </row>
    <row r="505" spans="1:16">
      <c r="A505" s="29">
        <f t="shared" si="40"/>
        <v>501</v>
      </c>
      <c r="B505" s="54" t="s">
        <v>1226</v>
      </c>
      <c r="C505" s="55" t="s">
        <v>1227</v>
      </c>
      <c r="D505" s="63"/>
      <c r="E505" s="63">
        <v>42515</v>
      </c>
      <c r="F505" s="58">
        <v>59322088</v>
      </c>
      <c r="G505" s="58">
        <f t="shared" si="43"/>
        <v>53750000</v>
      </c>
      <c r="H505" s="59">
        <v>538135</v>
      </c>
      <c r="I505" s="59">
        <v>711865</v>
      </c>
      <c r="J505" s="60">
        <v>43</v>
      </c>
      <c r="K505" s="60">
        <f>31+1</f>
        <v>32</v>
      </c>
      <c r="L505" s="33">
        <f t="shared" si="38"/>
        <v>1250000</v>
      </c>
      <c r="M505" s="33">
        <f t="shared" si="39"/>
        <v>40000000</v>
      </c>
      <c r="N505" s="82">
        <f>F505-(H505*10)-2000000-1500000-7500000-503570-34565-2000000-1500000</f>
        <v>38902603</v>
      </c>
      <c r="O505" s="39" t="s">
        <v>1228</v>
      </c>
      <c r="P505" s="115" t="s">
        <v>85</v>
      </c>
    </row>
    <row r="506" spans="1:16">
      <c r="A506" s="29">
        <f t="shared" si="40"/>
        <v>502</v>
      </c>
      <c r="B506" s="54" t="s">
        <v>1226</v>
      </c>
      <c r="C506" s="55" t="s">
        <v>1227</v>
      </c>
      <c r="D506" s="55" t="s">
        <v>1229</v>
      </c>
      <c r="E506" s="63">
        <v>42829</v>
      </c>
      <c r="F506" s="59">
        <f>2500000</f>
        <v>2500000</v>
      </c>
      <c r="G506" s="85">
        <f t="shared" si="43"/>
        <v>3252000</v>
      </c>
      <c r="H506" s="59">
        <v>105500</v>
      </c>
      <c r="I506" s="59">
        <f>+F506*1.2%</f>
        <v>30000</v>
      </c>
      <c r="J506" s="60">
        <v>24</v>
      </c>
      <c r="K506" s="60">
        <f>17+1</f>
        <v>18</v>
      </c>
      <c r="L506" s="36">
        <f t="shared" si="38"/>
        <v>135500</v>
      </c>
      <c r="M506" s="36">
        <f t="shared" si="39"/>
        <v>2439000</v>
      </c>
      <c r="N506" s="38">
        <f>F506-(H506*6)</f>
        <v>1867000</v>
      </c>
      <c r="O506" s="39" t="s">
        <v>1228</v>
      </c>
      <c r="P506" s="108" t="s">
        <v>1230</v>
      </c>
    </row>
    <row r="507" spans="1:16">
      <c r="A507" s="29">
        <f t="shared" si="40"/>
        <v>503</v>
      </c>
      <c r="B507" s="30" t="s">
        <v>1231</v>
      </c>
      <c r="C507" s="31" t="s">
        <v>1232</v>
      </c>
      <c r="D507" s="41" t="s">
        <v>1233</v>
      </c>
      <c r="E507" s="32">
        <v>42871</v>
      </c>
      <c r="F507" s="42">
        <f>44212835+1105321+963675+1200000+200000+120000000-83840916</f>
        <v>83840915</v>
      </c>
      <c r="G507" s="34">
        <f t="shared" si="43"/>
        <v>77400000</v>
      </c>
      <c r="H507" s="35">
        <v>1143909</v>
      </c>
      <c r="I507" s="33">
        <v>1006091</v>
      </c>
      <c r="J507" s="29">
        <v>36</v>
      </c>
      <c r="K507" s="29">
        <v>26</v>
      </c>
      <c r="L507" s="36">
        <f t="shared" si="38"/>
        <v>2150000</v>
      </c>
      <c r="M507" s="37">
        <f t="shared" si="39"/>
        <v>55900000</v>
      </c>
      <c r="N507" s="38">
        <f>F507-(H507*10)-500000</f>
        <v>71901825</v>
      </c>
      <c r="O507" s="39" t="s">
        <v>1093</v>
      </c>
      <c r="P507" s="108" t="s">
        <v>80</v>
      </c>
    </row>
    <row r="508" spans="1:16">
      <c r="A508" s="29">
        <f t="shared" si="40"/>
        <v>504</v>
      </c>
      <c r="B508" s="30" t="s">
        <v>1231</v>
      </c>
      <c r="C508" s="31" t="s">
        <v>1232</v>
      </c>
      <c r="D508" s="41" t="s">
        <v>1233</v>
      </c>
      <c r="E508" s="32">
        <v>42871</v>
      </c>
      <c r="F508" s="42">
        <v>83840916</v>
      </c>
      <c r="G508" s="34">
        <f t="shared" si="43"/>
        <v>77400000</v>
      </c>
      <c r="H508" s="42">
        <v>1143909</v>
      </c>
      <c r="I508" s="42">
        <v>1006091</v>
      </c>
      <c r="J508" s="29">
        <v>36</v>
      </c>
      <c r="K508" s="29">
        <v>26</v>
      </c>
      <c r="L508" s="36">
        <f t="shared" si="38"/>
        <v>2150000</v>
      </c>
      <c r="M508" s="37">
        <f t="shared" si="39"/>
        <v>55900000</v>
      </c>
      <c r="N508" s="38">
        <f>F508-(H508*10)-500000</f>
        <v>71901826</v>
      </c>
      <c r="O508" s="39" t="s">
        <v>1093</v>
      </c>
      <c r="P508" s="108" t="s">
        <v>80</v>
      </c>
    </row>
    <row r="509" spans="1:16">
      <c r="A509" s="29">
        <f t="shared" si="40"/>
        <v>505</v>
      </c>
      <c r="B509" s="30" t="s">
        <v>1231</v>
      </c>
      <c r="C509" s="31" t="s">
        <v>1232</v>
      </c>
      <c r="D509" s="31" t="s">
        <v>1234</v>
      </c>
      <c r="E509" s="32">
        <v>42886</v>
      </c>
      <c r="F509" s="42">
        <f>700000+700000+24000</f>
        <v>1424000</v>
      </c>
      <c r="G509" s="34">
        <f t="shared" si="43"/>
        <v>1860000</v>
      </c>
      <c r="H509" s="40">
        <v>60412</v>
      </c>
      <c r="I509" s="33">
        <f>+F509*1.2%</f>
        <v>17088</v>
      </c>
      <c r="J509" s="29">
        <v>24</v>
      </c>
      <c r="K509" s="29">
        <v>15</v>
      </c>
      <c r="L509" s="36">
        <f t="shared" si="38"/>
        <v>77500</v>
      </c>
      <c r="M509" s="37">
        <f t="shared" si="39"/>
        <v>1162500</v>
      </c>
      <c r="N509" s="38">
        <f>F509-(H509*9)</f>
        <v>880292</v>
      </c>
      <c r="O509" s="44" t="s">
        <v>1235</v>
      </c>
      <c r="P509" s="109" t="s">
        <v>220</v>
      </c>
    </row>
    <row r="510" spans="1:16">
      <c r="A510" s="29">
        <f t="shared" si="40"/>
        <v>506</v>
      </c>
      <c r="B510" s="30" t="s">
        <v>1236</v>
      </c>
      <c r="C510" s="31" t="s">
        <v>1237</v>
      </c>
      <c r="D510" s="31" t="s">
        <v>1238</v>
      </c>
      <c r="E510" s="32">
        <v>42961</v>
      </c>
      <c r="F510" s="43">
        <f>41764400+1044110+540522+267644+200000+15000000</f>
        <v>58816676</v>
      </c>
      <c r="G510" s="34">
        <f t="shared" si="43"/>
        <v>49927500</v>
      </c>
      <c r="H510" s="35">
        <v>720700</v>
      </c>
      <c r="I510" s="35">
        <v>705800</v>
      </c>
      <c r="J510" s="118">
        <v>35</v>
      </c>
      <c r="K510" s="29">
        <v>28</v>
      </c>
      <c r="L510" s="36">
        <f t="shared" si="38"/>
        <v>1426500</v>
      </c>
      <c r="M510" s="37">
        <f t="shared" si="39"/>
        <v>39942000</v>
      </c>
      <c r="N510" s="38">
        <f>F510-(H510*7)-2000000</f>
        <v>51771776</v>
      </c>
      <c r="O510" s="44" t="s">
        <v>1239</v>
      </c>
      <c r="P510" s="108" t="s">
        <v>30</v>
      </c>
    </row>
    <row r="511" spans="1:16">
      <c r="A511" s="29">
        <f t="shared" si="40"/>
        <v>507</v>
      </c>
      <c r="B511" s="30" t="s">
        <v>1240</v>
      </c>
      <c r="C511" s="31" t="s">
        <v>1241</v>
      </c>
      <c r="D511" s="41" t="s">
        <v>1242</v>
      </c>
      <c r="E511" s="32">
        <v>42874</v>
      </c>
      <c r="F511" s="42">
        <f>88856000+2221400+1562098+361440+200000+31799062-62500000</f>
        <v>62500000</v>
      </c>
      <c r="G511" s="34">
        <f t="shared" si="43"/>
        <v>58275000</v>
      </c>
      <c r="H511" s="35">
        <v>868750</v>
      </c>
      <c r="I511" s="33">
        <f>F511*1.2%</f>
        <v>750000</v>
      </c>
      <c r="J511" s="29">
        <v>36</v>
      </c>
      <c r="K511" s="29">
        <v>26</v>
      </c>
      <c r="L511" s="36">
        <f t="shared" si="38"/>
        <v>1618750</v>
      </c>
      <c r="M511" s="37">
        <f t="shared" si="39"/>
        <v>42087500</v>
      </c>
      <c r="N511" s="38">
        <f>F511-(H511*10)-2500000-2500000</f>
        <v>48812500</v>
      </c>
      <c r="O511" s="39" t="s">
        <v>1243</v>
      </c>
      <c r="P511" s="108" t="s">
        <v>80</v>
      </c>
    </row>
    <row r="512" spans="1:16">
      <c r="A512" s="29">
        <f t="shared" si="40"/>
        <v>508</v>
      </c>
      <c r="B512" s="30" t="s">
        <v>1240</v>
      </c>
      <c r="C512" s="31" t="s">
        <v>1241</v>
      </c>
      <c r="D512" s="41" t="s">
        <v>1242</v>
      </c>
      <c r="E512" s="32">
        <v>42874</v>
      </c>
      <c r="F512" s="42">
        <v>62500000</v>
      </c>
      <c r="G512" s="34">
        <f t="shared" si="43"/>
        <v>58275000</v>
      </c>
      <c r="H512" s="42">
        <v>868750</v>
      </c>
      <c r="I512" s="33">
        <f>F512*1.2%</f>
        <v>750000</v>
      </c>
      <c r="J512" s="29">
        <v>36</v>
      </c>
      <c r="K512" s="29">
        <v>26</v>
      </c>
      <c r="L512" s="36">
        <f t="shared" si="38"/>
        <v>1618750</v>
      </c>
      <c r="M512" s="37">
        <f t="shared" si="39"/>
        <v>42087500</v>
      </c>
      <c r="N512" s="38">
        <f>F512-(H512*10)-2500000-2500000</f>
        <v>48812500</v>
      </c>
      <c r="O512" s="39" t="s">
        <v>1243</v>
      </c>
      <c r="P512" s="108" t="s">
        <v>80</v>
      </c>
    </row>
    <row r="513" spans="1:16">
      <c r="A513" s="29">
        <f t="shared" si="40"/>
        <v>509</v>
      </c>
      <c r="B513" s="30" t="s">
        <v>1240</v>
      </c>
      <c r="C513" s="31" t="s">
        <v>1241</v>
      </c>
      <c r="D513" s="31" t="s">
        <v>1244</v>
      </c>
      <c r="E513" s="32">
        <v>42961</v>
      </c>
      <c r="F513" s="43">
        <f>300000+200000+29500000</f>
        <v>30000000</v>
      </c>
      <c r="G513" s="34">
        <f t="shared" si="43"/>
        <v>43002000</v>
      </c>
      <c r="H513" s="35">
        <v>834500</v>
      </c>
      <c r="I513" s="35">
        <f>+F513*1.2%</f>
        <v>360000</v>
      </c>
      <c r="J513" s="118">
        <v>36</v>
      </c>
      <c r="K513" s="29">
        <v>29</v>
      </c>
      <c r="L513" s="36">
        <f t="shared" si="38"/>
        <v>1194500</v>
      </c>
      <c r="M513" s="37">
        <f t="shared" si="39"/>
        <v>34640500</v>
      </c>
      <c r="N513" s="38">
        <f>F513-(H513*7)</f>
        <v>24158500</v>
      </c>
      <c r="O513" s="44" t="s">
        <v>939</v>
      </c>
      <c r="P513" s="108" t="s">
        <v>93</v>
      </c>
    </row>
    <row r="514" spans="1:16">
      <c r="A514" s="29">
        <f t="shared" si="40"/>
        <v>510</v>
      </c>
      <c r="B514" s="30" t="s">
        <v>1245</v>
      </c>
      <c r="C514" s="31" t="s">
        <v>1246</v>
      </c>
      <c r="D514" s="32"/>
      <c r="E514" s="32">
        <v>42257</v>
      </c>
      <c r="F514" s="33">
        <f>4500000+15055440+488886+504787+700000+200000+78550887</f>
        <v>100000000</v>
      </c>
      <c r="G514" s="72">
        <f t="shared" si="43"/>
        <v>74203200</v>
      </c>
      <c r="H514" s="33">
        <v>861200</v>
      </c>
      <c r="I514" s="48">
        <f>+F514*1.2%</f>
        <v>1200000</v>
      </c>
      <c r="J514" s="29">
        <v>36</v>
      </c>
      <c r="K514" s="29">
        <v>6</v>
      </c>
      <c r="L514" s="33">
        <f t="shared" si="38"/>
        <v>2061200</v>
      </c>
      <c r="M514" s="33">
        <f t="shared" si="39"/>
        <v>12367200</v>
      </c>
      <c r="N514" s="50">
        <f>F514-(H514*30)-5000000-13000000-5000000-5000000-13000000-5000000-5000000</f>
        <v>23164000</v>
      </c>
      <c r="O514" s="39" t="s">
        <v>1247</v>
      </c>
      <c r="P514" s="108" t="s">
        <v>42</v>
      </c>
    </row>
    <row r="515" spans="1:16">
      <c r="A515" s="29">
        <f t="shared" si="40"/>
        <v>511</v>
      </c>
      <c r="B515" s="30" t="s">
        <v>1248</v>
      </c>
      <c r="C515" s="31" t="s">
        <v>1249</v>
      </c>
      <c r="D515" s="31" t="s">
        <v>1250</v>
      </c>
      <c r="E515" s="32">
        <v>43098</v>
      </c>
      <c r="F515" s="43">
        <f>168578226+2500000+4214456+300000+200000+27500000</f>
        <v>203292682</v>
      </c>
      <c r="G515" s="34">
        <f t="shared" si="43"/>
        <v>140000000</v>
      </c>
      <c r="H515" s="40">
        <v>2560488</v>
      </c>
      <c r="I515" s="40">
        <v>2439512</v>
      </c>
      <c r="J515" s="29">
        <v>28</v>
      </c>
      <c r="K515" s="29">
        <v>26</v>
      </c>
      <c r="L515" s="36">
        <f t="shared" si="38"/>
        <v>5000000</v>
      </c>
      <c r="M515" s="37">
        <f t="shared" si="39"/>
        <v>130000000</v>
      </c>
      <c r="N515" s="38">
        <f>F515-(H515*2)</f>
        <v>198171706</v>
      </c>
      <c r="O515" s="39" t="s">
        <v>301</v>
      </c>
      <c r="P515" s="108" t="s">
        <v>30</v>
      </c>
    </row>
    <row r="516" spans="1:16">
      <c r="A516" s="29">
        <f t="shared" si="40"/>
        <v>512</v>
      </c>
      <c r="B516" s="30" t="s">
        <v>1251</v>
      </c>
      <c r="C516" s="31" t="s">
        <v>1252</v>
      </c>
      <c r="D516" s="31" t="s">
        <v>1253</v>
      </c>
      <c r="E516" s="32">
        <v>42976</v>
      </c>
      <c r="F516" s="43">
        <f>27496500+687413+650000+200000+70966087</f>
        <v>100000000</v>
      </c>
      <c r="G516" s="34">
        <f t="shared" si="43"/>
        <v>72000000</v>
      </c>
      <c r="H516" s="35">
        <v>800000</v>
      </c>
      <c r="I516" s="35">
        <f>+F516*1.2%</f>
        <v>1200000</v>
      </c>
      <c r="J516" s="29">
        <v>36</v>
      </c>
      <c r="K516" s="29">
        <v>30</v>
      </c>
      <c r="L516" s="36">
        <f t="shared" si="38"/>
        <v>2000000</v>
      </c>
      <c r="M516" s="37">
        <f t="shared" si="39"/>
        <v>60000000</v>
      </c>
      <c r="N516" s="38">
        <f>F516-(H516*6)-4000000</f>
        <v>91200000</v>
      </c>
      <c r="O516" s="44" t="s">
        <v>101</v>
      </c>
      <c r="P516" s="108" t="s">
        <v>30</v>
      </c>
    </row>
    <row r="517" spans="1:16">
      <c r="A517" s="29">
        <f t="shared" si="40"/>
        <v>513</v>
      </c>
      <c r="B517" s="30" t="s">
        <v>1254</v>
      </c>
      <c r="C517" s="31" t="s">
        <v>1255</v>
      </c>
      <c r="D517" s="31" t="s">
        <v>1256</v>
      </c>
      <c r="E517" s="32">
        <v>42907</v>
      </c>
      <c r="F517" s="33">
        <f>37872173+946804+1221278+200000+119759745-80000000</f>
        <v>80000000</v>
      </c>
      <c r="G517" s="34">
        <f t="shared" si="43"/>
        <v>69579000</v>
      </c>
      <c r="H517" s="42">
        <v>972750</v>
      </c>
      <c r="I517" s="35">
        <f>F517*1.2%</f>
        <v>960000</v>
      </c>
      <c r="J517" s="29">
        <v>36</v>
      </c>
      <c r="K517" s="29">
        <v>28</v>
      </c>
      <c r="L517" s="36">
        <f t="shared" ref="L517:L557" si="44">+H517+I517</f>
        <v>1932750</v>
      </c>
      <c r="M517" s="37">
        <f t="shared" ref="M517:M557" si="45">+K517*L517</f>
        <v>54117000</v>
      </c>
      <c r="N517" s="38">
        <f>F517-(H517*8)-5000000</f>
        <v>67218000</v>
      </c>
      <c r="O517" s="39" t="s">
        <v>1257</v>
      </c>
      <c r="P517" s="108" t="s">
        <v>80</v>
      </c>
    </row>
    <row r="518" spans="1:16">
      <c r="A518" s="29">
        <f t="shared" ref="A518:A574" si="46">+A517+1</f>
        <v>514</v>
      </c>
      <c r="B518" s="30" t="s">
        <v>1254</v>
      </c>
      <c r="C518" s="31" t="s">
        <v>1255</v>
      </c>
      <c r="D518" s="31" t="s">
        <v>1256</v>
      </c>
      <c r="E518" s="32">
        <v>42907</v>
      </c>
      <c r="F518" s="42">
        <v>80000000</v>
      </c>
      <c r="G518" s="34">
        <f t="shared" si="43"/>
        <v>69579000</v>
      </c>
      <c r="H518" s="42">
        <v>972750</v>
      </c>
      <c r="I518" s="35">
        <f>F518*1.2%</f>
        <v>960000</v>
      </c>
      <c r="J518" s="29">
        <v>36</v>
      </c>
      <c r="K518" s="29">
        <v>28</v>
      </c>
      <c r="L518" s="36">
        <f t="shared" si="44"/>
        <v>1932750</v>
      </c>
      <c r="M518" s="37">
        <f t="shared" si="45"/>
        <v>54117000</v>
      </c>
      <c r="N518" s="38">
        <f>F518-(H518*8)-5000000</f>
        <v>67218000</v>
      </c>
      <c r="O518" s="39" t="s">
        <v>1257</v>
      </c>
      <c r="P518" s="108" t="s">
        <v>80</v>
      </c>
    </row>
    <row r="519" spans="1:16">
      <c r="A519" s="29">
        <f t="shared" si="46"/>
        <v>515</v>
      </c>
      <c r="B519" s="30" t="s">
        <v>1258</v>
      </c>
      <c r="C519" s="31" t="s">
        <v>1259</v>
      </c>
      <c r="D519" s="41" t="s">
        <v>1260</v>
      </c>
      <c r="E519" s="32">
        <v>42908</v>
      </c>
      <c r="F519" s="42">
        <f>45352582+1133815+500000+200000+50000000-48593199</f>
        <v>48593198</v>
      </c>
      <c r="G519" s="34">
        <f t="shared" si="43"/>
        <v>46412964</v>
      </c>
      <c r="H519" s="35">
        <v>706131</v>
      </c>
      <c r="I519" s="35">
        <v>583118</v>
      </c>
      <c r="J519" s="29">
        <v>36</v>
      </c>
      <c r="K519" s="29">
        <v>28</v>
      </c>
      <c r="L519" s="36">
        <f t="shared" si="44"/>
        <v>1289249</v>
      </c>
      <c r="M519" s="37">
        <f t="shared" si="45"/>
        <v>36098972</v>
      </c>
      <c r="N519" s="38">
        <f>F519-(H519*8)-5000000</f>
        <v>37944150</v>
      </c>
      <c r="O519" s="39" t="s">
        <v>143</v>
      </c>
      <c r="P519" s="108" t="s">
        <v>80</v>
      </c>
    </row>
    <row r="520" spans="1:16">
      <c r="A520" s="29">
        <f t="shared" si="46"/>
        <v>516</v>
      </c>
      <c r="B520" s="30" t="s">
        <v>1258</v>
      </c>
      <c r="C520" s="31" t="s">
        <v>1259</v>
      </c>
      <c r="D520" s="41" t="s">
        <v>1260</v>
      </c>
      <c r="E520" s="32">
        <v>42908</v>
      </c>
      <c r="F520" s="42">
        <v>48593199</v>
      </c>
      <c r="G520" s="34">
        <f t="shared" si="43"/>
        <v>46413036</v>
      </c>
      <c r="H520" s="42">
        <v>706132</v>
      </c>
      <c r="I520" s="42">
        <v>583119</v>
      </c>
      <c r="J520" s="29">
        <v>36</v>
      </c>
      <c r="K520" s="29">
        <v>28</v>
      </c>
      <c r="L520" s="36">
        <f t="shared" si="44"/>
        <v>1289251</v>
      </c>
      <c r="M520" s="37">
        <f t="shared" si="45"/>
        <v>36099028</v>
      </c>
      <c r="N520" s="38">
        <f>F520-(H520*8)</f>
        <v>42944143</v>
      </c>
      <c r="O520" s="39" t="s">
        <v>143</v>
      </c>
      <c r="P520" s="108" t="s">
        <v>80</v>
      </c>
    </row>
    <row r="521" spans="1:16">
      <c r="A521" s="29">
        <f t="shared" si="46"/>
        <v>517</v>
      </c>
      <c r="B521" s="30" t="s">
        <v>1261</v>
      </c>
      <c r="C521" s="31" t="s">
        <v>1262</v>
      </c>
      <c r="D521" s="32"/>
      <c r="E521" s="32">
        <v>42517</v>
      </c>
      <c r="F521" s="42">
        <f>47916980+1197925+200000+0</f>
        <v>49314905</v>
      </c>
      <c r="G521" s="34">
        <f t="shared" si="43"/>
        <v>29520000</v>
      </c>
      <c r="H521" s="33">
        <v>638221</v>
      </c>
      <c r="I521" s="48">
        <v>591779</v>
      </c>
      <c r="J521" s="29">
        <v>24</v>
      </c>
      <c r="K521" s="29">
        <v>3</v>
      </c>
      <c r="L521" s="33">
        <f t="shared" si="44"/>
        <v>1230000</v>
      </c>
      <c r="M521" s="33">
        <f t="shared" si="45"/>
        <v>3690000</v>
      </c>
      <c r="N521" s="82">
        <f>F521-(H521*21)-1000000-1000000-15000000-1000000-1000000</f>
        <v>16912264</v>
      </c>
      <c r="O521" s="39" t="s">
        <v>1263</v>
      </c>
      <c r="P521" s="115" t="s">
        <v>85</v>
      </c>
    </row>
    <row r="522" spans="1:16">
      <c r="A522" s="29">
        <f t="shared" si="46"/>
        <v>518</v>
      </c>
      <c r="B522" s="30" t="s">
        <v>1264</v>
      </c>
      <c r="C522" s="31" t="s">
        <v>1265</v>
      </c>
      <c r="D522" s="31" t="s">
        <v>1266</v>
      </c>
      <c r="E522" s="32">
        <v>43003</v>
      </c>
      <c r="F522" s="43">
        <f>19992000+499800+700000+200000+78608200-50000000</f>
        <v>50000000</v>
      </c>
      <c r="G522" s="34">
        <f t="shared" si="43"/>
        <v>40129500</v>
      </c>
      <c r="H522" s="35">
        <v>694500</v>
      </c>
      <c r="I522" s="35">
        <f>+F522*1.2%</f>
        <v>600000</v>
      </c>
      <c r="J522" s="29">
        <v>31</v>
      </c>
      <c r="K522" s="29">
        <v>26</v>
      </c>
      <c r="L522" s="36">
        <f t="shared" si="44"/>
        <v>1294500</v>
      </c>
      <c r="M522" s="37">
        <f t="shared" si="45"/>
        <v>33657000</v>
      </c>
      <c r="N522" s="38">
        <f>F522-(H522*5)-2500000</f>
        <v>44027500</v>
      </c>
      <c r="O522" s="44" t="s">
        <v>1267</v>
      </c>
      <c r="P522" s="108" t="s">
        <v>30</v>
      </c>
    </row>
    <row r="523" spans="1:16">
      <c r="A523" s="29">
        <f t="shared" si="46"/>
        <v>519</v>
      </c>
      <c r="B523" s="30" t="s">
        <v>1264</v>
      </c>
      <c r="C523" s="31" t="s">
        <v>1265</v>
      </c>
      <c r="D523" s="31" t="s">
        <v>1266</v>
      </c>
      <c r="E523" s="32">
        <v>43003</v>
      </c>
      <c r="F523" s="43">
        <v>50000000</v>
      </c>
      <c r="G523" s="34">
        <f t="shared" si="43"/>
        <v>40129500</v>
      </c>
      <c r="H523" s="43">
        <v>694500</v>
      </c>
      <c r="I523" s="35">
        <f>+F523*1.2%</f>
        <v>600000</v>
      </c>
      <c r="J523" s="29">
        <v>31</v>
      </c>
      <c r="K523" s="29">
        <v>26</v>
      </c>
      <c r="L523" s="36">
        <f t="shared" si="44"/>
        <v>1294500</v>
      </c>
      <c r="M523" s="37">
        <f t="shared" si="45"/>
        <v>33657000</v>
      </c>
      <c r="N523" s="38">
        <f>F523-(H523*5)-2500000</f>
        <v>44027500</v>
      </c>
      <c r="O523" s="44" t="s">
        <v>1267</v>
      </c>
      <c r="P523" s="108" t="s">
        <v>30</v>
      </c>
    </row>
    <row r="524" spans="1:16">
      <c r="A524" s="29">
        <f t="shared" si="46"/>
        <v>520</v>
      </c>
      <c r="B524" s="30" t="s">
        <v>1268</v>
      </c>
      <c r="C524" s="31" t="s">
        <v>1269</v>
      </c>
      <c r="D524" s="41" t="s">
        <v>1270</v>
      </c>
      <c r="E524" s="32">
        <v>42908</v>
      </c>
      <c r="F524" s="42">
        <f>68888000+1722200+311120+200000+28878680-50000000</f>
        <v>50000000</v>
      </c>
      <c r="G524" s="34">
        <f t="shared" si="43"/>
        <v>44021500</v>
      </c>
      <c r="H524" s="35">
        <f>1389500-694750</f>
        <v>694750</v>
      </c>
      <c r="I524" s="35">
        <f>F524*1.2%</f>
        <v>600000</v>
      </c>
      <c r="J524" s="29">
        <v>34</v>
      </c>
      <c r="K524" s="29">
        <v>26</v>
      </c>
      <c r="L524" s="36">
        <f t="shared" si="44"/>
        <v>1294750</v>
      </c>
      <c r="M524" s="37">
        <f t="shared" si="45"/>
        <v>33663500</v>
      </c>
      <c r="N524" s="38">
        <f>F524-(H524*8)-1250000</f>
        <v>43192000</v>
      </c>
      <c r="O524" s="39" t="s">
        <v>101</v>
      </c>
      <c r="P524" s="108" t="s">
        <v>80</v>
      </c>
    </row>
    <row r="525" spans="1:16">
      <c r="A525" s="29">
        <f t="shared" si="46"/>
        <v>521</v>
      </c>
      <c r="B525" s="30" t="s">
        <v>1268</v>
      </c>
      <c r="C525" s="31" t="s">
        <v>1269</v>
      </c>
      <c r="D525" s="41" t="s">
        <v>1270</v>
      </c>
      <c r="E525" s="32">
        <v>42908</v>
      </c>
      <c r="F525" s="42">
        <v>50000000</v>
      </c>
      <c r="G525" s="34">
        <f t="shared" si="43"/>
        <v>44021500</v>
      </c>
      <c r="H525" s="42">
        <v>694750</v>
      </c>
      <c r="I525" s="35">
        <f>F525*1.2%</f>
        <v>600000</v>
      </c>
      <c r="J525" s="29">
        <v>34</v>
      </c>
      <c r="K525" s="29">
        <v>26</v>
      </c>
      <c r="L525" s="36">
        <f t="shared" si="44"/>
        <v>1294750</v>
      </c>
      <c r="M525" s="37">
        <f t="shared" si="45"/>
        <v>33663500</v>
      </c>
      <c r="N525" s="38">
        <f>F525-(H525*8)-1250000</f>
        <v>43192000</v>
      </c>
      <c r="O525" s="39" t="s">
        <v>101</v>
      </c>
      <c r="P525" s="108" t="s">
        <v>80</v>
      </c>
    </row>
    <row r="526" spans="1:16">
      <c r="A526" s="29">
        <f t="shared" si="46"/>
        <v>522</v>
      </c>
      <c r="B526" s="30" t="s">
        <v>1271</v>
      </c>
      <c r="C526" s="31" t="s">
        <v>1272</v>
      </c>
      <c r="D526" s="32"/>
      <c r="E526" s="32">
        <v>42089</v>
      </c>
      <c r="F526" s="48">
        <f>700000+200000+99100000</f>
        <v>100000000</v>
      </c>
      <c r="G526" s="72">
        <f t="shared" si="43"/>
        <v>55500000</v>
      </c>
      <c r="H526" s="33">
        <v>300000</v>
      </c>
      <c r="I526" s="48">
        <f>+F526*1.2%</f>
        <v>1200000</v>
      </c>
      <c r="J526" s="29">
        <v>37</v>
      </c>
      <c r="K526" s="29">
        <v>2</v>
      </c>
      <c r="L526" s="48">
        <f t="shared" si="44"/>
        <v>1500000</v>
      </c>
      <c r="M526" s="33">
        <f t="shared" si="45"/>
        <v>3000000</v>
      </c>
      <c r="N526" s="50">
        <f>F526-(H526*35)-(6000000)-6000000-20000000-6000000-6000000-20000000-6000000-6000000</f>
        <v>13500000</v>
      </c>
      <c r="O526" s="62" t="s">
        <v>122</v>
      </c>
      <c r="P526" s="111" t="s">
        <v>51</v>
      </c>
    </row>
    <row r="527" spans="1:16">
      <c r="A527" s="29">
        <f t="shared" si="46"/>
        <v>523</v>
      </c>
      <c r="B527" s="30" t="s">
        <v>1273</v>
      </c>
      <c r="C527" s="31" t="s">
        <v>1274</v>
      </c>
      <c r="D527" s="31" t="s">
        <v>1275</v>
      </c>
      <c r="E527" s="32">
        <v>43018</v>
      </c>
      <c r="F527" s="43">
        <f>24162000+1056000+630450+245306+450000+200000+48256244</f>
        <v>75000000</v>
      </c>
      <c r="G527" s="34">
        <f t="shared" si="43"/>
        <v>63000000</v>
      </c>
      <c r="H527" s="35">
        <v>850000</v>
      </c>
      <c r="I527" s="35">
        <f>+F527*1.2%</f>
        <v>900000</v>
      </c>
      <c r="J527" s="29">
        <v>36</v>
      </c>
      <c r="K527" s="29">
        <v>31</v>
      </c>
      <c r="L527" s="36">
        <f t="shared" si="44"/>
        <v>1750000</v>
      </c>
      <c r="M527" s="37">
        <f t="shared" si="45"/>
        <v>54250000</v>
      </c>
      <c r="N527" s="38">
        <f>F527-(H527*5)</f>
        <v>70750000</v>
      </c>
      <c r="O527" s="44" t="s">
        <v>1276</v>
      </c>
      <c r="P527" s="108" t="s">
        <v>30</v>
      </c>
    </row>
    <row r="528" spans="1:16">
      <c r="A528" s="29">
        <f t="shared" si="46"/>
        <v>524</v>
      </c>
      <c r="B528" s="30" t="s">
        <v>1277</v>
      </c>
      <c r="C528" s="31" t="s">
        <v>1278</v>
      </c>
      <c r="D528" s="41" t="s">
        <v>1279</v>
      </c>
      <c r="E528" s="32">
        <v>42867</v>
      </c>
      <c r="F528" s="42">
        <f>29062826+726571+545449+35000+200000+3500000</f>
        <v>34069846</v>
      </c>
      <c r="G528" s="34">
        <f t="shared" si="43"/>
        <v>31806000</v>
      </c>
      <c r="H528" s="35">
        <v>474662</v>
      </c>
      <c r="I528" s="33">
        <v>408838</v>
      </c>
      <c r="J528" s="29">
        <v>36</v>
      </c>
      <c r="K528" s="29">
        <v>26</v>
      </c>
      <c r="L528" s="36">
        <f t="shared" si="44"/>
        <v>883500</v>
      </c>
      <c r="M528" s="37">
        <f t="shared" si="45"/>
        <v>22971000</v>
      </c>
      <c r="N528" s="38">
        <f>F528-(H528*10)</f>
        <v>29323226</v>
      </c>
      <c r="O528" s="39" t="s">
        <v>382</v>
      </c>
      <c r="P528" s="108" t="s">
        <v>80</v>
      </c>
    </row>
    <row r="529" spans="1:16">
      <c r="A529" s="29">
        <f t="shared" si="46"/>
        <v>525</v>
      </c>
      <c r="B529" s="30" t="s">
        <v>1277</v>
      </c>
      <c r="C529" s="31" t="s">
        <v>1278</v>
      </c>
      <c r="D529" s="31" t="s">
        <v>1280</v>
      </c>
      <c r="E529" s="32">
        <v>43084</v>
      </c>
      <c r="F529" s="43">
        <f>50000+4950000</f>
        <v>5000000</v>
      </c>
      <c r="G529" s="34">
        <f t="shared" ref="G529:G557" si="47">+J529*L529</f>
        <v>5300000</v>
      </c>
      <c r="H529" s="40">
        <f>+F529/J529</f>
        <v>1000000</v>
      </c>
      <c r="I529" s="40">
        <f>+F529*1.2%</f>
        <v>60000</v>
      </c>
      <c r="J529" s="29">
        <v>5</v>
      </c>
      <c r="K529" s="29">
        <v>3</v>
      </c>
      <c r="L529" s="36">
        <f t="shared" si="44"/>
        <v>1060000</v>
      </c>
      <c r="M529" s="37">
        <f t="shared" si="45"/>
        <v>3180000</v>
      </c>
      <c r="N529" s="34">
        <f>+H529*K529</f>
        <v>3000000</v>
      </c>
      <c r="O529" s="39" t="s">
        <v>382</v>
      </c>
      <c r="P529" s="108" t="s">
        <v>32</v>
      </c>
    </row>
    <row r="530" spans="1:16">
      <c r="A530" s="29">
        <f t="shared" si="46"/>
        <v>526</v>
      </c>
      <c r="B530" s="30" t="s">
        <v>1277</v>
      </c>
      <c r="C530" s="31" t="s">
        <v>1278</v>
      </c>
      <c r="D530" s="31" t="s">
        <v>1281</v>
      </c>
      <c r="E530" s="32">
        <v>43105</v>
      </c>
      <c r="F530" s="43">
        <f>26500+2623500</f>
        <v>2650000</v>
      </c>
      <c r="G530" s="34">
        <f t="shared" si="47"/>
        <v>3036000</v>
      </c>
      <c r="H530" s="40">
        <v>221200</v>
      </c>
      <c r="I530" s="40">
        <f>+F530*1.2%</f>
        <v>31800</v>
      </c>
      <c r="J530" s="29">
        <v>12</v>
      </c>
      <c r="K530" s="29">
        <v>10</v>
      </c>
      <c r="L530" s="36">
        <f t="shared" si="44"/>
        <v>253000</v>
      </c>
      <c r="M530" s="37">
        <f t="shared" si="45"/>
        <v>2530000</v>
      </c>
      <c r="N530" s="38">
        <f>F530-(H530*2)</f>
        <v>2207600</v>
      </c>
      <c r="O530" s="39" t="s">
        <v>382</v>
      </c>
      <c r="P530" s="108" t="s">
        <v>32</v>
      </c>
    </row>
    <row r="531" spans="1:16">
      <c r="A531" s="29">
        <f t="shared" si="46"/>
        <v>527</v>
      </c>
      <c r="B531" s="30" t="s">
        <v>1282</v>
      </c>
      <c r="C531" s="31" t="s">
        <v>1283</v>
      </c>
      <c r="D531" s="32"/>
      <c r="E531" s="32">
        <v>42212</v>
      </c>
      <c r="F531" s="48">
        <v>75000000</v>
      </c>
      <c r="G531" s="72">
        <f t="shared" si="47"/>
        <v>69901200</v>
      </c>
      <c r="H531" s="33">
        <v>1041700</v>
      </c>
      <c r="I531" s="48">
        <f>F531*1.2%</f>
        <v>900000</v>
      </c>
      <c r="J531" s="29">
        <v>36</v>
      </c>
      <c r="K531" s="29">
        <v>5</v>
      </c>
      <c r="L531" s="33">
        <f t="shared" si="44"/>
        <v>1941700</v>
      </c>
      <c r="M531" s="33">
        <f t="shared" si="45"/>
        <v>9708500</v>
      </c>
      <c r="N531" s="50">
        <f>F531-(H531*31)-2500000-7500000-2500000-2500000-7500000-2500000-2500000</f>
        <v>15207300</v>
      </c>
      <c r="O531" s="62" t="s">
        <v>1284</v>
      </c>
      <c r="P531" s="111" t="s">
        <v>75</v>
      </c>
    </row>
    <row r="532" spans="1:16">
      <c r="A532" s="29">
        <f t="shared" si="46"/>
        <v>528</v>
      </c>
      <c r="B532" s="30" t="s">
        <v>1282</v>
      </c>
      <c r="C532" s="31" t="s">
        <v>1283</v>
      </c>
      <c r="D532" s="32"/>
      <c r="E532" s="32">
        <v>42212</v>
      </c>
      <c r="F532" s="48">
        <v>75000000</v>
      </c>
      <c r="G532" s="72">
        <f t="shared" si="47"/>
        <v>69901200</v>
      </c>
      <c r="H532" s="33">
        <v>1041700</v>
      </c>
      <c r="I532" s="48">
        <f>F532*1.2%</f>
        <v>900000</v>
      </c>
      <c r="J532" s="29">
        <v>36</v>
      </c>
      <c r="K532" s="29">
        <v>5</v>
      </c>
      <c r="L532" s="33">
        <f t="shared" si="44"/>
        <v>1941700</v>
      </c>
      <c r="M532" s="33">
        <f t="shared" si="45"/>
        <v>9708500</v>
      </c>
      <c r="N532" s="50">
        <f>F532-(H532*31)-2500000-7500000-2500000-2500000-7500000-2500000-2500000</f>
        <v>15207300</v>
      </c>
      <c r="O532" s="62" t="s">
        <v>1284</v>
      </c>
      <c r="P532" s="111" t="s">
        <v>75</v>
      </c>
    </row>
    <row r="533" spans="1:16">
      <c r="A533" s="29">
        <f t="shared" si="46"/>
        <v>529</v>
      </c>
      <c r="B533" s="30" t="s">
        <v>1285</v>
      </c>
      <c r="C533" s="31" t="s">
        <v>1286</v>
      </c>
      <c r="D533" s="41" t="s">
        <v>1287</v>
      </c>
      <c r="E533" s="32">
        <v>42908</v>
      </c>
      <c r="F533" s="42">
        <f>70826000+1770650+791740+200000+76411610-75000000</f>
        <v>75000000</v>
      </c>
      <c r="G533" s="34">
        <f t="shared" si="47"/>
        <v>51000000</v>
      </c>
      <c r="H533" s="35">
        <v>600000</v>
      </c>
      <c r="I533" s="35">
        <f>F533*1.2%</f>
        <v>900000</v>
      </c>
      <c r="J533" s="29">
        <v>34</v>
      </c>
      <c r="K533" s="29">
        <v>26</v>
      </c>
      <c r="L533" s="36">
        <f t="shared" si="44"/>
        <v>1500000</v>
      </c>
      <c r="M533" s="37">
        <f t="shared" si="45"/>
        <v>39000000</v>
      </c>
      <c r="N533" s="38">
        <f>F533-(H533*8)-5000000</f>
        <v>65200000</v>
      </c>
      <c r="O533" s="39" t="s">
        <v>1288</v>
      </c>
      <c r="P533" s="108" t="s">
        <v>80</v>
      </c>
    </row>
    <row r="534" spans="1:16">
      <c r="A534" s="29">
        <f t="shared" si="46"/>
        <v>530</v>
      </c>
      <c r="B534" s="30" t="s">
        <v>1285</v>
      </c>
      <c r="C534" s="31" t="s">
        <v>1286</v>
      </c>
      <c r="D534" s="41" t="s">
        <v>1287</v>
      </c>
      <c r="E534" s="32">
        <v>42908</v>
      </c>
      <c r="F534" s="42">
        <v>75000000</v>
      </c>
      <c r="G534" s="34">
        <f t="shared" si="47"/>
        <v>51000000</v>
      </c>
      <c r="H534" s="42">
        <v>600000</v>
      </c>
      <c r="I534" s="35">
        <f>F534*1.2%</f>
        <v>900000</v>
      </c>
      <c r="J534" s="29">
        <v>34</v>
      </c>
      <c r="K534" s="29">
        <v>26</v>
      </c>
      <c r="L534" s="36">
        <f t="shared" si="44"/>
        <v>1500000</v>
      </c>
      <c r="M534" s="37">
        <f t="shared" si="45"/>
        <v>39000000</v>
      </c>
      <c r="N534" s="38">
        <f>F534-(H534*8)-5000000</f>
        <v>65200000</v>
      </c>
      <c r="O534" s="39" t="s">
        <v>1288</v>
      </c>
      <c r="P534" s="108" t="s">
        <v>80</v>
      </c>
    </row>
    <row r="535" spans="1:16">
      <c r="A535" s="29">
        <f t="shared" si="46"/>
        <v>531</v>
      </c>
      <c r="B535" s="30" t="s">
        <v>1289</v>
      </c>
      <c r="C535" s="31" t="s">
        <v>1290</v>
      </c>
      <c r="D535" s="31" t="s">
        <v>1291</v>
      </c>
      <c r="E535" s="32">
        <v>42961</v>
      </c>
      <c r="F535" s="43">
        <f>15000000+375000+255484+200000+200000+33969516</f>
        <v>50000000</v>
      </c>
      <c r="G535" s="34">
        <f t="shared" si="47"/>
        <v>26400000</v>
      </c>
      <c r="H535" s="35">
        <v>200000</v>
      </c>
      <c r="I535" s="35">
        <f>+F535*1.2%</f>
        <v>600000</v>
      </c>
      <c r="J535" s="118">
        <v>33</v>
      </c>
      <c r="K535" s="29">
        <v>26</v>
      </c>
      <c r="L535" s="36">
        <f t="shared" si="44"/>
        <v>800000</v>
      </c>
      <c r="M535" s="37">
        <f t="shared" si="45"/>
        <v>20800000</v>
      </c>
      <c r="N535" s="38">
        <f>F535-(H535*7)</f>
        <v>48600000</v>
      </c>
      <c r="O535" s="44" t="s">
        <v>67</v>
      </c>
      <c r="P535" s="108" t="s">
        <v>30</v>
      </c>
    </row>
    <row r="536" spans="1:16">
      <c r="A536" s="29">
        <f t="shared" si="46"/>
        <v>532</v>
      </c>
      <c r="B536" s="30" t="s">
        <v>1292</v>
      </c>
      <c r="C536" s="31" t="s">
        <v>1293</v>
      </c>
      <c r="D536" s="31" t="s">
        <v>1294</v>
      </c>
      <c r="E536" s="32">
        <v>42926</v>
      </c>
      <c r="F536" s="33">
        <f>700000+200000+99100000</f>
        <v>100000000</v>
      </c>
      <c r="G536" s="34">
        <f t="shared" si="47"/>
        <v>114414000</v>
      </c>
      <c r="H536" s="42">
        <v>8334500</v>
      </c>
      <c r="I536" s="35">
        <f>F536*1.2%</f>
        <v>1200000</v>
      </c>
      <c r="J536" s="29">
        <v>12</v>
      </c>
      <c r="K536" s="29">
        <v>4</v>
      </c>
      <c r="L536" s="36">
        <f t="shared" si="44"/>
        <v>9534500</v>
      </c>
      <c r="M536" s="37">
        <f t="shared" si="45"/>
        <v>38138000</v>
      </c>
      <c r="N536" s="38">
        <f>F536-(H536*8)</f>
        <v>33324000</v>
      </c>
      <c r="O536" s="39" t="s">
        <v>318</v>
      </c>
      <c r="P536" s="108" t="s">
        <v>25</v>
      </c>
    </row>
    <row r="537" spans="1:16">
      <c r="A537" s="29">
        <f t="shared" si="46"/>
        <v>533</v>
      </c>
      <c r="B537" s="33" t="s">
        <v>1295</v>
      </c>
      <c r="C537" s="73" t="s">
        <v>1296</v>
      </c>
      <c r="D537" s="32"/>
      <c r="E537" s="32">
        <v>42152</v>
      </c>
      <c r="F537" s="48">
        <f>83000000+16639150+415979+200000+0</f>
        <v>100255129</v>
      </c>
      <c r="G537" s="72">
        <f t="shared" si="47"/>
        <v>94000000</v>
      </c>
      <c r="H537" s="33">
        <v>796938</v>
      </c>
      <c r="I537" s="48">
        <v>1203062</v>
      </c>
      <c r="J537" s="29">
        <v>47</v>
      </c>
      <c r="K537" s="29">
        <v>14</v>
      </c>
      <c r="L537" s="33">
        <f t="shared" si="44"/>
        <v>2000000</v>
      </c>
      <c r="M537" s="33">
        <f t="shared" si="45"/>
        <v>28000000</v>
      </c>
      <c r="N537" s="50">
        <f>F537-(H537*33)-(3000000)-4000000-10000000-3000000-4000000-10000000-3000000-4000000</f>
        <v>32956175</v>
      </c>
      <c r="O537" s="52" t="s">
        <v>1297</v>
      </c>
      <c r="P537" s="115" t="s">
        <v>1298</v>
      </c>
    </row>
    <row r="538" spans="1:16">
      <c r="A538" s="29">
        <f t="shared" si="46"/>
        <v>534</v>
      </c>
      <c r="B538" s="30" t="s">
        <v>1299</v>
      </c>
      <c r="C538" s="31" t="s">
        <v>1300</v>
      </c>
      <c r="D538" s="31" t="s">
        <v>1301</v>
      </c>
      <c r="E538" s="32">
        <v>42951</v>
      </c>
      <c r="F538" s="43">
        <f>50412536+1260313+325394+100000+200000+10000000-31149122</f>
        <v>31149121</v>
      </c>
      <c r="G538" s="34">
        <f t="shared" si="47"/>
        <v>26490717</v>
      </c>
      <c r="H538" s="35">
        <v>428960</v>
      </c>
      <c r="I538" s="35">
        <v>373789</v>
      </c>
      <c r="J538" s="118">
        <v>33</v>
      </c>
      <c r="K538" s="29">
        <v>26</v>
      </c>
      <c r="L538" s="36">
        <f t="shared" si="44"/>
        <v>802749</v>
      </c>
      <c r="M538" s="37">
        <f t="shared" si="45"/>
        <v>20871474</v>
      </c>
      <c r="N538" s="38">
        <f>F538-(H538*7)-1250000</f>
        <v>26896401</v>
      </c>
      <c r="O538" s="44" t="s">
        <v>1302</v>
      </c>
      <c r="P538" s="108" t="s">
        <v>30</v>
      </c>
    </row>
    <row r="539" spans="1:16">
      <c r="A539" s="29">
        <f t="shared" si="46"/>
        <v>535</v>
      </c>
      <c r="B539" s="30" t="s">
        <v>1299</v>
      </c>
      <c r="C539" s="31" t="s">
        <v>1300</v>
      </c>
      <c r="D539" s="31" t="s">
        <v>1301</v>
      </c>
      <c r="E539" s="32">
        <v>42951</v>
      </c>
      <c r="F539" s="43">
        <v>31149122</v>
      </c>
      <c r="G539" s="34">
        <f t="shared" si="47"/>
        <v>26490783</v>
      </c>
      <c r="H539" s="35">
        <v>428961</v>
      </c>
      <c r="I539" s="35">
        <v>373790</v>
      </c>
      <c r="J539" s="118">
        <v>33</v>
      </c>
      <c r="K539" s="29">
        <v>26</v>
      </c>
      <c r="L539" s="36">
        <f t="shared" si="44"/>
        <v>802751</v>
      </c>
      <c r="M539" s="37">
        <f t="shared" si="45"/>
        <v>20871526</v>
      </c>
      <c r="N539" s="38">
        <f>F539-(H539*7)-1250000</f>
        <v>26896395</v>
      </c>
      <c r="O539" s="44" t="s">
        <v>1302</v>
      </c>
      <c r="P539" s="108" t="s">
        <v>30</v>
      </c>
    </row>
    <row r="540" spans="1:16">
      <c r="A540" s="29">
        <f t="shared" si="46"/>
        <v>536</v>
      </c>
      <c r="B540" s="30" t="s">
        <v>1303</v>
      </c>
      <c r="C540" s="31" t="s">
        <v>1304</v>
      </c>
      <c r="D540" s="41" t="s">
        <v>1305</v>
      </c>
      <c r="E540" s="32">
        <v>43033</v>
      </c>
      <c r="F540" s="43">
        <f>700000+200000+99100000</f>
        <v>100000000</v>
      </c>
      <c r="G540" s="34">
        <f t="shared" si="47"/>
        <v>62808000</v>
      </c>
      <c r="H540" s="35">
        <v>1417000</v>
      </c>
      <c r="I540" s="35">
        <f>+F540*1.2%</f>
        <v>1200000</v>
      </c>
      <c r="J540" s="29">
        <v>24</v>
      </c>
      <c r="K540" s="29">
        <v>20</v>
      </c>
      <c r="L540" s="36">
        <f t="shared" si="44"/>
        <v>2617000</v>
      </c>
      <c r="M540" s="37">
        <f t="shared" si="45"/>
        <v>52340000</v>
      </c>
      <c r="N540" s="38">
        <f>F540-(H540*4)</f>
        <v>94332000</v>
      </c>
      <c r="O540" s="44" t="s">
        <v>1306</v>
      </c>
      <c r="P540" s="108" t="s">
        <v>25</v>
      </c>
    </row>
    <row r="541" spans="1:16">
      <c r="A541" s="29">
        <f t="shared" si="46"/>
        <v>537</v>
      </c>
      <c r="B541" s="54" t="s">
        <v>1307</v>
      </c>
      <c r="C541" s="55" t="s">
        <v>1308</v>
      </c>
      <c r="D541" s="63"/>
      <c r="E541" s="63">
        <v>42544</v>
      </c>
      <c r="F541" s="68">
        <f>3915800+30200000+852895+658842+200000+64172463-50000000</f>
        <v>50000000</v>
      </c>
      <c r="G541" s="85">
        <f t="shared" si="47"/>
        <v>44013000</v>
      </c>
      <c r="H541" s="87">
        <v>694500</v>
      </c>
      <c r="I541" s="87">
        <f>+F541*1.2%</f>
        <v>600000</v>
      </c>
      <c r="J541" s="60">
        <v>34</v>
      </c>
      <c r="K541" s="60">
        <f>21+1</f>
        <v>22</v>
      </c>
      <c r="L541" s="48">
        <f t="shared" si="44"/>
        <v>1294500</v>
      </c>
      <c r="M541" s="48">
        <f t="shared" si="45"/>
        <v>28479000</v>
      </c>
      <c r="N541" s="38">
        <f>F541-(H541*12)-1250000-7500000-1250000-1250000</f>
        <v>30416000</v>
      </c>
      <c r="O541" s="39" t="s">
        <v>1309</v>
      </c>
      <c r="P541" s="108" t="s">
        <v>30</v>
      </c>
    </row>
    <row r="542" spans="1:16">
      <c r="A542" s="29">
        <f t="shared" si="46"/>
        <v>538</v>
      </c>
      <c r="B542" s="54" t="s">
        <v>1307</v>
      </c>
      <c r="C542" s="55" t="s">
        <v>1308</v>
      </c>
      <c r="D542" s="63"/>
      <c r="E542" s="63">
        <v>42544</v>
      </c>
      <c r="F542" s="68">
        <v>50000000</v>
      </c>
      <c r="G542" s="85">
        <f t="shared" si="47"/>
        <v>44013000</v>
      </c>
      <c r="H542" s="87">
        <v>694500</v>
      </c>
      <c r="I542" s="87">
        <f>+F542*1.2%</f>
        <v>600000</v>
      </c>
      <c r="J542" s="60">
        <v>34</v>
      </c>
      <c r="K542" s="60">
        <f>20+1</f>
        <v>21</v>
      </c>
      <c r="L542" s="48">
        <f t="shared" si="44"/>
        <v>1294500</v>
      </c>
      <c r="M542" s="48">
        <f t="shared" si="45"/>
        <v>27184500</v>
      </c>
      <c r="N542" s="38">
        <f>F542-(H542*13)-1250000-7500000-1250000-1250000</f>
        <v>29721500</v>
      </c>
      <c r="O542" s="39" t="s">
        <v>1309</v>
      </c>
      <c r="P542" s="108" t="s">
        <v>30</v>
      </c>
    </row>
    <row r="543" spans="1:16">
      <c r="A543" s="29">
        <f t="shared" si="46"/>
        <v>539</v>
      </c>
      <c r="B543" s="30" t="s">
        <v>1310</v>
      </c>
      <c r="C543" s="31" t="s">
        <v>1311</v>
      </c>
      <c r="D543" s="41" t="s">
        <v>1312</v>
      </c>
      <c r="E543" s="32">
        <v>42871</v>
      </c>
      <c r="F543" s="42">
        <f>8552000+213800+104465+79400+200000+10000000</f>
        <v>19149665</v>
      </c>
      <c r="G543" s="34">
        <f t="shared" si="47"/>
        <v>23301000</v>
      </c>
      <c r="H543" s="42">
        <v>1064704</v>
      </c>
      <c r="I543" s="33">
        <v>229796</v>
      </c>
      <c r="J543" s="29">
        <v>18</v>
      </c>
      <c r="K543" s="29">
        <v>9</v>
      </c>
      <c r="L543" s="36">
        <f t="shared" si="44"/>
        <v>1294500</v>
      </c>
      <c r="M543" s="37">
        <f t="shared" si="45"/>
        <v>11650500</v>
      </c>
      <c r="N543" s="38">
        <f>F543-(H543*9)</f>
        <v>9567329</v>
      </c>
      <c r="O543" s="39" t="s">
        <v>500</v>
      </c>
      <c r="P543" s="108" t="s">
        <v>80</v>
      </c>
    </row>
    <row r="544" spans="1:16">
      <c r="A544" s="29">
        <f t="shared" si="46"/>
        <v>540</v>
      </c>
      <c r="B544" s="30" t="s">
        <v>1313</v>
      </c>
      <c r="C544" s="31" t="s">
        <v>1314</v>
      </c>
      <c r="D544" s="32"/>
      <c r="E544" s="32">
        <v>42213</v>
      </c>
      <c r="F544" s="48">
        <f>21250000+531250+400000+200000+47618750</f>
        <v>70000000</v>
      </c>
      <c r="G544" s="72">
        <f t="shared" si="47"/>
        <v>63430500</v>
      </c>
      <c r="H544" s="33">
        <v>972300</v>
      </c>
      <c r="I544" s="48">
        <f>F544*1.2%</f>
        <v>840000</v>
      </c>
      <c r="J544" s="29">
        <v>35</v>
      </c>
      <c r="K544" s="29">
        <v>4</v>
      </c>
      <c r="L544" s="33">
        <f t="shared" si="44"/>
        <v>1812300</v>
      </c>
      <c r="M544" s="33">
        <f t="shared" si="45"/>
        <v>7249200</v>
      </c>
      <c r="N544" s="50">
        <f>F544-(H544*31)-12000000-12000000</f>
        <v>15858700</v>
      </c>
      <c r="O544" s="62" t="s">
        <v>1315</v>
      </c>
      <c r="P544" s="111" t="s">
        <v>75</v>
      </c>
    </row>
    <row r="545" spans="1:16">
      <c r="A545" s="29">
        <f t="shared" si="46"/>
        <v>541</v>
      </c>
      <c r="B545" s="30" t="s">
        <v>1316</v>
      </c>
      <c r="C545" s="31" t="s">
        <v>1317</v>
      </c>
      <c r="D545" s="41" t="s">
        <v>1318</v>
      </c>
      <c r="E545" s="32">
        <v>42930</v>
      </c>
      <c r="F545" s="42">
        <f>32355000+808875+469032+100000+200000+10000000</f>
        <v>43932907</v>
      </c>
      <c r="G545" s="34">
        <f t="shared" si="47"/>
        <v>33120000</v>
      </c>
      <c r="H545" s="35">
        <v>392805</v>
      </c>
      <c r="I545" s="35">
        <v>527195</v>
      </c>
      <c r="J545" s="29">
        <v>36</v>
      </c>
      <c r="K545" s="29">
        <v>28</v>
      </c>
      <c r="L545" s="36">
        <f t="shared" si="44"/>
        <v>920000</v>
      </c>
      <c r="M545" s="37">
        <f t="shared" si="45"/>
        <v>25760000</v>
      </c>
      <c r="N545" s="38">
        <f>F545-(H545*8)</f>
        <v>40790467</v>
      </c>
      <c r="O545" s="39" t="s">
        <v>608</v>
      </c>
      <c r="P545" s="108" t="s">
        <v>42</v>
      </c>
    </row>
    <row r="546" spans="1:16">
      <c r="A546" s="29">
        <f t="shared" si="46"/>
        <v>542</v>
      </c>
      <c r="B546" s="59" t="s">
        <v>1319</v>
      </c>
      <c r="C546" s="67" t="s">
        <v>1320</v>
      </c>
      <c r="D546" s="63"/>
      <c r="E546" s="63">
        <v>42152</v>
      </c>
      <c r="F546" s="58">
        <f>116153787+2903845+100000+50000+200000+4900000</f>
        <v>124307632</v>
      </c>
      <c r="G546" s="64">
        <f t="shared" si="47"/>
        <v>120700000</v>
      </c>
      <c r="H546" s="59">
        <v>208308</v>
      </c>
      <c r="I546" s="58">
        <v>1491692</v>
      </c>
      <c r="J546" s="60">
        <v>71</v>
      </c>
      <c r="K546" s="60">
        <f>68+1</f>
        <v>69</v>
      </c>
      <c r="L546" s="33">
        <f t="shared" si="44"/>
        <v>1700000</v>
      </c>
      <c r="M546" s="33">
        <f t="shared" si="45"/>
        <v>117300000</v>
      </c>
      <c r="N546" s="50">
        <f>F546-(H546*2)-25802-15000000-2500000</f>
        <v>106365214</v>
      </c>
      <c r="O546" s="52" t="s">
        <v>1182</v>
      </c>
      <c r="P546" s="115" t="s">
        <v>85</v>
      </c>
    </row>
    <row r="547" spans="1:16">
      <c r="A547" s="29">
        <f t="shared" si="46"/>
        <v>543</v>
      </c>
      <c r="B547" s="30" t="s">
        <v>1321</v>
      </c>
      <c r="C547" s="31" t="s">
        <v>1322</v>
      </c>
      <c r="D547" s="41" t="s">
        <v>1323</v>
      </c>
      <c r="E547" s="32">
        <v>42867</v>
      </c>
      <c r="F547" s="42">
        <f>52310905+1307773+461602+150000+200000+15000000</f>
        <v>69430280</v>
      </c>
      <c r="G547" s="34">
        <f t="shared" si="47"/>
        <v>99450000</v>
      </c>
      <c r="H547" s="42">
        <v>1929337</v>
      </c>
      <c r="I547" s="33">
        <v>833163</v>
      </c>
      <c r="J547" s="29">
        <v>36</v>
      </c>
      <c r="K547" s="29">
        <v>26</v>
      </c>
      <c r="L547" s="36">
        <f t="shared" si="44"/>
        <v>2762500</v>
      </c>
      <c r="M547" s="37">
        <f t="shared" si="45"/>
        <v>71825000</v>
      </c>
      <c r="N547" s="38">
        <f>F547-(H547*10)</f>
        <v>50136910</v>
      </c>
      <c r="O547" s="39" t="s">
        <v>198</v>
      </c>
      <c r="P547" s="108" t="s">
        <v>80</v>
      </c>
    </row>
    <row r="548" spans="1:16">
      <c r="A548" s="29">
        <f t="shared" si="46"/>
        <v>544</v>
      </c>
      <c r="B548" s="30" t="s">
        <v>1321</v>
      </c>
      <c r="C548" s="31" t="s">
        <v>1322</v>
      </c>
      <c r="D548" s="31" t="s">
        <v>1324</v>
      </c>
      <c r="E548" s="32">
        <v>43080</v>
      </c>
      <c r="F548" s="43">
        <f>200000+19800000</f>
        <v>20000000</v>
      </c>
      <c r="G548" s="34">
        <f t="shared" si="47"/>
        <v>28656000</v>
      </c>
      <c r="H548" s="40">
        <f>796000-I548</f>
        <v>556000</v>
      </c>
      <c r="I548" s="40">
        <f>+F548*1.2%</f>
        <v>240000</v>
      </c>
      <c r="J548" s="29">
        <v>36</v>
      </c>
      <c r="K548" s="29">
        <v>33</v>
      </c>
      <c r="L548" s="36">
        <f t="shared" si="44"/>
        <v>796000</v>
      </c>
      <c r="M548" s="37">
        <f t="shared" si="45"/>
        <v>26268000</v>
      </c>
      <c r="N548" s="38">
        <f>F548-(H548*3)</f>
        <v>18332000</v>
      </c>
      <c r="O548" s="39" t="s">
        <v>436</v>
      </c>
      <c r="P548" s="108" t="s">
        <v>32</v>
      </c>
    </row>
    <row r="549" spans="1:16">
      <c r="A549" s="29">
        <f t="shared" si="46"/>
        <v>545</v>
      </c>
      <c r="B549" s="30" t="s">
        <v>1325</v>
      </c>
      <c r="C549" s="31" t="s">
        <v>1326</v>
      </c>
      <c r="D549" s="31" t="s">
        <v>1327</v>
      </c>
      <c r="E549" s="32">
        <v>43098</v>
      </c>
      <c r="F549" s="43">
        <f>22561181+564030+225612+200000+30000000</f>
        <v>53550823</v>
      </c>
      <c r="G549" s="34">
        <f t="shared" si="47"/>
        <v>49716000</v>
      </c>
      <c r="H549" s="40">
        <v>738390</v>
      </c>
      <c r="I549" s="40">
        <v>642610</v>
      </c>
      <c r="J549" s="29">
        <v>36</v>
      </c>
      <c r="K549" s="29">
        <v>34</v>
      </c>
      <c r="L549" s="36">
        <f t="shared" si="44"/>
        <v>1381000</v>
      </c>
      <c r="M549" s="37">
        <f t="shared" si="45"/>
        <v>46954000</v>
      </c>
      <c r="N549" s="38">
        <f>F549-(H549*2)</f>
        <v>52074043</v>
      </c>
      <c r="O549" s="39" t="s">
        <v>1328</v>
      </c>
      <c r="P549" s="108" t="s">
        <v>30</v>
      </c>
    </row>
    <row r="550" spans="1:16">
      <c r="A550" s="29">
        <f t="shared" si="46"/>
        <v>546</v>
      </c>
      <c r="B550" s="30" t="s">
        <v>1329</v>
      </c>
      <c r="C550" s="31" t="s">
        <v>1330</v>
      </c>
      <c r="D550" s="31" t="s">
        <v>1331</v>
      </c>
      <c r="E550" s="32">
        <v>43104</v>
      </c>
      <c r="F550" s="43">
        <f>35856738+896418+257642+250000+200000+25000000</f>
        <v>62460798</v>
      </c>
      <c r="G550" s="34">
        <f t="shared" si="47"/>
        <v>54000000</v>
      </c>
      <c r="H550" s="40">
        <v>750470</v>
      </c>
      <c r="I550" s="40">
        <v>749530</v>
      </c>
      <c r="J550" s="29">
        <v>36</v>
      </c>
      <c r="K550" s="29">
        <v>34</v>
      </c>
      <c r="L550" s="36">
        <f t="shared" si="44"/>
        <v>1500000</v>
      </c>
      <c r="M550" s="37">
        <f t="shared" si="45"/>
        <v>51000000</v>
      </c>
      <c r="N550" s="38">
        <f>F550-(H550*2)</f>
        <v>60959858</v>
      </c>
      <c r="O550" s="39" t="s">
        <v>256</v>
      </c>
      <c r="P550" s="108" t="s">
        <v>30</v>
      </c>
    </row>
    <row r="551" spans="1:16">
      <c r="A551" s="29">
        <f t="shared" si="46"/>
        <v>547</v>
      </c>
      <c r="B551" s="30" t="s">
        <v>1332</v>
      </c>
      <c r="C551" s="31" t="s">
        <v>1333</v>
      </c>
      <c r="D551" s="32"/>
      <c r="E551" s="32">
        <v>42670</v>
      </c>
      <c r="F551" s="40">
        <f>200000+200000+49600000</f>
        <v>50000000</v>
      </c>
      <c r="G551" s="34">
        <f t="shared" si="47"/>
        <v>42735000</v>
      </c>
      <c r="H551" s="33">
        <v>695000</v>
      </c>
      <c r="I551" s="33">
        <f>+F551*1.2%</f>
        <v>600000</v>
      </c>
      <c r="J551" s="29">
        <v>33</v>
      </c>
      <c r="K551" s="29">
        <v>17</v>
      </c>
      <c r="L551" s="36">
        <f t="shared" si="44"/>
        <v>1295000</v>
      </c>
      <c r="M551" s="36">
        <f t="shared" si="45"/>
        <v>22015000</v>
      </c>
      <c r="N551" s="38">
        <f>F551-(H551*16)-2500000-5000000-2500000-2500000</f>
        <v>26380000</v>
      </c>
      <c r="O551" s="66" t="s">
        <v>1334</v>
      </c>
      <c r="P551" s="108" t="s">
        <v>1335</v>
      </c>
    </row>
    <row r="552" spans="1:16">
      <c r="A552" s="29">
        <f t="shared" si="46"/>
        <v>548</v>
      </c>
      <c r="B552" s="30" t="s">
        <v>1336</v>
      </c>
      <c r="C552" s="31" t="s">
        <v>1337</v>
      </c>
      <c r="D552" s="32"/>
      <c r="E552" s="32">
        <v>42181</v>
      </c>
      <c r="F552" s="48">
        <f>200000+200000+49600000</f>
        <v>50000000</v>
      </c>
      <c r="G552" s="72">
        <f t="shared" si="47"/>
        <v>49191000</v>
      </c>
      <c r="H552" s="33">
        <v>694500</v>
      </c>
      <c r="I552" s="48">
        <f>F552*1.2%</f>
        <v>600000</v>
      </c>
      <c r="J552" s="29">
        <v>38</v>
      </c>
      <c r="K552" s="29">
        <v>6</v>
      </c>
      <c r="L552" s="33">
        <f t="shared" si="44"/>
        <v>1294500</v>
      </c>
      <c r="M552" s="33">
        <f t="shared" si="45"/>
        <v>7767000</v>
      </c>
      <c r="N552" s="50">
        <f>F552-(H552*32)-8000000-8000000</f>
        <v>11776000</v>
      </c>
      <c r="O552" s="62" t="s">
        <v>1338</v>
      </c>
      <c r="P552" s="111" t="s">
        <v>51</v>
      </c>
    </row>
    <row r="553" spans="1:16">
      <c r="A553" s="29">
        <f t="shared" si="46"/>
        <v>549</v>
      </c>
      <c r="B553" s="30" t="s">
        <v>1339</v>
      </c>
      <c r="C553" s="31" t="s">
        <v>1340</v>
      </c>
      <c r="D553" s="31" t="s">
        <v>1341</v>
      </c>
      <c r="E553" s="32">
        <v>42975</v>
      </c>
      <c r="F553" s="43">
        <f>32355000+808875+676450+200000+65959675</f>
        <v>100000000</v>
      </c>
      <c r="G553" s="34">
        <f t="shared" si="47"/>
        <v>68238000</v>
      </c>
      <c r="H553" s="35">
        <v>695500</v>
      </c>
      <c r="I553" s="35">
        <f>+F553*1.2%</f>
        <v>1200000</v>
      </c>
      <c r="J553" s="29">
        <v>36</v>
      </c>
      <c r="K553" s="29">
        <v>30</v>
      </c>
      <c r="L553" s="36">
        <f t="shared" si="44"/>
        <v>1895500</v>
      </c>
      <c r="M553" s="37">
        <f t="shared" si="45"/>
        <v>56865000</v>
      </c>
      <c r="N553" s="38">
        <f>F553-(H553*6)-5000000</f>
        <v>90827000</v>
      </c>
      <c r="O553" s="44" t="s">
        <v>79</v>
      </c>
      <c r="P553" s="108" t="s">
        <v>30</v>
      </c>
    </row>
    <row r="554" spans="1:16">
      <c r="A554" s="29">
        <f t="shared" si="46"/>
        <v>550</v>
      </c>
      <c r="B554" s="30" t="s">
        <v>1342</v>
      </c>
      <c r="C554" s="31" t="s">
        <v>1343</v>
      </c>
      <c r="D554" s="32"/>
      <c r="E554" s="32">
        <v>42227</v>
      </c>
      <c r="F554" s="33">
        <f>300000+200000+59500000</f>
        <v>60000000</v>
      </c>
      <c r="G554" s="72">
        <f t="shared" si="47"/>
        <v>55922400</v>
      </c>
      <c r="H554" s="33">
        <v>833400</v>
      </c>
      <c r="I554" s="48">
        <f>F554*1.2%</f>
        <v>720000</v>
      </c>
      <c r="J554" s="29">
        <v>36</v>
      </c>
      <c r="K554" s="29">
        <v>5</v>
      </c>
      <c r="L554" s="33">
        <f t="shared" si="44"/>
        <v>1553400</v>
      </c>
      <c r="M554" s="33">
        <f t="shared" si="45"/>
        <v>7767000</v>
      </c>
      <c r="N554" s="50">
        <f>F554-(H554*31)-10000000-10000000</f>
        <v>14164600</v>
      </c>
      <c r="O554" s="39" t="s">
        <v>504</v>
      </c>
      <c r="P554" s="108" t="s">
        <v>548</v>
      </c>
    </row>
    <row r="555" spans="1:16">
      <c r="A555" s="29">
        <f t="shared" si="46"/>
        <v>551</v>
      </c>
      <c r="B555" s="30" t="s">
        <v>1344</v>
      </c>
      <c r="C555" s="31" t="s">
        <v>1345</v>
      </c>
      <c r="D555" s="41" t="s">
        <v>1346</v>
      </c>
      <c r="E555" s="32">
        <v>42765</v>
      </c>
      <c r="F555" s="33">
        <f>85277000+2131925+647230+200000+61743845-75000000</f>
        <v>75000000</v>
      </c>
      <c r="G555" s="34">
        <f t="shared" si="47"/>
        <v>79622000</v>
      </c>
      <c r="H555" s="33">
        <v>1042000</v>
      </c>
      <c r="I555" s="33">
        <f>+F555*1.2%</f>
        <v>900000</v>
      </c>
      <c r="J555" s="29">
        <v>41</v>
      </c>
      <c r="K555" s="29">
        <v>28</v>
      </c>
      <c r="L555" s="36">
        <f t="shared" si="44"/>
        <v>1942000</v>
      </c>
      <c r="M555" s="36">
        <f t="shared" si="45"/>
        <v>54376000</v>
      </c>
      <c r="N555" s="38">
        <f>F555-(H555*13)-7500000-2500000-2500000</f>
        <v>48954000</v>
      </c>
      <c r="O555" s="39" t="s">
        <v>1239</v>
      </c>
      <c r="P555" s="108" t="s">
        <v>42</v>
      </c>
    </row>
    <row r="556" spans="1:16">
      <c r="A556" s="29">
        <f t="shared" si="46"/>
        <v>552</v>
      </c>
      <c r="B556" s="30" t="s">
        <v>1344</v>
      </c>
      <c r="C556" s="31" t="s">
        <v>1345</v>
      </c>
      <c r="D556" s="41" t="s">
        <v>1346</v>
      </c>
      <c r="E556" s="32">
        <v>42765</v>
      </c>
      <c r="F556" s="33">
        <v>75000000</v>
      </c>
      <c r="G556" s="34">
        <f t="shared" si="47"/>
        <v>79622000</v>
      </c>
      <c r="H556" s="33">
        <v>1042000</v>
      </c>
      <c r="I556" s="33">
        <f>+F556*1.2%</f>
        <v>900000</v>
      </c>
      <c r="J556" s="29">
        <v>41</v>
      </c>
      <c r="K556" s="29">
        <v>28</v>
      </c>
      <c r="L556" s="36">
        <f t="shared" si="44"/>
        <v>1942000</v>
      </c>
      <c r="M556" s="36">
        <f t="shared" si="45"/>
        <v>54376000</v>
      </c>
      <c r="N556" s="38">
        <f>F556-(H556*13)-7500000-2500000-2500000</f>
        <v>48954000</v>
      </c>
      <c r="O556" s="39" t="s">
        <v>1239</v>
      </c>
      <c r="P556" s="108" t="s">
        <v>42</v>
      </c>
    </row>
    <row r="557" spans="1:16">
      <c r="A557" s="29">
        <f t="shared" si="46"/>
        <v>553</v>
      </c>
      <c r="B557" s="30" t="s">
        <v>1344</v>
      </c>
      <c r="C557" s="31" t="s">
        <v>1345</v>
      </c>
      <c r="D557" s="41" t="s">
        <v>1347</v>
      </c>
      <c r="E557" s="32">
        <v>42824</v>
      </c>
      <c r="F557" s="33">
        <f>700000+700000+24000</f>
        <v>1424000</v>
      </c>
      <c r="G557" s="34">
        <f t="shared" si="47"/>
        <v>1638000</v>
      </c>
      <c r="H557" s="33">
        <v>119412</v>
      </c>
      <c r="I557" s="33">
        <f>+F557*1.2%</f>
        <v>17088</v>
      </c>
      <c r="J557" s="29">
        <v>12</v>
      </c>
      <c r="K557" s="29">
        <v>1</v>
      </c>
      <c r="L557" s="36">
        <f t="shared" si="44"/>
        <v>136500</v>
      </c>
      <c r="M557" s="36">
        <f t="shared" si="45"/>
        <v>136500</v>
      </c>
      <c r="N557" s="38">
        <f>F557-(H557*11)</f>
        <v>110468</v>
      </c>
      <c r="O557" s="39" t="s">
        <v>1348</v>
      </c>
      <c r="P557" s="108" t="s">
        <v>93</v>
      </c>
    </row>
    <row r="558" spans="1:16">
      <c r="A558" s="29">
        <f t="shared" si="46"/>
        <v>554</v>
      </c>
      <c r="B558" s="30" t="s">
        <v>102</v>
      </c>
      <c r="C558" s="31" t="s">
        <v>103</v>
      </c>
      <c r="D558" s="31" t="s">
        <v>1349</v>
      </c>
      <c r="E558" s="32">
        <v>43132</v>
      </c>
      <c r="F558" s="43">
        <f>62500+6187500</f>
        <v>6250000</v>
      </c>
      <c r="G558" s="34">
        <f t="shared" ref="G558:G574" si="48">+J558*L558</f>
        <v>7152000</v>
      </c>
      <c r="H558" s="40">
        <f>596000-I558</f>
        <v>521000</v>
      </c>
      <c r="I558" s="40">
        <f>+F558*1.2%</f>
        <v>75000</v>
      </c>
      <c r="J558" s="29">
        <v>12</v>
      </c>
      <c r="K558" s="29">
        <v>11</v>
      </c>
      <c r="L558" s="36">
        <f t="shared" ref="L558:L574" si="49">+H558+I558</f>
        <v>596000</v>
      </c>
      <c r="M558" s="37">
        <f t="shared" ref="M558:M574" si="50">+K558*L558</f>
        <v>6556000</v>
      </c>
      <c r="N558" s="38">
        <f t="shared" ref="N558:N566" si="51">F558-(H558*1)</f>
        <v>5729000</v>
      </c>
      <c r="O558" s="39" t="s">
        <v>1350</v>
      </c>
      <c r="P558" s="108" t="s">
        <v>93</v>
      </c>
    </row>
    <row r="559" spans="1:16">
      <c r="A559" s="29">
        <f t="shared" si="46"/>
        <v>555</v>
      </c>
      <c r="B559" s="30" t="s">
        <v>1351</v>
      </c>
      <c r="C559" s="31" t="s">
        <v>1352</v>
      </c>
      <c r="D559" s="31" t="s">
        <v>1353</v>
      </c>
      <c r="E559" s="32">
        <v>43133</v>
      </c>
      <c r="F559" s="43">
        <f>200000+200000+49600000</f>
        <v>50000000</v>
      </c>
      <c r="G559" s="34">
        <f t="shared" si="48"/>
        <v>71604000</v>
      </c>
      <c r="H559" s="40">
        <f>1989000-I559</f>
        <v>1389000</v>
      </c>
      <c r="I559" s="40">
        <f t="shared" ref="I559:I564" si="52">+F559*1.2%</f>
        <v>600000</v>
      </c>
      <c r="J559" s="29">
        <v>36</v>
      </c>
      <c r="K559" s="29">
        <v>35</v>
      </c>
      <c r="L559" s="36">
        <f t="shared" si="49"/>
        <v>1989000</v>
      </c>
      <c r="M559" s="37">
        <f t="shared" si="50"/>
        <v>69615000</v>
      </c>
      <c r="N559" s="38">
        <f t="shared" si="51"/>
        <v>48611000</v>
      </c>
      <c r="O559" s="39" t="s">
        <v>117</v>
      </c>
      <c r="P559" s="108" t="s">
        <v>25</v>
      </c>
    </row>
    <row r="560" spans="1:16">
      <c r="A560" s="29">
        <f t="shared" si="46"/>
        <v>556</v>
      </c>
      <c r="B560" s="30" t="s">
        <v>768</v>
      </c>
      <c r="C560" s="31" t="s">
        <v>769</v>
      </c>
      <c r="D560" s="31" t="s">
        <v>1354</v>
      </c>
      <c r="E560" s="32">
        <v>43136</v>
      </c>
      <c r="F560" s="43">
        <f>3493000+87325+33968+45070+4340637</f>
        <v>8000000</v>
      </c>
      <c r="G560" s="34">
        <f t="shared" si="48"/>
        <v>9156000</v>
      </c>
      <c r="H560" s="40">
        <v>667000</v>
      </c>
      <c r="I560" s="40">
        <f t="shared" si="52"/>
        <v>96000</v>
      </c>
      <c r="J560" s="29">
        <v>12</v>
      </c>
      <c r="K560" s="29">
        <v>11</v>
      </c>
      <c r="L560" s="36">
        <f t="shared" si="49"/>
        <v>763000</v>
      </c>
      <c r="M560" s="37">
        <f t="shared" si="50"/>
        <v>8393000</v>
      </c>
      <c r="N560" s="38">
        <f t="shared" si="51"/>
        <v>7333000</v>
      </c>
      <c r="O560" s="39" t="s">
        <v>265</v>
      </c>
      <c r="P560" s="108" t="s">
        <v>1355</v>
      </c>
    </row>
    <row r="561" spans="1:16">
      <c r="A561" s="29">
        <f t="shared" si="46"/>
        <v>557</v>
      </c>
      <c r="B561" s="30" t="s">
        <v>1356</v>
      </c>
      <c r="C561" s="31" t="s">
        <v>1357</v>
      </c>
      <c r="D561" s="31" t="s">
        <v>1358</v>
      </c>
      <c r="E561" s="32">
        <v>43136</v>
      </c>
      <c r="F561" s="43">
        <f>100000+200000+39700000</f>
        <v>40000000</v>
      </c>
      <c r="G561" s="34">
        <f t="shared" si="48"/>
        <v>57312000</v>
      </c>
      <c r="H561" s="40">
        <f>1592000-I561</f>
        <v>1112000</v>
      </c>
      <c r="I561" s="40">
        <f t="shared" si="52"/>
        <v>480000</v>
      </c>
      <c r="J561" s="29">
        <v>36</v>
      </c>
      <c r="K561" s="29">
        <v>35</v>
      </c>
      <c r="L561" s="36">
        <f t="shared" si="49"/>
        <v>1592000</v>
      </c>
      <c r="M561" s="37">
        <f t="shared" si="50"/>
        <v>55720000</v>
      </c>
      <c r="N561" s="38">
        <f t="shared" si="51"/>
        <v>38888000</v>
      </c>
      <c r="O561" s="39" t="s">
        <v>1359</v>
      </c>
      <c r="P561" s="108" t="s">
        <v>161</v>
      </c>
    </row>
    <row r="562" spans="1:16">
      <c r="A562" s="29">
        <f t="shared" si="46"/>
        <v>558</v>
      </c>
      <c r="B562" s="30" t="s">
        <v>398</v>
      </c>
      <c r="C562" s="31" t="s">
        <v>393</v>
      </c>
      <c r="D562" s="31" t="s">
        <v>1360</v>
      </c>
      <c r="E562" s="32">
        <v>43140</v>
      </c>
      <c r="F562" s="43">
        <f>25000000+625000+150000+15000000</f>
        <v>40775000</v>
      </c>
      <c r="G562" s="34">
        <f t="shared" si="48"/>
        <v>58392000</v>
      </c>
      <c r="H562" s="40">
        <f>1622000-I562</f>
        <v>1132700</v>
      </c>
      <c r="I562" s="40">
        <f t="shared" si="52"/>
        <v>489300</v>
      </c>
      <c r="J562" s="29">
        <v>36</v>
      </c>
      <c r="K562" s="29">
        <v>35</v>
      </c>
      <c r="L562" s="36">
        <f t="shared" si="49"/>
        <v>1622000</v>
      </c>
      <c r="M562" s="37">
        <f t="shared" si="50"/>
        <v>56770000</v>
      </c>
      <c r="N562" s="38">
        <f t="shared" si="51"/>
        <v>39642300</v>
      </c>
      <c r="O562" s="39" t="s">
        <v>1361</v>
      </c>
      <c r="P562" s="108" t="s">
        <v>1355</v>
      </c>
    </row>
    <row r="563" spans="1:16">
      <c r="A563" s="29">
        <f t="shared" si="46"/>
        <v>559</v>
      </c>
      <c r="B563" s="30" t="s">
        <v>1362</v>
      </c>
      <c r="C563" s="31" t="s">
        <v>1363</v>
      </c>
      <c r="D563" s="31" t="s">
        <v>1364</v>
      </c>
      <c r="E563" s="32">
        <v>43140</v>
      </c>
      <c r="F563" s="43">
        <f>43750000+1093750+706728+462500+200000+43787022-45000000</f>
        <v>45000000</v>
      </c>
      <c r="G563" s="34">
        <f t="shared" si="48"/>
        <v>41940000</v>
      </c>
      <c r="H563" s="40">
        <v>625000</v>
      </c>
      <c r="I563" s="40">
        <f t="shared" si="52"/>
        <v>540000</v>
      </c>
      <c r="J563" s="29">
        <v>36</v>
      </c>
      <c r="K563" s="29">
        <v>35</v>
      </c>
      <c r="L563" s="36">
        <f t="shared" si="49"/>
        <v>1165000</v>
      </c>
      <c r="M563" s="37">
        <f t="shared" si="50"/>
        <v>40775000</v>
      </c>
      <c r="N563" s="38">
        <f t="shared" si="51"/>
        <v>44375000</v>
      </c>
      <c r="O563" s="39" t="s">
        <v>198</v>
      </c>
      <c r="P563" s="108" t="s">
        <v>1365</v>
      </c>
    </row>
    <row r="564" spans="1:16">
      <c r="A564" s="29">
        <f t="shared" si="46"/>
        <v>560</v>
      </c>
      <c r="B564" s="30" t="s">
        <v>1362</v>
      </c>
      <c r="C564" s="31" t="s">
        <v>1363</v>
      </c>
      <c r="D564" s="31" t="s">
        <v>1364</v>
      </c>
      <c r="E564" s="32">
        <v>43140</v>
      </c>
      <c r="F564" s="43">
        <v>45000000</v>
      </c>
      <c r="G564" s="34">
        <f t="shared" si="48"/>
        <v>41940000</v>
      </c>
      <c r="H564" s="40">
        <v>625000</v>
      </c>
      <c r="I564" s="40">
        <f t="shared" si="52"/>
        <v>540000</v>
      </c>
      <c r="J564" s="29">
        <v>36</v>
      </c>
      <c r="K564" s="29">
        <v>35</v>
      </c>
      <c r="L564" s="36">
        <f t="shared" si="49"/>
        <v>1165000</v>
      </c>
      <c r="M564" s="37">
        <f t="shared" si="50"/>
        <v>40775000</v>
      </c>
      <c r="N564" s="38">
        <f t="shared" si="51"/>
        <v>44375000</v>
      </c>
      <c r="O564" s="39" t="s">
        <v>198</v>
      </c>
      <c r="P564" s="108" t="s">
        <v>1365</v>
      </c>
    </row>
    <row r="565" spans="1:16">
      <c r="A565" s="29">
        <f t="shared" si="46"/>
        <v>561</v>
      </c>
      <c r="B565" s="30" t="s">
        <v>1366</v>
      </c>
      <c r="C565" s="31" t="s">
        <v>1367</v>
      </c>
      <c r="D565" s="31" t="s">
        <v>1368</v>
      </c>
      <c r="E565" s="32">
        <v>43140</v>
      </c>
      <c r="F565" s="43">
        <f>48624767+1215619+359287+600000+200000+60000000-55499837</f>
        <v>55499836</v>
      </c>
      <c r="G565" s="34">
        <f t="shared" si="48"/>
        <v>49000000</v>
      </c>
      <c r="H565" s="40">
        <v>734002</v>
      </c>
      <c r="I565" s="40">
        <f>1331996-I566</f>
        <v>665998</v>
      </c>
      <c r="J565" s="29">
        <v>35</v>
      </c>
      <c r="K565" s="29">
        <v>34</v>
      </c>
      <c r="L565" s="36">
        <f t="shared" si="49"/>
        <v>1400000</v>
      </c>
      <c r="M565" s="37">
        <f t="shared" si="50"/>
        <v>47600000</v>
      </c>
      <c r="N565" s="38">
        <f t="shared" si="51"/>
        <v>54765834</v>
      </c>
      <c r="O565" s="39" t="s">
        <v>1369</v>
      </c>
      <c r="P565" s="108" t="s">
        <v>1365</v>
      </c>
    </row>
    <row r="566" spans="1:16">
      <c r="A566" s="29">
        <f t="shared" si="46"/>
        <v>562</v>
      </c>
      <c r="B566" s="30" t="s">
        <v>1366</v>
      </c>
      <c r="C566" s="31" t="s">
        <v>1367</v>
      </c>
      <c r="D566" s="31" t="s">
        <v>1368</v>
      </c>
      <c r="E566" s="32">
        <v>43140</v>
      </c>
      <c r="F566" s="43">
        <v>55499837</v>
      </c>
      <c r="G566" s="34">
        <f t="shared" si="48"/>
        <v>49000000</v>
      </c>
      <c r="H566" s="40">
        <v>734002</v>
      </c>
      <c r="I566" s="40">
        <v>665998</v>
      </c>
      <c r="J566" s="29">
        <v>35</v>
      </c>
      <c r="K566" s="29">
        <v>34</v>
      </c>
      <c r="L566" s="36">
        <f t="shared" si="49"/>
        <v>1400000</v>
      </c>
      <c r="M566" s="37">
        <f t="shared" si="50"/>
        <v>47600000</v>
      </c>
      <c r="N566" s="38">
        <f t="shared" si="51"/>
        <v>54765835</v>
      </c>
      <c r="O566" s="39" t="s">
        <v>1369</v>
      </c>
      <c r="P566" s="108" t="s">
        <v>1365</v>
      </c>
    </row>
    <row r="567" spans="1:16">
      <c r="A567" s="29">
        <f t="shared" si="46"/>
        <v>563</v>
      </c>
      <c r="B567" s="119" t="s">
        <v>1370</v>
      </c>
      <c r="C567" s="120" t="s">
        <v>1371</v>
      </c>
      <c r="D567" s="120" t="s">
        <v>1372</v>
      </c>
      <c r="E567" s="32">
        <v>43154</v>
      </c>
      <c r="F567" s="121">
        <f>37400000+935000+576000+200000+55889000</f>
        <v>95000000</v>
      </c>
      <c r="G567" s="36">
        <f t="shared" si="48"/>
        <v>43500000</v>
      </c>
      <c r="H567" s="71">
        <v>360000</v>
      </c>
      <c r="I567" s="71">
        <f>+F567*1.2%</f>
        <v>1140000</v>
      </c>
      <c r="J567" s="122">
        <v>29</v>
      </c>
      <c r="K567" s="122">
        <v>29</v>
      </c>
      <c r="L567" s="36">
        <f t="shared" si="49"/>
        <v>1500000</v>
      </c>
      <c r="M567" s="37">
        <f t="shared" si="50"/>
        <v>43500000</v>
      </c>
      <c r="N567" s="38">
        <f t="shared" ref="N567:N574" si="53">F567-(H567*0)</f>
        <v>95000000</v>
      </c>
      <c r="O567" s="39" t="s">
        <v>55</v>
      </c>
      <c r="P567" s="108" t="s">
        <v>80</v>
      </c>
    </row>
    <row r="568" spans="1:16">
      <c r="A568" s="29">
        <f t="shared" si="46"/>
        <v>564</v>
      </c>
      <c r="B568" s="119" t="s">
        <v>1373</v>
      </c>
      <c r="C568" s="120" t="s">
        <v>1374</v>
      </c>
      <c r="D568" s="120" t="s">
        <v>1375</v>
      </c>
      <c r="E568" s="32">
        <v>43154</v>
      </c>
      <c r="F568" s="121">
        <f>40273500+1006838+597265+200000+57922397</f>
        <v>100000000</v>
      </c>
      <c r="G568" s="36">
        <f t="shared" si="48"/>
        <v>68000000</v>
      </c>
      <c r="H568" s="71">
        <f>2000000-I568</f>
        <v>800000</v>
      </c>
      <c r="I568" s="71">
        <f t="shared" ref="I568:I574" si="54">+F568*1.2%</f>
        <v>1200000</v>
      </c>
      <c r="J568" s="122">
        <v>34</v>
      </c>
      <c r="K568" s="122">
        <v>34</v>
      </c>
      <c r="L568" s="36">
        <f t="shared" si="49"/>
        <v>2000000</v>
      </c>
      <c r="M568" s="37">
        <f t="shared" si="50"/>
        <v>68000000</v>
      </c>
      <c r="N568" s="38">
        <f t="shared" si="53"/>
        <v>100000000</v>
      </c>
      <c r="O568" s="39" t="s">
        <v>55</v>
      </c>
      <c r="P568" s="108" t="s">
        <v>80</v>
      </c>
    </row>
    <row r="569" spans="1:16">
      <c r="A569" s="29">
        <f t="shared" si="46"/>
        <v>565</v>
      </c>
      <c r="B569" s="119" t="s">
        <v>635</v>
      </c>
      <c r="C569" s="120" t="s">
        <v>636</v>
      </c>
      <c r="D569" s="120" t="s">
        <v>1376</v>
      </c>
      <c r="E569" s="32">
        <v>43157</v>
      </c>
      <c r="F569" s="121">
        <f>5000000</f>
        <v>5000000</v>
      </c>
      <c r="G569" s="36">
        <f t="shared" si="48"/>
        <v>5364000</v>
      </c>
      <c r="H569" s="71">
        <f>894000-I569</f>
        <v>834000</v>
      </c>
      <c r="I569" s="71">
        <f t="shared" si="54"/>
        <v>60000</v>
      </c>
      <c r="J569" s="122">
        <v>6</v>
      </c>
      <c r="K569" s="122">
        <v>6</v>
      </c>
      <c r="L569" s="36">
        <f t="shared" si="49"/>
        <v>894000</v>
      </c>
      <c r="M569" s="37">
        <f t="shared" si="50"/>
        <v>5364000</v>
      </c>
      <c r="N569" s="38">
        <f t="shared" si="53"/>
        <v>5000000</v>
      </c>
      <c r="O569" s="39" t="s">
        <v>624</v>
      </c>
      <c r="P569" s="108" t="s">
        <v>1377</v>
      </c>
    </row>
    <row r="570" spans="1:16">
      <c r="A570" s="29">
        <f t="shared" si="46"/>
        <v>566</v>
      </c>
      <c r="B570" s="119" t="s">
        <v>1378</v>
      </c>
      <c r="C570" s="120" t="s">
        <v>1379</v>
      </c>
      <c r="D570" s="120" t="s">
        <v>1380</v>
      </c>
      <c r="E570" s="32">
        <v>43157</v>
      </c>
      <c r="F570" s="121">
        <f>23324000+583100+53240+200000+12000000</f>
        <v>36160340</v>
      </c>
      <c r="G570" s="36">
        <f t="shared" si="48"/>
        <v>51804000</v>
      </c>
      <c r="H570" s="71">
        <v>1005076</v>
      </c>
      <c r="I570" s="71">
        <v>433924</v>
      </c>
      <c r="J570" s="122">
        <v>36</v>
      </c>
      <c r="K570" s="122">
        <v>36</v>
      </c>
      <c r="L570" s="36">
        <f t="shared" si="49"/>
        <v>1439000</v>
      </c>
      <c r="M570" s="37">
        <f t="shared" si="50"/>
        <v>51804000</v>
      </c>
      <c r="N570" s="38">
        <f t="shared" si="53"/>
        <v>36160340</v>
      </c>
      <c r="O570" s="39" t="s">
        <v>1381</v>
      </c>
      <c r="P570" s="108" t="s">
        <v>80</v>
      </c>
    </row>
    <row r="571" spans="1:16">
      <c r="A571" s="29">
        <f t="shared" si="46"/>
        <v>567</v>
      </c>
      <c r="B571" s="119" t="s">
        <v>1382</v>
      </c>
      <c r="C571" s="120" t="s">
        <v>1383</v>
      </c>
      <c r="D571" s="120" t="s">
        <v>1384</v>
      </c>
      <c r="E571" s="32">
        <v>43157</v>
      </c>
      <c r="F571" s="121">
        <f>17500000+437500+200000+200000+31662500</f>
        <v>50000000</v>
      </c>
      <c r="G571" s="36">
        <f t="shared" si="48"/>
        <v>64416000</v>
      </c>
      <c r="H571" s="71">
        <v>2084000</v>
      </c>
      <c r="I571" s="71">
        <f t="shared" si="54"/>
        <v>600000</v>
      </c>
      <c r="J571" s="122">
        <v>24</v>
      </c>
      <c r="K571" s="122">
        <v>24</v>
      </c>
      <c r="L571" s="36">
        <f t="shared" si="49"/>
        <v>2684000</v>
      </c>
      <c r="M571" s="37">
        <f t="shared" si="50"/>
        <v>64416000</v>
      </c>
      <c r="N571" s="38">
        <f t="shared" si="53"/>
        <v>50000000</v>
      </c>
      <c r="O571" s="39" t="s">
        <v>1385</v>
      </c>
      <c r="P571" s="108" t="s">
        <v>80</v>
      </c>
    </row>
    <row r="572" spans="1:16">
      <c r="A572" s="29">
        <f t="shared" si="46"/>
        <v>568</v>
      </c>
      <c r="B572" s="119" t="s">
        <v>1386</v>
      </c>
      <c r="C572" s="120" t="s">
        <v>1387</v>
      </c>
      <c r="D572" s="120" t="s">
        <v>1388</v>
      </c>
      <c r="E572" s="32">
        <v>43153</v>
      </c>
      <c r="F572" s="121">
        <f>41721221+1043031+506455+200000+50645500-47058104</f>
        <v>47058103</v>
      </c>
      <c r="G572" s="36">
        <f t="shared" si="48"/>
        <v>34500000</v>
      </c>
      <c r="H572" s="40">
        <v>185303</v>
      </c>
      <c r="I572" s="35">
        <v>564697</v>
      </c>
      <c r="J572" s="122">
        <v>46</v>
      </c>
      <c r="K572" s="122">
        <v>46</v>
      </c>
      <c r="L572" s="36">
        <f t="shared" si="49"/>
        <v>750000</v>
      </c>
      <c r="M572" s="37">
        <f t="shared" si="50"/>
        <v>34500000</v>
      </c>
      <c r="N572" s="38">
        <f t="shared" si="53"/>
        <v>47058103</v>
      </c>
      <c r="O572" s="39" t="s">
        <v>1389</v>
      </c>
      <c r="P572" s="108" t="s">
        <v>80</v>
      </c>
    </row>
    <row r="573" spans="1:16">
      <c r="A573" s="29">
        <f t="shared" si="46"/>
        <v>569</v>
      </c>
      <c r="B573" s="119" t="s">
        <v>1386</v>
      </c>
      <c r="C573" s="120" t="s">
        <v>1387</v>
      </c>
      <c r="D573" s="120" t="s">
        <v>1388</v>
      </c>
      <c r="E573" s="32">
        <v>43153</v>
      </c>
      <c r="F573" s="121">
        <v>47058104</v>
      </c>
      <c r="G573" s="36">
        <f t="shared" si="48"/>
        <v>34500000</v>
      </c>
      <c r="H573" s="71">
        <v>185303</v>
      </c>
      <c r="I573" s="71">
        <v>564697</v>
      </c>
      <c r="J573" s="122">
        <v>46</v>
      </c>
      <c r="K573" s="122">
        <v>46</v>
      </c>
      <c r="L573" s="36">
        <f t="shared" si="49"/>
        <v>750000</v>
      </c>
      <c r="M573" s="37">
        <f t="shared" si="50"/>
        <v>34500000</v>
      </c>
      <c r="N573" s="38">
        <f t="shared" si="53"/>
        <v>47058104</v>
      </c>
      <c r="O573" s="39" t="s">
        <v>1389</v>
      </c>
      <c r="P573" s="108" t="s">
        <v>80</v>
      </c>
    </row>
    <row r="574" spans="1:16">
      <c r="A574" s="29">
        <f t="shared" si="46"/>
        <v>570</v>
      </c>
      <c r="B574" s="119" t="s">
        <v>905</v>
      </c>
      <c r="C574" s="120" t="s">
        <v>906</v>
      </c>
      <c r="D574" s="120" t="s">
        <v>1390</v>
      </c>
      <c r="E574" s="32">
        <v>43158</v>
      </c>
      <c r="F574" s="121">
        <f>50000+4950000</f>
        <v>5000000</v>
      </c>
      <c r="G574" s="36">
        <f t="shared" si="48"/>
        <v>5724000</v>
      </c>
      <c r="H574" s="71">
        <f>477000-I574</f>
        <v>417000</v>
      </c>
      <c r="I574" s="71">
        <f t="shared" si="54"/>
        <v>60000</v>
      </c>
      <c r="J574" s="122">
        <v>12</v>
      </c>
      <c r="K574" s="122">
        <v>12</v>
      </c>
      <c r="L574" s="36">
        <f t="shared" si="49"/>
        <v>477000</v>
      </c>
      <c r="M574" s="37">
        <f t="shared" si="50"/>
        <v>5724000</v>
      </c>
      <c r="N574" s="38">
        <f t="shared" si="53"/>
        <v>5000000</v>
      </c>
      <c r="O574" s="39" t="s">
        <v>1093</v>
      </c>
      <c r="P574" s="108" t="s">
        <v>1377</v>
      </c>
    </row>
    <row r="575" spans="1:16">
      <c r="A575" s="29"/>
      <c r="B575" s="123"/>
      <c r="C575" s="124"/>
      <c r="D575" s="102"/>
      <c r="E575" s="102"/>
      <c r="F575" s="45"/>
      <c r="G575" s="45"/>
      <c r="H575" s="33"/>
      <c r="I575" s="45"/>
      <c r="J575" s="29"/>
      <c r="K575" s="29"/>
      <c r="L575" s="125"/>
      <c r="M575" s="45"/>
      <c r="N575" s="33"/>
      <c r="O575" s="126"/>
      <c r="P575" s="127"/>
    </row>
    <row r="576" spans="1:16">
      <c r="A576" s="30"/>
      <c r="B576" s="128" t="s">
        <v>7</v>
      </c>
      <c r="C576" s="29"/>
      <c r="D576" s="88"/>
      <c r="E576" s="88"/>
      <c r="F576" s="45">
        <f>SUM(F5:F575)</f>
        <v>36815199806</v>
      </c>
      <c r="G576" s="45">
        <f t="shared" ref="G576:N576" si="55">SUM(G5:G575)</f>
        <v>31802646324</v>
      </c>
      <c r="H576" s="45">
        <f t="shared" si="55"/>
        <v>438833791</v>
      </c>
      <c r="I576" s="45">
        <f t="shared" si="55"/>
        <v>440029097</v>
      </c>
      <c r="J576" s="45">
        <f t="shared" si="55"/>
        <v>19027</v>
      </c>
      <c r="K576" s="45">
        <f t="shared" si="55"/>
        <v>13238</v>
      </c>
      <c r="L576" s="45">
        <f t="shared" si="55"/>
        <v>878862888</v>
      </c>
      <c r="M576" s="45">
        <f t="shared" si="55"/>
        <v>21564048100</v>
      </c>
      <c r="N576" s="45">
        <f t="shared" si="55"/>
        <v>26982005110</v>
      </c>
      <c r="O576" s="45"/>
      <c r="P576" s="45"/>
    </row>
    <row r="577" spans="1:16">
      <c r="L577" s="133">
        <v>856598325</v>
      </c>
      <c r="M577" s="14"/>
      <c r="N577" s="14"/>
      <c r="O577" s="14"/>
      <c r="P577" s="14"/>
    </row>
    <row r="578" spans="1:16">
      <c r="L578" s="133">
        <f>856598325-L577</f>
        <v>0</v>
      </c>
      <c r="M578" s="14"/>
      <c r="N578" s="14"/>
      <c r="O578" s="14"/>
      <c r="P578" s="14"/>
    </row>
    <row r="579" spans="1:16" ht="20.25">
      <c r="A579" s="15" t="s">
        <v>1391</v>
      </c>
      <c r="B579" s="2"/>
      <c r="C579" s="3"/>
      <c r="D579" s="4"/>
      <c r="E579" s="4"/>
      <c r="F579" s="9"/>
      <c r="G579" s="3"/>
      <c r="I579" s="132"/>
      <c r="J579" s="132"/>
      <c r="M579" s="14"/>
      <c r="N579" s="14"/>
      <c r="O579" s="14"/>
      <c r="P579" s="14"/>
    </row>
    <row r="580" spans="1:16">
      <c r="A580" s="135" t="s">
        <v>2</v>
      </c>
      <c r="B580" s="135" t="s">
        <v>3</v>
      </c>
      <c r="C580" s="135" t="s">
        <v>4</v>
      </c>
      <c r="D580" s="18" t="s">
        <v>2</v>
      </c>
      <c r="E580" s="136" t="s">
        <v>5</v>
      </c>
      <c r="F580" s="137" t="s">
        <v>1392</v>
      </c>
      <c r="G580" s="137" t="s">
        <v>1393</v>
      </c>
      <c r="H580" s="137" t="s">
        <v>1394</v>
      </c>
      <c r="I580" s="138" t="s">
        <v>1395</v>
      </c>
      <c r="J580" s="139"/>
      <c r="K580" s="3"/>
      <c r="L580" s="10"/>
      <c r="M580" s="2"/>
      <c r="N580" s="2"/>
      <c r="O580" s="2"/>
      <c r="P580" s="2"/>
    </row>
    <row r="581" spans="1:16">
      <c r="A581" s="140"/>
      <c r="B581" s="140"/>
      <c r="C581" s="140"/>
      <c r="D581" s="23" t="s">
        <v>17</v>
      </c>
      <c r="E581" s="141" t="s">
        <v>18</v>
      </c>
      <c r="F581" s="142"/>
      <c r="G581" s="142"/>
      <c r="H581" s="142"/>
      <c r="I581" s="143"/>
      <c r="J581" s="139"/>
      <c r="K581" s="3"/>
      <c r="L581" s="10"/>
      <c r="M581" s="2"/>
      <c r="N581" s="2"/>
      <c r="O581" s="2"/>
      <c r="P581" s="2"/>
    </row>
    <row r="582" spans="1:16">
      <c r="A582" s="29">
        <v>1</v>
      </c>
      <c r="B582" s="30" t="s">
        <v>118</v>
      </c>
      <c r="C582" s="31" t="s">
        <v>119</v>
      </c>
      <c r="D582" s="144"/>
      <c r="E582" s="144">
        <v>41705</v>
      </c>
      <c r="F582" s="33">
        <v>15000000</v>
      </c>
      <c r="G582" s="45">
        <v>2500000</v>
      </c>
      <c r="H582" s="33">
        <v>5000000</v>
      </c>
      <c r="I582" s="29"/>
      <c r="J582" s="3"/>
      <c r="K582" s="3"/>
      <c r="L582" s="10"/>
      <c r="M582" s="3"/>
      <c r="N582" s="2"/>
      <c r="O582" s="2"/>
      <c r="P582" s="2"/>
    </row>
    <row r="583" spans="1:16" ht="18.75">
      <c r="A583" s="29">
        <f>+A582+1</f>
        <v>2</v>
      </c>
      <c r="B583" s="33" t="s">
        <v>188</v>
      </c>
      <c r="C583" s="145" t="s">
        <v>189</v>
      </c>
      <c r="D583" s="32"/>
      <c r="E583" s="32">
        <v>41971</v>
      </c>
      <c r="F583" s="48">
        <v>20000000</v>
      </c>
      <c r="G583" s="48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>
      <c r="A584" s="29">
        <f t="shared" ref="A584:A647" si="56">+A583+1</f>
        <v>3</v>
      </c>
      <c r="B584" s="33" t="s">
        <v>205</v>
      </c>
      <c r="C584" s="73" t="s">
        <v>206</v>
      </c>
      <c r="D584" s="32"/>
      <c r="E584" s="32">
        <v>42139</v>
      </c>
      <c r="F584" s="48">
        <v>10000000</v>
      </c>
      <c r="G584" s="72">
        <v>0</v>
      </c>
      <c r="H584" s="33">
        <v>3000000</v>
      </c>
      <c r="I584" s="146"/>
      <c r="J584" s="147"/>
      <c r="K584" s="3"/>
      <c r="L584" s="10"/>
      <c r="M584" s="147"/>
      <c r="N584" s="11"/>
      <c r="O584" s="12"/>
      <c r="P584" s="13"/>
    </row>
    <row r="585" spans="1:16">
      <c r="A585" s="29">
        <f t="shared" si="56"/>
        <v>4</v>
      </c>
      <c r="B585" s="30" t="s">
        <v>257</v>
      </c>
      <c r="C585" s="31" t="s">
        <v>258</v>
      </c>
      <c r="D585" s="32"/>
      <c r="E585" s="32">
        <v>41982</v>
      </c>
      <c r="F585" s="33">
        <v>10000000</v>
      </c>
      <c r="G585" s="48">
        <v>0</v>
      </c>
      <c r="H585" s="33">
        <v>0</v>
      </c>
      <c r="I585" s="29"/>
      <c r="J585" s="3"/>
      <c r="K585" s="2"/>
      <c r="L585" s="2"/>
      <c r="M585" s="3"/>
      <c r="N585" s="2"/>
      <c r="O585" s="2"/>
      <c r="P585" s="2"/>
    </row>
    <row r="586" spans="1:16">
      <c r="A586" s="29">
        <f t="shared" si="56"/>
        <v>5</v>
      </c>
      <c r="B586" s="33" t="s">
        <v>1396</v>
      </c>
      <c r="C586" s="73" t="s">
        <v>1397</v>
      </c>
      <c r="D586" s="32"/>
      <c r="E586" s="32">
        <v>41907</v>
      </c>
      <c r="F586" s="33">
        <v>10000000</v>
      </c>
      <c r="G586" s="48">
        <v>0</v>
      </c>
      <c r="H586" s="33">
        <v>0</v>
      </c>
      <c r="I586" s="29"/>
      <c r="J586" s="3"/>
      <c r="K586" s="2"/>
      <c r="L586" s="2"/>
      <c r="M586" s="3"/>
      <c r="N586" s="2"/>
      <c r="O586" s="2"/>
      <c r="P586" s="2"/>
    </row>
    <row r="587" spans="1:16">
      <c r="A587" s="29">
        <f t="shared" si="56"/>
        <v>6</v>
      </c>
      <c r="B587" s="30" t="s">
        <v>400</v>
      </c>
      <c r="C587" s="31" t="s">
        <v>401</v>
      </c>
      <c r="D587" s="102"/>
      <c r="E587" s="102">
        <v>41473</v>
      </c>
      <c r="F587" s="33">
        <f>20000000</f>
        <v>20000000</v>
      </c>
      <c r="G587" s="33">
        <f>2500000</f>
        <v>2500000</v>
      </c>
      <c r="H587" s="33">
        <f>2500000</f>
        <v>2500000</v>
      </c>
      <c r="I587" s="29"/>
      <c r="J587" s="3"/>
      <c r="K587" s="2"/>
      <c r="L587" s="2"/>
      <c r="M587" s="3"/>
      <c r="N587" s="2"/>
      <c r="O587" s="2"/>
      <c r="P587" s="2"/>
    </row>
    <row r="588" spans="1:16">
      <c r="A588" s="29">
        <f t="shared" si="56"/>
        <v>7</v>
      </c>
      <c r="B588" s="30" t="s">
        <v>412</v>
      </c>
      <c r="C588" s="31" t="s">
        <v>413</v>
      </c>
      <c r="D588" s="32"/>
      <c r="E588" s="32">
        <v>42248</v>
      </c>
      <c r="F588" s="33">
        <v>50000000</v>
      </c>
      <c r="G588" s="33">
        <v>0</v>
      </c>
      <c r="H588" s="33">
        <v>0</v>
      </c>
      <c r="I588" s="31" t="s">
        <v>1398</v>
      </c>
      <c r="J588" s="148"/>
      <c r="K588" s="3"/>
      <c r="L588" s="10"/>
      <c r="M588" s="149"/>
      <c r="N588" s="150"/>
      <c r="O588" s="150"/>
      <c r="P588" s="13"/>
    </row>
    <row r="589" spans="1:16">
      <c r="A589" s="29">
        <f t="shared" si="56"/>
        <v>8</v>
      </c>
      <c r="B589" s="33" t="s">
        <v>420</v>
      </c>
      <c r="C589" s="73" t="s">
        <v>421</v>
      </c>
      <c r="D589" s="32"/>
      <c r="E589" s="32">
        <v>41907</v>
      </c>
      <c r="F589" s="33">
        <v>40000000</v>
      </c>
      <c r="G589" s="45">
        <v>5000000</v>
      </c>
      <c r="H589" s="33">
        <v>5000000</v>
      </c>
      <c r="I589" s="29"/>
      <c r="J589" s="3"/>
      <c r="K589" s="2"/>
      <c r="L589" s="2"/>
      <c r="M589" s="3"/>
      <c r="N589" s="2"/>
      <c r="O589" s="2"/>
      <c r="P589" s="2"/>
    </row>
    <row r="590" spans="1:16">
      <c r="A590" s="29">
        <f t="shared" si="56"/>
        <v>9</v>
      </c>
      <c r="B590" s="30" t="s">
        <v>437</v>
      </c>
      <c r="C590" s="31" t="s">
        <v>438</v>
      </c>
      <c r="D590" s="32"/>
      <c r="E590" s="32">
        <v>42163</v>
      </c>
      <c r="F590" s="33">
        <v>25000000</v>
      </c>
      <c r="G590" s="106">
        <v>6000000</v>
      </c>
      <c r="H590" s="151">
        <v>6000000</v>
      </c>
      <c r="I590" s="146"/>
      <c r="J590" s="147"/>
      <c r="K590" s="3"/>
      <c r="L590" s="10"/>
      <c r="M590" s="147"/>
      <c r="N590" s="11"/>
      <c r="O590" s="12"/>
      <c r="P590" s="13"/>
    </row>
    <row r="591" spans="1:16">
      <c r="A591" s="29">
        <f t="shared" si="56"/>
        <v>10</v>
      </c>
      <c r="B591" s="33" t="s">
        <v>440</v>
      </c>
      <c r="C591" s="73" t="s">
        <v>441</v>
      </c>
      <c r="D591" s="32"/>
      <c r="E591" s="32">
        <v>42151</v>
      </c>
      <c r="F591" s="48">
        <v>8000000</v>
      </c>
      <c r="G591" s="72">
        <v>0</v>
      </c>
      <c r="H591" s="33">
        <v>0</v>
      </c>
      <c r="I591" s="29"/>
      <c r="J591" s="3"/>
      <c r="K591" s="152"/>
      <c r="L591" s="3"/>
      <c r="M591" s="3"/>
      <c r="N591" s="11"/>
      <c r="O591" s="12"/>
      <c r="P591" s="13"/>
    </row>
    <row r="592" spans="1:16">
      <c r="A592" s="29">
        <f t="shared" si="56"/>
        <v>11</v>
      </c>
      <c r="B592" s="30" t="s">
        <v>458</v>
      </c>
      <c r="C592" s="31">
        <v>901781</v>
      </c>
      <c r="D592" s="47"/>
      <c r="E592" s="47">
        <v>41586</v>
      </c>
      <c r="F592" s="33">
        <v>1000000</v>
      </c>
      <c r="G592" s="45">
        <v>1000000</v>
      </c>
      <c r="H592" s="33">
        <v>1000000</v>
      </c>
      <c r="I592" s="29"/>
      <c r="J592" s="3"/>
      <c r="K592" s="2"/>
      <c r="L592" s="2"/>
      <c r="M592" s="3"/>
      <c r="N592" s="2"/>
      <c r="O592" s="2"/>
      <c r="P592" s="2"/>
    </row>
    <row r="593" spans="1:16">
      <c r="A593" s="29">
        <f t="shared" si="56"/>
        <v>12</v>
      </c>
      <c r="B593" s="30" t="s">
        <v>468</v>
      </c>
      <c r="C593" s="31" t="s">
        <v>469</v>
      </c>
      <c r="D593" s="32"/>
      <c r="E593" s="32">
        <v>42160</v>
      </c>
      <c r="F593" s="33">
        <v>10000000</v>
      </c>
      <c r="G593" s="106">
        <v>0</v>
      </c>
      <c r="H593" s="151">
        <v>2000000</v>
      </c>
      <c r="I593" s="146"/>
      <c r="J593" s="147"/>
      <c r="K593" s="3"/>
      <c r="L593" s="10"/>
      <c r="M593" s="147"/>
      <c r="N593" s="11"/>
      <c r="O593" s="12"/>
      <c r="P593" s="13"/>
    </row>
    <row r="594" spans="1:16">
      <c r="A594" s="29">
        <f t="shared" si="56"/>
        <v>13</v>
      </c>
      <c r="B594" s="33" t="s">
        <v>477</v>
      </c>
      <c r="C594" s="73" t="s">
        <v>478</v>
      </c>
      <c r="D594" s="32"/>
      <c r="E594" s="32">
        <v>42150</v>
      </c>
      <c r="F594" s="48">
        <v>15000000</v>
      </c>
      <c r="G594" s="153">
        <v>0</v>
      </c>
      <c r="H594" s="72">
        <v>0</v>
      </c>
      <c r="I594" s="29"/>
      <c r="J594" s="3"/>
      <c r="K594" s="154"/>
      <c r="L594" s="3"/>
      <c r="M594" s="3"/>
      <c r="N594" s="11"/>
      <c r="O594" s="12"/>
      <c r="P594" s="13"/>
    </row>
    <row r="595" spans="1:16">
      <c r="A595" s="29">
        <f t="shared" si="56"/>
        <v>14</v>
      </c>
      <c r="B595" s="30" t="s">
        <v>1399</v>
      </c>
      <c r="C595" s="31" t="s">
        <v>1400</v>
      </c>
      <c r="D595" s="32"/>
      <c r="E595" s="32">
        <v>41960</v>
      </c>
      <c r="F595" s="33">
        <v>20000000</v>
      </c>
      <c r="G595" s="45">
        <v>6000000</v>
      </c>
      <c r="H595" s="45">
        <v>5880000</v>
      </c>
      <c r="I595" s="29"/>
      <c r="J595" s="3"/>
      <c r="K595" s="2"/>
      <c r="L595" s="2"/>
      <c r="M595" s="3"/>
      <c r="N595" s="2"/>
      <c r="O595" s="2"/>
      <c r="P595" s="2"/>
    </row>
    <row r="596" spans="1:16">
      <c r="A596" s="29">
        <f t="shared" si="56"/>
        <v>15</v>
      </c>
      <c r="B596" s="30" t="s">
        <v>545</v>
      </c>
      <c r="C596" s="31" t="s">
        <v>546</v>
      </c>
      <c r="D596" s="32"/>
      <c r="E596" s="32">
        <v>42227</v>
      </c>
      <c r="F596" s="33">
        <v>10000000</v>
      </c>
      <c r="G596" s="33">
        <v>5000000</v>
      </c>
      <c r="H596" s="33">
        <v>0</v>
      </c>
      <c r="I596" s="29"/>
      <c r="J596" s="3"/>
      <c r="K596" s="2"/>
      <c r="L596" s="150"/>
      <c r="M596" s="155"/>
      <c r="N596" s="150"/>
      <c r="O596" s="150"/>
      <c r="P596" s="13"/>
    </row>
    <row r="597" spans="1:16">
      <c r="A597" s="29">
        <f t="shared" si="56"/>
        <v>16</v>
      </c>
      <c r="B597" s="33" t="s">
        <v>549</v>
      </c>
      <c r="C597" s="73" t="s">
        <v>550</v>
      </c>
      <c r="D597" s="32"/>
      <c r="E597" s="32">
        <v>42153</v>
      </c>
      <c r="F597" s="48">
        <v>5000000</v>
      </c>
      <c r="G597" s="72">
        <v>0</v>
      </c>
      <c r="H597" s="33">
        <v>0</v>
      </c>
      <c r="I597" s="73" t="s">
        <v>1401</v>
      </c>
      <c r="J597" s="156"/>
      <c r="K597" s="154"/>
      <c r="L597" s="3"/>
      <c r="M597" s="156"/>
      <c r="N597" s="157"/>
      <c r="O597" s="12"/>
      <c r="P597" s="13"/>
    </row>
    <row r="598" spans="1:16">
      <c r="A598" s="29">
        <f t="shared" si="56"/>
        <v>17</v>
      </c>
      <c r="B598" s="33" t="s">
        <v>549</v>
      </c>
      <c r="C598" s="73" t="s">
        <v>550</v>
      </c>
      <c r="D598" s="32"/>
      <c r="E598" s="32">
        <v>42153</v>
      </c>
      <c r="F598" s="48">
        <v>5000000</v>
      </c>
      <c r="G598" s="72"/>
      <c r="H598" s="33"/>
      <c r="I598" s="73" t="s">
        <v>1402</v>
      </c>
      <c r="J598" s="156"/>
      <c r="K598" s="154"/>
      <c r="L598" s="3"/>
      <c r="M598" s="156"/>
      <c r="N598" s="157"/>
      <c r="O598" s="12"/>
      <c r="P598" s="13"/>
    </row>
    <row r="599" spans="1:16">
      <c r="A599" s="29">
        <f t="shared" si="56"/>
        <v>18</v>
      </c>
      <c r="B599" s="30" t="s">
        <v>1403</v>
      </c>
      <c r="C599" s="31" t="s">
        <v>1404</v>
      </c>
      <c r="D599" s="32"/>
      <c r="E599" s="32">
        <v>41968</v>
      </c>
      <c r="F599" s="33">
        <v>10000000</v>
      </c>
      <c r="G599" s="48">
        <v>0</v>
      </c>
      <c r="H599" s="33">
        <v>0</v>
      </c>
      <c r="I599" s="29"/>
      <c r="J599" s="3"/>
      <c r="K599" s="148"/>
      <c r="L599" s="2"/>
      <c r="M599" s="3"/>
      <c r="N599" s="2"/>
      <c r="O599" s="2"/>
      <c r="P599" s="2"/>
    </row>
    <row r="600" spans="1:16">
      <c r="A600" s="29">
        <f t="shared" si="56"/>
        <v>19</v>
      </c>
      <c r="B600" s="30" t="s">
        <v>583</v>
      </c>
      <c r="C600" s="31" t="s">
        <v>584</v>
      </c>
      <c r="D600" s="32"/>
      <c r="E600" s="32">
        <v>42186</v>
      </c>
      <c r="F600" s="48">
        <v>7500000</v>
      </c>
      <c r="G600" s="72">
        <v>0</v>
      </c>
      <c r="H600" s="33">
        <v>0</v>
      </c>
      <c r="I600" s="73" t="s">
        <v>1405</v>
      </c>
      <c r="J600" s="156"/>
      <c r="K600" s="154"/>
      <c r="L600" s="157"/>
      <c r="M600" s="156"/>
      <c r="N600" s="11"/>
      <c r="O600" s="12"/>
      <c r="P600" s="13"/>
    </row>
    <row r="601" spans="1:16">
      <c r="A601" s="29">
        <f t="shared" si="56"/>
        <v>20</v>
      </c>
      <c r="B601" s="30" t="s">
        <v>583</v>
      </c>
      <c r="C601" s="31" t="s">
        <v>584</v>
      </c>
      <c r="D601" s="32"/>
      <c r="E601" s="32">
        <v>42186</v>
      </c>
      <c r="F601" s="48">
        <v>7500000</v>
      </c>
      <c r="G601" s="72">
        <v>0</v>
      </c>
      <c r="H601" s="33">
        <v>0</v>
      </c>
      <c r="I601" s="73" t="s">
        <v>1405</v>
      </c>
      <c r="J601" s="156"/>
      <c r="K601" s="154"/>
      <c r="L601" s="157"/>
      <c r="M601" s="156"/>
      <c r="N601" s="11"/>
      <c r="O601" s="12"/>
      <c r="P601" s="13"/>
    </row>
    <row r="602" spans="1:16">
      <c r="A602" s="29">
        <f t="shared" si="56"/>
        <v>21</v>
      </c>
      <c r="B602" s="33" t="s">
        <v>625</v>
      </c>
      <c r="C602" s="73" t="s">
        <v>626</v>
      </c>
      <c r="D602" s="32"/>
      <c r="E602" s="32">
        <v>42152</v>
      </c>
      <c r="F602" s="48">
        <v>10000000</v>
      </c>
      <c r="G602" s="72">
        <v>0</v>
      </c>
      <c r="H602" s="33">
        <v>0</v>
      </c>
      <c r="I602" s="73" t="s">
        <v>1406</v>
      </c>
      <c r="J602" s="156"/>
      <c r="K602" s="154"/>
      <c r="L602" s="3"/>
      <c r="M602" s="156"/>
      <c r="N602" s="11"/>
      <c r="O602" s="12"/>
      <c r="P602" s="13"/>
    </row>
    <row r="603" spans="1:16">
      <c r="A603" s="29">
        <f t="shared" si="56"/>
        <v>22</v>
      </c>
      <c r="B603" s="30" t="s">
        <v>646</v>
      </c>
      <c r="C603" s="31" t="s">
        <v>647</v>
      </c>
      <c r="D603" s="32"/>
      <c r="E603" s="32">
        <v>42241</v>
      </c>
      <c r="F603" s="33">
        <v>12500000</v>
      </c>
      <c r="G603" s="33">
        <v>0</v>
      </c>
      <c r="H603" s="33">
        <v>0</v>
      </c>
      <c r="I603" s="31" t="s">
        <v>1407</v>
      </c>
      <c r="J603" s="148"/>
      <c r="K603" s="2"/>
      <c r="L603" s="150"/>
      <c r="M603" s="149"/>
      <c r="N603" s="158"/>
      <c r="O603" s="12"/>
      <c r="P603" s="13"/>
    </row>
    <row r="604" spans="1:16">
      <c r="A604" s="29">
        <f t="shared" si="56"/>
        <v>23</v>
      </c>
      <c r="B604" s="30" t="s">
        <v>646</v>
      </c>
      <c r="C604" s="31" t="s">
        <v>647</v>
      </c>
      <c r="D604" s="32"/>
      <c r="E604" s="32">
        <v>42241</v>
      </c>
      <c r="F604" s="33">
        <v>12500000</v>
      </c>
      <c r="G604" s="33"/>
      <c r="H604" s="33"/>
      <c r="I604" s="31" t="s">
        <v>1408</v>
      </c>
      <c r="J604" s="148"/>
      <c r="K604" s="2"/>
      <c r="L604" s="150"/>
      <c r="M604" s="149"/>
      <c r="N604" s="158"/>
      <c r="O604" s="12"/>
      <c r="P604" s="13"/>
    </row>
    <row r="605" spans="1:16">
      <c r="A605" s="29">
        <f t="shared" si="56"/>
        <v>24</v>
      </c>
      <c r="B605" s="30" t="s">
        <v>655</v>
      </c>
      <c r="C605" s="31" t="s">
        <v>656</v>
      </c>
      <c r="D605" s="32"/>
      <c r="E605" s="32">
        <v>42209</v>
      </c>
      <c r="F605" s="48">
        <f>10000000</f>
        <v>10000000</v>
      </c>
      <c r="G605" s="72">
        <f>10000000</f>
        <v>10000000</v>
      </c>
      <c r="H605" s="72">
        <f>10000000</f>
        <v>10000000</v>
      </c>
      <c r="I605" s="29"/>
      <c r="J605" s="3"/>
      <c r="K605" s="154"/>
      <c r="L605" s="3"/>
      <c r="M605" s="3"/>
      <c r="N605" s="157"/>
      <c r="O605" s="157"/>
      <c r="P605" s="13"/>
    </row>
    <row r="606" spans="1:16">
      <c r="A606" s="29">
        <f t="shared" si="56"/>
        <v>25</v>
      </c>
      <c r="B606" s="30" t="s">
        <v>665</v>
      </c>
      <c r="C606" s="31" t="s">
        <v>666</v>
      </c>
      <c r="D606" s="32"/>
      <c r="E606" s="32">
        <v>42284</v>
      </c>
      <c r="F606" s="33">
        <v>25000000</v>
      </c>
      <c r="G606" s="33">
        <v>0</v>
      </c>
      <c r="H606" s="33">
        <v>0</v>
      </c>
      <c r="I606" s="146"/>
      <c r="J606" s="147"/>
      <c r="K606" s="3"/>
      <c r="L606" s="10"/>
      <c r="M606" s="147"/>
      <c r="N606" s="11"/>
      <c r="O606" s="12"/>
      <c r="P606" s="13"/>
    </row>
    <row r="607" spans="1:16">
      <c r="A607" s="29">
        <f t="shared" si="56"/>
        <v>26</v>
      </c>
      <c r="B607" s="30" t="s">
        <v>698</v>
      </c>
      <c r="C607" s="31" t="s">
        <v>699</v>
      </c>
      <c r="D607" s="32"/>
      <c r="E607" s="32">
        <v>42180</v>
      </c>
      <c r="F607" s="48">
        <f>1500000</f>
        <v>1500000</v>
      </c>
      <c r="G607" s="72">
        <v>500000</v>
      </c>
      <c r="H607" s="33">
        <v>900000</v>
      </c>
      <c r="I607" s="73" t="s">
        <v>1409</v>
      </c>
      <c r="J607" s="156"/>
      <c r="K607" s="3"/>
      <c r="L607" s="157"/>
      <c r="M607" s="156"/>
      <c r="N607" s="11"/>
      <c r="O607" s="12"/>
      <c r="P607" s="13"/>
    </row>
    <row r="608" spans="1:16">
      <c r="A608" s="29">
        <f t="shared" si="56"/>
        <v>27</v>
      </c>
      <c r="B608" s="30" t="s">
        <v>698</v>
      </c>
      <c r="C608" s="31" t="s">
        <v>699</v>
      </c>
      <c r="D608" s="32"/>
      <c r="E608" s="32">
        <v>42180</v>
      </c>
      <c r="F608" s="48">
        <f>1500000</f>
        <v>1500000</v>
      </c>
      <c r="G608" s="72">
        <v>500000</v>
      </c>
      <c r="H608" s="33">
        <v>900000</v>
      </c>
      <c r="I608" s="73" t="s">
        <v>1410</v>
      </c>
      <c r="J608" s="156"/>
      <c r="K608" s="3"/>
      <c r="L608" s="157"/>
      <c r="M608" s="156"/>
      <c r="N608" s="11"/>
      <c r="O608" s="12"/>
      <c r="P608" s="13"/>
    </row>
    <row r="609" spans="1:16">
      <c r="A609" s="29">
        <f t="shared" si="56"/>
        <v>28</v>
      </c>
      <c r="B609" s="30" t="s">
        <v>761</v>
      </c>
      <c r="C609" s="31" t="s">
        <v>762</v>
      </c>
      <c r="D609" s="32"/>
      <c r="E609" s="32">
        <v>42209</v>
      </c>
      <c r="F609" s="48">
        <v>17500000</v>
      </c>
      <c r="G609" s="72">
        <v>1000000</v>
      </c>
      <c r="H609" s="33">
        <v>1500000</v>
      </c>
      <c r="I609" s="29"/>
      <c r="J609" s="3"/>
      <c r="K609" s="154"/>
      <c r="L609" s="3"/>
      <c r="M609" s="3"/>
      <c r="N609" s="157"/>
      <c r="O609" s="157"/>
      <c r="P609" s="13"/>
    </row>
    <row r="610" spans="1:16">
      <c r="A610" s="29">
        <f t="shared" si="56"/>
        <v>29</v>
      </c>
      <c r="B610" s="30" t="s">
        <v>834</v>
      </c>
      <c r="C610" s="31">
        <v>921578</v>
      </c>
      <c r="D610" s="102"/>
      <c r="E610" s="102">
        <v>41213</v>
      </c>
      <c r="F610" s="33">
        <v>5000000</v>
      </c>
      <c r="G610" s="33">
        <v>0</v>
      </c>
      <c r="H610" s="33">
        <v>0</v>
      </c>
      <c r="I610" s="29"/>
      <c r="J610" s="3"/>
      <c r="K610" s="148"/>
      <c r="L610" s="2"/>
      <c r="M610" s="3"/>
      <c r="N610" s="2"/>
      <c r="O610" s="2"/>
      <c r="P610" s="2"/>
    </row>
    <row r="611" spans="1:16">
      <c r="A611" s="29">
        <f t="shared" si="56"/>
        <v>30</v>
      </c>
      <c r="B611" s="30" t="s">
        <v>858</v>
      </c>
      <c r="C611" s="31" t="s">
        <v>859</v>
      </c>
      <c r="D611" s="32"/>
      <c r="E611" s="32">
        <v>42244</v>
      </c>
      <c r="F611" s="33">
        <v>10000000</v>
      </c>
      <c r="G611" s="33">
        <v>3000000</v>
      </c>
      <c r="H611" s="33">
        <v>2000000</v>
      </c>
      <c r="I611" s="31" t="s">
        <v>1411</v>
      </c>
      <c r="J611" s="148"/>
      <c r="K611" s="2"/>
      <c r="L611" s="150"/>
      <c r="M611" s="149"/>
      <c r="N611" s="158"/>
      <c r="O611" s="12"/>
      <c r="P611" s="13"/>
    </row>
    <row r="612" spans="1:16">
      <c r="A612" s="29">
        <f t="shared" si="56"/>
        <v>31</v>
      </c>
      <c r="B612" s="30" t="s">
        <v>871</v>
      </c>
      <c r="C612" s="31" t="s">
        <v>872</v>
      </c>
      <c r="D612" s="32"/>
      <c r="E612" s="32">
        <v>42047</v>
      </c>
      <c r="F612" s="33">
        <v>30000000</v>
      </c>
      <c r="G612" s="48">
        <v>0</v>
      </c>
      <c r="H612" s="33">
        <v>5000000</v>
      </c>
      <c r="I612" s="29"/>
      <c r="J612" s="3"/>
      <c r="K612" s="148"/>
      <c r="L612" s="2"/>
      <c r="M612" s="3"/>
      <c r="N612" s="2"/>
      <c r="O612" s="2"/>
      <c r="P612" s="2"/>
    </row>
    <row r="613" spans="1:16">
      <c r="A613" s="29">
        <f t="shared" si="56"/>
        <v>32</v>
      </c>
      <c r="B613" s="30" t="s">
        <v>923</v>
      </c>
      <c r="C613" s="31">
        <v>960616</v>
      </c>
      <c r="D613" s="102"/>
      <c r="E613" s="102">
        <v>41213</v>
      </c>
      <c r="F613" s="33">
        <v>0</v>
      </c>
      <c r="G613" s="33">
        <v>1500000</v>
      </c>
      <c r="H613" s="33">
        <v>1000000</v>
      </c>
      <c r="I613" s="29"/>
      <c r="J613" s="3"/>
      <c r="K613" s="148"/>
      <c r="L613" s="2"/>
      <c r="M613" s="3"/>
      <c r="N613" s="2"/>
      <c r="O613" s="2"/>
      <c r="P613" s="2"/>
    </row>
    <row r="614" spans="1:16">
      <c r="A614" s="29">
        <f t="shared" si="56"/>
        <v>33</v>
      </c>
      <c r="B614" s="30" t="s">
        <v>1412</v>
      </c>
      <c r="C614" s="31" t="s">
        <v>1413</v>
      </c>
      <c r="D614" s="159"/>
      <c r="E614" s="159">
        <v>41450</v>
      </c>
      <c r="F614" s="33">
        <v>10000000</v>
      </c>
      <c r="G614" s="33">
        <v>0</v>
      </c>
      <c r="H614" s="33">
        <v>0</v>
      </c>
      <c r="I614" s="29"/>
      <c r="J614" s="3"/>
      <c r="K614" s="148"/>
      <c r="L614" s="2"/>
      <c r="M614" s="3"/>
      <c r="N614" s="2"/>
      <c r="O614" s="2"/>
      <c r="P614" s="2"/>
    </row>
    <row r="615" spans="1:16">
      <c r="A615" s="29">
        <f t="shared" si="56"/>
        <v>34</v>
      </c>
      <c r="B615" s="30" t="s">
        <v>944</v>
      </c>
      <c r="C615" s="31" t="s">
        <v>945</v>
      </c>
      <c r="D615" s="88"/>
      <c r="E615" s="88">
        <v>41878</v>
      </c>
      <c r="F615" s="33">
        <v>20000000</v>
      </c>
      <c r="G615" s="45">
        <v>5000000</v>
      </c>
      <c r="H615" s="33">
        <v>5000000</v>
      </c>
      <c r="I615" s="29"/>
      <c r="J615" s="3"/>
      <c r="K615" s="148"/>
      <c r="L615" s="2"/>
      <c r="M615" s="3"/>
      <c r="N615" s="2"/>
      <c r="O615" s="2"/>
      <c r="P615" s="2"/>
    </row>
    <row r="616" spans="1:16">
      <c r="A616" s="29">
        <f t="shared" si="56"/>
        <v>35</v>
      </c>
      <c r="B616" s="30" t="s">
        <v>1414</v>
      </c>
      <c r="C616" s="31" t="s">
        <v>1415</v>
      </c>
      <c r="D616" s="88"/>
      <c r="E616" s="88">
        <v>41962</v>
      </c>
      <c r="F616" s="33">
        <v>20000000</v>
      </c>
      <c r="G616" s="45">
        <v>6000000</v>
      </c>
      <c r="H616" s="33">
        <v>6000000</v>
      </c>
      <c r="I616" s="29"/>
      <c r="J616" s="3"/>
      <c r="K616" s="148"/>
      <c r="L616" s="2"/>
      <c r="M616" s="3"/>
      <c r="N616" s="2"/>
      <c r="O616" s="2"/>
      <c r="P616" s="2"/>
    </row>
    <row r="617" spans="1:16">
      <c r="A617" s="29">
        <f t="shared" si="56"/>
        <v>36</v>
      </c>
      <c r="B617" s="30" t="s">
        <v>1088</v>
      </c>
      <c r="C617" s="31" t="s">
        <v>1089</v>
      </c>
      <c r="D617" s="32"/>
      <c r="E617" s="32">
        <v>42264</v>
      </c>
      <c r="F617" s="33">
        <v>11000000</v>
      </c>
      <c r="G617" s="33">
        <v>3000000</v>
      </c>
      <c r="H617" s="33">
        <v>3000000</v>
      </c>
      <c r="I617" s="31" t="s">
        <v>1416</v>
      </c>
      <c r="J617" s="148"/>
      <c r="K617" s="3"/>
      <c r="L617" s="10"/>
      <c r="M617" s="149"/>
      <c r="N617" s="150"/>
      <c r="O617" s="150"/>
      <c r="P617" s="13"/>
    </row>
    <row r="618" spans="1:16">
      <c r="A618" s="29">
        <f t="shared" si="56"/>
        <v>37</v>
      </c>
      <c r="B618" s="30" t="s">
        <v>1417</v>
      </c>
      <c r="C618" s="31" t="s">
        <v>1418</v>
      </c>
      <c r="D618" s="32"/>
      <c r="E618" s="32">
        <v>42032</v>
      </c>
      <c r="F618" s="48">
        <v>10000000</v>
      </c>
      <c r="G618" s="72">
        <v>0</v>
      </c>
      <c r="H618" s="33">
        <v>2000000</v>
      </c>
      <c r="I618" s="29"/>
      <c r="J618" s="3"/>
      <c r="K618" s="148"/>
      <c r="L618" s="2"/>
      <c r="M618" s="3"/>
      <c r="N618" s="2"/>
      <c r="O618" s="2"/>
      <c r="P618" s="2"/>
    </row>
    <row r="619" spans="1:16">
      <c r="A619" s="29">
        <f t="shared" si="56"/>
        <v>38</v>
      </c>
      <c r="B619" s="30" t="s">
        <v>1205</v>
      </c>
      <c r="C619" s="31" t="s">
        <v>1206</v>
      </c>
      <c r="D619" s="32"/>
      <c r="E619" s="32">
        <v>41968</v>
      </c>
      <c r="F619" s="33">
        <v>10000000</v>
      </c>
      <c r="G619" s="45">
        <v>7500000</v>
      </c>
      <c r="H619" s="33">
        <v>2500000</v>
      </c>
      <c r="I619" s="29"/>
      <c r="J619" s="3"/>
      <c r="K619" s="148"/>
      <c r="L619" s="2"/>
      <c r="M619" s="3"/>
      <c r="N619" s="2"/>
      <c r="O619" s="2"/>
      <c r="P619" s="2"/>
    </row>
    <row r="620" spans="1:16">
      <c r="A620" s="29">
        <f t="shared" si="56"/>
        <v>39</v>
      </c>
      <c r="B620" s="30" t="s">
        <v>1245</v>
      </c>
      <c r="C620" s="31" t="s">
        <v>1246</v>
      </c>
      <c r="D620" s="32"/>
      <c r="E620" s="32">
        <v>42257</v>
      </c>
      <c r="F620" s="33">
        <v>13000000</v>
      </c>
      <c r="G620" s="33">
        <v>5000000</v>
      </c>
      <c r="H620" s="33">
        <v>5000000</v>
      </c>
      <c r="I620" s="29"/>
      <c r="J620" s="3"/>
      <c r="K620" s="3"/>
      <c r="L620" s="10"/>
      <c r="M620" s="155"/>
      <c r="N620" s="150"/>
      <c r="O620" s="150"/>
      <c r="P620" s="13"/>
    </row>
    <row r="621" spans="1:16">
      <c r="A621" s="29">
        <f t="shared" si="56"/>
        <v>40</v>
      </c>
      <c r="B621" s="30" t="s">
        <v>1271</v>
      </c>
      <c r="C621" s="31" t="s">
        <v>1272</v>
      </c>
      <c r="D621" s="32"/>
      <c r="E621" s="32">
        <v>42089</v>
      </c>
      <c r="F621" s="160">
        <v>20000000</v>
      </c>
      <c r="G621" s="72">
        <v>6000000</v>
      </c>
      <c r="H621" s="72">
        <v>6000000</v>
      </c>
      <c r="I621" s="29"/>
      <c r="J621" s="3"/>
      <c r="K621" s="148"/>
      <c r="L621" s="2"/>
      <c r="M621" s="3"/>
      <c r="N621" s="2"/>
      <c r="O621" s="2"/>
      <c r="P621" s="2"/>
    </row>
    <row r="622" spans="1:16">
      <c r="A622" s="29">
        <f t="shared" si="56"/>
        <v>41</v>
      </c>
      <c r="B622" s="30" t="s">
        <v>1282</v>
      </c>
      <c r="C622" s="31" t="s">
        <v>1283</v>
      </c>
      <c r="D622" s="32"/>
      <c r="E622" s="32">
        <v>42212</v>
      </c>
      <c r="F622" s="48">
        <v>7500000</v>
      </c>
      <c r="G622" s="72">
        <v>2500000</v>
      </c>
      <c r="H622" s="33">
        <v>2500000</v>
      </c>
      <c r="I622" s="73" t="s">
        <v>1419</v>
      </c>
      <c r="J622" s="156"/>
      <c r="K622" s="154"/>
      <c r="L622" s="3"/>
      <c r="M622" s="156"/>
      <c r="N622" s="157"/>
      <c r="O622" s="157"/>
      <c r="P622" s="13"/>
    </row>
    <row r="623" spans="1:16">
      <c r="A623" s="29">
        <f t="shared" si="56"/>
        <v>42</v>
      </c>
      <c r="B623" s="30" t="s">
        <v>1282</v>
      </c>
      <c r="C623" s="31" t="s">
        <v>1283</v>
      </c>
      <c r="D623" s="32"/>
      <c r="E623" s="32">
        <v>42212</v>
      </c>
      <c r="F623" s="48">
        <v>7500000</v>
      </c>
      <c r="G623" s="72">
        <v>2500000</v>
      </c>
      <c r="H623" s="72">
        <v>2500000</v>
      </c>
      <c r="I623" s="73" t="s">
        <v>1420</v>
      </c>
      <c r="J623" s="156"/>
      <c r="K623" s="154"/>
      <c r="L623" s="3"/>
      <c r="M623" s="156"/>
      <c r="N623" s="157"/>
      <c r="O623" s="157"/>
      <c r="P623" s="13"/>
    </row>
    <row r="624" spans="1:16">
      <c r="A624" s="29">
        <f t="shared" si="56"/>
        <v>43</v>
      </c>
      <c r="B624" s="33" t="s">
        <v>1295</v>
      </c>
      <c r="C624" s="73" t="s">
        <v>1296</v>
      </c>
      <c r="D624" s="32"/>
      <c r="E624" s="32">
        <v>42152</v>
      </c>
      <c r="F624" s="48">
        <v>10000000</v>
      </c>
      <c r="G624" s="72">
        <v>3000000</v>
      </c>
      <c r="H624" s="33">
        <v>4000000</v>
      </c>
      <c r="I624" s="29"/>
      <c r="J624" s="3"/>
      <c r="K624" s="152"/>
      <c r="L624" s="3"/>
      <c r="M624" s="3"/>
      <c r="N624" s="11"/>
      <c r="O624" s="12"/>
      <c r="P624" s="13"/>
    </row>
    <row r="625" spans="1:16">
      <c r="A625" s="29">
        <f t="shared" si="56"/>
        <v>44</v>
      </c>
      <c r="B625" s="30" t="s">
        <v>1313</v>
      </c>
      <c r="C625" s="31" t="s">
        <v>1314</v>
      </c>
      <c r="D625" s="32"/>
      <c r="E625" s="32">
        <v>42213</v>
      </c>
      <c r="F625" s="48">
        <v>12000000</v>
      </c>
      <c r="G625" s="72">
        <v>0</v>
      </c>
      <c r="H625" s="33">
        <v>0</v>
      </c>
      <c r="I625" s="29"/>
      <c r="J625" s="3"/>
      <c r="K625" s="154"/>
      <c r="L625" s="3"/>
      <c r="M625" s="3"/>
      <c r="N625" s="157"/>
      <c r="O625" s="11"/>
      <c r="P625" s="13"/>
    </row>
    <row r="626" spans="1:16">
      <c r="A626" s="29">
        <f t="shared" si="56"/>
        <v>45</v>
      </c>
      <c r="B626" s="33" t="s">
        <v>1319</v>
      </c>
      <c r="C626" s="73" t="s">
        <v>1320</v>
      </c>
      <c r="D626" s="32"/>
      <c r="E626" s="32">
        <v>42152</v>
      </c>
      <c r="F626" s="48">
        <v>7500000</v>
      </c>
      <c r="G626" s="72">
        <v>1250000</v>
      </c>
      <c r="H626" s="33">
        <v>1250000</v>
      </c>
      <c r="I626" s="73" t="s">
        <v>1421</v>
      </c>
      <c r="J626" s="156"/>
      <c r="K626" s="154"/>
      <c r="L626" s="3"/>
      <c r="M626" s="156"/>
      <c r="N626" s="157"/>
      <c r="O626" s="12"/>
      <c r="P626" s="13"/>
    </row>
    <row r="627" spans="1:16">
      <c r="A627" s="29">
        <f t="shared" si="56"/>
        <v>46</v>
      </c>
      <c r="B627" s="33" t="s">
        <v>1319</v>
      </c>
      <c r="C627" s="73" t="s">
        <v>1320</v>
      </c>
      <c r="D627" s="32"/>
      <c r="E627" s="32">
        <v>42152</v>
      </c>
      <c r="F627" s="48">
        <v>7500000</v>
      </c>
      <c r="G627" s="48">
        <v>1250000</v>
      </c>
      <c r="H627" s="48">
        <v>1250000</v>
      </c>
      <c r="I627" s="73" t="s">
        <v>1422</v>
      </c>
      <c r="J627" s="156"/>
      <c r="K627" s="154"/>
      <c r="L627" s="3"/>
      <c r="M627" s="156"/>
      <c r="N627" s="157"/>
      <c r="O627" s="12"/>
      <c r="P627" s="13"/>
    </row>
    <row r="628" spans="1:16">
      <c r="A628" s="29">
        <f t="shared" si="56"/>
        <v>47</v>
      </c>
      <c r="B628" s="30" t="s">
        <v>1336</v>
      </c>
      <c r="C628" s="31" t="s">
        <v>1337</v>
      </c>
      <c r="D628" s="32"/>
      <c r="E628" s="32">
        <v>42181</v>
      </c>
      <c r="F628" s="48">
        <v>8000000</v>
      </c>
      <c r="G628" s="72">
        <v>0</v>
      </c>
      <c r="H628" s="33">
        <v>0</v>
      </c>
      <c r="I628" s="73" t="s">
        <v>1423</v>
      </c>
      <c r="J628" s="156"/>
      <c r="K628" s="3"/>
      <c r="L628" s="157"/>
      <c r="M628" s="156"/>
      <c r="N628" s="11"/>
      <c r="O628" s="12"/>
      <c r="P628" s="13"/>
    </row>
    <row r="629" spans="1:16">
      <c r="A629" s="29">
        <f t="shared" si="56"/>
        <v>48</v>
      </c>
      <c r="B629" s="30" t="s">
        <v>640</v>
      </c>
      <c r="C629" s="31" t="s">
        <v>641</v>
      </c>
      <c r="D629" s="32"/>
      <c r="E629" s="32">
        <v>42313</v>
      </c>
      <c r="F629" s="33">
        <v>20000000</v>
      </c>
      <c r="G629" s="33">
        <v>5000000</v>
      </c>
      <c r="H629" s="33">
        <v>5000000</v>
      </c>
      <c r="I629" s="31" t="s">
        <v>1424</v>
      </c>
      <c r="J629" s="148"/>
      <c r="K629" s="3"/>
      <c r="L629" s="10"/>
      <c r="M629" s="149"/>
      <c r="N629" s="11"/>
      <c r="O629" s="12"/>
      <c r="P629" s="13"/>
    </row>
    <row r="630" spans="1:16">
      <c r="A630" s="29">
        <f t="shared" si="56"/>
        <v>49</v>
      </c>
      <c r="B630" s="30" t="s">
        <v>890</v>
      </c>
      <c r="C630" s="31" t="s">
        <v>891</v>
      </c>
      <c r="D630" s="32"/>
      <c r="E630" s="32">
        <v>42325</v>
      </c>
      <c r="F630" s="33">
        <v>6000000</v>
      </c>
      <c r="G630" s="33">
        <v>2000000</v>
      </c>
      <c r="H630" s="33">
        <v>2000000</v>
      </c>
      <c r="I630" s="31" t="s">
        <v>1425</v>
      </c>
      <c r="J630" s="148"/>
      <c r="K630" s="3"/>
      <c r="L630" s="10"/>
      <c r="M630" s="149"/>
      <c r="N630" s="11"/>
      <c r="O630" s="12"/>
      <c r="P630" s="13"/>
    </row>
    <row r="631" spans="1:16">
      <c r="A631" s="29">
        <f t="shared" si="56"/>
        <v>50</v>
      </c>
      <c r="B631" s="30" t="s">
        <v>890</v>
      </c>
      <c r="C631" s="31" t="s">
        <v>891</v>
      </c>
      <c r="D631" s="32"/>
      <c r="E631" s="32">
        <v>42325</v>
      </c>
      <c r="F631" s="33">
        <v>6000000</v>
      </c>
      <c r="G631" s="33">
        <v>2000000</v>
      </c>
      <c r="H631" s="33">
        <v>2000000</v>
      </c>
      <c r="I631" s="31" t="s">
        <v>1425</v>
      </c>
      <c r="J631" s="148"/>
      <c r="K631" s="3"/>
      <c r="L631" s="10"/>
      <c r="M631" s="149"/>
      <c r="N631" s="11"/>
      <c r="O631" s="12"/>
      <c r="P631" s="13"/>
    </row>
    <row r="632" spans="1:16">
      <c r="A632" s="29">
        <f t="shared" si="56"/>
        <v>51</v>
      </c>
      <c r="B632" s="30" t="s">
        <v>1101</v>
      </c>
      <c r="C632" s="31" t="s">
        <v>1102</v>
      </c>
      <c r="D632" s="32"/>
      <c r="E632" s="32">
        <v>42333</v>
      </c>
      <c r="F632" s="42">
        <v>10000000</v>
      </c>
      <c r="G632" s="42">
        <v>0</v>
      </c>
      <c r="H632" s="42">
        <v>2500000</v>
      </c>
      <c r="I632" s="31" t="s">
        <v>1426</v>
      </c>
      <c r="J632" s="148"/>
      <c r="K632" s="2"/>
      <c r="L632" s="150"/>
      <c r="M632" s="149"/>
      <c r="N632" s="158"/>
      <c r="O632" s="12"/>
      <c r="P632" s="13"/>
    </row>
    <row r="633" spans="1:16">
      <c r="A633" s="29">
        <f t="shared" si="56"/>
        <v>52</v>
      </c>
      <c r="B633" s="30" t="s">
        <v>1101</v>
      </c>
      <c r="C633" s="31" t="s">
        <v>1102</v>
      </c>
      <c r="D633" s="32"/>
      <c r="E633" s="32">
        <v>42333</v>
      </c>
      <c r="F633" s="42">
        <v>10000000</v>
      </c>
      <c r="G633" s="42">
        <v>0</v>
      </c>
      <c r="H633" s="42">
        <v>2500000</v>
      </c>
      <c r="I633" s="31" t="s">
        <v>1427</v>
      </c>
      <c r="J633" s="148"/>
      <c r="K633" s="2"/>
      <c r="L633" s="150"/>
      <c r="M633" s="149"/>
      <c r="N633" s="158"/>
      <c r="O633" s="12"/>
      <c r="P633" s="13"/>
    </row>
    <row r="634" spans="1:16">
      <c r="A634" s="29">
        <f t="shared" si="56"/>
        <v>53</v>
      </c>
      <c r="B634" s="30" t="s">
        <v>819</v>
      </c>
      <c r="C634" s="31" t="s">
        <v>820</v>
      </c>
      <c r="D634" s="32"/>
      <c r="E634" s="32">
        <v>42333</v>
      </c>
      <c r="F634" s="42">
        <v>10000000</v>
      </c>
      <c r="G634" s="42">
        <v>1500000</v>
      </c>
      <c r="H634" s="42">
        <v>1500000</v>
      </c>
      <c r="I634" s="31" t="s">
        <v>1428</v>
      </c>
      <c r="J634" s="148"/>
      <c r="K634" s="2"/>
      <c r="L634" s="150"/>
      <c r="M634" s="149"/>
      <c r="N634" s="150"/>
      <c r="O634" s="12"/>
      <c r="P634" s="13"/>
    </row>
    <row r="635" spans="1:16">
      <c r="A635" s="29">
        <f t="shared" si="56"/>
        <v>54</v>
      </c>
      <c r="B635" s="30" t="s">
        <v>611</v>
      </c>
      <c r="C635" s="31" t="s">
        <v>612</v>
      </c>
      <c r="D635" s="32"/>
      <c r="E635" s="32">
        <v>42333</v>
      </c>
      <c r="F635" s="42">
        <v>5000000</v>
      </c>
      <c r="G635" s="42">
        <v>0</v>
      </c>
      <c r="H635" s="42">
        <v>0</v>
      </c>
      <c r="I635" s="31" t="s">
        <v>1429</v>
      </c>
      <c r="J635" s="148"/>
      <c r="K635" s="2"/>
      <c r="L635" s="150"/>
      <c r="M635" s="149"/>
      <c r="N635" s="158"/>
      <c r="O635" s="12"/>
      <c r="P635" s="13"/>
    </row>
    <row r="636" spans="1:16">
      <c r="A636" s="29">
        <f t="shared" si="56"/>
        <v>55</v>
      </c>
      <c r="B636" s="30" t="s">
        <v>611</v>
      </c>
      <c r="C636" s="31" t="s">
        <v>612</v>
      </c>
      <c r="D636" s="32"/>
      <c r="E636" s="32">
        <v>42333</v>
      </c>
      <c r="F636" s="42">
        <v>5000000</v>
      </c>
      <c r="G636" s="42">
        <v>0</v>
      </c>
      <c r="H636" s="42">
        <v>0</v>
      </c>
      <c r="I636" s="31" t="s">
        <v>1430</v>
      </c>
      <c r="J636" s="148"/>
      <c r="K636" s="2"/>
      <c r="L636" s="150"/>
      <c r="M636" s="149"/>
      <c r="N636" s="158"/>
      <c r="O636" s="12"/>
      <c r="P636" s="13"/>
    </row>
    <row r="637" spans="1:16">
      <c r="A637" s="29">
        <f t="shared" si="56"/>
        <v>56</v>
      </c>
      <c r="B637" s="30" t="s">
        <v>1160</v>
      </c>
      <c r="C637" s="31" t="s">
        <v>1161</v>
      </c>
      <c r="D637" s="32"/>
      <c r="E637" s="32">
        <v>42333</v>
      </c>
      <c r="F637" s="42">
        <v>5000000</v>
      </c>
      <c r="G637" s="42">
        <v>2500000</v>
      </c>
      <c r="H637" s="42">
        <v>2500000</v>
      </c>
      <c r="I637" s="31" t="s">
        <v>1431</v>
      </c>
      <c r="J637" s="148"/>
      <c r="K637" s="2"/>
      <c r="L637" s="150"/>
      <c r="M637" s="149"/>
      <c r="N637" s="158"/>
      <c r="O637" s="12"/>
      <c r="P637" s="13"/>
    </row>
    <row r="638" spans="1:16">
      <c r="A638" s="29">
        <f t="shared" si="56"/>
        <v>57</v>
      </c>
      <c r="B638" s="30" t="s">
        <v>1160</v>
      </c>
      <c r="C638" s="31" t="s">
        <v>1161</v>
      </c>
      <c r="D638" s="32"/>
      <c r="E638" s="32">
        <v>42333</v>
      </c>
      <c r="F638" s="42">
        <v>5000000</v>
      </c>
      <c r="G638" s="42">
        <v>2500000</v>
      </c>
      <c r="H638" s="42">
        <v>2500000</v>
      </c>
      <c r="I638" s="31" t="s">
        <v>1432</v>
      </c>
      <c r="J638" s="148"/>
      <c r="K638" s="2"/>
      <c r="L638" s="150"/>
      <c r="M638" s="149"/>
      <c r="N638" s="158"/>
      <c r="O638" s="12"/>
      <c r="P638" s="13"/>
    </row>
    <row r="639" spans="1:16">
      <c r="A639" s="29">
        <f t="shared" si="56"/>
        <v>58</v>
      </c>
      <c r="B639" s="30" t="s">
        <v>1064</v>
      </c>
      <c r="C639" s="31" t="s">
        <v>1065</v>
      </c>
      <c r="D639" s="32"/>
      <c r="E639" s="32">
        <v>42346</v>
      </c>
      <c r="F639" s="35">
        <v>10000000</v>
      </c>
      <c r="G639" s="35">
        <v>2500000</v>
      </c>
      <c r="H639" s="161">
        <v>2500000</v>
      </c>
      <c r="I639" s="31" t="s">
        <v>1433</v>
      </c>
      <c r="J639" s="148"/>
      <c r="K639" s="3"/>
      <c r="L639" s="10"/>
      <c r="M639" s="149"/>
      <c r="N639" s="11"/>
      <c r="O639" s="12"/>
      <c r="P639" s="13"/>
    </row>
    <row r="640" spans="1:16">
      <c r="A640" s="29">
        <f t="shared" si="56"/>
        <v>59</v>
      </c>
      <c r="B640" s="30" t="s">
        <v>1064</v>
      </c>
      <c r="C640" s="31" t="s">
        <v>1065</v>
      </c>
      <c r="D640" s="32"/>
      <c r="E640" s="32">
        <v>42346</v>
      </c>
      <c r="F640" s="40">
        <v>10000000</v>
      </c>
      <c r="G640" s="40">
        <v>2500000</v>
      </c>
      <c r="H640" s="161">
        <v>2500000</v>
      </c>
      <c r="I640" s="31" t="s">
        <v>1434</v>
      </c>
      <c r="J640" s="148"/>
      <c r="K640" s="3"/>
      <c r="L640" s="10"/>
      <c r="M640" s="149"/>
      <c r="N640" s="11"/>
      <c r="O640" s="12"/>
      <c r="P640" s="13"/>
    </row>
    <row r="641" spans="1:16">
      <c r="A641" s="29">
        <f t="shared" si="56"/>
        <v>60</v>
      </c>
      <c r="B641" s="30" t="s">
        <v>1194</v>
      </c>
      <c r="C641" s="31" t="s">
        <v>1195</v>
      </c>
      <c r="D641" s="32"/>
      <c r="E641" s="32">
        <v>42355</v>
      </c>
      <c r="F641" s="42">
        <v>7500000</v>
      </c>
      <c r="G641" s="42">
        <v>2500000</v>
      </c>
      <c r="H641" s="42">
        <v>2500000</v>
      </c>
      <c r="I641" s="31" t="s">
        <v>1435</v>
      </c>
      <c r="J641" s="148"/>
      <c r="K641" s="3"/>
      <c r="L641" s="10"/>
      <c r="M641" s="149"/>
      <c r="N641" s="150"/>
      <c r="O641" s="12"/>
      <c r="P641" s="13"/>
    </row>
    <row r="642" spans="1:16">
      <c r="A642" s="29">
        <f t="shared" si="56"/>
        <v>61</v>
      </c>
      <c r="B642" s="30" t="s">
        <v>81</v>
      </c>
      <c r="C642" s="31" t="s">
        <v>82</v>
      </c>
      <c r="D642" s="47"/>
      <c r="E642" s="47">
        <v>42368</v>
      </c>
      <c r="F642" s="33">
        <v>17000000</v>
      </c>
      <c r="G642" s="33">
        <v>1500000</v>
      </c>
      <c r="H642" s="33">
        <v>1500000</v>
      </c>
      <c r="I642" s="31" t="s">
        <v>1436</v>
      </c>
      <c r="J642" s="148"/>
      <c r="K642" s="3"/>
      <c r="L642" s="10"/>
      <c r="M642" s="149"/>
      <c r="N642" s="150"/>
      <c r="O642" s="12"/>
      <c r="P642" s="13"/>
    </row>
    <row r="643" spans="1:16">
      <c r="A643" s="29">
        <f t="shared" si="56"/>
        <v>62</v>
      </c>
      <c r="B643" s="30" t="s">
        <v>588</v>
      </c>
      <c r="C643" s="31" t="s">
        <v>589</v>
      </c>
      <c r="D643" s="47"/>
      <c r="E643" s="47">
        <v>42369</v>
      </c>
      <c r="F643" s="33">
        <v>20000000</v>
      </c>
      <c r="G643" s="33">
        <v>5000000</v>
      </c>
      <c r="H643" s="33">
        <v>5000000</v>
      </c>
      <c r="I643" s="31"/>
      <c r="J643" s="148"/>
      <c r="K643" s="3"/>
      <c r="L643" s="10"/>
      <c r="M643" s="149"/>
      <c r="N643" s="150"/>
      <c r="O643" s="12"/>
      <c r="P643" s="13"/>
    </row>
    <row r="644" spans="1:16">
      <c r="A644" s="29">
        <f t="shared" si="56"/>
        <v>63</v>
      </c>
      <c r="B644" s="30" t="s">
        <v>609</v>
      </c>
      <c r="C644" s="31" t="s">
        <v>610</v>
      </c>
      <c r="D644" s="32"/>
      <c r="E644" s="32">
        <v>42383</v>
      </c>
      <c r="F644" s="42">
        <v>50000000</v>
      </c>
      <c r="G644" s="42">
        <v>10000000</v>
      </c>
      <c r="H644" s="42">
        <v>10000000</v>
      </c>
      <c r="I644" s="31" t="s">
        <v>1437</v>
      </c>
      <c r="J644" s="148"/>
      <c r="K644" s="2"/>
      <c r="L644" s="150"/>
      <c r="M644" s="149"/>
      <c r="N644" s="150"/>
      <c r="O644" s="12"/>
      <c r="P644" s="13"/>
    </row>
    <row r="645" spans="1:16">
      <c r="A645" s="29">
        <f t="shared" si="56"/>
        <v>64</v>
      </c>
      <c r="B645" s="30" t="s">
        <v>248</v>
      </c>
      <c r="C645" s="83" t="s">
        <v>249</v>
      </c>
      <c r="D645" s="47"/>
      <c r="E645" s="47">
        <v>42398</v>
      </c>
      <c r="F645" s="35">
        <v>9000000</v>
      </c>
      <c r="G645" s="42">
        <v>1500000</v>
      </c>
      <c r="H645" s="42">
        <v>1500000</v>
      </c>
      <c r="I645" s="31" t="s">
        <v>1438</v>
      </c>
      <c r="J645" s="148"/>
      <c r="K645" s="2"/>
      <c r="L645" s="150"/>
      <c r="M645" s="149"/>
      <c r="N645" s="158"/>
      <c r="O645" s="12"/>
      <c r="P645" s="13"/>
    </row>
    <row r="646" spans="1:16">
      <c r="A646" s="29">
        <f t="shared" si="56"/>
        <v>65</v>
      </c>
      <c r="B646" s="30" t="s">
        <v>248</v>
      </c>
      <c r="C646" s="83" t="s">
        <v>249</v>
      </c>
      <c r="D646" s="47"/>
      <c r="E646" s="47">
        <v>42398</v>
      </c>
      <c r="F646" s="35">
        <v>9000000</v>
      </c>
      <c r="G646" s="42">
        <v>1500000</v>
      </c>
      <c r="H646" s="42">
        <v>1500000</v>
      </c>
      <c r="I646" s="31" t="s">
        <v>1439</v>
      </c>
      <c r="J646" s="148"/>
      <c r="K646" s="2"/>
      <c r="L646" s="150"/>
      <c r="M646" s="149"/>
      <c r="N646" s="158"/>
      <c r="O646" s="12"/>
      <c r="P646" s="13"/>
    </row>
    <row r="647" spans="1:16">
      <c r="A647" s="29">
        <f t="shared" si="56"/>
        <v>66</v>
      </c>
      <c r="B647" s="30" t="s">
        <v>972</v>
      </c>
      <c r="C647" s="31" t="s">
        <v>973</v>
      </c>
      <c r="D647" s="47"/>
      <c r="E647" s="47">
        <v>42398</v>
      </c>
      <c r="F647" s="35">
        <v>20000000</v>
      </c>
      <c r="G647" s="42">
        <v>4000000</v>
      </c>
      <c r="H647" s="42">
        <v>3000000</v>
      </c>
      <c r="I647" s="31"/>
      <c r="J647" s="148"/>
      <c r="K647" s="2"/>
      <c r="L647" s="150"/>
      <c r="M647" s="149"/>
      <c r="N647" s="158"/>
      <c r="O647" s="12"/>
      <c r="P647" s="13"/>
    </row>
    <row r="648" spans="1:16">
      <c r="A648" s="29">
        <f t="shared" ref="A648:A711" si="57">+A647+1</f>
        <v>67</v>
      </c>
      <c r="B648" s="30" t="s">
        <v>1136</v>
      </c>
      <c r="C648" s="31" t="s">
        <v>1137</v>
      </c>
      <c r="D648" s="47"/>
      <c r="E648" s="47">
        <v>42403</v>
      </c>
      <c r="F648" s="42">
        <v>10000000</v>
      </c>
      <c r="G648" s="42">
        <v>5000000</v>
      </c>
      <c r="H648" s="42">
        <v>5000000</v>
      </c>
      <c r="I648" s="31" t="s">
        <v>1440</v>
      </c>
      <c r="J648" s="148"/>
      <c r="K648" s="2"/>
      <c r="L648" s="150"/>
      <c r="M648" s="149"/>
      <c r="N648" s="150"/>
      <c r="O648" s="12"/>
      <c r="P648" s="13"/>
    </row>
    <row r="649" spans="1:16">
      <c r="A649" s="29">
        <f t="shared" si="57"/>
        <v>68</v>
      </c>
      <c r="B649" s="30" t="s">
        <v>845</v>
      </c>
      <c r="C649" s="31" t="s">
        <v>846</v>
      </c>
      <c r="D649" s="88"/>
      <c r="E649" s="88">
        <v>42416</v>
      </c>
      <c r="F649" s="42">
        <v>5000000</v>
      </c>
      <c r="G649" s="42">
        <v>2500000</v>
      </c>
      <c r="H649" s="42">
        <v>2500000</v>
      </c>
      <c r="I649" s="31" t="s">
        <v>1441</v>
      </c>
      <c r="J649" s="148"/>
      <c r="K649" s="2"/>
      <c r="L649" s="150"/>
      <c r="M649" s="149"/>
      <c r="N649" s="150"/>
      <c r="O649" s="2"/>
      <c r="P649" s="13"/>
    </row>
    <row r="650" spans="1:16">
      <c r="A650" s="29">
        <f t="shared" si="57"/>
        <v>69</v>
      </c>
      <c r="B650" s="30" t="s">
        <v>1180</v>
      </c>
      <c r="C650" s="31" t="s">
        <v>1181</v>
      </c>
      <c r="D650" s="47"/>
      <c r="E650" s="47">
        <v>42425</v>
      </c>
      <c r="F650" s="74">
        <v>7500000</v>
      </c>
      <c r="G650" s="74">
        <v>0</v>
      </c>
      <c r="H650" s="74">
        <v>2500000</v>
      </c>
      <c r="I650" s="162" t="s">
        <v>1442</v>
      </c>
      <c r="J650" s="163"/>
      <c r="K650" s="164"/>
      <c r="L650" s="165"/>
      <c r="M650" s="166"/>
      <c r="N650" s="167"/>
      <c r="O650" s="2"/>
      <c r="P650" s="13"/>
    </row>
    <row r="651" spans="1:16">
      <c r="A651" s="29">
        <f t="shared" si="57"/>
        <v>70</v>
      </c>
      <c r="B651" s="30" t="s">
        <v>1180</v>
      </c>
      <c r="C651" s="31" t="s">
        <v>1181</v>
      </c>
      <c r="D651" s="47"/>
      <c r="E651" s="47">
        <v>42425</v>
      </c>
      <c r="F651" s="74">
        <v>7500000</v>
      </c>
      <c r="G651" s="74">
        <v>0</v>
      </c>
      <c r="H651" s="74">
        <v>2500000</v>
      </c>
      <c r="I651" s="162" t="s">
        <v>1443</v>
      </c>
      <c r="J651" s="163"/>
      <c r="K651" s="164"/>
      <c r="L651" s="165"/>
      <c r="M651" s="166"/>
      <c r="N651" s="167"/>
      <c r="O651" s="2"/>
      <c r="P651" s="13"/>
    </row>
    <row r="652" spans="1:16">
      <c r="A652" s="29">
        <f t="shared" si="57"/>
        <v>71</v>
      </c>
      <c r="B652" s="30" t="s">
        <v>1118</v>
      </c>
      <c r="C652" s="31" t="s">
        <v>1119</v>
      </c>
      <c r="D652" s="32"/>
      <c r="E652" s="32">
        <v>42453</v>
      </c>
      <c r="F652" s="74">
        <v>4000000</v>
      </c>
      <c r="G652" s="74">
        <v>3500000</v>
      </c>
      <c r="H652" s="74">
        <v>3500000</v>
      </c>
      <c r="I652" s="162">
        <v>8220208088</v>
      </c>
      <c r="J652" s="163"/>
      <c r="K652" s="2"/>
      <c r="L652" s="2"/>
      <c r="M652" s="166"/>
      <c r="N652" s="166"/>
      <c r="O652" s="2"/>
      <c r="P652" s="13"/>
    </row>
    <row r="653" spans="1:16">
      <c r="A653" s="29">
        <f t="shared" si="57"/>
        <v>72</v>
      </c>
      <c r="B653" s="30" t="s">
        <v>1118</v>
      </c>
      <c r="C653" s="31" t="s">
        <v>1119</v>
      </c>
      <c r="D653" s="32"/>
      <c r="E653" s="32">
        <v>42453</v>
      </c>
      <c r="F653" s="74">
        <v>4000000</v>
      </c>
      <c r="G653" s="74">
        <v>3500000</v>
      </c>
      <c r="H653" s="74">
        <v>3500000</v>
      </c>
      <c r="I653" s="162">
        <v>6100012004</v>
      </c>
      <c r="J653" s="163"/>
      <c r="K653" s="2"/>
      <c r="L653" s="2"/>
      <c r="M653" s="166"/>
      <c r="N653" s="166"/>
      <c r="O653" s="2"/>
      <c r="P653" s="13"/>
    </row>
    <row r="654" spans="1:16">
      <c r="A654" s="29">
        <f t="shared" si="57"/>
        <v>73</v>
      </c>
      <c r="B654" s="30" t="s">
        <v>648</v>
      </c>
      <c r="C654" s="31" t="s">
        <v>649</v>
      </c>
      <c r="D654" s="168"/>
      <c r="E654" s="168">
        <v>42459</v>
      </c>
      <c r="F654" s="74">
        <v>7000000</v>
      </c>
      <c r="G654" s="74">
        <v>0</v>
      </c>
      <c r="H654" s="74">
        <v>0</v>
      </c>
      <c r="I654" s="77"/>
      <c r="J654" s="169"/>
      <c r="K654" s="2"/>
      <c r="L654" s="2"/>
      <c r="M654" s="170"/>
      <c r="N654" s="170"/>
      <c r="O654" s="2"/>
      <c r="P654" s="13"/>
    </row>
    <row r="655" spans="1:16">
      <c r="A655" s="29">
        <f t="shared" si="57"/>
        <v>74</v>
      </c>
      <c r="B655" s="30" t="s">
        <v>1212</v>
      </c>
      <c r="C655" s="31" t="s">
        <v>1213</v>
      </c>
      <c r="D655" s="32"/>
      <c r="E655" s="32">
        <v>42453</v>
      </c>
      <c r="F655" s="33">
        <v>20000000</v>
      </c>
      <c r="G655" s="45">
        <v>2500000</v>
      </c>
      <c r="H655" s="33">
        <v>2500000</v>
      </c>
      <c r="I655" s="162"/>
      <c r="J655" s="163"/>
      <c r="K655" s="2"/>
      <c r="L655" s="2"/>
      <c r="M655" s="166"/>
      <c r="N655" s="166"/>
      <c r="O655" s="2"/>
      <c r="P655" s="13"/>
    </row>
    <row r="656" spans="1:16">
      <c r="A656" s="29">
        <f t="shared" si="57"/>
        <v>75</v>
      </c>
      <c r="B656" s="171" t="s">
        <v>1342</v>
      </c>
      <c r="C656" s="172" t="s">
        <v>1343</v>
      </c>
      <c r="D656" s="172"/>
      <c r="E656" s="172" t="s">
        <v>1444</v>
      </c>
      <c r="F656" s="173">
        <v>10000000</v>
      </c>
      <c r="G656" s="104">
        <v>0</v>
      </c>
      <c r="H656" s="104">
        <v>0</v>
      </c>
      <c r="I656" s="29"/>
      <c r="J656" s="3"/>
      <c r="K656" s="2"/>
      <c r="L656" s="2"/>
      <c r="M656" s="3"/>
      <c r="N656" s="2"/>
      <c r="O656" s="2"/>
      <c r="P656" s="13"/>
    </row>
    <row r="657" spans="1:16">
      <c r="A657" s="29">
        <f t="shared" si="57"/>
        <v>76</v>
      </c>
      <c r="B657" s="30" t="s">
        <v>1074</v>
      </c>
      <c r="C657" s="31" t="s">
        <v>1075</v>
      </c>
      <c r="D657" s="32"/>
      <c r="E657" s="32">
        <v>42493</v>
      </c>
      <c r="F657" s="33">
        <v>8000000</v>
      </c>
      <c r="G657" s="33">
        <v>0</v>
      </c>
      <c r="H657" s="33">
        <v>0</v>
      </c>
      <c r="I657" s="31" t="s">
        <v>1445</v>
      </c>
      <c r="J657" s="148"/>
      <c r="K657" s="2"/>
      <c r="L657" s="2"/>
      <c r="M657" s="149"/>
      <c r="N657" s="150"/>
      <c r="O657" s="2"/>
      <c r="P657" s="13"/>
    </row>
    <row r="658" spans="1:16">
      <c r="A658" s="29">
        <f t="shared" si="57"/>
        <v>77</v>
      </c>
      <c r="B658" s="30" t="s">
        <v>1074</v>
      </c>
      <c r="C658" s="31" t="s">
        <v>1075</v>
      </c>
      <c r="D658" s="32"/>
      <c r="E658" s="32">
        <v>42493</v>
      </c>
      <c r="F658" s="33">
        <v>8000000</v>
      </c>
      <c r="G658" s="33">
        <v>0</v>
      </c>
      <c r="H658" s="33">
        <v>0</v>
      </c>
      <c r="I658" s="31" t="s">
        <v>1446</v>
      </c>
      <c r="J658" s="148"/>
      <c r="K658" s="2"/>
      <c r="L658" s="2"/>
      <c r="M658" s="149"/>
      <c r="N658" s="150"/>
      <c r="O658" s="2"/>
      <c r="P658" s="13"/>
    </row>
    <row r="659" spans="1:16">
      <c r="A659" s="29">
        <f t="shared" si="57"/>
        <v>78</v>
      </c>
      <c r="B659" s="30" t="s">
        <v>420</v>
      </c>
      <c r="C659" s="31" t="s">
        <v>421</v>
      </c>
      <c r="D659" s="32"/>
      <c r="E659" s="32">
        <v>42500</v>
      </c>
      <c r="F659" s="33">
        <v>10150000</v>
      </c>
      <c r="G659" s="33">
        <v>0</v>
      </c>
      <c r="H659" s="33">
        <v>0</v>
      </c>
      <c r="I659" s="29"/>
      <c r="J659" s="3"/>
      <c r="K659" s="2"/>
      <c r="L659" s="2"/>
      <c r="M659" s="155"/>
      <c r="N659" s="150"/>
      <c r="O659" s="2"/>
      <c r="P659" s="13"/>
    </row>
    <row r="660" spans="1:16">
      <c r="A660" s="29">
        <f t="shared" si="57"/>
        <v>79</v>
      </c>
      <c r="B660" s="30" t="s">
        <v>415</v>
      </c>
      <c r="C660" s="31" t="s">
        <v>416</v>
      </c>
      <c r="D660" s="32"/>
      <c r="E660" s="32">
        <v>42502</v>
      </c>
      <c r="F660" s="42">
        <v>2500000</v>
      </c>
      <c r="G660" s="42">
        <v>1250000</v>
      </c>
      <c r="H660" s="42">
        <v>1250000</v>
      </c>
      <c r="I660" s="31" t="s">
        <v>1447</v>
      </c>
      <c r="J660" s="148"/>
      <c r="K660" s="2"/>
      <c r="L660" s="2"/>
      <c r="M660" s="149"/>
      <c r="N660" s="158"/>
      <c r="O660" s="2"/>
      <c r="P660" s="13"/>
    </row>
    <row r="661" spans="1:16">
      <c r="A661" s="29">
        <f t="shared" si="57"/>
        <v>80</v>
      </c>
      <c r="B661" s="30" t="s">
        <v>415</v>
      </c>
      <c r="C661" s="31" t="s">
        <v>416</v>
      </c>
      <c r="D661" s="32"/>
      <c r="E661" s="32">
        <v>42502</v>
      </c>
      <c r="F661" s="42">
        <v>2500000</v>
      </c>
      <c r="G661" s="42">
        <v>1250000</v>
      </c>
      <c r="H661" s="42">
        <v>1250000</v>
      </c>
      <c r="I661" s="31" t="s">
        <v>1448</v>
      </c>
      <c r="J661" s="148"/>
      <c r="K661" s="2"/>
      <c r="L661" s="2"/>
      <c r="M661" s="149"/>
      <c r="N661" s="158"/>
      <c r="O661" s="2"/>
      <c r="P661" s="13"/>
    </row>
    <row r="662" spans="1:16">
      <c r="A662" s="29">
        <f t="shared" si="57"/>
        <v>81</v>
      </c>
      <c r="B662" s="30" t="s">
        <v>887</v>
      </c>
      <c r="C662" s="31" t="s">
        <v>888</v>
      </c>
      <c r="D662" s="32"/>
      <c r="E662" s="32">
        <v>42503</v>
      </c>
      <c r="F662" s="42">
        <v>17500000</v>
      </c>
      <c r="G662" s="42">
        <v>0</v>
      </c>
      <c r="H662" s="42">
        <v>0</v>
      </c>
      <c r="I662" s="29"/>
      <c r="J662" s="3"/>
      <c r="K662" s="2"/>
      <c r="L662" s="2"/>
      <c r="M662" s="155"/>
      <c r="N662" s="150"/>
      <c r="O662" s="2"/>
      <c r="P662" s="13"/>
    </row>
    <row r="663" spans="1:16">
      <c r="A663" s="29">
        <f t="shared" si="57"/>
        <v>82</v>
      </c>
      <c r="B663" s="30" t="s">
        <v>887</v>
      </c>
      <c r="C663" s="31" t="s">
        <v>888</v>
      </c>
      <c r="D663" s="32"/>
      <c r="E663" s="32">
        <v>42503</v>
      </c>
      <c r="F663" s="42">
        <v>17500000</v>
      </c>
      <c r="G663" s="42"/>
      <c r="H663" s="42"/>
      <c r="I663" s="29"/>
      <c r="J663" s="3"/>
      <c r="K663" s="2"/>
      <c r="L663" s="2"/>
      <c r="M663" s="155"/>
      <c r="N663" s="150"/>
      <c r="O663" s="2"/>
      <c r="P663" s="13"/>
    </row>
    <row r="664" spans="1:16">
      <c r="A664" s="29">
        <f t="shared" si="57"/>
        <v>83</v>
      </c>
      <c r="B664" s="30" t="s">
        <v>755</v>
      </c>
      <c r="C664" s="31" t="s">
        <v>756</v>
      </c>
      <c r="D664" s="32"/>
      <c r="E664" s="32">
        <v>42506</v>
      </c>
      <c r="F664" s="42">
        <v>4500000</v>
      </c>
      <c r="G664" s="42">
        <v>3000000</v>
      </c>
      <c r="H664" s="42">
        <v>3000000</v>
      </c>
      <c r="I664" s="31" t="s">
        <v>1449</v>
      </c>
      <c r="J664" s="148"/>
      <c r="K664" s="2"/>
      <c r="L664" s="2"/>
      <c r="M664" s="149"/>
      <c r="N664" s="158"/>
      <c r="O664" s="2"/>
      <c r="P664" s="13"/>
    </row>
    <row r="665" spans="1:16">
      <c r="A665" s="29">
        <f t="shared" si="57"/>
        <v>84</v>
      </c>
      <c r="B665" s="30" t="s">
        <v>755</v>
      </c>
      <c r="C665" s="31" t="s">
        <v>756</v>
      </c>
      <c r="D665" s="32"/>
      <c r="E665" s="32">
        <v>42506</v>
      </c>
      <c r="F665" s="42">
        <v>4500000</v>
      </c>
      <c r="G665" s="42">
        <v>3000000</v>
      </c>
      <c r="H665" s="42">
        <v>3000000</v>
      </c>
      <c r="I665" s="31" t="s">
        <v>1450</v>
      </c>
      <c r="J665" s="148"/>
      <c r="K665" s="2"/>
      <c r="L665" s="2"/>
      <c r="M665" s="149"/>
      <c r="N665" s="150"/>
      <c r="O665" s="2"/>
      <c r="P665" s="13"/>
    </row>
    <row r="666" spans="1:16">
      <c r="A666" s="29">
        <f t="shared" si="57"/>
        <v>85</v>
      </c>
      <c r="B666" s="30" t="s">
        <v>606</v>
      </c>
      <c r="C666" s="31" t="s">
        <v>607</v>
      </c>
      <c r="D666" s="32"/>
      <c r="E666" s="32">
        <v>42507</v>
      </c>
      <c r="F666" s="42">
        <v>7500000</v>
      </c>
      <c r="G666" s="42">
        <v>0</v>
      </c>
      <c r="H666" s="42">
        <v>0</v>
      </c>
      <c r="I666" s="31" t="s">
        <v>1451</v>
      </c>
      <c r="J666" s="148"/>
      <c r="K666" s="2"/>
      <c r="L666" s="2"/>
      <c r="M666" s="149"/>
      <c r="N666" s="150"/>
      <c r="O666" s="2"/>
      <c r="P666" s="13"/>
    </row>
    <row r="667" spans="1:16">
      <c r="A667" s="29">
        <f t="shared" si="57"/>
        <v>86</v>
      </c>
      <c r="B667" s="30" t="s">
        <v>606</v>
      </c>
      <c r="C667" s="31" t="s">
        <v>607</v>
      </c>
      <c r="D667" s="32"/>
      <c r="E667" s="32">
        <v>42507</v>
      </c>
      <c r="F667" s="42">
        <v>7500000</v>
      </c>
      <c r="G667" s="42">
        <v>0</v>
      </c>
      <c r="H667" s="42">
        <v>0</v>
      </c>
      <c r="I667" s="31" t="s">
        <v>1452</v>
      </c>
      <c r="J667" s="148"/>
      <c r="K667" s="2"/>
      <c r="L667" s="2"/>
      <c r="M667" s="149"/>
      <c r="N667" s="150"/>
      <c r="O667" s="2"/>
      <c r="P667" s="13"/>
    </row>
    <row r="668" spans="1:16">
      <c r="A668" s="29">
        <f t="shared" si="57"/>
        <v>87</v>
      </c>
      <c r="B668" s="30" t="s">
        <v>302</v>
      </c>
      <c r="C668" s="31" t="s">
        <v>303</v>
      </c>
      <c r="D668" s="32"/>
      <c r="E668" s="32">
        <v>42507</v>
      </c>
      <c r="F668" s="42">
        <v>2500000</v>
      </c>
      <c r="G668" s="42">
        <v>2500000</v>
      </c>
      <c r="H668" s="42">
        <v>2500000</v>
      </c>
      <c r="I668" s="31" t="s">
        <v>1453</v>
      </c>
      <c r="J668" s="148"/>
      <c r="K668" s="2"/>
      <c r="L668" s="2"/>
      <c r="M668" s="149"/>
      <c r="N668" s="150"/>
      <c r="O668" s="2"/>
      <c r="P668" s="13"/>
    </row>
    <row r="669" spans="1:16">
      <c r="A669" s="29">
        <f t="shared" si="57"/>
        <v>88</v>
      </c>
      <c r="B669" s="30" t="s">
        <v>302</v>
      </c>
      <c r="C669" s="31" t="s">
        <v>303</v>
      </c>
      <c r="D669" s="32"/>
      <c r="E669" s="32">
        <v>42507</v>
      </c>
      <c r="F669" s="42">
        <v>2500000</v>
      </c>
      <c r="G669" s="42">
        <v>2500000</v>
      </c>
      <c r="H669" s="42">
        <v>2500000</v>
      </c>
      <c r="I669" s="31" t="s">
        <v>1454</v>
      </c>
      <c r="J669" s="148"/>
      <c r="K669" s="2"/>
      <c r="L669" s="2"/>
      <c r="M669" s="149"/>
      <c r="N669" s="150"/>
      <c r="O669" s="2"/>
      <c r="P669" s="13"/>
    </row>
    <row r="670" spans="1:16">
      <c r="A670" s="29">
        <f t="shared" si="57"/>
        <v>89</v>
      </c>
      <c r="B670" s="30" t="s">
        <v>909</v>
      </c>
      <c r="C670" s="31" t="s">
        <v>910</v>
      </c>
      <c r="D670" s="32"/>
      <c r="E670" s="32">
        <v>42508</v>
      </c>
      <c r="F670" s="42">
        <v>2500000</v>
      </c>
      <c r="G670" s="42">
        <v>2500000</v>
      </c>
      <c r="H670" s="42">
        <v>2500000</v>
      </c>
      <c r="I670" s="31" t="s">
        <v>1455</v>
      </c>
      <c r="J670" s="148"/>
      <c r="K670" s="2"/>
      <c r="L670" s="2"/>
      <c r="M670" s="149"/>
      <c r="N670" s="158"/>
      <c r="O670" s="2"/>
      <c r="P670" s="13"/>
    </row>
    <row r="671" spans="1:16">
      <c r="A671" s="29">
        <f t="shared" si="57"/>
        <v>90</v>
      </c>
      <c r="B671" s="30" t="s">
        <v>909</v>
      </c>
      <c r="C671" s="31" t="s">
        <v>910</v>
      </c>
      <c r="D671" s="32"/>
      <c r="E671" s="32">
        <v>42508</v>
      </c>
      <c r="F671" s="42">
        <v>2500000</v>
      </c>
      <c r="G671" s="42">
        <v>2500000</v>
      </c>
      <c r="H671" s="42">
        <v>2500000</v>
      </c>
      <c r="I671" s="31" t="s">
        <v>1456</v>
      </c>
      <c r="J671" s="148"/>
      <c r="K671" s="2"/>
      <c r="L671" s="2"/>
      <c r="M671" s="149"/>
      <c r="N671" s="158"/>
      <c r="O671" s="2"/>
      <c r="P671" s="13"/>
    </row>
    <row r="672" spans="1:16">
      <c r="A672" s="29">
        <f t="shared" si="57"/>
        <v>91</v>
      </c>
      <c r="B672" s="33" t="s">
        <v>305</v>
      </c>
      <c r="C672" s="73" t="s">
        <v>306</v>
      </c>
      <c r="D672" s="32"/>
      <c r="E672" s="32">
        <v>42515</v>
      </c>
      <c r="F672" s="34">
        <v>7000000</v>
      </c>
      <c r="G672" s="35"/>
      <c r="H672" s="34">
        <v>0</v>
      </c>
      <c r="I672" s="174"/>
      <c r="J672" s="175"/>
      <c r="K672" s="3"/>
      <c r="L672" s="155"/>
      <c r="M672" s="175"/>
      <c r="N672" s="2"/>
      <c r="O672" s="2"/>
      <c r="P672" s="13"/>
    </row>
    <row r="673" spans="1:16">
      <c r="A673" s="29">
        <f t="shared" si="57"/>
        <v>92</v>
      </c>
      <c r="B673" s="30" t="s">
        <v>715</v>
      </c>
      <c r="C673" s="31" t="s">
        <v>716</v>
      </c>
      <c r="D673" s="32"/>
      <c r="E673" s="32">
        <v>42515</v>
      </c>
      <c r="F673" s="48">
        <v>10000000</v>
      </c>
      <c r="G673" s="33">
        <v>3000000</v>
      </c>
      <c r="H673" s="48">
        <v>4000000</v>
      </c>
      <c r="I673" s="174"/>
      <c r="J673" s="175"/>
      <c r="K673" s="3"/>
      <c r="L673" s="155"/>
      <c r="M673" s="175"/>
      <c r="N673" s="2"/>
      <c r="O673" s="2"/>
      <c r="P673" s="13"/>
    </row>
    <row r="674" spans="1:16">
      <c r="A674" s="29">
        <f t="shared" si="57"/>
        <v>93</v>
      </c>
      <c r="B674" s="30" t="s">
        <v>556</v>
      </c>
      <c r="C674" s="31" t="s">
        <v>557</v>
      </c>
      <c r="D674" s="32"/>
      <c r="E674" s="32">
        <v>42515</v>
      </c>
      <c r="F674" s="34">
        <v>10000000</v>
      </c>
      <c r="G674" s="42">
        <v>2500000</v>
      </c>
      <c r="H674" s="34">
        <v>5000000</v>
      </c>
      <c r="I674" s="174"/>
      <c r="J674" s="175"/>
      <c r="K674" s="3"/>
      <c r="L674" s="155"/>
      <c r="M674" s="175"/>
      <c r="N674" s="2"/>
      <c r="O674" s="2"/>
      <c r="P674" s="13"/>
    </row>
    <row r="675" spans="1:16">
      <c r="A675" s="29">
        <f t="shared" si="57"/>
        <v>94</v>
      </c>
      <c r="B675" s="30" t="s">
        <v>502</v>
      </c>
      <c r="C675" s="31" t="s">
        <v>503</v>
      </c>
      <c r="D675" s="32"/>
      <c r="E675" s="32">
        <v>42515</v>
      </c>
      <c r="F675" s="34">
        <v>10000000</v>
      </c>
      <c r="G675" s="40">
        <v>0</v>
      </c>
      <c r="H675" s="34">
        <v>5000000</v>
      </c>
      <c r="I675" s="73" t="s">
        <v>1457</v>
      </c>
      <c r="J675" s="156"/>
      <c r="K675" s="3"/>
      <c r="L675" s="155"/>
      <c r="M675" s="156"/>
      <c r="N675" s="2"/>
      <c r="O675" s="2"/>
      <c r="P675" s="13"/>
    </row>
    <row r="676" spans="1:16">
      <c r="A676" s="29">
        <f t="shared" si="57"/>
        <v>95</v>
      </c>
      <c r="B676" s="30" t="s">
        <v>1226</v>
      </c>
      <c r="C676" s="31" t="s">
        <v>1227</v>
      </c>
      <c r="D676" s="32"/>
      <c r="E676" s="32">
        <v>42515</v>
      </c>
      <c r="F676" s="33">
        <f>7500000</f>
        <v>7500000</v>
      </c>
      <c r="G676" s="33">
        <v>2000000</v>
      </c>
      <c r="H676" s="33">
        <v>1500000</v>
      </c>
      <c r="I676" s="31" t="s">
        <v>1458</v>
      </c>
      <c r="J676" s="148"/>
      <c r="K676" s="2"/>
      <c r="L676" s="150"/>
      <c r="M676" s="149"/>
      <c r="N676" s="11"/>
      <c r="O676" s="12"/>
      <c r="P676" s="13"/>
    </row>
    <row r="677" spans="1:16">
      <c r="A677" s="29">
        <f t="shared" si="57"/>
        <v>96</v>
      </c>
      <c r="B677" s="30" t="s">
        <v>1226</v>
      </c>
      <c r="C677" s="31" t="s">
        <v>1227</v>
      </c>
      <c r="D677" s="32"/>
      <c r="E677" s="32">
        <v>42515</v>
      </c>
      <c r="F677" s="33">
        <f>7500000</f>
        <v>7500000</v>
      </c>
      <c r="G677" s="33">
        <v>2000000</v>
      </c>
      <c r="H677" s="33">
        <v>1500000</v>
      </c>
      <c r="I677" s="31" t="s">
        <v>1459</v>
      </c>
      <c r="J677" s="148"/>
      <c r="K677" s="2"/>
      <c r="L677" s="150"/>
      <c r="M677" s="149"/>
      <c r="N677" s="11"/>
      <c r="O677" s="12"/>
      <c r="P677" s="13"/>
    </row>
    <row r="678" spans="1:16">
      <c r="A678" s="29">
        <f t="shared" si="57"/>
        <v>97</v>
      </c>
      <c r="B678" s="30" t="s">
        <v>1261</v>
      </c>
      <c r="C678" s="31" t="s">
        <v>1262</v>
      </c>
      <c r="D678" s="32"/>
      <c r="E678" s="32">
        <v>42517</v>
      </c>
      <c r="F678" s="33">
        <v>15000000</v>
      </c>
      <c r="G678" s="33">
        <v>1000000</v>
      </c>
      <c r="H678" s="33">
        <v>1000000</v>
      </c>
      <c r="I678" s="31"/>
      <c r="J678" s="148"/>
      <c r="K678" s="2"/>
      <c r="L678" s="150"/>
      <c r="M678" s="149"/>
      <c r="N678" s="11"/>
      <c r="O678" s="12"/>
      <c r="P678" s="13"/>
    </row>
    <row r="679" spans="1:16">
      <c r="A679" s="29">
        <f t="shared" si="57"/>
        <v>98</v>
      </c>
      <c r="B679" s="30" t="s">
        <v>331</v>
      </c>
      <c r="C679" s="31" t="s">
        <v>332</v>
      </c>
      <c r="D679" s="32"/>
      <c r="E679" s="32">
        <v>42520</v>
      </c>
      <c r="F679" s="33">
        <v>10000000</v>
      </c>
      <c r="G679" s="33">
        <v>0</v>
      </c>
      <c r="H679" s="33">
        <v>0</v>
      </c>
      <c r="I679" s="31" t="s">
        <v>1460</v>
      </c>
      <c r="J679" s="148"/>
      <c r="K679" s="2"/>
      <c r="L679" s="150"/>
      <c r="M679" s="149"/>
      <c r="N679" s="11"/>
      <c r="O679" s="12"/>
      <c r="P679" s="13"/>
    </row>
    <row r="680" spans="1:16">
      <c r="A680" s="29">
        <f t="shared" si="57"/>
        <v>99</v>
      </c>
      <c r="B680" s="30" t="s">
        <v>331</v>
      </c>
      <c r="C680" s="31" t="s">
        <v>332</v>
      </c>
      <c r="D680" s="32"/>
      <c r="E680" s="32">
        <v>42520</v>
      </c>
      <c r="F680" s="33">
        <v>10000000</v>
      </c>
      <c r="G680" s="33">
        <v>0</v>
      </c>
      <c r="H680" s="33">
        <v>0</v>
      </c>
      <c r="I680" s="31" t="s">
        <v>1461</v>
      </c>
      <c r="J680" s="148"/>
      <c r="K680" s="2"/>
      <c r="L680" s="150"/>
      <c r="M680" s="149"/>
      <c r="N680" s="11"/>
      <c r="O680" s="12"/>
      <c r="P680" s="13"/>
    </row>
    <row r="681" spans="1:16">
      <c r="A681" s="29">
        <f t="shared" si="57"/>
        <v>100</v>
      </c>
      <c r="B681" s="30" t="s">
        <v>492</v>
      </c>
      <c r="C681" s="31" t="s">
        <v>493</v>
      </c>
      <c r="D681" s="32"/>
      <c r="E681" s="32">
        <v>42521</v>
      </c>
      <c r="F681" s="42">
        <v>15000000</v>
      </c>
      <c r="G681" s="42">
        <v>0</v>
      </c>
      <c r="H681" s="42">
        <v>0</v>
      </c>
      <c r="I681" s="31" t="s">
        <v>1462</v>
      </c>
      <c r="J681" s="148"/>
      <c r="K681" s="2"/>
      <c r="L681" s="150"/>
      <c r="M681" s="149"/>
      <c r="N681" s="11"/>
      <c r="O681" s="12"/>
      <c r="P681" s="13"/>
    </row>
    <row r="682" spans="1:16">
      <c r="A682" s="29">
        <f t="shared" si="57"/>
        <v>101</v>
      </c>
      <c r="B682" s="30" t="s">
        <v>1171</v>
      </c>
      <c r="C682" s="31" t="s">
        <v>1172</v>
      </c>
      <c r="D682" s="32"/>
      <c r="E682" s="32">
        <v>42523</v>
      </c>
      <c r="F682" s="42">
        <f>20000000</f>
        <v>20000000</v>
      </c>
      <c r="G682" s="104">
        <v>0</v>
      </c>
      <c r="H682" s="104">
        <v>0</v>
      </c>
      <c r="I682" s="29"/>
      <c r="J682" s="3"/>
      <c r="K682" s="2"/>
      <c r="L682" s="150"/>
      <c r="M682" s="155"/>
      <c r="N682" s="150"/>
      <c r="O682" s="12"/>
      <c r="P682" s="13"/>
    </row>
    <row r="683" spans="1:16">
      <c r="A683" s="29">
        <f t="shared" si="57"/>
        <v>102</v>
      </c>
      <c r="B683" s="30" t="s">
        <v>225</v>
      </c>
      <c r="C683" s="31" t="s">
        <v>226</v>
      </c>
      <c r="D683" s="32"/>
      <c r="E683" s="32">
        <v>42531</v>
      </c>
      <c r="F683" s="42">
        <v>17000000</v>
      </c>
      <c r="G683" s="42">
        <v>0</v>
      </c>
      <c r="H683" s="42">
        <v>0</v>
      </c>
      <c r="I683" s="29"/>
      <c r="J683" s="3"/>
      <c r="K683" s="2"/>
      <c r="L683" s="150"/>
      <c r="M683" s="155"/>
      <c r="N683" s="150"/>
      <c r="O683" s="12"/>
      <c r="P683" s="13"/>
    </row>
    <row r="684" spans="1:16">
      <c r="A684" s="29">
        <f t="shared" si="57"/>
        <v>103</v>
      </c>
      <c r="B684" s="30" t="s">
        <v>245</v>
      </c>
      <c r="C684" s="31" t="s">
        <v>246</v>
      </c>
      <c r="D684" s="32"/>
      <c r="E684" s="32">
        <v>42536</v>
      </c>
      <c r="F684" s="42">
        <v>16000000</v>
      </c>
      <c r="G684" s="42">
        <v>0</v>
      </c>
      <c r="H684" s="42">
        <v>0</v>
      </c>
      <c r="I684" s="29"/>
      <c r="J684" s="3"/>
      <c r="K684" s="2"/>
      <c r="L684" s="150"/>
      <c r="M684" s="155"/>
      <c r="N684" s="150"/>
      <c r="O684" s="12"/>
      <c r="P684" s="13"/>
    </row>
    <row r="685" spans="1:16">
      <c r="A685" s="29">
        <f t="shared" si="57"/>
        <v>104</v>
      </c>
      <c r="B685" s="30" t="s">
        <v>354</v>
      </c>
      <c r="C685" s="31" t="s">
        <v>355</v>
      </c>
      <c r="D685" s="32"/>
      <c r="E685" s="32">
        <v>42530</v>
      </c>
      <c r="F685" s="42">
        <v>30000000</v>
      </c>
      <c r="G685" s="42">
        <v>2500000</v>
      </c>
      <c r="H685" s="42">
        <v>5000000</v>
      </c>
      <c r="I685" s="29"/>
      <c r="J685" s="3"/>
      <c r="K685" s="2"/>
      <c r="L685" s="150"/>
      <c r="M685" s="155"/>
      <c r="N685" s="150"/>
      <c r="O685" s="12"/>
      <c r="P685" s="13"/>
    </row>
    <row r="686" spans="1:16">
      <c r="A686" s="29">
        <f t="shared" si="57"/>
        <v>105</v>
      </c>
      <c r="B686" s="30" t="s">
        <v>354</v>
      </c>
      <c r="C686" s="31" t="s">
        <v>355</v>
      </c>
      <c r="D686" s="32"/>
      <c r="E686" s="32">
        <v>42530</v>
      </c>
      <c r="F686" s="42">
        <v>30000000</v>
      </c>
      <c r="G686" s="42">
        <v>2500000</v>
      </c>
      <c r="H686" s="42">
        <v>5000000</v>
      </c>
      <c r="I686" s="29"/>
      <c r="J686" s="3"/>
      <c r="K686" s="2"/>
      <c r="L686" s="150"/>
      <c r="M686" s="155"/>
      <c r="N686" s="150"/>
      <c r="O686" s="12"/>
      <c r="P686" s="13"/>
    </row>
    <row r="687" spans="1:16">
      <c r="A687" s="29">
        <f t="shared" si="57"/>
        <v>106</v>
      </c>
      <c r="B687" s="30" t="s">
        <v>526</v>
      </c>
      <c r="C687" s="31" t="s">
        <v>527</v>
      </c>
      <c r="D687" s="32"/>
      <c r="E687" s="32">
        <v>42543</v>
      </c>
      <c r="F687" s="42">
        <v>7000000</v>
      </c>
      <c r="G687" s="42">
        <v>1000000</v>
      </c>
      <c r="H687" s="42">
        <v>1000000</v>
      </c>
      <c r="I687" s="31"/>
      <c r="J687" s="148"/>
      <c r="K687" s="3"/>
      <c r="L687" s="10"/>
      <c r="M687" s="149"/>
      <c r="N687" s="150"/>
      <c r="O687" s="12"/>
      <c r="P687" s="13"/>
    </row>
    <row r="688" spans="1:16">
      <c r="A688" s="29">
        <f t="shared" si="57"/>
        <v>107</v>
      </c>
      <c r="B688" s="30" t="s">
        <v>199</v>
      </c>
      <c r="C688" s="31" t="s">
        <v>200</v>
      </c>
      <c r="D688" s="32"/>
      <c r="E688" s="32">
        <v>42543</v>
      </c>
      <c r="F688" s="42">
        <v>15000000</v>
      </c>
      <c r="G688" s="42">
        <v>2500000</v>
      </c>
      <c r="H688" s="42">
        <v>2500000</v>
      </c>
      <c r="I688" s="31" t="s">
        <v>1463</v>
      </c>
      <c r="J688" s="148"/>
      <c r="K688" s="3"/>
      <c r="L688" s="10"/>
      <c r="M688" s="149"/>
      <c r="N688" s="150"/>
      <c r="O688" s="12"/>
      <c r="P688" s="13"/>
    </row>
    <row r="689" spans="1:16">
      <c r="A689" s="29">
        <f t="shared" si="57"/>
        <v>108</v>
      </c>
      <c r="B689" s="30" t="s">
        <v>798</v>
      </c>
      <c r="C689" s="31" t="s">
        <v>799</v>
      </c>
      <c r="D689" s="32"/>
      <c r="E689" s="32">
        <v>42544</v>
      </c>
      <c r="F689" s="42">
        <v>10000000</v>
      </c>
      <c r="G689" s="42">
        <v>0</v>
      </c>
      <c r="H689" s="42">
        <v>0</v>
      </c>
      <c r="I689" s="29"/>
      <c r="J689" s="3"/>
      <c r="K689" s="3"/>
      <c r="L689" s="10"/>
      <c r="M689" s="155"/>
      <c r="N689" s="150"/>
      <c r="O689" s="12"/>
      <c r="P689" s="13"/>
    </row>
    <row r="690" spans="1:16">
      <c r="A690" s="29">
        <f t="shared" si="57"/>
        <v>109</v>
      </c>
      <c r="B690" s="30" t="s">
        <v>1217</v>
      </c>
      <c r="C690" s="31" t="s">
        <v>1218</v>
      </c>
      <c r="D690" s="32"/>
      <c r="E690" s="32">
        <v>42544</v>
      </c>
      <c r="F690" s="42">
        <v>20000000</v>
      </c>
      <c r="G690" s="42">
        <v>2500000</v>
      </c>
      <c r="H690" s="42">
        <v>2500000</v>
      </c>
      <c r="I690" s="31"/>
      <c r="J690" s="148"/>
      <c r="K690" s="3"/>
      <c r="L690" s="10"/>
      <c r="M690" s="149"/>
      <c r="N690" s="150"/>
      <c r="O690" s="12"/>
      <c r="P690" s="13"/>
    </row>
    <row r="691" spans="1:16">
      <c r="A691" s="29">
        <f t="shared" si="57"/>
        <v>110</v>
      </c>
      <c r="B691" s="30" t="s">
        <v>1307</v>
      </c>
      <c r="C691" s="31" t="s">
        <v>1308</v>
      </c>
      <c r="D691" s="32"/>
      <c r="E691" s="32">
        <v>42544</v>
      </c>
      <c r="F691" s="42">
        <v>7500000</v>
      </c>
      <c r="G691" s="42">
        <v>1250000</v>
      </c>
      <c r="H691" s="42">
        <v>1250000</v>
      </c>
      <c r="I691" s="31" t="s">
        <v>1464</v>
      </c>
      <c r="J691" s="148"/>
      <c r="K691" s="3"/>
      <c r="L691" s="10"/>
      <c r="M691" s="149"/>
      <c r="N691" s="150"/>
      <c r="O691" s="12"/>
      <c r="P691" s="13"/>
    </row>
    <row r="692" spans="1:16">
      <c r="A692" s="29">
        <f t="shared" si="57"/>
        <v>111</v>
      </c>
      <c r="B692" s="30" t="s">
        <v>1307</v>
      </c>
      <c r="C692" s="31" t="s">
        <v>1308</v>
      </c>
      <c r="D692" s="32"/>
      <c r="E692" s="32">
        <v>42544</v>
      </c>
      <c r="F692" s="42">
        <v>7500000</v>
      </c>
      <c r="G692" s="42">
        <v>1250000</v>
      </c>
      <c r="H692" s="42">
        <v>1250000</v>
      </c>
      <c r="I692" s="31" t="s">
        <v>1465</v>
      </c>
      <c r="J692" s="148"/>
      <c r="K692" s="3"/>
      <c r="L692" s="10"/>
      <c r="M692" s="149"/>
      <c r="N692" s="150"/>
      <c r="O692" s="12"/>
      <c r="P692" s="13"/>
    </row>
    <row r="693" spans="1:16">
      <c r="A693" s="29">
        <f t="shared" si="57"/>
        <v>112</v>
      </c>
      <c r="B693" s="30" t="s">
        <v>1466</v>
      </c>
      <c r="C693" s="31" t="s">
        <v>1032</v>
      </c>
      <c r="D693" s="32"/>
      <c r="E693" s="32">
        <v>42544</v>
      </c>
      <c r="F693" s="42">
        <v>30000000</v>
      </c>
      <c r="G693" s="42">
        <v>0</v>
      </c>
      <c r="H693" s="42">
        <v>0</v>
      </c>
      <c r="I693" s="29"/>
      <c r="J693" s="3"/>
      <c r="K693" s="3"/>
      <c r="L693" s="10"/>
      <c r="M693" s="155"/>
      <c r="N693" s="150"/>
      <c r="O693" s="12"/>
      <c r="P693" s="13"/>
    </row>
    <row r="694" spans="1:16">
      <c r="A694" s="29">
        <f t="shared" si="57"/>
        <v>113</v>
      </c>
      <c r="B694" s="30" t="s">
        <v>1467</v>
      </c>
      <c r="C694" s="31" t="s">
        <v>1468</v>
      </c>
      <c r="D694" s="32"/>
      <c r="E694" s="32">
        <v>42550</v>
      </c>
      <c r="F694" s="42">
        <v>25000000</v>
      </c>
      <c r="G694" s="42">
        <v>5000000</v>
      </c>
      <c r="H694" s="42">
        <v>5000000</v>
      </c>
      <c r="I694" s="31"/>
      <c r="J694" s="148"/>
      <c r="K694" s="3"/>
      <c r="L694" s="10"/>
      <c r="M694" s="149"/>
      <c r="N694" s="150"/>
      <c r="O694" s="12"/>
      <c r="P694" s="13"/>
    </row>
    <row r="695" spans="1:16">
      <c r="A695" s="29">
        <f t="shared" si="57"/>
        <v>114</v>
      </c>
      <c r="B695" s="30" t="s">
        <v>1108</v>
      </c>
      <c r="C695" s="31" t="s">
        <v>1109</v>
      </c>
      <c r="D695" s="32"/>
      <c r="E695" s="32">
        <v>42551</v>
      </c>
      <c r="F695" s="42">
        <v>8000000</v>
      </c>
      <c r="G695" s="42">
        <v>1000000</v>
      </c>
      <c r="H695" s="42">
        <v>1000000</v>
      </c>
      <c r="I695" s="31" t="s">
        <v>1469</v>
      </c>
      <c r="J695" s="148"/>
      <c r="K695" s="3"/>
      <c r="L695" s="10"/>
      <c r="M695" s="149"/>
      <c r="N695" s="150"/>
      <c r="O695" s="12"/>
      <c r="P695" s="13"/>
    </row>
    <row r="696" spans="1:16">
      <c r="A696" s="29">
        <f t="shared" si="57"/>
        <v>115</v>
      </c>
      <c r="B696" s="30" t="s">
        <v>519</v>
      </c>
      <c r="C696" s="31" t="s">
        <v>520</v>
      </c>
      <c r="D696" s="32"/>
      <c r="E696" s="32">
        <v>42551</v>
      </c>
      <c r="F696" s="42">
        <v>45000000</v>
      </c>
      <c r="G696" s="42">
        <v>7500000</v>
      </c>
      <c r="H696" s="42">
        <v>7500000</v>
      </c>
      <c r="I696" s="31"/>
      <c r="J696" s="148"/>
      <c r="K696" s="3"/>
      <c r="L696" s="10"/>
      <c r="M696" s="149"/>
      <c r="N696" s="150"/>
      <c r="O696" s="12"/>
      <c r="P696" s="13"/>
    </row>
    <row r="697" spans="1:16">
      <c r="A697" s="29">
        <f t="shared" si="57"/>
        <v>116</v>
      </c>
      <c r="B697" s="30" t="s">
        <v>1052</v>
      </c>
      <c r="C697" s="31" t="s">
        <v>1053</v>
      </c>
      <c r="D697" s="32"/>
      <c r="E697" s="32">
        <v>42552</v>
      </c>
      <c r="F697" s="33">
        <f>5000000</f>
        <v>5000000</v>
      </c>
      <c r="G697" s="33">
        <f>2500000</f>
        <v>2500000</v>
      </c>
      <c r="H697" s="33">
        <f>2500000</f>
        <v>2500000</v>
      </c>
      <c r="I697" s="29"/>
      <c r="J697" s="3"/>
      <c r="K697" s="2"/>
      <c r="L697" s="150"/>
      <c r="M697" s="155"/>
      <c r="N697" s="150"/>
      <c r="O697" s="12"/>
      <c r="P697" s="13"/>
    </row>
    <row r="698" spans="1:16">
      <c r="A698" s="29">
        <f t="shared" si="57"/>
        <v>117</v>
      </c>
      <c r="B698" s="30" t="s">
        <v>486</v>
      </c>
      <c r="C698" s="31" t="s">
        <v>487</v>
      </c>
      <c r="D698" s="32"/>
      <c r="E698" s="32">
        <v>42563</v>
      </c>
      <c r="F698" s="33">
        <v>7500000</v>
      </c>
      <c r="G698" s="33">
        <v>0</v>
      </c>
      <c r="H698" s="33">
        <v>0</v>
      </c>
      <c r="I698" s="31" t="s">
        <v>1470</v>
      </c>
      <c r="J698" s="148"/>
      <c r="K698" s="2"/>
      <c r="L698" s="150"/>
      <c r="M698" s="149"/>
      <c r="N698" s="158"/>
      <c r="O698" s="12"/>
      <c r="P698" s="13"/>
    </row>
    <row r="699" spans="1:16">
      <c r="A699" s="29">
        <f t="shared" si="57"/>
        <v>118</v>
      </c>
      <c r="B699" s="30" t="s">
        <v>486</v>
      </c>
      <c r="C699" s="31" t="s">
        <v>487</v>
      </c>
      <c r="D699" s="32"/>
      <c r="E699" s="32">
        <v>42563</v>
      </c>
      <c r="F699" s="33">
        <v>7500000</v>
      </c>
      <c r="G699" s="33">
        <v>0</v>
      </c>
      <c r="H699" s="33">
        <v>0</v>
      </c>
      <c r="I699" s="31" t="s">
        <v>1471</v>
      </c>
      <c r="J699" s="148"/>
      <c r="K699" s="2"/>
      <c r="L699" s="150"/>
      <c r="M699" s="149"/>
      <c r="N699" s="158"/>
      <c r="O699" s="12"/>
      <c r="P699" s="13"/>
    </row>
    <row r="700" spans="1:16">
      <c r="A700" s="29">
        <f t="shared" si="57"/>
        <v>119</v>
      </c>
      <c r="B700" s="30" t="s">
        <v>523</v>
      </c>
      <c r="C700" s="31" t="s">
        <v>524</v>
      </c>
      <c r="D700" s="32"/>
      <c r="E700" s="32">
        <v>42565</v>
      </c>
      <c r="F700" s="33">
        <v>6000000</v>
      </c>
      <c r="G700" s="33">
        <v>2000000</v>
      </c>
      <c r="H700" s="33">
        <v>2000000</v>
      </c>
      <c r="I700" s="29"/>
      <c r="J700" s="3"/>
      <c r="K700" s="2"/>
      <c r="L700" s="150"/>
      <c r="M700" s="155"/>
      <c r="N700" s="150"/>
      <c r="O700" s="12"/>
      <c r="P700" s="13"/>
    </row>
    <row r="701" spans="1:16">
      <c r="A701" s="29">
        <f t="shared" si="57"/>
        <v>120</v>
      </c>
      <c r="B701" s="30" t="s">
        <v>1472</v>
      </c>
      <c r="C701" s="31" t="s">
        <v>945</v>
      </c>
      <c r="D701" s="32"/>
      <c r="E701" s="32">
        <v>42565</v>
      </c>
      <c r="F701" s="33">
        <v>18050000</v>
      </c>
      <c r="G701" s="33">
        <v>0</v>
      </c>
      <c r="H701" s="33">
        <v>0</v>
      </c>
      <c r="I701" s="29"/>
      <c r="J701" s="3"/>
      <c r="K701" s="2"/>
      <c r="L701" s="150"/>
      <c r="M701" s="155"/>
      <c r="N701" s="150"/>
      <c r="O701" s="12"/>
      <c r="P701" s="13"/>
    </row>
    <row r="702" spans="1:16">
      <c r="A702" s="29">
        <f t="shared" si="57"/>
        <v>121</v>
      </c>
      <c r="B702" s="30" t="s">
        <v>1111</v>
      </c>
      <c r="C702" s="31" t="s">
        <v>1112</v>
      </c>
      <c r="D702" s="32"/>
      <c r="E702" s="32">
        <v>42562</v>
      </c>
      <c r="F702" s="33">
        <v>15000000</v>
      </c>
      <c r="G702" s="33">
        <v>0</v>
      </c>
      <c r="H702" s="33">
        <v>0</v>
      </c>
      <c r="I702" s="29"/>
      <c r="J702" s="3"/>
      <c r="K702" s="2"/>
      <c r="L702" s="150"/>
      <c r="M702" s="155"/>
      <c r="N702" s="150"/>
      <c r="O702" s="12"/>
      <c r="P702" s="13"/>
    </row>
    <row r="703" spans="1:16">
      <c r="A703" s="29">
        <f t="shared" si="57"/>
        <v>122</v>
      </c>
      <c r="B703" s="30" t="s">
        <v>831</v>
      </c>
      <c r="C703" s="31" t="s">
        <v>832</v>
      </c>
      <c r="D703" s="47"/>
      <c r="E703" s="47">
        <v>42580</v>
      </c>
      <c r="F703" s="33">
        <v>5000000</v>
      </c>
      <c r="G703" s="33">
        <v>2500000</v>
      </c>
      <c r="H703" s="33">
        <v>2500000</v>
      </c>
      <c r="I703" s="31" t="s">
        <v>1473</v>
      </c>
      <c r="J703" s="148"/>
      <c r="K703" s="2"/>
      <c r="L703" s="150"/>
      <c r="M703" s="149"/>
      <c r="N703" s="158"/>
      <c r="O703" s="12"/>
      <c r="P703" s="13"/>
    </row>
    <row r="704" spans="1:16">
      <c r="A704" s="29">
        <f t="shared" si="57"/>
        <v>123</v>
      </c>
      <c r="B704" s="30" t="s">
        <v>831</v>
      </c>
      <c r="C704" s="31" t="s">
        <v>832</v>
      </c>
      <c r="D704" s="47"/>
      <c r="E704" s="47">
        <v>42580</v>
      </c>
      <c r="F704" s="33">
        <v>5000000</v>
      </c>
      <c r="G704" s="33">
        <v>2500000</v>
      </c>
      <c r="H704" s="33">
        <v>2500000</v>
      </c>
      <c r="I704" s="31" t="s">
        <v>1474</v>
      </c>
      <c r="J704" s="148"/>
      <c r="K704" s="2"/>
      <c r="L704" s="150"/>
      <c r="M704" s="149"/>
      <c r="N704" s="158"/>
      <c r="O704" s="12"/>
      <c r="P704" s="13"/>
    </row>
    <row r="705" spans="1:16">
      <c r="A705" s="29">
        <f t="shared" si="57"/>
        <v>124</v>
      </c>
      <c r="B705" s="30" t="s">
        <v>659</v>
      </c>
      <c r="C705" s="31" t="s">
        <v>660</v>
      </c>
      <c r="D705" s="32"/>
      <c r="E705" s="32">
        <v>42585</v>
      </c>
      <c r="F705" s="33">
        <v>8500000</v>
      </c>
      <c r="G705" s="33">
        <v>1500000</v>
      </c>
      <c r="H705" s="33">
        <v>1500000</v>
      </c>
      <c r="I705" s="31" t="s">
        <v>1475</v>
      </c>
      <c r="J705" s="148"/>
      <c r="K705" s="2"/>
      <c r="L705" s="150"/>
      <c r="M705" s="149"/>
      <c r="N705" s="150"/>
      <c r="O705" s="12"/>
      <c r="P705" s="13"/>
    </row>
    <row r="706" spans="1:16">
      <c r="A706" s="29">
        <f t="shared" si="57"/>
        <v>125</v>
      </c>
      <c r="B706" s="30" t="s">
        <v>659</v>
      </c>
      <c r="C706" s="31" t="s">
        <v>660</v>
      </c>
      <c r="D706" s="32"/>
      <c r="E706" s="32">
        <v>42585</v>
      </c>
      <c r="F706" s="33">
        <v>8500000</v>
      </c>
      <c r="G706" s="33">
        <v>1500000</v>
      </c>
      <c r="H706" s="33">
        <v>1500000</v>
      </c>
      <c r="I706" s="31" t="s">
        <v>1476</v>
      </c>
      <c r="J706" s="148"/>
      <c r="K706" s="2"/>
      <c r="L706" s="150"/>
      <c r="M706" s="149"/>
      <c r="N706" s="150"/>
      <c r="O706" s="12"/>
      <c r="P706" s="13"/>
    </row>
    <row r="707" spans="1:16">
      <c r="A707" s="29">
        <f t="shared" si="57"/>
        <v>126</v>
      </c>
      <c r="B707" s="30" t="s">
        <v>386</v>
      </c>
      <c r="C707" s="31" t="s">
        <v>387</v>
      </c>
      <c r="D707" s="32"/>
      <c r="E707" s="32">
        <v>42586</v>
      </c>
      <c r="F707" s="42">
        <f>5000000</f>
        <v>5000000</v>
      </c>
      <c r="G707" s="42">
        <v>500000</v>
      </c>
      <c r="H707" s="42">
        <v>500000</v>
      </c>
      <c r="I707" s="31" t="s">
        <v>1477</v>
      </c>
      <c r="J707" s="148"/>
      <c r="K707" s="2"/>
      <c r="L707" s="150"/>
      <c r="M707" s="149"/>
      <c r="N707" s="150"/>
      <c r="O707" s="12"/>
      <c r="P707" s="13"/>
    </row>
    <row r="708" spans="1:16">
      <c r="A708" s="29">
        <f t="shared" si="57"/>
        <v>127</v>
      </c>
      <c r="B708" s="30" t="s">
        <v>386</v>
      </c>
      <c r="C708" s="31" t="s">
        <v>387</v>
      </c>
      <c r="D708" s="32"/>
      <c r="E708" s="32">
        <v>42586</v>
      </c>
      <c r="F708" s="42">
        <f>5000000</f>
        <v>5000000</v>
      </c>
      <c r="G708" s="42">
        <v>500000</v>
      </c>
      <c r="H708" s="42">
        <v>500000</v>
      </c>
      <c r="I708" s="31" t="s">
        <v>1478</v>
      </c>
      <c r="J708" s="148"/>
      <c r="K708" s="2"/>
      <c r="L708" s="150"/>
      <c r="M708" s="149"/>
      <c r="N708" s="150"/>
      <c r="O708" s="12"/>
      <c r="P708" s="13"/>
    </row>
    <row r="709" spans="1:16">
      <c r="A709" s="29">
        <f t="shared" si="57"/>
        <v>128</v>
      </c>
      <c r="B709" s="30" t="s">
        <v>452</v>
      </c>
      <c r="C709" s="31" t="s">
        <v>453</v>
      </c>
      <c r="D709" s="32"/>
      <c r="E709" s="32">
        <v>42587</v>
      </c>
      <c r="F709" s="42">
        <v>20000000</v>
      </c>
      <c r="G709" s="42">
        <v>10000000</v>
      </c>
      <c r="H709" s="42">
        <v>5000000</v>
      </c>
      <c r="I709" s="31" t="s">
        <v>1479</v>
      </c>
      <c r="J709" s="148"/>
      <c r="K709" s="2"/>
      <c r="L709" s="150"/>
      <c r="M709" s="149"/>
      <c r="N709" s="150"/>
      <c r="O709" s="12"/>
      <c r="P709" s="13"/>
    </row>
    <row r="710" spans="1:16">
      <c r="A710" s="29">
        <f t="shared" si="57"/>
        <v>129</v>
      </c>
      <c r="B710" s="30" t="s">
        <v>1162</v>
      </c>
      <c r="C710" s="31" t="s">
        <v>1163</v>
      </c>
      <c r="D710" s="32"/>
      <c r="E710" s="32">
        <v>42593</v>
      </c>
      <c r="F710" s="33">
        <v>5000000</v>
      </c>
      <c r="G710" s="33">
        <v>1250000</v>
      </c>
      <c r="H710" s="33">
        <v>1250000</v>
      </c>
      <c r="I710" s="31"/>
      <c r="J710" s="148"/>
      <c r="K710" s="2"/>
      <c r="L710" s="150"/>
      <c r="M710" s="149"/>
      <c r="N710" s="150"/>
      <c r="O710" s="12"/>
      <c r="P710" s="13"/>
    </row>
    <row r="711" spans="1:16">
      <c r="A711" s="29">
        <f t="shared" si="57"/>
        <v>130</v>
      </c>
      <c r="B711" s="30" t="s">
        <v>1162</v>
      </c>
      <c r="C711" s="31" t="s">
        <v>1163</v>
      </c>
      <c r="D711" s="32"/>
      <c r="E711" s="32">
        <v>42593</v>
      </c>
      <c r="F711" s="33">
        <v>5000000</v>
      </c>
      <c r="G711" s="33">
        <v>1250000</v>
      </c>
      <c r="H711" s="33">
        <v>1250000</v>
      </c>
      <c r="I711" s="29"/>
      <c r="J711" s="3"/>
      <c r="K711" s="2"/>
      <c r="L711" s="150"/>
      <c r="M711" s="155"/>
      <c r="N711" s="150"/>
      <c r="O711" s="12"/>
      <c r="P711" s="13"/>
    </row>
    <row r="712" spans="1:16">
      <c r="A712" s="29">
        <f t="shared" ref="A712:A775" si="58">+A711+1</f>
        <v>131</v>
      </c>
      <c r="B712" s="30" t="s">
        <v>777</v>
      </c>
      <c r="C712" s="31" t="s">
        <v>778</v>
      </c>
      <c r="D712" s="32"/>
      <c r="E712" s="32">
        <v>42594</v>
      </c>
      <c r="F712" s="176">
        <v>5000000</v>
      </c>
      <c r="G712" s="176">
        <v>0</v>
      </c>
      <c r="H712" s="176">
        <v>0</v>
      </c>
      <c r="I712" s="31" t="s">
        <v>1480</v>
      </c>
      <c r="J712" s="148"/>
      <c r="K712" s="2"/>
      <c r="L712" s="150"/>
      <c r="M712" s="149"/>
      <c r="N712" s="150"/>
      <c r="O712" s="12"/>
      <c r="P712" s="13"/>
    </row>
    <row r="713" spans="1:16">
      <c r="A713" s="29">
        <f t="shared" si="58"/>
        <v>132</v>
      </c>
      <c r="B713" s="30" t="s">
        <v>777</v>
      </c>
      <c r="C713" s="31" t="s">
        <v>778</v>
      </c>
      <c r="D713" s="32"/>
      <c r="E713" s="32">
        <v>42594</v>
      </c>
      <c r="F713" s="176">
        <v>5000000</v>
      </c>
      <c r="G713" s="176">
        <v>0</v>
      </c>
      <c r="H713" s="176">
        <v>0</v>
      </c>
      <c r="I713" s="31" t="s">
        <v>1481</v>
      </c>
      <c r="J713" s="148"/>
      <c r="K713" s="2"/>
      <c r="L713" s="150"/>
      <c r="M713" s="149"/>
      <c r="N713" s="150"/>
      <c r="O713" s="12"/>
      <c r="P713" s="13"/>
    </row>
    <row r="714" spans="1:16">
      <c r="A714" s="29">
        <f t="shared" si="58"/>
        <v>133</v>
      </c>
      <c r="B714" s="30" t="s">
        <v>368</v>
      </c>
      <c r="C714" s="31" t="s">
        <v>369</v>
      </c>
      <c r="D714" s="32"/>
      <c r="E714" s="32">
        <v>42594</v>
      </c>
      <c r="F714" s="176">
        <v>16000000</v>
      </c>
      <c r="G714" s="176">
        <v>0</v>
      </c>
      <c r="H714" s="176">
        <v>0</v>
      </c>
      <c r="I714" s="31"/>
      <c r="J714" s="148"/>
      <c r="K714" s="2"/>
      <c r="L714" s="150"/>
      <c r="M714" s="149"/>
      <c r="N714" s="150"/>
      <c r="O714" s="12"/>
      <c r="P714" s="13"/>
    </row>
    <row r="715" spans="1:16">
      <c r="A715" s="29">
        <f t="shared" si="58"/>
        <v>134</v>
      </c>
      <c r="B715" s="30" t="s">
        <v>368</v>
      </c>
      <c r="C715" s="31" t="s">
        <v>369</v>
      </c>
      <c r="D715" s="32"/>
      <c r="E715" s="32">
        <v>42594</v>
      </c>
      <c r="F715" s="33">
        <v>16000000</v>
      </c>
      <c r="G715" s="176">
        <f>5000000</f>
        <v>5000000</v>
      </c>
      <c r="H715" s="176">
        <f>5000000</f>
        <v>5000000</v>
      </c>
      <c r="I715" s="31"/>
      <c r="J715" s="148"/>
      <c r="K715" s="2"/>
      <c r="L715" s="150"/>
      <c r="M715" s="149"/>
      <c r="N715" s="150"/>
      <c r="O715" s="12"/>
      <c r="P715" s="13"/>
    </row>
    <row r="716" spans="1:16">
      <c r="A716" s="29">
        <f t="shared" si="58"/>
        <v>135</v>
      </c>
      <c r="B716" s="30" t="s">
        <v>228</v>
      </c>
      <c r="C716" s="31" t="s">
        <v>229</v>
      </c>
      <c r="D716" s="32"/>
      <c r="E716" s="32">
        <v>42607</v>
      </c>
      <c r="F716" s="34">
        <v>5000000</v>
      </c>
      <c r="G716" s="33">
        <v>2500000</v>
      </c>
      <c r="H716" s="33">
        <v>2500000</v>
      </c>
      <c r="I716" s="177" t="s">
        <v>1482</v>
      </c>
      <c r="J716" s="178"/>
      <c r="K716" s="3"/>
      <c r="L716" s="10"/>
      <c r="M716" s="10"/>
    </row>
    <row r="717" spans="1:16">
      <c r="A717" s="29">
        <f t="shared" si="58"/>
        <v>136</v>
      </c>
      <c r="B717" s="30" t="s">
        <v>228</v>
      </c>
      <c r="C717" s="31" t="s">
        <v>229</v>
      </c>
      <c r="D717" s="32"/>
      <c r="E717" s="32">
        <v>42607</v>
      </c>
      <c r="F717" s="34">
        <v>5000000</v>
      </c>
      <c r="G717" s="33">
        <v>2500000</v>
      </c>
      <c r="H717" s="33">
        <v>2500000</v>
      </c>
      <c r="I717" s="181" t="s">
        <v>1483</v>
      </c>
      <c r="J717" s="182"/>
      <c r="K717" s="3"/>
      <c r="L717" s="10"/>
      <c r="M717" s="10"/>
    </row>
    <row r="718" spans="1:16">
      <c r="A718" s="29">
        <f t="shared" si="58"/>
        <v>137</v>
      </c>
      <c r="B718" s="30" t="s">
        <v>141</v>
      </c>
      <c r="C718" s="31" t="s">
        <v>142</v>
      </c>
      <c r="D718" s="32"/>
      <c r="E718" s="32">
        <v>42607</v>
      </c>
      <c r="F718" s="34">
        <v>12000000</v>
      </c>
      <c r="G718" s="33">
        <v>4000000</v>
      </c>
      <c r="H718" s="33">
        <v>4000000</v>
      </c>
      <c r="I718" s="177" t="s">
        <v>1484</v>
      </c>
      <c r="J718" s="178"/>
      <c r="K718" s="3"/>
      <c r="L718" s="10"/>
      <c r="M718" s="10"/>
    </row>
    <row r="719" spans="1:16">
      <c r="A719" s="29">
        <f t="shared" si="58"/>
        <v>138</v>
      </c>
      <c r="B719" s="30" t="s">
        <v>418</v>
      </c>
      <c r="C719" s="31" t="s">
        <v>419</v>
      </c>
      <c r="D719" s="32"/>
      <c r="E719" s="32">
        <v>42608</v>
      </c>
      <c r="F719" s="34">
        <v>35000000</v>
      </c>
      <c r="G719" s="33">
        <v>0</v>
      </c>
      <c r="H719" s="33">
        <v>5000000</v>
      </c>
      <c r="I719" s="31" t="s">
        <v>1485</v>
      </c>
      <c r="J719" s="148"/>
      <c r="K719" s="3"/>
      <c r="L719" s="10"/>
      <c r="M719" s="10"/>
    </row>
    <row r="720" spans="1:16">
      <c r="A720" s="29">
        <f t="shared" si="58"/>
        <v>139</v>
      </c>
      <c r="B720" s="30" t="s">
        <v>572</v>
      </c>
      <c r="C720" s="31" t="s">
        <v>573</v>
      </c>
      <c r="D720" s="32"/>
      <c r="E720" s="32">
        <v>42608</v>
      </c>
      <c r="F720" s="34">
        <v>7500000</v>
      </c>
      <c r="G720" s="33">
        <v>0</v>
      </c>
      <c r="H720" s="33">
        <v>0</v>
      </c>
      <c r="I720" s="31" t="s">
        <v>1486</v>
      </c>
      <c r="J720" s="148"/>
      <c r="K720" s="3"/>
      <c r="L720" s="10"/>
      <c r="M720" s="10"/>
    </row>
    <row r="721" spans="1:16">
      <c r="A721" s="29">
        <f t="shared" si="58"/>
        <v>140</v>
      </c>
      <c r="B721" s="30" t="s">
        <v>572</v>
      </c>
      <c r="C721" s="31" t="s">
        <v>573</v>
      </c>
      <c r="D721" s="32"/>
      <c r="E721" s="32">
        <v>42608</v>
      </c>
      <c r="F721" s="34">
        <v>7500000</v>
      </c>
      <c r="G721" s="33"/>
      <c r="H721" s="33"/>
      <c r="I721" s="31" t="s">
        <v>1487</v>
      </c>
      <c r="J721" s="148"/>
      <c r="K721" s="3"/>
      <c r="L721" s="10"/>
      <c r="M721" s="10"/>
    </row>
    <row r="722" spans="1:16">
      <c r="A722" s="29">
        <f t="shared" si="58"/>
        <v>141</v>
      </c>
      <c r="B722" s="30" t="s">
        <v>628</v>
      </c>
      <c r="C722" s="31" t="s">
        <v>629</v>
      </c>
      <c r="D722" s="32"/>
      <c r="E722" s="32">
        <v>42608</v>
      </c>
      <c r="F722" s="34">
        <v>50000000</v>
      </c>
      <c r="G722" s="33">
        <v>0</v>
      </c>
      <c r="H722" s="33">
        <v>0</v>
      </c>
      <c r="I722" s="31" t="s">
        <v>1488</v>
      </c>
      <c r="J722" s="148"/>
      <c r="K722" s="3"/>
      <c r="L722" s="10"/>
      <c r="M722" s="10"/>
    </row>
    <row r="723" spans="1:16">
      <c r="A723" s="29">
        <f t="shared" si="58"/>
        <v>142</v>
      </c>
      <c r="B723" s="30" t="s">
        <v>312</v>
      </c>
      <c r="C723" s="31" t="s">
        <v>313</v>
      </c>
      <c r="D723" s="32"/>
      <c r="E723" s="32">
        <v>42612</v>
      </c>
      <c r="F723" s="34">
        <v>45000000</v>
      </c>
      <c r="G723" s="33">
        <v>0</v>
      </c>
      <c r="H723" s="33">
        <v>5000000</v>
      </c>
      <c r="I723" s="31" t="s">
        <v>1489</v>
      </c>
      <c r="J723" s="148"/>
      <c r="K723" s="3"/>
      <c r="L723" s="10"/>
      <c r="M723" s="10"/>
    </row>
    <row r="724" spans="1:16">
      <c r="A724" s="29">
        <f t="shared" si="58"/>
        <v>143</v>
      </c>
      <c r="B724" s="30" t="s">
        <v>1152</v>
      </c>
      <c r="C724" s="31" t="s">
        <v>1153</v>
      </c>
      <c r="D724" s="32"/>
      <c r="E724" s="32">
        <v>42615</v>
      </c>
      <c r="F724" s="34">
        <f>5000000</f>
        <v>5000000</v>
      </c>
      <c r="G724" s="34">
        <v>2500000</v>
      </c>
      <c r="H724" s="34">
        <v>2500000</v>
      </c>
      <c r="I724" s="181" t="s">
        <v>1490</v>
      </c>
      <c r="J724" s="182"/>
      <c r="K724" s="3"/>
      <c r="L724" s="10"/>
      <c r="M724" s="10"/>
    </row>
    <row r="725" spans="1:16">
      <c r="A725" s="29">
        <f t="shared" si="58"/>
        <v>144</v>
      </c>
      <c r="B725" s="30" t="s">
        <v>1152</v>
      </c>
      <c r="C725" s="31" t="s">
        <v>1153</v>
      </c>
      <c r="D725" s="32"/>
      <c r="E725" s="32">
        <v>42615</v>
      </c>
      <c r="F725" s="34">
        <f>5000000</f>
        <v>5000000</v>
      </c>
      <c r="G725" s="34">
        <v>2500000</v>
      </c>
      <c r="H725" s="34">
        <v>2500000</v>
      </c>
      <c r="I725" s="177" t="s">
        <v>1491</v>
      </c>
      <c r="J725" s="178"/>
      <c r="K725" s="3"/>
      <c r="L725" s="10"/>
      <c r="M725" s="10"/>
    </row>
    <row r="726" spans="1:16">
      <c r="A726" s="29">
        <f t="shared" si="58"/>
        <v>145</v>
      </c>
      <c r="B726" s="30" t="s">
        <v>662</v>
      </c>
      <c r="C726" s="31" t="s">
        <v>663</v>
      </c>
      <c r="D726" s="32"/>
      <c r="E726" s="32">
        <v>42619</v>
      </c>
      <c r="F726" s="34">
        <v>7000000</v>
      </c>
      <c r="G726" s="34">
        <v>3000000</v>
      </c>
      <c r="H726" s="34">
        <v>3000000</v>
      </c>
      <c r="I726" s="31" t="s">
        <v>1492</v>
      </c>
      <c r="J726" s="148"/>
      <c r="K726" s="3"/>
      <c r="L726" s="10"/>
      <c r="M726" s="10"/>
      <c r="N726" s="14"/>
      <c r="O726" s="14"/>
      <c r="P726" s="14"/>
    </row>
    <row r="727" spans="1:16">
      <c r="A727" s="29">
        <f t="shared" si="58"/>
        <v>146</v>
      </c>
      <c r="B727" s="30" t="s">
        <v>448</v>
      </c>
      <c r="C727" s="31" t="s">
        <v>449</v>
      </c>
      <c r="D727" s="32"/>
      <c r="E727" s="32">
        <v>42639</v>
      </c>
      <c r="F727" s="34">
        <v>50000000</v>
      </c>
      <c r="G727" s="34">
        <v>0</v>
      </c>
      <c r="H727" s="34">
        <v>0</v>
      </c>
      <c r="I727" s="31"/>
      <c r="J727" s="148"/>
      <c r="K727" s="3"/>
      <c r="L727" s="10"/>
      <c r="M727" s="10"/>
      <c r="N727" s="14"/>
      <c r="O727" s="14"/>
      <c r="P727" s="14"/>
    </row>
    <row r="728" spans="1:16">
      <c r="A728" s="29">
        <f t="shared" si="58"/>
        <v>147</v>
      </c>
      <c r="B728" s="30" t="s">
        <v>1147</v>
      </c>
      <c r="C728" s="31" t="s">
        <v>1148</v>
      </c>
      <c r="D728" s="32"/>
      <c r="E728" s="32">
        <v>42636</v>
      </c>
      <c r="F728" s="34">
        <v>45000000</v>
      </c>
      <c r="G728" s="34">
        <v>0</v>
      </c>
      <c r="H728" s="34">
        <v>5000000</v>
      </c>
      <c r="I728" s="31" t="s">
        <v>1493</v>
      </c>
      <c r="J728" s="148"/>
      <c r="K728" s="3"/>
      <c r="L728" s="10"/>
      <c r="M728" s="10"/>
      <c r="N728" s="14"/>
      <c r="O728" s="14"/>
      <c r="P728" s="14"/>
    </row>
    <row r="729" spans="1:16">
      <c r="A729" s="29">
        <f t="shared" si="58"/>
        <v>148</v>
      </c>
      <c r="B729" s="30" t="s">
        <v>260</v>
      </c>
      <c r="C729" s="31" t="s">
        <v>261</v>
      </c>
      <c r="D729" s="32"/>
      <c r="E729" s="32">
        <v>42639</v>
      </c>
      <c r="F729" s="34">
        <v>10000000</v>
      </c>
      <c r="G729" s="34">
        <v>0</v>
      </c>
      <c r="H729" s="34">
        <v>0</v>
      </c>
      <c r="I729" s="31" t="s">
        <v>1494</v>
      </c>
      <c r="J729" s="148"/>
      <c r="K729" s="3"/>
      <c r="L729" s="10"/>
      <c r="M729" s="10"/>
      <c r="N729" s="14"/>
      <c r="O729" s="14"/>
      <c r="P729" s="14"/>
    </row>
    <row r="730" spans="1:16">
      <c r="A730" s="29">
        <f t="shared" si="58"/>
        <v>149</v>
      </c>
      <c r="B730" s="30" t="s">
        <v>1050</v>
      </c>
      <c r="C730" s="31" t="s">
        <v>1051</v>
      </c>
      <c r="D730" s="32"/>
      <c r="E730" s="32">
        <v>42639</v>
      </c>
      <c r="F730" s="34">
        <v>5000000</v>
      </c>
      <c r="G730" s="34">
        <v>5000000</v>
      </c>
      <c r="H730" s="34">
        <v>5000000</v>
      </c>
      <c r="I730" s="31" t="s">
        <v>1495</v>
      </c>
      <c r="J730" s="148"/>
      <c r="K730" s="3"/>
      <c r="L730" s="10"/>
      <c r="M730" s="10"/>
      <c r="N730" s="14"/>
      <c r="O730" s="14"/>
      <c r="P730" s="14"/>
    </row>
    <row r="731" spans="1:16">
      <c r="A731" s="29">
        <f t="shared" si="58"/>
        <v>150</v>
      </c>
      <c r="B731" s="30" t="s">
        <v>358</v>
      </c>
      <c r="C731" s="31" t="s">
        <v>359</v>
      </c>
      <c r="D731" s="32"/>
      <c r="E731" s="32">
        <v>42639</v>
      </c>
      <c r="F731" s="34">
        <v>20000000</v>
      </c>
      <c r="G731" s="34">
        <v>5000000</v>
      </c>
      <c r="H731" s="34">
        <v>5000000</v>
      </c>
      <c r="I731" s="31" t="s">
        <v>1496</v>
      </c>
      <c r="J731" s="148"/>
      <c r="K731" s="3"/>
      <c r="L731" s="10"/>
      <c r="M731" s="10"/>
      <c r="N731" s="14"/>
      <c r="O731" s="14"/>
      <c r="P731" s="14"/>
    </row>
    <row r="732" spans="1:16">
      <c r="A732" s="29">
        <f t="shared" si="58"/>
        <v>151</v>
      </c>
      <c r="B732" s="30" t="s">
        <v>551</v>
      </c>
      <c r="C732" s="31" t="s">
        <v>552</v>
      </c>
      <c r="D732" s="32"/>
      <c r="E732" s="32">
        <v>42642</v>
      </c>
      <c r="F732" s="34">
        <v>20000000</v>
      </c>
      <c r="G732" s="34">
        <v>0</v>
      </c>
      <c r="H732" s="34">
        <v>0</v>
      </c>
      <c r="I732" s="31"/>
      <c r="J732" s="148"/>
      <c r="K732" s="3"/>
      <c r="L732" s="10"/>
      <c r="M732" s="10"/>
      <c r="N732" s="14"/>
      <c r="O732" s="14"/>
      <c r="P732" s="14"/>
    </row>
    <row r="733" spans="1:16">
      <c r="A733" s="29">
        <f t="shared" si="58"/>
        <v>152</v>
      </c>
      <c r="B733" s="30" t="s">
        <v>850</v>
      </c>
      <c r="C733" s="31" t="s">
        <v>851</v>
      </c>
      <c r="D733" s="32"/>
      <c r="E733" s="32">
        <v>42650</v>
      </c>
      <c r="F733" s="34">
        <v>7500000</v>
      </c>
      <c r="G733" s="34">
        <v>1250000</v>
      </c>
      <c r="H733" s="34">
        <v>1250000</v>
      </c>
      <c r="I733" s="31" t="s">
        <v>1497</v>
      </c>
      <c r="J733" s="148"/>
      <c r="K733" s="3"/>
      <c r="L733" s="10"/>
      <c r="M733" s="10"/>
      <c r="N733" s="14"/>
      <c r="O733" s="14"/>
      <c r="P733" s="14"/>
    </row>
    <row r="734" spans="1:16">
      <c r="A734" s="29">
        <f t="shared" si="58"/>
        <v>153</v>
      </c>
      <c r="B734" s="30" t="s">
        <v>850</v>
      </c>
      <c r="C734" s="31" t="s">
        <v>851</v>
      </c>
      <c r="D734" s="32"/>
      <c r="E734" s="32">
        <v>42650</v>
      </c>
      <c r="F734" s="34">
        <v>7500000</v>
      </c>
      <c r="G734" s="34">
        <v>1250000</v>
      </c>
      <c r="H734" s="34">
        <v>1250000</v>
      </c>
      <c r="I734" s="31" t="s">
        <v>1498</v>
      </c>
      <c r="J734" s="148"/>
      <c r="K734" s="3"/>
      <c r="L734" s="10"/>
      <c r="M734" s="10"/>
      <c r="N734" s="14"/>
      <c r="O734" s="14"/>
      <c r="P734" s="14"/>
    </row>
    <row r="735" spans="1:16">
      <c r="A735" s="29">
        <f t="shared" si="58"/>
        <v>154</v>
      </c>
      <c r="B735" s="30" t="s">
        <v>1499</v>
      </c>
      <c r="C735" s="31" t="s">
        <v>899</v>
      </c>
      <c r="D735" s="32"/>
      <c r="E735" s="32">
        <v>42668</v>
      </c>
      <c r="F735" s="84">
        <v>45830000</v>
      </c>
      <c r="G735" s="34">
        <v>0</v>
      </c>
      <c r="H735" s="34">
        <v>0</v>
      </c>
      <c r="I735" s="31"/>
      <c r="J735" s="148"/>
      <c r="K735" s="3"/>
      <c r="L735" s="10"/>
      <c r="M735" s="10"/>
      <c r="N735" s="14"/>
      <c r="O735" s="14"/>
      <c r="P735" s="14"/>
    </row>
    <row r="736" spans="1:16">
      <c r="A736" s="29">
        <f t="shared" si="58"/>
        <v>155</v>
      </c>
      <c r="B736" s="30" t="s">
        <v>1058</v>
      </c>
      <c r="C736" s="31" t="s">
        <v>1059</v>
      </c>
      <c r="D736" s="32"/>
      <c r="E736" s="32">
        <v>42669</v>
      </c>
      <c r="F736" s="34">
        <v>4000000</v>
      </c>
      <c r="G736" s="34">
        <v>3000000</v>
      </c>
      <c r="H736" s="34">
        <v>3000000</v>
      </c>
      <c r="I736" s="31" t="s">
        <v>1500</v>
      </c>
      <c r="J736" s="148"/>
      <c r="K736" s="3"/>
      <c r="L736" s="10"/>
      <c r="M736" s="10"/>
      <c r="N736" s="14"/>
      <c r="O736" s="14"/>
      <c r="P736" s="14"/>
    </row>
    <row r="737" spans="1:16">
      <c r="A737" s="29">
        <f t="shared" si="58"/>
        <v>156</v>
      </c>
      <c r="B737" s="30" t="s">
        <v>426</v>
      </c>
      <c r="C737" s="31" t="s">
        <v>427</v>
      </c>
      <c r="D737" s="32"/>
      <c r="E737" s="32">
        <v>42669</v>
      </c>
      <c r="F737" s="34">
        <v>10000000</v>
      </c>
      <c r="G737" s="34">
        <v>1000000</v>
      </c>
      <c r="H737" s="34">
        <v>1500000</v>
      </c>
      <c r="I737" s="31" t="s">
        <v>1501</v>
      </c>
      <c r="J737" s="148"/>
      <c r="K737" s="3"/>
      <c r="L737" s="10"/>
      <c r="M737" s="10"/>
      <c r="N737" s="14"/>
      <c r="O737" s="14"/>
      <c r="P737" s="14"/>
    </row>
    <row r="738" spans="1:16">
      <c r="A738" s="29">
        <f t="shared" si="58"/>
        <v>157</v>
      </c>
      <c r="B738" s="30" t="s">
        <v>426</v>
      </c>
      <c r="C738" s="31" t="s">
        <v>427</v>
      </c>
      <c r="D738" s="32"/>
      <c r="E738" s="32">
        <v>42669</v>
      </c>
      <c r="F738" s="34">
        <v>10000000</v>
      </c>
      <c r="G738" s="34">
        <v>1000000</v>
      </c>
      <c r="H738" s="34">
        <v>1500000</v>
      </c>
      <c r="I738" s="31" t="s">
        <v>1502</v>
      </c>
      <c r="J738" s="148"/>
      <c r="K738" s="3"/>
      <c r="L738" s="10"/>
      <c r="M738" s="10"/>
      <c r="N738" s="14"/>
      <c r="O738" s="14"/>
      <c r="P738" s="14"/>
    </row>
    <row r="739" spans="1:16">
      <c r="A739" s="29">
        <f t="shared" si="58"/>
        <v>158</v>
      </c>
      <c r="B739" s="30" t="s">
        <v>852</v>
      </c>
      <c r="C739" s="31" t="s">
        <v>853</v>
      </c>
      <c r="D739" s="32"/>
      <c r="E739" s="32">
        <v>42669</v>
      </c>
      <c r="F739" s="33">
        <v>15000000</v>
      </c>
      <c r="G739" s="33">
        <v>7500000</v>
      </c>
      <c r="H739" s="33">
        <v>7500000</v>
      </c>
      <c r="I739" s="31" t="s">
        <v>1503</v>
      </c>
      <c r="J739" s="148"/>
      <c r="K739" s="3"/>
      <c r="L739" s="10"/>
      <c r="M739" s="10"/>
      <c r="N739" s="14"/>
      <c r="O739" s="14"/>
      <c r="P739" s="14"/>
    </row>
    <row r="740" spans="1:16">
      <c r="A740" s="29">
        <f t="shared" si="58"/>
        <v>159</v>
      </c>
      <c r="B740" s="30" t="s">
        <v>1332</v>
      </c>
      <c r="C740" s="31" t="s">
        <v>1333</v>
      </c>
      <c r="D740" s="32"/>
      <c r="E740" s="32">
        <v>42670</v>
      </c>
      <c r="F740" s="33">
        <v>5000000</v>
      </c>
      <c r="G740" s="33">
        <v>2500000</v>
      </c>
      <c r="H740" s="33">
        <v>2500000</v>
      </c>
      <c r="I740" s="31" t="s">
        <v>1504</v>
      </c>
      <c r="J740" s="148"/>
      <c r="K740" s="3"/>
      <c r="L740" s="10"/>
      <c r="M740" s="10"/>
      <c r="N740" s="14"/>
      <c r="O740" s="14"/>
      <c r="P740" s="14"/>
    </row>
    <row r="741" spans="1:16">
      <c r="A741" s="29">
        <f t="shared" si="58"/>
        <v>160</v>
      </c>
      <c r="B741" s="30" t="s">
        <v>153</v>
      </c>
      <c r="C741" s="31" t="s">
        <v>154</v>
      </c>
      <c r="D741" s="41" t="s">
        <v>155</v>
      </c>
      <c r="E741" s="32">
        <v>42699</v>
      </c>
      <c r="F741" s="84">
        <v>12000000</v>
      </c>
      <c r="G741" s="34">
        <v>0</v>
      </c>
      <c r="H741" s="34">
        <v>0</v>
      </c>
      <c r="I741" s="31" t="s">
        <v>1505</v>
      </c>
      <c r="J741" s="148"/>
      <c r="K741" s="3"/>
      <c r="L741" s="10"/>
      <c r="M741" s="10"/>
      <c r="N741" s="14"/>
      <c r="O741" s="14"/>
      <c r="P741" s="14"/>
    </row>
    <row r="742" spans="1:16">
      <c r="A742" s="29">
        <f t="shared" si="58"/>
        <v>161</v>
      </c>
      <c r="B742" s="30" t="s">
        <v>47</v>
      </c>
      <c r="C742" s="31" t="s">
        <v>48</v>
      </c>
      <c r="D742" s="41" t="s">
        <v>49</v>
      </c>
      <c r="E742" s="32">
        <v>42702</v>
      </c>
      <c r="F742" s="33">
        <v>10000000</v>
      </c>
      <c r="G742" s="33">
        <v>0</v>
      </c>
      <c r="H742" s="33">
        <v>0</v>
      </c>
      <c r="I742" s="31" t="s">
        <v>1506</v>
      </c>
      <c r="J742" s="148"/>
      <c r="K742" s="3"/>
      <c r="L742" s="10"/>
      <c r="M742" s="10"/>
      <c r="N742" s="14"/>
      <c r="O742" s="14"/>
      <c r="P742" s="14"/>
    </row>
    <row r="743" spans="1:16">
      <c r="A743" s="29">
        <f t="shared" si="58"/>
        <v>162</v>
      </c>
      <c r="B743" s="30" t="s">
        <v>1039</v>
      </c>
      <c r="C743" s="31" t="s">
        <v>1040</v>
      </c>
      <c r="D743" s="31" t="s">
        <v>1041</v>
      </c>
      <c r="E743" s="32">
        <v>42704</v>
      </c>
      <c r="F743" s="33">
        <v>7500000</v>
      </c>
      <c r="G743" s="33">
        <v>2500000</v>
      </c>
      <c r="H743" s="33">
        <v>2500000</v>
      </c>
      <c r="I743" s="31"/>
      <c r="J743" s="148"/>
      <c r="K743" s="3"/>
      <c r="L743" s="10"/>
      <c r="M743" s="10"/>
      <c r="N743" s="14"/>
      <c r="O743" s="14"/>
      <c r="P743" s="14"/>
    </row>
    <row r="744" spans="1:16">
      <c r="A744" s="29">
        <f t="shared" si="58"/>
        <v>163</v>
      </c>
      <c r="B744" s="30" t="s">
        <v>1039</v>
      </c>
      <c r="C744" s="31" t="s">
        <v>1040</v>
      </c>
      <c r="D744" s="31" t="s">
        <v>1041</v>
      </c>
      <c r="E744" s="32">
        <v>42704</v>
      </c>
      <c r="F744" s="33">
        <v>7500000</v>
      </c>
      <c r="G744" s="33">
        <v>2500000</v>
      </c>
      <c r="H744" s="33">
        <v>2500000</v>
      </c>
      <c r="I744" s="31"/>
      <c r="J744" s="148"/>
      <c r="K744" s="3"/>
      <c r="L744" s="10"/>
      <c r="M744" s="10"/>
      <c r="N744" s="14"/>
      <c r="O744" s="14"/>
      <c r="P744" s="14"/>
    </row>
    <row r="745" spans="1:16">
      <c r="A745" s="29">
        <f t="shared" si="58"/>
        <v>164</v>
      </c>
      <c r="B745" s="30" t="s">
        <v>1208</v>
      </c>
      <c r="C745" s="31" t="s">
        <v>1209</v>
      </c>
      <c r="D745" s="41" t="s">
        <v>1210</v>
      </c>
      <c r="E745" s="32">
        <v>42706</v>
      </c>
      <c r="F745" s="34">
        <v>10000000</v>
      </c>
      <c r="G745" s="34">
        <v>0</v>
      </c>
      <c r="H745" s="34">
        <v>0</v>
      </c>
      <c r="I745" s="181" t="s">
        <v>1507</v>
      </c>
      <c r="J745" s="182"/>
      <c r="K745" s="3"/>
      <c r="L745" s="10"/>
      <c r="M745" s="10"/>
      <c r="N745" s="14"/>
      <c r="O745" s="14"/>
      <c r="P745" s="14"/>
    </row>
    <row r="746" spans="1:16">
      <c r="A746" s="29">
        <f t="shared" si="58"/>
        <v>165</v>
      </c>
      <c r="B746" s="30" t="s">
        <v>43</v>
      </c>
      <c r="C746" s="31" t="s">
        <v>44</v>
      </c>
      <c r="D746" s="41" t="s">
        <v>45</v>
      </c>
      <c r="E746" s="32">
        <v>42706</v>
      </c>
      <c r="F746" s="34">
        <v>8000000</v>
      </c>
      <c r="G746" s="34">
        <f>2000000</f>
        <v>2000000</v>
      </c>
      <c r="H746" s="34">
        <f>2000000</f>
        <v>2000000</v>
      </c>
      <c r="I746" s="181" t="s">
        <v>1508</v>
      </c>
      <c r="J746" s="182"/>
      <c r="K746" s="3"/>
      <c r="L746" s="10"/>
      <c r="M746" s="10"/>
      <c r="N746" s="14"/>
      <c r="O746" s="14"/>
      <c r="P746" s="14"/>
    </row>
    <row r="747" spans="1:16">
      <c r="A747" s="29">
        <f t="shared" si="58"/>
        <v>166</v>
      </c>
      <c r="B747" s="30" t="s">
        <v>64</v>
      </c>
      <c r="C747" s="31" t="s">
        <v>65</v>
      </c>
      <c r="D747" s="41" t="s">
        <v>66</v>
      </c>
      <c r="E747" s="32">
        <v>42705</v>
      </c>
      <c r="F747" s="34">
        <v>16500000</v>
      </c>
      <c r="G747" s="34">
        <v>0</v>
      </c>
      <c r="H747" s="34">
        <v>0</v>
      </c>
      <c r="I747" s="181" t="s">
        <v>1509</v>
      </c>
      <c r="J747" s="182"/>
      <c r="K747" s="3"/>
      <c r="L747" s="10"/>
      <c r="M747" s="10"/>
      <c r="N747" s="14"/>
      <c r="O747" s="14"/>
      <c r="P747" s="14"/>
    </row>
    <row r="748" spans="1:16">
      <c r="A748" s="29">
        <f t="shared" si="58"/>
        <v>167</v>
      </c>
      <c r="B748" s="30" t="s">
        <v>800</v>
      </c>
      <c r="C748" s="31" t="s">
        <v>801</v>
      </c>
      <c r="D748" s="41" t="s">
        <v>802</v>
      </c>
      <c r="E748" s="32">
        <v>42720</v>
      </c>
      <c r="F748" s="34">
        <v>5000000</v>
      </c>
      <c r="G748" s="34">
        <v>2500000</v>
      </c>
      <c r="H748" s="34">
        <v>2500000</v>
      </c>
      <c r="I748" s="181" t="s">
        <v>1510</v>
      </c>
      <c r="J748" s="182"/>
      <c r="K748" s="3"/>
      <c r="L748" s="10"/>
      <c r="M748" s="10"/>
      <c r="N748" s="2"/>
      <c r="O748" s="2"/>
      <c r="P748" s="2"/>
    </row>
    <row r="749" spans="1:16">
      <c r="A749" s="29">
        <f t="shared" si="58"/>
        <v>168</v>
      </c>
      <c r="B749" s="30" t="s">
        <v>184</v>
      </c>
      <c r="C749" s="31" t="s">
        <v>185</v>
      </c>
      <c r="D749" s="41" t="s">
        <v>186</v>
      </c>
      <c r="E749" s="32">
        <v>42734</v>
      </c>
      <c r="F749" s="34">
        <v>10000000</v>
      </c>
      <c r="G749" s="34">
        <v>3500000</v>
      </c>
      <c r="H749" s="34">
        <v>3500000</v>
      </c>
      <c r="I749" s="181" t="s">
        <v>1511</v>
      </c>
      <c r="J749" s="182"/>
      <c r="K749" s="3"/>
      <c r="L749" s="10"/>
      <c r="M749" s="10"/>
      <c r="N749" s="2"/>
      <c r="O749" s="2"/>
      <c r="P749" s="2"/>
    </row>
    <row r="750" spans="1:16">
      <c r="A750" s="29">
        <f t="shared" si="58"/>
        <v>169</v>
      </c>
      <c r="B750" s="30" t="s">
        <v>929</v>
      </c>
      <c r="C750" s="31" t="s">
        <v>930</v>
      </c>
      <c r="D750" s="41" t="s">
        <v>931</v>
      </c>
      <c r="E750" s="32">
        <v>42741</v>
      </c>
      <c r="F750" s="34">
        <v>4000000</v>
      </c>
      <c r="G750" s="34">
        <v>3000000</v>
      </c>
      <c r="H750" s="34">
        <v>3000000</v>
      </c>
      <c r="I750" s="181" t="s">
        <v>1512</v>
      </c>
      <c r="J750" s="182"/>
      <c r="K750" s="3"/>
      <c r="L750" s="10"/>
      <c r="M750" s="10"/>
      <c r="N750" s="14"/>
      <c r="O750" s="14"/>
      <c r="P750" s="14"/>
    </row>
    <row r="751" spans="1:16">
      <c r="A751" s="29">
        <f t="shared" si="58"/>
        <v>170</v>
      </c>
      <c r="B751" s="30" t="s">
        <v>68</v>
      </c>
      <c r="C751" s="31" t="s">
        <v>69</v>
      </c>
      <c r="D751" s="31" t="s">
        <v>69</v>
      </c>
      <c r="E751" s="32">
        <v>42740</v>
      </c>
      <c r="F751" s="34">
        <v>12500000</v>
      </c>
      <c r="G751" s="34">
        <v>1250000</v>
      </c>
      <c r="H751" s="34">
        <v>1250000</v>
      </c>
      <c r="I751" s="181" t="s">
        <v>1513</v>
      </c>
      <c r="J751" s="182"/>
      <c r="K751" s="3"/>
      <c r="L751" s="10"/>
      <c r="M751" s="10"/>
      <c r="N751" s="14"/>
      <c r="O751" s="14"/>
      <c r="P751" s="14"/>
    </row>
    <row r="752" spans="1:16">
      <c r="A752" s="29">
        <f t="shared" si="58"/>
        <v>171</v>
      </c>
      <c r="B752" s="30" t="s">
        <v>68</v>
      </c>
      <c r="C752" s="31" t="s">
        <v>69</v>
      </c>
      <c r="D752" s="31" t="s">
        <v>69</v>
      </c>
      <c r="E752" s="32">
        <v>42740</v>
      </c>
      <c r="F752" s="34">
        <v>12500000</v>
      </c>
      <c r="G752" s="34">
        <v>1250000</v>
      </c>
      <c r="H752" s="34">
        <v>1250000</v>
      </c>
      <c r="I752" s="181"/>
      <c r="J752" s="182"/>
      <c r="K752" s="3"/>
      <c r="L752" s="10"/>
      <c r="M752" s="10"/>
      <c r="N752" s="14"/>
      <c r="O752" s="14"/>
      <c r="P752" s="14"/>
    </row>
    <row r="753" spans="1:16">
      <c r="A753" s="29">
        <f t="shared" si="58"/>
        <v>172</v>
      </c>
      <c r="B753" s="30" t="s">
        <v>489</v>
      </c>
      <c r="C753" s="31" t="s">
        <v>490</v>
      </c>
      <c r="D753" s="41" t="s">
        <v>491</v>
      </c>
      <c r="E753" s="32">
        <v>42748</v>
      </c>
      <c r="F753" s="34">
        <v>12500000</v>
      </c>
      <c r="G753" s="34">
        <v>2500000</v>
      </c>
      <c r="H753" s="34">
        <v>2500000</v>
      </c>
      <c r="I753" s="181" t="s">
        <v>1514</v>
      </c>
      <c r="J753" s="182"/>
      <c r="K753" s="3"/>
      <c r="L753" s="10"/>
      <c r="M753" s="10"/>
      <c r="N753" s="14"/>
      <c r="O753" s="14"/>
      <c r="P753" s="14"/>
    </row>
    <row r="754" spans="1:16">
      <c r="A754" s="29">
        <f t="shared" si="58"/>
        <v>173</v>
      </c>
      <c r="B754" s="30" t="s">
        <v>489</v>
      </c>
      <c r="C754" s="31" t="s">
        <v>490</v>
      </c>
      <c r="D754" s="41" t="s">
        <v>491</v>
      </c>
      <c r="E754" s="32">
        <v>42748</v>
      </c>
      <c r="F754" s="34">
        <v>12500000</v>
      </c>
      <c r="G754" s="34">
        <v>2500000</v>
      </c>
      <c r="H754" s="34">
        <v>2500000</v>
      </c>
      <c r="I754" s="181" t="s">
        <v>1515</v>
      </c>
      <c r="J754" s="182"/>
      <c r="K754" s="3"/>
      <c r="L754" s="10"/>
      <c r="M754" s="10"/>
      <c r="N754" s="14"/>
      <c r="O754" s="14"/>
      <c r="P754" s="14"/>
    </row>
    <row r="755" spans="1:16">
      <c r="A755" s="29">
        <f t="shared" si="58"/>
        <v>174</v>
      </c>
      <c r="B755" s="30" t="s">
        <v>811</v>
      </c>
      <c r="C755" s="31" t="s">
        <v>812</v>
      </c>
      <c r="D755" s="41" t="s">
        <v>813</v>
      </c>
      <c r="E755" s="32">
        <v>42752</v>
      </c>
      <c r="F755" s="34">
        <v>3000000</v>
      </c>
      <c r="G755" s="34">
        <v>1500000</v>
      </c>
      <c r="H755" s="34">
        <v>1000000</v>
      </c>
      <c r="I755" s="181" t="s">
        <v>1516</v>
      </c>
      <c r="J755" s="182"/>
      <c r="K755" s="3"/>
      <c r="L755" s="10"/>
      <c r="M755" s="10"/>
      <c r="N755" s="14"/>
      <c r="O755" s="14"/>
      <c r="P755" s="14"/>
    </row>
    <row r="756" spans="1:16">
      <c r="A756" s="29">
        <f t="shared" si="58"/>
        <v>175</v>
      </c>
      <c r="B756" s="30" t="s">
        <v>811</v>
      </c>
      <c r="C756" s="31" t="s">
        <v>812</v>
      </c>
      <c r="D756" s="41" t="s">
        <v>813</v>
      </c>
      <c r="E756" s="32">
        <v>42752</v>
      </c>
      <c r="F756" s="34">
        <v>3000000</v>
      </c>
      <c r="G756" s="34">
        <v>1500000</v>
      </c>
      <c r="H756" s="34">
        <v>1000000</v>
      </c>
      <c r="I756" s="181" t="s">
        <v>1517</v>
      </c>
      <c r="J756" s="182"/>
      <c r="K756" s="3"/>
      <c r="L756" s="10"/>
      <c r="M756" s="10"/>
      <c r="N756" s="14"/>
      <c r="O756" s="14"/>
      <c r="P756" s="14"/>
    </row>
    <row r="757" spans="1:16">
      <c r="A757" s="29">
        <f t="shared" si="58"/>
        <v>176</v>
      </c>
      <c r="B757" s="30" t="s">
        <v>495</v>
      </c>
      <c r="C757" s="31" t="s">
        <v>496</v>
      </c>
      <c r="D757" s="31" t="s">
        <v>497</v>
      </c>
      <c r="E757" s="32">
        <v>42758</v>
      </c>
      <c r="F757" s="34">
        <v>10000000</v>
      </c>
      <c r="G757" s="34">
        <v>2500000</v>
      </c>
      <c r="H757" s="34">
        <v>2500000</v>
      </c>
      <c r="I757" s="181"/>
      <c r="J757" s="182"/>
      <c r="K757" s="3"/>
      <c r="L757" s="10"/>
      <c r="M757" s="10"/>
      <c r="N757" s="14"/>
      <c r="O757" s="14"/>
      <c r="P757" s="14"/>
    </row>
    <row r="758" spans="1:16">
      <c r="A758" s="29">
        <f t="shared" si="58"/>
        <v>177</v>
      </c>
      <c r="B758" s="30" t="s">
        <v>495</v>
      </c>
      <c r="C758" s="31" t="s">
        <v>496</v>
      </c>
      <c r="D758" s="31" t="s">
        <v>497</v>
      </c>
      <c r="E758" s="32">
        <v>42758</v>
      </c>
      <c r="F758" s="34">
        <v>10000000</v>
      </c>
      <c r="G758" s="34">
        <v>2500000</v>
      </c>
      <c r="H758" s="34">
        <v>2500000</v>
      </c>
      <c r="I758" s="181"/>
      <c r="J758" s="182"/>
      <c r="K758" s="3"/>
      <c r="L758" s="10"/>
      <c r="M758" s="10"/>
      <c r="N758" s="14"/>
      <c r="O758" s="14"/>
      <c r="P758" s="14"/>
    </row>
    <row r="759" spans="1:16">
      <c r="A759" s="29">
        <f t="shared" si="58"/>
        <v>178</v>
      </c>
      <c r="B759" s="30" t="s">
        <v>912</v>
      </c>
      <c r="C759" s="31" t="s">
        <v>913</v>
      </c>
      <c r="D759" s="41" t="s">
        <v>914</v>
      </c>
      <c r="E759" s="32">
        <v>42738</v>
      </c>
      <c r="F759" s="34">
        <v>20000000</v>
      </c>
      <c r="G759" s="34">
        <v>0</v>
      </c>
      <c r="H759" s="34">
        <v>0</v>
      </c>
      <c r="I759" s="181" t="s">
        <v>1518</v>
      </c>
      <c r="J759" s="182"/>
      <c r="K759" s="3"/>
      <c r="L759" s="10"/>
      <c r="M759" s="10"/>
      <c r="N759" s="14"/>
      <c r="O759" s="14"/>
      <c r="P759" s="14"/>
    </row>
    <row r="760" spans="1:16">
      <c r="A760" s="29">
        <f t="shared" si="58"/>
        <v>179</v>
      </c>
      <c r="B760" s="30" t="s">
        <v>780</v>
      </c>
      <c r="C760" s="31" t="s">
        <v>781</v>
      </c>
      <c r="D760" s="41" t="s">
        <v>782</v>
      </c>
      <c r="E760" s="32">
        <v>42761</v>
      </c>
      <c r="F760" s="34">
        <v>25000000</v>
      </c>
      <c r="G760" s="34">
        <v>5000000</v>
      </c>
      <c r="H760" s="34">
        <v>5000000</v>
      </c>
      <c r="I760" s="181" t="s">
        <v>1519</v>
      </c>
      <c r="J760" s="182"/>
      <c r="K760" s="3"/>
      <c r="L760" s="10"/>
      <c r="M760" s="10"/>
      <c r="N760" s="14"/>
      <c r="O760" s="14"/>
      <c r="P760" s="14"/>
    </row>
    <row r="761" spans="1:16">
      <c r="A761" s="29">
        <f t="shared" si="58"/>
        <v>180</v>
      </c>
      <c r="B761" s="30" t="s">
        <v>620</v>
      </c>
      <c r="C761" s="31" t="s">
        <v>621</v>
      </c>
      <c r="D761" s="41" t="s">
        <v>622</v>
      </c>
      <c r="E761" s="32">
        <v>42761</v>
      </c>
      <c r="F761" s="34">
        <v>17500000</v>
      </c>
      <c r="G761" s="34">
        <v>3750000</v>
      </c>
      <c r="H761" s="34">
        <v>3750000</v>
      </c>
      <c r="I761" s="181" t="s">
        <v>1520</v>
      </c>
      <c r="J761" s="182"/>
      <c r="K761" s="3"/>
      <c r="L761" s="10"/>
      <c r="M761" s="10"/>
      <c r="N761" s="14"/>
      <c r="O761" s="14"/>
      <c r="P761" s="14"/>
    </row>
    <row r="762" spans="1:16">
      <c r="A762" s="29">
        <f t="shared" si="58"/>
        <v>181</v>
      </c>
      <c r="B762" s="30" t="s">
        <v>620</v>
      </c>
      <c r="C762" s="31" t="s">
        <v>621</v>
      </c>
      <c r="D762" s="41" t="s">
        <v>622</v>
      </c>
      <c r="E762" s="32">
        <v>42761</v>
      </c>
      <c r="F762" s="34">
        <v>17500000</v>
      </c>
      <c r="G762" s="34">
        <v>3750000</v>
      </c>
      <c r="H762" s="34">
        <v>3750000</v>
      </c>
      <c r="I762" s="181" t="s">
        <v>1521</v>
      </c>
      <c r="J762" s="182"/>
      <c r="K762" s="3"/>
      <c r="L762" s="10"/>
      <c r="M762" s="10"/>
      <c r="N762" s="14"/>
      <c r="O762" s="14"/>
      <c r="P762" s="14"/>
    </row>
    <row r="763" spans="1:16">
      <c r="A763" s="29">
        <f t="shared" si="58"/>
        <v>182</v>
      </c>
      <c r="B763" s="30" t="s">
        <v>308</v>
      </c>
      <c r="C763" s="31" t="s">
        <v>309</v>
      </c>
      <c r="D763" s="41" t="s">
        <v>310</v>
      </c>
      <c r="E763" s="32">
        <v>42761</v>
      </c>
      <c r="F763" s="34">
        <v>17500000</v>
      </c>
      <c r="G763" s="34">
        <v>2500000</v>
      </c>
      <c r="H763" s="34">
        <v>2500000</v>
      </c>
      <c r="I763" s="181" t="s">
        <v>1522</v>
      </c>
      <c r="J763" s="182"/>
      <c r="K763" s="3"/>
      <c r="L763" s="10"/>
      <c r="M763" s="10"/>
      <c r="N763" s="14"/>
      <c r="O763" s="14"/>
      <c r="P763" s="14"/>
    </row>
    <row r="764" spans="1:16">
      <c r="A764" s="29">
        <f t="shared" si="58"/>
        <v>183</v>
      </c>
      <c r="B764" s="30" t="s">
        <v>308</v>
      </c>
      <c r="C764" s="31" t="s">
        <v>309</v>
      </c>
      <c r="D764" s="41" t="s">
        <v>310</v>
      </c>
      <c r="E764" s="32">
        <v>42761</v>
      </c>
      <c r="F764" s="34">
        <v>17500000</v>
      </c>
      <c r="G764" s="34">
        <v>2500000</v>
      </c>
      <c r="H764" s="34">
        <v>2500000</v>
      </c>
      <c r="I764" s="181" t="s">
        <v>1523</v>
      </c>
      <c r="J764" s="182"/>
      <c r="K764" s="3"/>
      <c r="L764" s="10"/>
      <c r="M764" s="10"/>
      <c r="N764" s="14"/>
      <c r="O764" s="14"/>
      <c r="P764" s="14"/>
    </row>
    <row r="765" spans="1:16">
      <c r="A765" s="29">
        <f t="shared" si="58"/>
        <v>184</v>
      </c>
      <c r="B765" s="30" t="s">
        <v>1344</v>
      </c>
      <c r="C765" s="31" t="s">
        <v>1345</v>
      </c>
      <c r="D765" s="41" t="s">
        <v>1346</v>
      </c>
      <c r="E765" s="32">
        <v>42765</v>
      </c>
      <c r="F765" s="34">
        <v>7500000</v>
      </c>
      <c r="G765" s="34">
        <v>2500000</v>
      </c>
      <c r="H765" s="34">
        <v>2500000</v>
      </c>
      <c r="I765" s="181" t="s">
        <v>1524</v>
      </c>
      <c r="J765" s="182"/>
      <c r="K765" s="3"/>
      <c r="L765" s="10"/>
      <c r="M765" s="10"/>
      <c r="N765" s="14"/>
      <c r="O765" s="14"/>
      <c r="P765" s="14"/>
    </row>
    <row r="766" spans="1:16">
      <c r="A766" s="29">
        <f t="shared" si="58"/>
        <v>185</v>
      </c>
      <c r="B766" s="30" t="s">
        <v>1344</v>
      </c>
      <c r="C766" s="31" t="s">
        <v>1345</v>
      </c>
      <c r="D766" s="41" t="s">
        <v>1346</v>
      </c>
      <c r="E766" s="32">
        <v>42765</v>
      </c>
      <c r="F766" s="34">
        <v>7500000</v>
      </c>
      <c r="G766" s="34">
        <v>2500000</v>
      </c>
      <c r="H766" s="34">
        <v>2500000</v>
      </c>
      <c r="I766" s="181" t="s">
        <v>1525</v>
      </c>
      <c r="J766" s="182"/>
      <c r="K766" s="3"/>
      <c r="L766" s="10"/>
      <c r="M766" s="10"/>
      <c r="N766" s="14"/>
      <c r="O766" s="14"/>
      <c r="P766" s="14"/>
    </row>
    <row r="767" spans="1:16">
      <c r="A767" s="29">
        <f t="shared" si="58"/>
        <v>186</v>
      </c>
      <c r="B767" s="30" t="s">
        <v>1141</v>
      </c>
      <c r="C767" s="31" t="s">
        <v>1142</v>
      </c>
      <c r="D767" s="31" t="s">
        <v>1143</v>
      </c>
      <c r="E767" s="32">
        <v>42765</v>
      </c>
      <c r="F767" s="34">
        <v>12000000</v>
      </c>
      <c r="G767" s="34">
        <v>3000000</v>
      </c>
      <c r="H767" s="34">
        <v>3000000</v>
      </c>
      <c r="I767" s="181" t="s">
        <v>1526</v>
      </c>
      <c r="J767" s="182"/>
      <c r="K767" s="3"/>
      <c r="L767" s="10"/>
      <c r="M767" s="10"/>
      <c r="N767" s="14"/>
      <c r="O767" s="14"/>
      <c r="P767" s="14"/>
    </row>
    <row r="768" spans="1:16">
      <c r="A768" s="29">
        <f t="shared" si="58"/>
        <v>187</v>
      </c>
      <c r="B768" s="30" t="s">
        <v>1187</v>
      </c>
      <c r="C768" s="31" t="s">
        <v>1188</v>
      </c>
      <c r="D768" s="41" t="s">
        <v>1189</v>
      </c>
      <c r="E768" s="32">
        <v>42762</v>
      </c>
      <c r="F768" s="34">
        <v>15000000</v>
      </c>
      <c r="G768" s="34">
        <v>5000000</v>
      </c>
      <c r="H768" s="34">
        <v>5000000</v>
      </c>
      <c r="I768" s="181" t="s">
        <v>1527</v>
      </c>
      <c r="J768" s="182"/>
      <c r="K768" s="3"/>
      <c r="L768" s="10"/>
      <c r="M768" s="10"/>
      <c r="N768" s="14"/>
      <c r="O768" s="14"/>
      <c r="P768" s="14"/>
    </row>
    <row r="769" spans="1:16">
      <c r="A769" s="29">
        <f t="shared" si="58"/>
        <v>188</v>
      </c>
      <c r="B769" s="30" t="s">
        <v>1187</v>
      </c>
      <c r="C769" s="31" t="s">
        <v>1188</v>
      </c>
      <c r="D769" s="41" t="s">
        <v>1189</v>
      </c>
      <c r="E769" s="32">
        <v>42762</v>
      </c>
      <c r="F769" s="34">
        <v>15000000</v>
      </c>
      <c r="G769" s="34">
        <v>5000000</v>
      </c>
      <c r="H769" s="34">
        <v>5000000</v>
      </c>
      <c r="I769" s="181" t="s">
        <v>1527</v>
      </c>
      <c r="J769" s="182"/>
      <c r="K769" s="3"/>
      <c r="L769" s="10"/>
      <c r="M769" s="10"/>
      <c r="N769" s="14"/>
      <c r="O769" s="14"/>
      <c r="P769" s="14"/>
    </row>
    <row r="770" spans="1:16">
      <c r="A770" s="29">
        <f t="shared" si="58"/>
        <v>189</v>
      </c>
      <c r="B770" s="30" t="s">
        <v>1068</v>
      </c>
      <c r="C770" s="183" t="s">
        <v>1069</v>
      </c>
      <c r="D770" s="41" t="s">
        <v>1070</v>
      </c>
      <c r="E770" s="32">
        <v>42780</v>
      </c>
      <c r="F770" s="34">
        <v>10000000</v>
      </c>
      <c r="G770" s="34">
        <v>1250000</v>
      </c>
      <c r="H770" s="34">
        <v>1250000</v>
      </c>
      <c r="I770" s="181" t="s">
        <v>1528</v>
      </c>
      <c r="J770" s="182"/>
      <c r="K770" s="3"/>
      <c r="L770" s="10"/>
      <c r="M770" s="10"/>
      <c r="N770" s="14"/>
      <c r="O770" s="14"/>
      <c r="P770" s="14"/>
    </row>
    <row r="771" spans="1:16">
      <c r="A771" s="29">
        <f t="shared" si="58"/>
        <v>190</v>
      </c>
      <c r="B771" s="30" t="s">
        <v>1068</v>
      </c>
      <c r="C771" s="183" t="s">
        <v>1069</v>
      </c>
      <c r="D771" s="41" t="s">
        <v>1070</v>
      </c>
      <c r="E771" s="32">
        <v>42780</v>
      </c>
      <c r="F771" s="34">
        <v>10000000</v>
      </c>
      <c r="G771" s="34">
        <v>1250000</v>
      </c>
      <c r="H771" s="34">
        <v>1250000</v>
      </c>
      <c r="I771" s="181" t="s">
        <v>1528</v>
      </c>
      <c r="J771" s="182"/>
      <c r="K771" s="3"/>
      <c r="L771" s="10"/>
      <c r="M771" s="10"/>
      <c r="N771" s="14"/>
      <c r="O771" s="14"/>
      <c r="P771" s="14"/>
    </row>
    <row r="772" spans="1:16">
      <c r="A772" s="29">
        <f t="shared" si="58"/>
        <v>191</v>
      </c>
      <c r="B772" s="30" t="s">
        <v>33</v>
      </c>
      <c r="C772" s="183" t="s">
        <v>34</v>
      </c>
      <c r="D772" s="41" t="s">
        <v>1529</v>
      </c>
      <c r="E772" s="32">
        <v>42790</v>
      </c>
      <c r="F772" s="34">
        <v>5000000</v>
      </c>
      <c r="G772" s="34">
        <v>0</v>
      </c>
      <c r="H772" s="34">
        <v>0</v>
      </c>
      <c r="I772" s="181" t="s">
        <v>1530</v>
      </c>
      <c r="J772" s="182"/>
      <c r="K772" s="3"/>
      <c r="L772" s="10"/>
      <c r="M772" s="10"/>
      <c r="N772" s="14"/>
      <c r="O772" s="14"/>
      <c r="P772" s="14"/>
    </row>
    <row r="773" spans="1:16">
      <c r="A773" s="29">
        <f t="shared" si="58"/>
        <v>192</v>
      </c>
      <c r="B773" s="30" t="s">
        <v>33</v>
      </c>
      <c r="C773" s="183" t="s">
        <v>34</v>
      </c>
      <c r="D773" s="41" t="s">
        <v>1529</v>
      </c>
      <c r="E773" s="32">
        <v>42790</v>
      </c>
      <c r="F773" s="34">
        <v>5000000</v>
      </c>
      <c r="G773" s="34">
        <v>0</v>
      </c>
      <c r="H773" s="34">
        <v>0</v>
      </c>
      <c r="I773" s="181" t="s">
        <v>1531</v>
      </c>
      <c r="J773" s="182"/>
      <c r="K773" s="3"/>
      <c r="L773" s="10"/>
      <c r="M773" s="10"/>
      <c r="N773" s="14"/>
      <c r="O773" s="14"/>
      <c r="P773" s="14"/>
    </row>
    <row r="774" spans="1:16">
      <c r="A774" s="29">
        <f t="shared" si="58"/>
        <v>193</v>
      </c>
      <c r="B774" s="30" t="s">
        <v>841</v>
      </c>
      <c r="C774" s="183" t="s">
        <v>842</v>
      </c>
      <c r="D774" s="41" t="s">
        <v>843</v>
      </c>
      <c r="E774" s="32">
        <v>42802</v>
      </c>
      <c r="F774" s="34">
        <v>15000000</v>
      </c>
      <c r="G774" s="34">
        <v>2500000</v>
      </c>
      <c r="H774" s="34">
        <v>2500000</v>
      </c>
      <c r="I774" s="181" t="s">
        <v>1532</v>
      </c>
      <c r="J774" s="182"/>
      <c r="K774" s="3"/>
      <c r="L774" s="10"/>
      <c r="M774" s="10"/>
      <c r="N774" s="14"/>
      <c r="O774" s="14"/>
      <c r="P774" s="14"/>
    </row>
    <row r="775" spans="1:16">
      <c r="A775" s="29">
        <f t="shared" si="58"/>
        <v>194</v>
      </c>
      <c r="B775" s="30" t="s">
        <v>807</v>
      </c>
      <c r="C775" s="183" t="s">
        <v>808</v>
      </c>
      <c r="D775" s="41" t="s">
        <v>809</v>
      </c>
      <c r="E775" s="32">
        <v>42823</v>
      </c>
      <c r="F775" s="34">
        <v>0</v>
      </c>
      <c r="G775" s="34">
        <v>5000000</v>
      </c>
      <c r="H775" s="34">
        <v>5000000</v>
      </c>
      <c r="I775" s="181" t="s">
        <v>1533</v>
      </c>
      <c r="J775" s="182"/>
      <c r="K775" s="3"/>
      <c r="L775" s="10"/>
      <c r="M775" s="10"/>
      <c r="N775" s="14"/>
      <c r="O775" s="14"/>
      <c r="P775" s="14"/>
    </row>
    <row r="776" spans="1:16">
      <c r="A776" s="29">
        <f t="shared" ref="A776:A839" si="59">+A775+1</f>
        <v>195</v>
      </c>
      <c r="B776" s="30" t="s">
        <v>932</v>
      </c>
      <c r="C776" s="183" t="s">
        <v>933</v>
      </c>
      <c r="D776" s="41" t="s">
        <v>934</v>
      </c>
      <c r="E776" s="32">
        <v>42825</v>
      </c>
      <c r="F776" s="184" t="s">
        <v>1534</v>
      </c>
      <c r="G776" s="34">
        <v>10000000</v>
      </c>
      <c r="H776" s="34">
        <v>10000000</v>
      </c>
      <c r="I776" s="181" t="s">
        <v>1535</v>
      </c>
      <c r="J776" s="182"/>
      <c r="K776" s="3"/>
      <c r="L776" s="10"/>
      <c r="M776" s="10"/>
      <c r="N776" s="14"/>
      <c r="O776" s="14"/>
      <c r="P776" s="14"/>
    </row>
    <row r="777" spans="1:16">
      <c r="A777" s="29">
        <f t="shared" si="59"/>
        <v>196</v>
      </c>
      <c r="B777" s="30" t="s">
        <v>708</v>
      </c>
      <c r="C777" s="183" t="s">
        <v>709</v>
      </c>
      <c r="D777" s="183"/>
      <c r="E777" s="32">
        <v>42647</v>
      </c>
      <c r="F777" s="42">
        <v>20000000</v>
      </c>
      <c r="G777" s="104">
        <v>0</v>
      </c>
      <c r="H777" s="104">
        <v>0</v>
      </c>
      <c r="I777" s="181"/>
      <c r="J777" s="14"/>
      <c r="K777" s="3"/>
      <c r="L777" s="10"/>
      <c r="M777" s="10"/>
      <c r="N777" s="14"/>
      <c r="O777" s="14"/>
      <c r="P777" s="14"/>
    </row>
    <row r="778" spans="1:16">
      <c r="A778" s="29">
        <f t="shared" si="59"/>
        <v>197</v>
      </c>
      <c r="B778" s="30" t="s">
        <v>815</v>
      </c>
      <c r="C778" s="183" t="s">
        <v>816</v>
      </c>
      <c r="D778" s="31" t="s">
        <v>817</v>
      </c>
      <c r="E778" s="32">
        <v>42850</v>
      </c>
      <c r="F778" s="34">
        <v>3750000</v>
      </c>
      <c r="G778" s="34">
        <v>0</v>
      </c>
      <c r="H778" s="34">
        <v>1250000</v>
      </c>
      <c r="I778" s="181" t="s">
        <v>1536</v>
      </c>
    </row>
    <row r="779" spans="1:16">
      <c r="A779" s="29">
        <f t="shared" si="59"/>
        <v>198</v>
      </c>
      <c r="B779" s="30" t="s">
        <v>815</v>
      </c>
      <c r="C779" s="183" t="s">
        <v>816</v>
      </c>
      <c r="D779" s="31" t="s">
        <v>817</v>
      </c>
      <c r="E779" s="32">
        <v>42850</v>
      </c>
      <c r="F779" s="34">
        <v>3750000</v>
      </c>
      <c r="G779" s="34">
        <v>0</v>
      </c>
      <c r="H779" s="34">
        <v>1250000</v>
      </c>
      <c r="I779" s="181" t="s">
        <v>1537</v>
      </c>
    </row>
    <row r="780" spans="1:16">
      <c r="A780" s="29">
        <f t="shared" si="59"/>
        <v>199</v>
      </c>
      <c r="B780" s="30" t="s">
        <v>240</v>
      </c>
      <c r="C780" s="183" t="s">
        <v>241</v>
      </c>
      <c r="D780" s="31" t="s">
        <v>242</v>
      </c>
      <c r="E780" s="32">
        <v>42850</v>
      </c>
      <c r="F780" s="34">
        <v>5000000</v>
      </c>
      <c r="G780" s="34">
        <v>1000000</v>
      </c>
      <c r="H780" s="34">
        <v>1500000</v>
      </c>
      <c r="I780" s="181" t="s">
        <v>1538</v>
      </c>
    </row>
    <row r="781" spans="1:16">
      <c r="A781" s="29">
        <f t="shared" si="59"/>
        <v>200</v>
      </c>
      <c r="B781" s="30" t="s">
        <v>240</v>
      </c>
      <c r="C781" s="183" t="s">
        <v>241</v>
      </c>
      <c r="D781" s="31" t="s">
        <v>242</v>
      </c>
      <c r="E781" s="32">
        <v>42850</v>
      </c>
      <c r="F781" s="34">
        <v>5000000</v>
      </c>
      <c r="G781" s="34">
        <v>1000000</v>
      </c>
      <c r="H781" s="34">
        <v>1500000</v>
      </c>
      <c r="I781" s="181" t="s">
        <v>1539</v>
      </c>
    </row>
    <row r="782" spans="1:16">
      <c r="A782" s="29">
        <f t="shared" si="59"/>
        <v>201</v>
      </c>
      <c r="B782" s="30" t="s">
        <v>920</v>
      </c>
      <c r="C782" s="183" t="s">
        <v>921</v>
      </c>
      <c r="D782" s="31" t="s">
        <v>922</v>
      </c>
      <c r="E782" s="32">
        <v>42852</v>
      </c>
      <c r="F782" s="34">
        <v>15000000</v>
      </c>
      <c r="G782" s="34">
        <v>0</v>
      </c>
      <c r="H782" s="34">
        <v>0</v>
      </c>
      <c r="I782" s="181" t="s">
        <v>1540</v>
      </c>
      <c r="J782" s="14"/>
      <c r="K782" s="14"/>
      <c r="L782" s="14"/>
      <c r="M782" s="14"/>
      <c r="N782" s="14"/>
      <c r="O782" s="14"/>
      <c r="P782" s="14"/>
    </row>
    <row r="783" spans="1:16">
      <c r="A783" s="29">
        <f t="shared" si="59"/>
        <v>202</v>
      </c>
      <c r="B783" s="30" t="s">
        <v>470</v>
      </c>
      <c r="C783" s="183" t="s">
        <v>471</v>
      </c>
      <c r="D783" s="31" t="s">
        <v>472</v>
      </c>
      <c r="E783" s="32">
        <v>42852</v>
      </c>
      <c r="F783" s="34">
        <v>7500000</v>
      </c>
      <c r="G783" s="34">
        <v>0</v>
      </c>
      <c r="H783" s="34">
        <v>0</v>
      </c>
      <c r="I783" s="181" t="s">
        <v>1541</v>
      </c>
      <c r="J783" s="14"/>
      <c r="K783" s="14"/>
      <c r="L783" s="14"/>
      <c r="M783" s="14"/>
      <c r="N783" s="14"/>
      <c r="O783" s="14"/>
      <c r="P783" s="14"/>
    </row>
    <row r="784" spans="1:16">
      <c r="A784" s="29">
        <f t="shared" si="59"/>
        <v>203</v>
      </c>
      <c r="B784" s="30" t="s">
        <v>470</v>
      </c>
      <c r="C784" s="183" t="s">
        <v>471</v>
      </c>
      <c r="D784" s="31" t="s">
        <v>472</v>
      </c>
      <c r="E784" s="32">
        <v>42852</v>
      </c>
      <c r="F784" s="34">
        <v>7500000</v>
      </c>
      <c r="G784" s="34">
        <v>0</v>
      </c>
      <c r="H784" s="34">
        <v>0</v>
      </c>
      <c r="I784" s="181" t="s">
        <v>1542</v>
      </c>
      <c r="J784" s="14"/>
      <c r="K784" s="14"/>
      <c r="L784" s="14"/>
      <c r="M784" s="14"/>
      <c r="N784" s="14"/>
      <c r="O784" s="14"/>
      <c r="P784" s="14"/>
    </row>
    <row r="785" spans="1:16">
      <c r="A785" s="29">
        <f t="shared" si="59"/>
        <v>204</v>
      </c>
      <c r="B785" s="30" t="s">
        <v>1012</v>
      </c>
      <c r="C785" s="183" t="s">
        <v>1013</v>
      </c>
      <c r="D785" s="41" t="s">
        <v>1014</v>
      </c>
      <c r="E785" s="32">
        <v>42853</v>
      </c>
      <c r="F785" s="34">
        <v>9000000</v>
      </c>
      <c r="G785" s="34">
        <v>3000000</v>
      </c>
      <c r="H785" s="34">
        <v>3000000</v>
      </c>
      <c r="I785" s="181" t="s">
        <v>1543</v>
      </c>
      <c r="J785" s="14"/>
      <c r="K785" s="14"/>
      <c r="L785" s="14"/>
      <c r="M785" s="14"/>
      <c r="N785" s="14"/>
      <c r="O785" s="14"/>
      <c r="P785" s="14"/>
    </row>
    <row r="786" spans="1:16">
      <c r="A786" s="29">
        <f t="shared" si="59"/>
        <v>205</v>
      </c>
      <c r="B786" s="30" t="s">
        <v>392</v>
      </c>
      <c r="C786" s="183" t="s">
        <v>393</v>
      </c>
      <c r="D786" s="41" t="s">
        <v>394</v>
      </c>
      <c r="E786" s="32">
        <v>42853</v>
      </c>
      <c r="F786" s="34">
        <f>25000000</f>
        <v>25000000</v>
      </c>
      <c r="G786" s="34">
        <v>6250000</v>
      </c>
      <c r="H786" s="34">
        <v>6250000</v>
      </c>
      <c r="I786" s="181" t="s">
        <v>1544</v>
      </c>
      <c r="J786" s="14"/>
      <c r="K786" s="14"/>
      <c r="L786" s="14"/>
      <c r="M786" s="14"/>
      <c r="N786" s="14"/>
      <c r="O786" s="14"/>
      <c r="P786" s="14"/>
    </row>
    <row r="787" spans="1:16">
      <c r="A787" s="29">
        <f t="shared" si="59"/>
        <v>206</v>
      </c>
      <c r="B787" s="30" t="s">
        <v>392</v>
      </c>
      <c r="C787" s="183" t="s">
        <v>393</v>
      </c>
      <c r="D787" s="41" t="s">
        <v>394</v>
      </c>
      <c r="E787" s="32">
        <v>42853</v>
      </c>
      <c r="F787" s="34">
        <f>25000000</f>
        <v>25000000</v>
      </c>
      <c r="G787" s="34">
        <v>6250000</v>
      </c>
      <c r="H787" s="34">
        <v>6250000</v>
      </c>
      <c r="I787" s="181" t="s">
        <v>1544</v>
      </c>
      <c r="J787" s="14"/>
      <c r="K787" s="14"/>
      <c r="L787" s="14"/>
      <c r="M787" s="14"/>
      <c r="N787" s="14"/>
      <c r="O787" s="14"/>
      <c r="P787" s="14"/>
    </row>
    <row r="788" spans="1:16">
      <c r="A788" s="29">
        <f t="shared" si="59"/>
        <v>207</v>
      </c>
      <c r="B788" s="30" t="s">
        <v>271</v>
      </c>
      <c r="C788" s="183" t="s">
        <v>272</v>
      </c>
      <c r="D788" s="41" t="s">
        <v>273</v>
      </c>
      <c r="E788" s="32">
        <v>42860</v>
      </c>
      <c r="F788" s="34">
        <v>15000000</v>
      </c>
      <c r="G788" s="34">
        <v>5000000</v>
      </c>
      <c r="H788" s="34">
        <v>5000000</v>
      </c>
      <c r="I788" s="181" t="s">
        <v>1545</v>
      </c>
    </row>
    <row r="789" spans="1:16">
      <c r="A789" s="29">
        <f t="shared" si="59"/>
        <v>208</v>
      </c>
      <c r="B789" s="30" t="s">
        <v>1019</v>
      </c>
      <c r="C789" s="183" t="s">
        <v>1020</v>
      </c>
      <c r="D789" s="41" t="s">
        <v>1021</v>
      </c>
      <c r="E789" s="32">
        <v>42860</v>
      </c>
      <c r="F789" s="34">
        <v>7500000</v>
      </c>
      <c r="G789" s="34">
        <v>3500000</v>
      </c>
      <c r="H789" s="34">
        <v>2500000</v>
      </c>
      <c r="I789" s="181" t="s">
        <v>1546</v>
      </c>
    </row>
    <row r="790" spans="1:16">
      <c r="A790" s="29">
        <f t="shared" si="59"/>
        <v>209</v>
      </c>
      <c r="B790" s="30" t="s">
        <v>1019</v>
      </c>
      <c r="C790" s="183" t="s">
        <v>1020</v>
      </c>
      <c r="D790" s="41" t="s">
        <v>1021</v>
      </c>
      <c r="E790" s="32">
        <v>42860</v>
      </c>
      <c r="F790" s="34">
        <v>7500000</v>
      </c>
      <c r="G790" s="34">
        <v>3500000</v>
      </c>
      <c r="H790" s="34">
        <v>2500000</v>
      </c>
      <c r="I790" s="181" t="s">
        <v>1547</v>
      </c>
    </row>
    <row r="791" spans="1:16">
      <c r="A791" s="29">
        <f t="shared" si="59"/>
        <v>210</v>
      </c>
      <c r="B791" s="30" t="s">
        <v>1104</v>
      </c>
      <c r="C791" s="183" t="s">
        <v>1105</v>
      </c>
      <c r="D791" s="31" t="s">
        <v>1106</v>
      </c>
      <c r="E791" s="32">
        <v>42860</v>
      </c>
      <c r="F791" s="34">
        <v>15000000</v>
      </c>
      <c r="G791" s="34">
        <v>0</v>
      </c>
      <c r="H791" s="34">
        <v>0</v>
      </c>
      <c r="I791" s="181" t="s">
        <v>1548</v>
      </c>
    </row>
    <row r="792" spans="1:16">
      <c r="A792" s="29">
        <f t="shared" si="59"/>
        <v>211</v>
      </c>
      <c r="B792" s="30" t="s">
        <v>442</v>
      </c>
      <c r="C792" s="183" t="s">
        <v>443</v>
      </c>
      <c r="D792" s="31" t="s">
        <v>444</v>
      </c>
      <c r="E792" s="32">
        <v>42864</v>
      </c>
      <c r="F792" s="34">
        <v>10000000</v>
      </c>
      <c r="G792" s="34">
        <v>0</v>
      </c>
      <c r="H792" s="34">
        <v>0</v>
      </c>
      <c r="I792" s="181"/>
    </row>
    <row r="793" spans="1:16">
      <c r="A793" s="29">
        <f t="shared" si="59"/>
        <v>212</v>
      </c>
      <c r="B793" s="30" t="s">
        <v>94</v>
      </c>
      <c r="C793" s="183" t="s">
        <v>95</v>
      </c>
      <c r="D793" s="31" t="s">
        <v>96</v>
      </c>
      <c r="E793" s="32">
        <v>42864</v>
      </c>
      <c r="F793" s="34">
        <v>10000000</v>
      </c>
      <c r="G793" s="34">
        <f>5000000+2500000</f>
        <v>7500000</v>
      </c>
      <c r="H793" s="34">
        <v>2500000</v>
      </c>
      <c r="I793" s="181" t="s">
        <v>1549</v>
      </c>
    </row>
    <row r="794" spans="1:16">
      <c r="A794" s="29">
        <f t="shared" si="59"/>
        <v>213</v>
      </c>
      <c r="B794" s="30" t="s">
        <v>1184</v>
      </c>
      <c r="C794" s="183" t="s">
        <v>1185</v>
      </c>
      <c r="D794" s="31" t="s">
        <v>1186</v>
      </c>
      <c r="E794" s="32">
        <v>42865</v>
      </c>
      <c r="F794" s="34">
        <v>10000000</v>
      </c>
      <c r="G794" s="34">
        <v>0</v>
      </c>
      <c r="H794" s="34">
        <v>0</v>
      </c>
      <c r="I794" s="181" t="s">
        <v>1550</v>
      </c>
    </row>
    <row r="795" spans="1:16">
      <c r="A795" s="29">
        <f t="shared" si="59"/>
        <v>214</v>
      </c>
      <c r="B795" s="30" t="s">
        <v>195</v>
      </c>
      <c r="C795" s="183" t="s">
        <v>196</v>
      </c>
      <c r="D795" s="31" t="s">
        <v>197</v>
      </c>
      <c r="E795" s="32">
        <v>42865</v>
      </c>
      <c r="F795" s="34">
        <v>5000000</v>
      </c>
      <c r="G795" s="34">
        <v>0</v>
      </c>
      <c r="H795" s="34">
        <v>2500000</v>
      </c>
      <c r="I795" s="181" t="s">
        <v>1551</v>
      </c>
    </row>
    <row r="796" spans="1:16">
      <c r="A796" s="29">
        <f t="shared" si="59"/>
        <v>215</v>
      </c>
      <c r="B796" s="30" t="s">
        <v>195</v>
      </c>
      <c r="C796" s="183" t="s">
        <v>196</v>
      </c>
      <c r="D796" s="31" t="s">
        <v>197</v>
      </c>
      <c r="E796" s="32">
        <v>42865</v>
      </c>
      <c r="F796" s="34">
        <v>5000000</v>
      </c>
      <c r="G796" s="34">
        <v>0</v>
      </c>
      <c r="H796" s="34">
        <v>2500000</v>
      </c>
      <c r="I796" s="181" t="s">
        <v>1552</v>
      </c>
    </row>
    <row r="797" spans="1:16">
      <c r="A797" s="29">
        <f t="shared" si="59"/>
        <v>216</v>
      </c>
      <c r="B797" s="30" t="s">
        <v>868</v>
      </c>
      <c r="C797" s="183" t="s">
        <v>869</v>
      </c>
      <c r="D797" s="31" t="s">
        <v>870</v>
      </c>
      <c r="E797" s="32">
        <v>42867</v>
      </c>
      <c r="F797" s="34">
        <v>10000000</v>
      </c>
      <c r="G797" s="34">
        <v>2000000</v>
      </c>
      <c r="H797" s="34">
        <v>3000000</v>
      </c>
      <c r="I797" s="181" t="s">
        <v>1553</v>
      </c>
    </row>
    <row r="798" spans="1:16">
      <c r="A798" s="29">
        <f t="shared" si="59"/>
        <v>217</v>
      </c>
      <c r="B798" s="30" t="s">
        <v>1045</v>
      </c>
      <c r="C798" s="183" t="s">
        <v>1046</v>
      </c>
      <c r="D798" s="41" t="s">
        <v>1047</v>
      </c>
      <c r="E798" s="32">
        <v>42867</v>
      </c>
      <c r="F798" s="34">
        <v>14000000</v>
      </c>
      <c r="G798" s="34">
        <v>1000000</v>
      </c>
      <c r="H798" s="34">
        <v>1500000</v>
      </c>
      <c r="I798" s="181" t="s">
        <v>1554</v>
      </c>
    </row>
    <row r="799" spans="1:16">
      <c r="A799" s="29">
        <f t="shared" si="59"/>
        <v>218</v>
      </c>
      <c r="B799" s="30" t="s">
        <v>1045</v>
      </c>
      <c r="C799" s="183" t="s">
        <v>1046</v>
      </c>
      <c r="D799" s="41" t="s">
        <v>1047</v>
      </c>
      <c r="E799" s="32">
        <v>42867</v>
      </c>
      <c r="F799" s="34">
        <v>14000000</v>
      </c>
      <c r="G799" s="34">
        <v>1000000</v>
      </c>
      <c r="H799" s="34">
        <v>1500000</v>
      </c>
      <c r="I799" s="181" t="s">
        <v>1554</v>
      </c>
    </row>
    <row r="800" spans="1:16">
      <c r="A800" s="29">
        <f t="shared" si="59"/>
        <v>219</v>
      </c>
      <c r="B800" s="30" t="s">
        <v>722</v>
      </c>
      <c r="C800" s="183" t="s">
        <v>723</v>
      </c>
      <c r="D800" s="41" t="s">
        <v>724</v>
      </c>
      <c r="E800" s="32">
        <v>42867</v>
      </c>
      <c r="F800" s="34">
        <v>4500000</v>
      </c>
      <c r="G800" s="34">
        <v>750000</v>
      </c>
      <c r="H800" s="34">
        <v>750000</v>
      </c>
      <c r="I800" s="181" t="s">
        <v>1555</v>
      </c>
    </row>
    <row r="801" spans="1:16">
      <c r="A801" s="29">
        <f t="shared" si="59"/>
        <v>220</v>
      </c>
      <c r="B801" s="30" t="s">
        <v>722</v>
      </c>
      <c r="C801" s="183" t="s">
        <v>723</v>
      </c>
      <c r="D801" s="41" t="s">
        <v>724</v>
      </c>
      <c r="E801" s="32">
        <v>42867</v>
      </c>
      <c r="F801" s="34">
        <v>4500000</v>
      </c>
      <c r="G801" s="34">
        <v>750000</v>
      </c>
      <c r="H801" s="34">
        <v>750000</v>
      </c>
      <c r="I801" s="181" t="s">
        <v>1556</v>
      </c>
    </row>
    <row r="802" spans="1:16">
      <c r="A802" s="29">
        <f t="shared" si="59"/>
        <v>221</v>
      </c>
      <c r="B802" s="30" t="s">
        <v>1277</v>
      </c>
      <c r="C802" s="183" t="s">
        <v>1278</v>
      </c>
      <c r="D802" s="41" t="s">
        <v>1279</v>
      </c>
      <c r="E802" s="32">
        <v>42867</v>
      </c>
      <c r="F802" s="34">
        <v>6000000</v>
      </c>
      <c r="G802" s="34">
        <v>0</v>
      </c>
      <c r="H802" s="34">
        <v>0</v>
      </c>
      <c r="I802" s="181"/>
    </row>
    <row r="803" spans="1:16">
      <c r="A803" s="29">
        <f t="shared" si="59"/>
        <v>222</v>
      </c>
      <c r="B803" s="30" t="s">
        <v>172</v>
      </c>
      <c r="C803" s="183" t="s">
        <v>173</v>
      </c>
      <c r="D803" s="41" t="s">
        <v>174</v>
      </c>
      <c r="E803" s="32">
        <v>42867</v>
      </c>
      <c r="F803" s="34">
        <v>68332000</v>
      </c>
      <c r="G803" s="34">
        <v>7500000</v>
      </c>
      <c r="H803" s="34">
        <v>7500000</v>
      </c>
      <c r="I803" s="181"/>
      <c r="J803" s="14"/>
      <c r="K803" s="14"/>
      <c r="L803" s="14"/>
      <c r="M803" s="14"/>
      <c r="N803" s="14"/>
      <c r="O803" s="14"/>
      <c r="P803" s="14"/>
    </row>
    <row r="804" spans="1:16">
      <c r="A804" s="29">
        <f t="shared" si="59"/>
        <v>223</v>
      </c>
      <c r="B804" s="30" t="s">
        <v>821</v>
      </c>
      <c r="C804" s="183" t="s">
        <v>822</v>
      </c>
      <c r="D804" s="41" t="s">
        <v>823</v>
      </c>
      <c r="E804" s="32">
        <v>42872</v>
      </c>
      <c r="F804" s="34">
        <v>10000000</v>
      </c>
      <c r="G804" s="34">
        <v>3000000</v>
      </c>
      <c r="H804" s="34">
        <v>5000000</v>
      </c>
      <c r="I804" s="181" t="s">
        <v>1557</v>
      </c>
      <c r="J804" s="14"/>
      <c r="K804" s="14"/>
      <c r="L804" s="14"/>
      <c r="M804" s="14"/>
      <c r="N804" s="14"/>
      <c r="O804" s="14"/>
      <c r="P804" s="14"/>
    </row>
    <row r="805" spans="1:16">
      <c r="A805" s="29">
        <f t="shared" si="59"/>
        <v>224</v>
      </c>
      <c r="B805" s="30" t="s">
        <v>464</v>
      </c>
      <c r="C805" s="183" t="s">
        <v>465</v>
      </c>
      <c r="D805" s="41" t="s">
        <v>466</v>
      </c>
      <c r="E805" s="32">
        <v>42871</v>
      </c>
      <c r="F805" s="34">
        <v>25000000</v>
      </c>
      <c r="G805" s="34">
        <v>0</v>
      </c>
      <c r="H805" s="34">
        <v>0</v>
      </c>
      <c r="I805" s="181" t="s">
        <v>1558</v>
      </c>
      <c r="J805" s="14"/>
      <c r="K805" s="14"/>
      <c r="L805" s="14"/>
      <c r="M805" s="14"/>
      <c r="N805" s="14"/>
      <c r="O805" s="14"/>
      <c r="P805" s="14"/>
    </row>
    <row r="806" spans="1:16">
      <c r="A806" s="29">
        <f t="shared" si="59"/>
        <v>225</v>
      </c>
      <c r="B806" s="30" t="s">
        <v>338</v>
      </c>
      <c r="C806" s="183" t="s">
        <v>339</v>
      </c>
      <c r="D806" s="41" t="s">
        <v>340</v>
      </c>
      <c r="E806" s="32">
        <v>42871</v>
      </c>
      <c r="F806" s="34">
        <v>9000000</v>
      </c>
      <c r="G806" s="34">
        <v>0</v>
      </c>
      <c r="H806" s="34">
        <v>0</v>
      </c>
      <c r="I806" s="181" t="s">
        <v>1559</v>
      </c>
      <c r="J806" s="14"/>
      <c r="K806" s="14"/>
      <c r="L806" s="14"/>
      <c r="M806" s="14"/>
      <c r="N806" s="14"/>
      <c r="O806" s="14"/>
      <c r="P806" s="14"/>
    </row>
    <row r="807" spans="1:16">
      <c r="A807" s="29">
        <f t="shared" si="59"/>
        <v>226</v>
      </c>
      <c r="B807" s="30" t="s">
        <v>338</v>
      </c>
      <c r="C807" s="183" t="s">
        <v>339</v>
      </c>
      <c r="D807" s="41" t="s">
        <v>340</v>
      </c>
      <c r="E807" s="32">
        <v>42871</v>
      </c>
      <c r="F807" s="34">
        <v>9000000</v>
      </c>
      <c r="G807" s="34">
        <v>0</v>
      </c>
      <c r="H807" s="34">
        <v>0</v>
      </c>
      <c r="I807" s="181"/>
      <c r="J807" s="14"/>
      <c r="K807" s="14"/>
      <c r="L807" s="14"/>
      <c r="M807" s="14"/>
      <c r="N807" s="14"/>
      <c r="O807" s="14"/>
      <c r="P807" s="14"/>
    </row>
    <row r="808" spans="1:16">
      <c r="A808" s="29">
        <f t="shared" si="59"/>
        <v>227</v>
      </c>
      <c r="B808" s="30" t="s">
        <v>795</v>
      </c>
      <c r="C808" s="183" t="s">
        <v>796</v>
      </c>
      <c r="D808" s="41" t="s">
        <v>797</v>
      </c>
      <c r="E808" s="32">
        <v>42872</v>
      </c>
      <c r="F808" s="34">
        <v>23800000</v>
      </c>
      <c r="G808" s="34">
        <v>0</v>
      </c>
      <c r="H808" s="34">
        <v>0</v>
      </c>
      <c r="I808" s="181" t="s">
        <v>1560</v>
      </c>
      <c r="J808" s="14"/>
      <c r="K808" s="14"/>
      <c r="L808" s="14"/>
      <c r="M808" s="14"/>
      <c r="N808" s="14"/>
      <c r="O808" s="14"/>
      <c r="P808" s="14"/>
    </row>
    <row r="809" spans="1:16">
      <c r="A809" s="29">
        <f t="shared" si="59"/>
        <v>228</v>
      </c>
      <c r="B809" s="30" t="s">
        <v>752</v>
      </c>
      <c r="C809" s="183" t="s">
        <v>753</v>
      </c>
      <c r="D809" s="41" t="s">
        <v>754</v>
      </c>
      <c r="E809" s="32">
        <v>42871</v>
      </c>
      <c r="F809" s="34">
        <v>20000000</v>
      </c>
      <c r="G809" s="34">
        <v>1500000</v>
      </c>
      <c r="H809" s="34">
        <v>1500000</v>
      </c>
      <c r="I809" s="181" t="s">
        <v>1561</v>
      </c>
      <c r="J809" s="14"/>
      <c r="K809" s="14"/>
      <c r="L809" s="14"/>
      <c r="M809" s="14"/>
      <c r="N809" s="14"/>
      <c r="O809" s="14"/>
      <c r="P809" s="14"/>
    </row>
    <row r="810" spans="1:16">
      <c r="A810" s="29">
        <f t="shared" si="59"/>
        <v>229</v>
      </c>
      <c r="B810" s="30" t="s">
        <v>975</v>
      </c>
      <c r="C810" s="183" t="s">
        <v>976</v>
      </c>
      <c r="D810" s="41" t="s">
        <v>977</v>
      </c>
      <c r="E810" s="32">
        <v>42871</v>
      </c>
      <c r="F810" s="34">
        <v>7500000</v>
      </c>
      <c r="G810" s="34">
        <v>1250000</v>
      </c>
      <c r="H810" s="34">
        <v>1250000</v>
      </c>
      <c r="I810" s="181"/>
      <c r="J810" s="14"/>
      <c r="K810" s="14"/>
      <c r="L810" s="14"/>
      <c r="M810" s="14"/>
      <c r="N810" s="14"/>
      <c r="O810" s="14"/>
      <c r="P810" s="14"/>
    </row>
    <row r="811" spans="1:16">
      <c r="A811" s="29">
        <f t="shared" si="59"/>
        <v>230</v>
      </c>
      <c r="B811" s="30" t="s">
        <v>975</v>
      </c>
      <c r="C811" s="183" t="s">
        <v>976</v>
      </c>
      <c r="D811" s="41" t="s">
        <v>977</v>
      </c>
      <c r="E811" s="32">
        <v>42871</v>
      </c>
      <c r="F811" s="34">
        <v>7500000</v>
      </c>
      <c r="G811" s="34">
        <v>1250000</v>
      </c>
      <c r="H811" s="34">
        <v>1250000</v>
      </c>
      <c r="I811" s="181"/>
      <c r="J811" s="14"/>
      <c r="K811" s="14"/>
      <c r="L811" s="14"/>
      <c r="M811" s="14"/>
      <c r="N811" s="14"/>
      <c r="O811" s="14"/>
      <c r="P811" s="14"/>
    </row>
    <row r="812" spans="1:16">
      <c r="A812" s="29">
        <f t="shared" si="59"/>
        <v>231</v>
      </c>
      <c r="B812" s="30" t="s">
        <v>969</v>
      </c>
      <c r="C812" s="183" t="s">
        <v>970</v>
      </c>
      <c r="D812" s="41" t="s">
        <v>971</v>
      </c>
      <c r="E812" s="32">
        <v>42871</v>
      </c>
      <c r="F812" s="34">
        <v>30000000</v>
      </c>
      <c r="G812" s="34">
        <v>5000000</v>
      </c>
      <c r="H812" s="34">
        <v>5000000</v>
      </c>
      <c r="I812" s="181" t="s">
        <v>1562</v>
      </c>
      <c r="J812" s="14"/>
      <c r="K812" s="14"/>
      <c r="L812" s="14"/>
      <c r="M812" s="14"/>
      <c r="N812" s="14"/>
      <c r="O812" s="14"/>
      <c r="P812" s="14"/>
    </row>
    <row r="813" spans="1:16">
      <c r="A813" s="29">
        <f t="shared" si="59"/>
        <v>232</v>
      </c>
      <c r="B813" s="30" t="s">
        <v>595</v>
      </c>
      <c r="C813" s="183" t="s">
        <v>596</v>
      </c>
      <c r="D813" s="41" t="s">
        <v>597</v>
      </c>
      <c r="E813" s="32">
        <v>42871</v>
      </c>
      <c r="F813" s="34">
        <v>7500000</v>
      </c>
      <c r="G813" s="34">
        <v>6250000</v>
      </c>
      <c r="H813" s="34">
        <v>6250000</v>
      </c>
      <c r="I813" s="181" t="s">
        <v>1563</v>
      </c>
      <c r="J813" s="14"/>
      <c r="K813" s="14"/>
      <c r="L813" s="14"/>
      <c r="M813" s="14"/>
      <c r="N813" s="14"/>
      <c r="O813" s="14"/>
      <c r="P813" s="14"/>
    </row>
    <row r="814" spans="1:16">
      <c r="A814" s="29">
        <f t="shared" si="59"/>
        <v>233</v>
      </c>
      <c r="B814" s="30" t="s">
        <v>595</v>
      </c>
      <c r="C814" s="183" t="s">
        <v>596</v>
      </c>
      <c r="D814" s="41" t="s">
        <v>597</v>
      </c>
      <c r="E814" s="32">
        <v>42871</v>
      </c>
      <c r="F814" s="34">
        <v>7500000</v>
      </c>
      <c r="G814" s="34">
        <v>6250000</v>
      </c>
      <c r="H814" s="34">
        <v>6250000</v>
      </c>
      <c r="I814" s="181" t="s">
        <v>1564</v>
      </c>
      <c r="J814" s="14"/>
      <c r="K814" s="14"/>
      <c r="L814" s="14"/>
      <c r="M814" s="14"/>
      <c r="N814" s="14"/>
      <c r="O814" s="14"/>
      <c r="P814" s="14"/>
    </row>
    <row r="815" spans="1:16">
      <c r="A815" s="29">
        <f t="shared" si="59"/>
        <v>234</v>
      </c>
      <c r="B815" s="30" t="s">
        <v>1231</v>
      </c>
      <c r="C815" s="183" t="s">
        <v>1232</v>
      </c>
      <c r="D815" s="41" t="s">
        <v>1233</v>
      </c>
      <c r="E815" s="32">
        <v>42871</v>
      </c>
      <c r="F815" s="34">
        <v>15000000</v>
      </c>
      <c r="G815" s="34">
        <v>0</v>
      </c>
      <c r="H815" s="34">
        <v>500000</v>
      </c>
      <c r="I815" s="181" t="s">
        <v>1565</v>
      </c>
      <c r="J815" s="14"/>
      <c r="K815" s="14"/>
      <c r="L815" s="14"/>
      <c r="M815" s="14"/>
      <c r="N815" s="14"/>
      <c r="O815" s="14"/>
      <c r="P815" s="14"/>
    </row>
    <row r="816" spans="1:16">
      <c r="A816" s="29">
        <f t="shared" si="59"/>
        <v>235</v>
      </c>
      <c r="B816" s="30" t="s">
        <v>1231</v>
      </c>
      <c r="C816" s="183" t="s">
        <v>1232</v>
      </c>
      <c r="D816" s="41" t="s">
        <v>1233</v>
      </c>
      <c r="E816" s="32">
        <v>42871</v>
      </c>
      <c r="F816" s="34">
        <v>15000000</v>
      </c>
      <c r="G816" s="34">
        <v>0</v>
      </c>
      <c r="H816" s="34">
        <v>500000</v>
      </c>
      <c r="I816" s="181" t="s">
        <v>1565</v>
      </c>
      <c r="J816" s="14"/>
      <c r="K816" s="14"/>
      <c r="L816" s="14"/>
      <c r="M816" s="14"/>
      <c r="N816" s="14"/>
      <c r="O816" s="14"/>
      <c r="P816" s="14"/>
    </row>
    <row r="817" spans="1:16">
      <c r="A817" s="29">
        <f t="shared" si="59"/>
        <v>236</v>
      </c>
      <c r="B817" s="30" t="s">
        <v>212</v>
      </c>
      <c r="C817" s="183" t="s">
        <v>554</v>
      </c>
      <c r="D817" s="41" t="s">
        <v>555</v>
      </c>
      <c r="E817" s="32">
        <v>42873</v>
      </c>
      <c r="F817" s="34">
        <v>6500000</v>
      </c>
      <c r="G817" s="34">
        <v>1000000</v>
      </c>
      <c r="H817" s="34">
        <v>0</v>
      </c>
      <c r="I817" s="181" t="s">
        <v>1566</v>
      </c>
      <c r="J817" s="14"/>
      <c r="K817" s="14"/>
      <c r="L817" s="14"/>
      <c r="M817" s="14"/>
      <c r="N817" s="14"/>
      <c r="O817" s="14"/>
      <c r="P817" s="14"/>
    </row>
    <row r="818" spans="1:16">
      <c r="A818" s="29">
        <f t="shared" si="59"/>
        <v>237</v>
      </c>
      <c r="B818" s="30" t="s">
        <v>212</v>
      </c>
      <c r="C818" s="183" t="s">
        <v>554</v>
      </c>
      <c r="D818" s="41" t="s">
        <v>555</v>
      </c>
      <c r="E818" s="32">
        <v>42873</v>
      </c>
      <c r="F818" s="34">
        <v>6500000</v>
      </c>
      <c r="G818" s="34">
        <v>1000000</v>
      </c>
      <c r="H818" s="34">
        <v>0</v>
      </c>
      <c r="I818" s="181" t="s">
        <v>1567</v>
      </c>
      <c r="J818" s="14"/>
      <c r="K818" s="14"/>
      <c r="L818" s="14"/>
      <c r="M818" s="14"/>
      <c r="N818" s="14"/>
      <c r="O818" s="14"/>
      <c r="P818" s="14"/>
    </row>
    <row r="819" spans="1:16">
      <c r="A819" s="29">
        <f t="shared" si="59"/>
        <v>238</v>
      </c>
      <c r="B819" s="30" t="s">
        <v>1240</v>
      </c>
      <c r="C819" s="183" t="s">
        <v>1241</v>
      </c>
      <c r="D819" s="41" t="s">
        <v>1242</v>
      </c>
      <c r="E819" s="32">
        <v>42874</v>
      </c>
      <c r="F819" s="34">
        <v>7500000</v>
      </c>
      <c r="G819" s="34">
        <v>2500000</v>
      </c>
      <c r="H819" s="34">
        <v>2500000</v>
      </c>
      <c r="I819" s="181" t="s">
        <v>1568</v>
      </c>
      <c r="J819" s="14"/>
      <c r="K819" s="14"/>
      <c r="L819" s="14"/>
      <c r="M819" s="14"/>
      <c r="N819" s="14"/>
      <c r="O819" s="14"/>
      <c r="P819" s="14"/>
    </row>
    <row r="820" spans="1:16">
      <c r="A820" s="29">
        <f t="shared" si="59"/>
        <v>239</v>
      </c>
      <c r="B820" s="30" t="s">
        <v>1240</v>
      </c>
      <c r="C820" s="183" t="s">
        <v>1241</v>
      </c>
      <c r="D820" s="41" t="s">
        <v>1242</v>
      </c>
      <c r="E820" s="32">
        <v>42874</v>
      </c>
      <c r="F820" s="34">
        <v>7500000</v>
      </c>
      <c r="G820" s="34">
        <v>2500000</v>
      </c>
      <c r="H820" s="34">
        <v>2500000</v>
      </c>
      <c r="I820" s="181" t="s">
        <v>1568</v>
      </c>
      <c r="J820" s="14"/>
      <c r="K820" s="14"/>
      <c r="L820" s="14"/>
      <c r="M820" s="14"/>
      <c r="N820" s="14"/>
      <c r="O820" s="14"/>
      <c r="P820" s="14"/>
    </row>
    <row r="821" spans="1:16">
      <c r="A821" s="29">
        <f t="shared" si="59"/>
        <v>240</v>
      </c>
      <c r="B821" s="30" t="s">
        <v>128</v>
      </c>
      <c r="C821" s="183" t="s">
        <v>129</v>
      </c>
      <c r="D821" s="41" t="s">
        <v>130</v>
      </c>
      <c r="E821" s="32">
        <v>42873</v>
      </c>
      <c r="F821" s="34">
        <v>6000000</v>
      </c>
      <c r="G821" s="34">
        <v>0</v>
      </c>
      <c r="H821" s="34">
        <v>0</v>
      </c>
      <c r="I821" s="181" t="s">
        <v>1569</v>
      </c>
      <c r="J821" s="14"/>
      <c r="K821" s="14"/>
      <c r="L821" s="14"/>
      <c r="M821" s="14"/>
      <c r="N821" s="14"/>
      <c r="O821" s="14"/>
      <c r="P821" s="14"/>
    </row>
    <row r="822" spans="1:16">
      <c r="A822" s="29">
        <f t="shared" si="59"/>
        <v>241</v>
      </c>
      <c r="B822" s="30" t="s">
        <v>578</v>
      </c>
      <c r="C822" s="183" t="s">
        <v>579</v>
      </c>
      <c r="D822" s="41" t="s">
        <v>580</v>
      </c>
      <c r="E822" s="32">
        <v>42879</v>
      </c>
      <c r="F822" s="34">
        <v>25000000</v>
      </c>
      <c r="G822" s="34">
        <v>2500000</v>
      </c>
      <c r="H822" s="34">
        <v>2500000</v>
      </c>
      <c r="I822" s="181" t="s">
        <v>1570</v>
      </c>
    </row>
    <row r="823" spans="1:16">
      <c r="A823" s="29">
        <f t="shared" si="59"/>
        <v>242</v>
      </c>
      <c r="B823" s="30" t="s">
        <v>837</v>
      </c>
      <c r="C823" s="183" t="s">
        <v>838</v>
      </c>
      <c r="D823" s="41" t="s">
        <v>839</v>
      </c>
      <c r="E823" s="32">
        <v>42879</v>
      </c>
      <c r="F823" s="34">
        <v>25000000</v>
      </c>
      <c r="G823" s="34">
        <v>5000000</v>
      </c>
      <c r="H823" s="34">
        <v>5000000</v>
      </c>
      <c r="I823" s="181" t="s">
        <v>1571</v>
      </c>
    </row>
    <row r="824" spans="1:16">
      <c r="A824" s="29">
        <f t="shared" si="59"/>
        <v>243</v>
      </c>
      <c r="B824" s="30" t="s">
        <v>216</v>
      </c>
      <c r="C824" s="183" t="s">
        <v>217</v>
      </c>
      <c r="D824" s="31" t="s">
        <v>218</v>
      </c>
      <c r="E824" s="32">
        <v>42879</v>
      </c>
      <c r="F824" s="34">
        <v>0</v>
      </c>
      <c r="G824" s="34">
        <v>5000000</v>
      </c>
      <c r="H824" s="34">
        <v>5000000</v>
      </c>
      <c r="I824" s="181" t="s">
        <v>1572</v>
      </c>
    </row>
    <row r="825" spans="1:16">
      <c r="A825" s="29">
        <f t="shared" si="59"/>
        <v>244</v>
      </c>
      <c r="B825" s="30" t="s">
        <v>516</v>
      </c>
      <c r="C825" s="183" t="s">
        <v>517</v>
      </c>
      <c r="D825" s="31" t="s">
        <v>518</v>
      </c>
      <c r="E825" s="32">
        <v>42879</v>
      </c>
      <c r="F825" s="34">
        <v>12500000</v>
      </c>
      <c r="G825" s="34">
        <v>0</v>
      </c>
      <c r="H825" s="34">
        <v>0</v>
      </c>
      <c r="I825" s="181" t="s">
        <v>1573</v>
      </c>
    </row>
    <row r="826" spans="1:16">
      <c r="A826" s="29">
        <f t="shared" si="59"/>
        <v>245</v>
      </c>
      <c r="B826" s="30" t="s">
        <v>516</v>
      </c>
      <c r="C826" s="183" t="s">
        <v>517</v>
      </c>
      <c r="D826" s="31" t="s">
        <v>518</v>
      </c>
      <c r="E826" s="32">
        <v>42879</v>
      </c>
      <c r="F826" s="34">
        <v>12500000</v>
      </c>
      <c r="G826" s="34">
        <v>0</v>
      </c>
      <c r="H826" s="34">
        <v>0</v>
      </c>
      <c r="I826" s="181" t="s">
        <v>1574</v>
      </c>
    </row>
    <row r="827" spans="1:16">
      <c r="A827" s="29">
        <f t="shared" si="59"/>
        <v>246</v>
      </c>
      <c r="B827" s="30" t="s">
        <v>1155</v>
      </c>
      <c r="C827" s="183" t="s">
        <v>1156</v>
      </c>
      <c r="D827" s="31" t="s">
        <v>1157</v>
      </c>
      <c r="E827" s="32">
        <v>42879</v>
      </c>
      <c r="F827" s="34">
        <f>25000000</f>
        <v>25000000</v>
      </c>
      <c r="G827" s="34">
        <f>2500000</f>
        <v>2500000</v>
      </c>
      <c r="H827" s="34">
        <f>2500000</f>
        <v>2500000</v>
      </c>
      <c r="I827" s="181" t="s">
        <v>1575</v>
      </c>
    </row>
    <row r="828" spans="1:16">
      <c r="A828" s="29">
        <f t="shared" si="59"/>
        <v>247</v>
      </c>
      <c r="B828" s="30" t="s">
        <v>407</v>
      </c>
      <c r="C828" s="183" t="s">
        <v>408</v>
      </c>
      <c r="D828" s="31" t="s">
        <v>409</v>
      </c>
      <c r="E828" s="32">
        <v>42881</v>
      </c>
      <c r="F828" s="34">
        <v>7500000</v>
      </c>
      <c r="G828" s="34">
        <v>1250000</v>
      </c>
      <c r="H828" s="34">
        <v>1250000</v>
      </c>
      <c r="I828" s="181" t="s">
        <v>1576</v>
      </c>
    </row>
    <row r="829" spans="1:16">
      <c r="A829" s="29">
        <f t="shared" si="59"/>
        <v>248</v>
      </c>
      <c r="B829" s="30" t="s">
        <v>407</v>
      </c>
      <c r="C829" s="183" t="s">
        <v>408</v>
      </c>
      <c r="D829" s="31" t="s">
        <v>409</v>
      </c>
      <c r="E829" s="32">
        <v>42881</v>
      </c>
      <c r="F829" s="34">
        <v>7500000</v>
      </c>
      <c r="G829" s="34">
        <v>1250000</v>
      </c>
      <c r="H829" s="34">
        <v>1250000</v>
      </c>
      <c r="I829" s="181" t="s">
        <v>1577</v>
      </c>
    </row>
    <row r="830" spans="1:16">
      <c r="A830" s="29">
        <f t="shared" si="59"/>
        <v>249</v>
      </c>
      <c r="B830" s="30" t="s">
        <v>433</v>
      </c>
      <c r="C830" s="183" t="s">
        <v>434</v>
      </c>
      <c r="D830" s="41" t="s">
        <v>435</v>
      </c>
      <c r="E830" s="32">
        <v>42881</v>
      </c>
      <c r="F830" s="34">
        <v>2500000</v>
      </c>
      <c r="G830" s="34">
        <v>1250000</v>
      </c>
      <c r="H830" s="34">
        <v>1250000</v>
      </c>
      <c r="I830" s="181" t="s">
        <v>1578</v>
      </c>
    </row>
    <row r="831" spans="1:16">
      <c r="A831" s="29">
        <f t="shared" si="59"/>
        <v>250</v>
      </c>
      <c r="B831" s="30" t="s">
        <v>433</v>
      </c>
      <c r="C831" s="183" t="s">
        <v>434</v>
      </c>
      <c r="D831" s="41" t="s">
        <v>435</v>
      </c>
      <c r="E831" s="32">
        <v>42881</v>
      </c>
      <c r="F831" s="34">
        <v>2500000</v>
      </c>
      <c r="G831" s="34">
        <v>1250000</v>
      </c>
      <c r="H831" s="34">
        <v>1250000</v>
      </c>
      <c r="I831" s="181" t="s">
        <v>1578</v>
      </c>
    </row>
    <row r="832" spans="1:16">
      <c r="A832" s="29">
        <f t="shared" si="59"/>
        <v>251</v>
      </c>
      <c r="B832" s="30" t="s">
        <v>373</v>
      </c>
      <c r="C832" s="183" t="s">
        <v>374</v>
      </c>
      <c r="D832" s="41" t="s">
        <v>375</v>
      </c>
      <c r="E832" s="32">
        <v>42881</v>
      </c>
      <c r="F832" s="34">
        <v>10000000</v>
      </c>
      <c r="G832" s="34">
        <v>0</v>
      </c>
      <c r="H832" s="34">
        <v>2500000</v>
      </c>
      <c r="I832" s="181" t="s">
        <v>1579</v>
      </c>
    </row>
    <row r="833" spans="1:16">
      <c r="A833" s="29">
        <f t="shared" si="59"/>
        <v>252</v>
      </c>
      <c r="B833" s="30" t="s">
        <v>940</v>
      </c>
      <c r="C833" s="183" t="s">
        <v>941</v>
      </c>
      <c r="D833" s="41" t="s">
        <v>942</v>
      </c>
      <c r="E833" s="32">
        <v>42881</v>
      </c>
      <c r="F833" s="34">
        <v>10000000</v>
      </c>
      <c r="G833" s="34">
        <v>0</v>
      </c>
      <c r="H833" s="34">
        <v>0</v>
      </c>
      <c r="I833" s="181" t="s">
        <v>1580</v>
      </c>
      <c r="J833" s="14"/>
      <c r="K833" s="14"/>
      <c r="L833" s="14"/>
      <c r="M833" s="14"/>
      <c r="N833" s="14"/>
      <c r="O833" s="14"/>
      <c r="P833" s="14"/>
    </row>
    <row r="834" spans="1:16">
      <c r="A834" s="29">
        <f t="shared" si="59"/>
        <v>253</v>
      </c>
      <c r="B834" s="30" t="s">
        <v>379</v>
      </c>
      <c r="C834" s="183" t="s">
        <v>380</v>
      </c>
      <c r="D834" s="41" t="s">
        <v>381</v>
      </c>
      <c r="E834" s="32">
        <v>42879</v>
      </c>
      <c r="F834" s="34">
        <v>15000000</v>
      </c>
      <c r="G834" s="34">
        <v>0</v>
      </c>
      <c r="H834" s="34">
        <v>0</v>
      </c>
      <c r="I834" s="181" t="s">
        <v>1581</v>
      </c>
      <c r="J834" s="14"/>
      <c r="K834" s="14"/>
      <c r="L834" s="14"/>
      <c r="M834" s="14"/>
      <c r="N834" s="14"/>
      <c r="O834" s="14"/>
      <c r="P834" s="14"/>
    </row>
    <row r="835" spans="1:16">
      <c r="A835" s="29">
        <f t="shared" si="59"/>
        <v>254</v>
      </c>
      <c r="B835" s="30" t="s">
        <v>768</v>
      </c>
      <c r="C835" s="183" t="s">
        <v>769</v>
      </c>
      <c r="D835" s="41" t="s">
        <v>770</v>
      </c>
      <c r="E835" s="32">
        <v>42884</v>
      </c>
      <c r="F835" s="34">
        <v>5000000</v>
      </c>
      <c r="G835" s="34">
        <v>2500000</v>
      </c>
      <c r="H835" s="34">
        <v>2500000</v>
      </c>
      <c r="I835" s="181" t="s">
        <v>1582</v>
      </c>
      <c r="J835" s="14"/>
      <c r="K835" s="14"/>
      <c r="L835" s="14"/>
      <c r="M835" s="14"/>
      <c r="N835" s="14"/>
      <c r="O835" s="14"/>
      <c r="P835" s="14"/>
    </row>
    <row r="836" spans="1:16">
      <c r="A836" s="29">
        <f t="shared" si="59"/>
        <v>255</v>
      </c>
      <c r="B836" s="30" t="s">
        <v>768</v>
      </c>
      <c r="C836" s="183" t="s">
        <v>769</v>
      </c>
      <c r="D836" s="41" t="s">
        <v>770</v>
      </c>
      <c r="E836" s="32">
        <v>42884</v>
      </c>
      <c r="F836" s="34">
        <v>5000000</v>
      </c>
      <c r="G836" s="34">
        <v>2500000</v>
      </c>
      <c r="H836" s="34">
        <v>2500000</v>
      </c>
      <c r="I836" s="181" t="s">
        <v>1583</v>
      </c>
      <c r="J836" s="14"/>
      <c r="K836" s="14"/>
      <c r="L836" s="14"/>
      <c r="M836" s="14"/>
      <c r="N836" s="14"/>
      <c r="O836" s="14"/>
      <c r="P836" s="14"/>
    </row>
    <row r="837" spans="1:16">
      <c r="A837" s="29">
        <f t="shared" si="59"/>
        <v>256</v>
      </c>
      <c r="B837" s="30" t="s">
        <v>1176</v>
      </c>
      <c r="C837" s="183" t="s">
        <v>1177</v>
      </c>
      <c r="D837" s="41" t="s">
        <v>1178</v>
      </c>
      <c r="E837" s="32">
        <v>42884</v>
      </c>
      <c r="F837" s="34">
        <v>50000000</v>
      </c>
      <c r="G837" s="34">
        <v>5000000</v>
      </c>
      <c r="H837" s="34">
        <v>4600000</v>
      </c>
      <c r="I837" s="181" t="s">
        <v>1584</v>
      </c>
      <c r="J837" s="14"/>
      <c r="K837" s="14"/>
      <c r="L837" s="14"/>
      <c r="M837" s="14"/>
      <c r="N837" s="14"/>
      <c r="O837" s="14"/>
      <c r="P837" s="14"/>
    </row>
    <row r="838" spans="1:16">
      <c r="A838" s="29">
        <f t="shared" si="59"/>
        <v>257</v>
      </c>
      <c r="B838" s="30" t="s">
        <v>1176</v>
      </c>
      <c r="C838" s="183" t="s">
        <v>1177</v>
      </c>
      <c r="D838" s="41" t="s">
        <v>1178</v>
      </c>
      <c r="E838" s="32">
        <v>42884</v>
      </c>
      <c r="F838" s="34">
        <v>50000000</v>
      </c>
      <c r="G838" s="34">
        <v>5000000</v>
      </c>
      <c r="H838" s="34">
        <v>4600000</v>
      </c>
      <c r="I838" s="181" t="s">
        <v>1584</v>
      </c>
      <c r="J838" s="14"/>
      <c r="K838" s="14"/>
      <c r="L838" s="14"/>
      <c r="M838" s="14"/>
      <c r="N838" s="14"/>
      <c r="O838" s="14"/>
      <c r="P838" s="14"/>
    </row>
    <row r="839" spans="1:16">
      <c r="A839" s="29">
        <f t="shared" si="59"/>
        <v>258</v>
      </c>
      <c r="B839" s="30" t="s">
        <v>748</v>
      </c>
      <c r="C839" s="183" t="s">
        <v>749</v>
      </c>
      <c r="D839" s="183" t="s">
        <v>750</v>
      </c>
      <c r="E839" s="32">
        <v>42885</v>
      </c>
      <c r="F839" s="34">
        <v>5000000</v>
      </c>
      <c r="G839" s="34">
        <v>0</v>
      </c>
      <c r="H839" s="34">
        <v>0</v>
      </c>
      <c r="I839" s="181" t="s">
        <v>1585</v>
      </c>
      <c r="J839" s="14"/>
      <c r="K839" s="14"/>
      <c r="L839" s="14"/>
      <c r="M839" s="14"/>
      <c r="N839" s="14"/>
      <c r="O839" s="14"/>
      <c r="P839" s="14"/>
    </row>
    <row r="840" spans="1:16">
      <c r="A840" s="29">
        <f t="shared" ref="A840:A903" si="60">+A839+1</f>
        <v>259</v>
      </c>
      <c r="B840" s="30" t="s">
        <v>748</v>
      </c>
      <c r="C840" s="183" t="s">
        <v>749</v>
      </c>
      <c r="D840" s="183" t="s">
        <v>750</v>
      </c>
      <c r="E840" s="32">
        <v>42885</v>
      </c>
      <c r="F840" s="34">
        <v>5000000</v>
      </c>
      <c r="G840" s="34">
        <v>0</v>
      </c>
      <c r="H840" s="34">
        <v>0</v>
      </c>
      <c r="I840" s="181" t="s">
        <v>1586</v>
      </c>
      <c r="J840" s="14"/>
      <c r="K840" s="14"/>
      <c r="L840" s="14"/>
      <c r="M840" s="14"/>
      <c r="N840" s="14"/>
      <c r="O840" s="14"/>
      <c r="P840" s="14"/>
    </row>
    <row r="841" spans="1:16">
      <c r="A841" s="29">
        <f t="shared" si="60"/>
        <v>260</v>
      </c>
      <c r="B841" s="30" t="s">
        <v>958</v>
      </c>
      <c r="C841" s="183" t="s">
        <v>959</v>
      </c>
      <c r="D841" s="183" t="s">
        <v>960</v>
      </c>
      <c r="E841" s="32">
        <v>42879</v>
      </c>
      <c r="F841" s="34">
        <v>5675000</v>
      </c>
      <c r="G841" s="34">
        <v>2175000</v>
      </c>
      <c r="H841" s="34">
        <v>2175000</v>
      </c>
      <c r="I841" s="181"/>
      <c r="J841" s="14"/>
      <c r="K841" s="14"/>
      <c r="L841" s="14"/>
      <c r="M841" s="14"/>
      <c r="N841" s="14"/>
      <c r="O841" s="14"/>
      <c r="P841" s="14"/>
    </row>
    <row r="842" spans="1:16">
      <c r="A842" s="29">
        <f t="shared" si="60"/>
        <v>261</v>
      </c>
      <c r="B842" s="30" t="s">
        <v>958</v>
      </c>
      <c r="C842" s="183" t="s">
        <v>959</v>
      </c>
      <c r="D842" s="183" t="s">
        <v>960</v>
      </c>
      <c r="E842" s="32">
        <v>42879</v>
      </c>
      <c r="F842" s="34">
        <v>5675000</v>
      </c>
      <c r="G842" s="34">
        <v>2175000</v>
      </c>
      <c r="H842" s="34">
        <v>2175000</v>
      </c>
      <c r="I842" s="181"/>
      <c r="J842" s="14"/>
      <c r="K842" s="14"/>
      <c r="L842" s="14"/>
      <c r="M842" s="14"/>
      <c r="N842" s="14"/>
      <c r="O842" s="14"/>
      <c r="P842" s="14"/>
    </row>
    <row r="843" spans="1:16">
      <c r="A843" s="29">
        <f t="shared" si="60"/>
        <v>262</v>
      </c>
      <c r="B843" s="30" t="s">
        <v>730</v>
      </c>
      <c r="C843" s="183" t="s">
        <v>731</v>
      </c>
      <c r="D843" s="183" t="s">
        <v>735</v>
      </c>
      <c r="E843" s="32">
        <v>42880</v>
      </c>
      <c r="F843" s="34">
        <v>10000000</v>
      </c>
      <c r="G843" s="34">
        <v>2500000</v>
      </c>
      <c r="H843" s="34">
        <v>2500000</v>
      </c>
      <c r="I843" s="181"/>
      <c r="J843" s="14"/>
      <c r="K843" s="14"/>
      <c r="L843" s="14"/>
      <c r="M843" s="14"/>
      <c r="N843" s="14"/>
      <c r="O843" s="14"/>
      <c r="P843" s="14"/>
    </row>
    <row r="844" spans="1:16">
      <c r="A844" s="29">
        <f t="shared" si="60"/>
        <v>263</v>
      </c>
      <c r="B844" s="30" t="s">
        <v>690</v>
      </c>
      <c r="C844" s="183" t="s">
        <v>691</v>
      </c>
      <c r="D844" s="41" t="s">
        <v>692</v>
      </c>
      <c r="E844" s="32">
        <v>42892</v>
      </c>
      <c r="F844" s="34">
        <v>5000000</v>
      </c>
      <c r="G844" s="34">
        <v>0</v>
      </c>
      <c r="H844" s="34">
        <v>3750000</v>
      </c>
      <c r="I844" s="181"/>
      <c r="J844" s="14"/>
      <c r="K844" s="14"/>
      <c r="L844" s="14"/>
      <c r="M844" s="14"/>
      <c r="N844" s="14"/>
      <c r="O844" s="14"/>
      <c r="P844" s="14"/>
    </row>
    <row r="845" spans="1:16">
      <c r="A845" s="29">
        <f t="shared" si="60"/>
        <v>264</v>
      </c>
      <c r="B845" s="30" t="s">
        <v>690</v>
      </c>
      <c r="C845" s="183" t="s">
        <v>691</v>
      </c>
      <c r="D845" s="41" t="s">
        <v>692</v>
      </c>
      <c r="E845" s="32">
        <v>42892</v>
      </c>
      <c r="F845" s="34">
        <v>5000000</v>
      </c>
      <c r="G845" s="34">
        <v>0</v>
      </c>
      <c r="H845" s="34">
        <v>3750000</v>
      </c>
      <c r="I845" s="181"/>
      <c r="J845" s="14"/>
      <c r="K845" s="14"/>
      <c r="L845" s="14"/>
      <c r="M845" s="14"/>
      <c r="N845" s="14"/>
      <c r="O845" s="14"/>
      <c r="P845" s="14"/>
    </row>
    <row r="846" spans="1:16">
      <c r="A846" s="29">
        <f t="shared" si="60"/>
        <v>265</v>
      </c>
      <c r="B846" s="30" t="s">
        <v>132</v>
      </c>
      <c r="C846" s="183" t="s">
        <v>133</v>
      </c>
      <c r="D846" s="41" t="s">
        <v>135</v>
      </c>
      <c r="E846" s="32">
        <v>42891</v>
      </c>
      <c r="F846" s="34">
        <v>500000</v>
      </c>
      <c r="G846" s="34">
        <v>500000</v>
      </c>
      <c r="H846" s="34">
        <v>0</v>
      </c>
      <c r="I846" s="181"/>
    </row>
    <row r="847" spans="1:16">
      <c r="A847" s="29">
        <f t="shared" si="60"/>
        <v>266</v>
      </c>
      <c r="B847" s="30" t="s">
        <v>828</v>
      </c>
      <c r="C847" s="183" t="s">
        <v>829</v>
      </c>
      <c r="D847" s="31" t="s">
        <v>830</v>
      </c>
      <c r="E847" s="32">
        <v>42891</v>
      </c>
      <c r="F847" s="34">
        <v>6500000</v>
      </c>
      <c r="G847" s="34">
        <v>500000</v>
      </c>
      <c r="H847" s="34">
        <v>500000</v>
      </c>
      <c r="I847" s="181" t="s">
        <v>1587</v>
      </c>
    </row>
    <row r="848" spans="1:16">
      <c r="A848" s="29">
        <f t="shared" si="60"/>
        <v>267</v>
      </c>
      <c r="B848" s="30" t="s">
        <v>828</v>
      </c>
      <c r="C848" s="183" t="s">
        <v>829</v>
      </c>
      <c r="D848" s="31" t="s">
        <v>830</v>
      </c>
      <c r="E848" s="32">
        <v>42891</v>
      </c>
      <c r="F848" s="34">
        <v>6500000</v>
      </c>
      <c r="G848" s="34">
        <v>500000</v>
      </c>
      <c r="H848" s="34">
        <v>500000</v>
      </c>
      <c r="I848" s="181"/>
    </row>
    <row r="849" spans="1:16">
      <c r="A849" s="29">
        <f t="shared" si="60"/>
        <v>268</v>
      </c>
      <c r="B849" s="30" t="s">
        <v>102</v>
      </c>
      <c r="C849" s="183" t="s">
        <v>103</v>
      </c>
      <c r="D849" s="31" t="s">
        <v>104</v>
      </c>
      <c r="E849" s="32">
        <v>42892</v>
      </c>
      <c r="F849" s="34">
        <v>15000000</v>
      </c>
      <c r="G849" s="34">
        <v>2500000</v>
      </c>
      <c r="H849" s="34">
        <v>2500000</v>
      </c>
      <c r="I849" s="181"/>
      <c r="J849" s="14"/>
      <c r="K849" s="14"/>
      <c r="L849" s="14"/>
      <c r="M849" s="14"/>
      <c r="N849" s="14"/>
      <c r="O849" s="14"/>
      <c r="P849" s="14"/>
    </row>
    <row r="850" spans="1:16">
      <c r="A850" s="29">
        <f t="shared" si="60"/>
        <v>269</v>
      </c>
      <c r="B850" s="30" t="s">
        <v>1111</v>
      </c>
      <c r="C850" s="183" t="s">
        <v>1112</v>
      </c>
      <c r="D850" s="31" t="s">
        <v>1113</v>
      </c>
      <c r="E850" s="32">
        <v>42899</v>
      </c>
      <c r="F850" s="34">
        <v>20000000</v>
      </c>
      <c r="G850" s="34">
        <v>0</v>
      </c>
      <c r="H850" s="34">
        <v>0</v>
      </c>
      <c r="I850" s="181"/>
      <c r="J850" s="14"/>
      <c r="K850" s="14"/>
      <c r="L850" s="14"/>
      <c r="M850" s="14"/>
      <c r="N850" s="14"/>
      <c r="O850" s="14"/>
      <c r="P850" s="14"/>
    </row>
    <row r="851" spans="1:16">
      <c r="A851" s="29">
        <f t="shared" si="60"/>
        <v>270</v>
      </c>
      <c r="B851" s="30" t="s">
        <v>149</v>
      </c>
      <c r="C851" s="183" t="s">
        <v>150</v>
      </c>
      <c r="D851" s="31" t="s">
        <v>151</v>
      </c>
      <c r="E851" s="32">
        <v>42832</v>
      </c>
      <c r="F851" s="34">
        <v>5000000</v>
      </c>
      <c r="G851" s="89">
        <v>1000000</v>
      </c>
      <c r="H851" s="89">
        <v>1000000</v>
      </c>
      <c r="I851" s="45"/>
      <c r="J851" s="14"/>
      <c r="K851" s="14"/>
      <c r="L851" s="14"/>
      <c r="M851" s="14"/>
      <c r="N851" s="14"/>
      <c r="O851" s="14"/>
      <c r="P851" s="14"/>
    </row>
    <row r="852" spans="1:16">
      <c r="A852" s="29">
        <f t="shared" si="60"/>
        <v>271</v>
      </c>
      <c r="B852" s="30" t="s">
        <v>982</v>
      </c>
      <c r="C852" s="183" t="s">
        <v>983</v>
      </c>
      <c r="D852" s="41" t="s">
        <v>984</v>
      </c>
      <c r="E852" s="32">
        <v>42906</v>
      </c>
      <c r="F852" s="34">
        <v>6550000</v>
      </c>
      <c r="G852" s="34">
        <v>3850000</v>
      </c>
      <c r="H852" s="34">
        <v>1500000</v>
      </c>
      <c r="I852" s="181" t="s">
        <v>1588</v>
      </c>
    </row>
    <row r="853" spans="1:16">
      <c r="A853" s="29">
        <f t="shared" si="60"/>
        <v>272</v>
      </c>
      <c r="B853" s="30" t="s">
        <v>982</v>
      </c>
      <c r="C853" s="183" t="s">
        <v>983</v>
      </c>
      <c r="D853" s="41" t="s">
        <v>984</v>
      </c>
      <c r="E853" s="32">
        <v>42906</v>
      </c>
      <c r="F853" s="34">
        <v>6550000</v>
      </c>
      <c r="G853" s="34">
        <v>3850000</v>
      </c>
      <c r="H853" s="34">
        <v>1500000</v>
      </c>
      <c r="I853" s="181" t="s">
        <v>1588</v>
      </c>
    </row>
    <row r="854" spans="1:16">
      <c r="A854" s="29">
        <f t="shared" si="60"/>
        <v>273</v>
      </c>
      <c r="B854" s="30" t="s">
        <v>719</v>
      </c>
      <c r="C854" s="183" t="s">
        <v>720</v>
      </c>
      <c r="D854" s="31" t="s">
        <v>721</v>
      </c>
      <c r="E854" s="32">
        <v>42906</v>
      </c>
      <c r="F854" s="34">
        <v>7500000</v>
      </c>
      <c r="G854" s="34">
        <v>1250000</v>
      </c>
      <c r="H854" s="34">
        <v>1250000</v>
      </c>
      <c r="I854" s="181" t="s">
        <v>1589</v>
      </c>
    </row>
    <row r="855" spans="1:16">
      <c r="A855" s="29">
        <f t="shared" si="60"/>
        <v>274</v>
      </c>
      <c r="B855" s="30" t="s">
        <v>719</v>
      </c>
      <c r="C855" s="183" t="s">
        <v>720</v>
      </c>
      <c r="D855" s="31" t="s">
        <v>721</v>
      </c>
      <c r="E855" s="32">
        <v>42906</v>
      </c>
      <c r="F855" s="34">
        <v>7500000</v>
      </c>
      <c r="G855" s="34">
        <v>1250000</v>
      </c>
      <c r="H855" s="34">
        <v>1250000</v>
      </c>
      <c r="I855" s="181" t="s">
        <v>1589</v>
      </c>
    </row>
    <row r="856" spans="1:16">
      <c r="A856" s="29">
        <f t="shared" si="60"/>
        <v>275</v>
      </c>
      <c r="B856" s="30" t="s">
        <v>285</v>
      </c>
      <c r="C856" s="183" t="s">
        <v>286</v>
      </c>
      <c r="D856" s="31" t="s">
        <v>287</v>
      </c>
      <c r="E856" s="32">
        <v>42906</v>
      </c>
      <c r="F856" s="34">
        <v>7750000</v>
      </c>
      <c r="G856" s="34">
        <v>2500000</v>
      </c>
      <c r="H856" s="34">
        <v>2500000</v>
      </c>
      <c r="I856" s="181" t="s">
        <v>1590</v>
      </c>
      <c r="J856" s="14"/>
      <c r="K856" s="14"/>
      <c r="L856" s="14"/>
      <c r="M856" s="14"/>
      <c r="N856" s="14"/>
      <c r="O856" s="14"/>
      <c r="P856" s="14"/>
    </row>
    <row r="857" spans="1:16">
      <c r="A857" s="29">
        <f t="shared" si="60"/>
        <v>276</v>
      </c>
      <c r="B857" s="30" t="s">
        <v>285</v>
      </c>
      <c r="C857" s="183" t="s">
        <v>286</v>
      </c>
      <c r="D857" s="31" t="s">
        <v>287</v>
      </c>
      <c r="E857" s="32">
        <v>42906</v>
      </c>
      <c r="F857" s="34">
        <v>7750000</v>
      </c>
      <c r="G857" s="34">
        <v>2500000</v>
      </c>
      <c r="H857" s="34">
        <v>2500000</v>
      </c>
      <c r="I857" s="181" t="s">
        <v>1590</v>
      </c>
      <c r="J857" s="14"/>
      <c r="K857" s="14"/>
      <c r="L857" s="14"/>
      <c r="M857" s="14"/>
      <c r="N857" s="14"/>
      <c r="O857" s="14"/>
      <c r="P857" s="14"/>
    </row>
    <row r="858" spans="1:16">
      <c r="A858" s="29">
        <f t="shared" si="60"/>
        <v>277</v>
      </c>
      <c r="B858" s="30" t="s">
        <v>361</v>
      </c>
      <c r="C858" s="183" t="s">
        <v>362</v>
      </c>
      <c r="D858" s="41" t="s">
        <v>363</v>
      </c>
      <c r="E858" s="32">
        <v>42906</v>
      </c>
      <c r="F858" s="34">
        <v>17500000</v>
      </c>
      <c r="G858" s="34">
        <v>1250000</v>
      </c>
      <c r="H858" s="34">
        <v>1250000</v>
      </c>
      <c r="I858" s="181" t="s">
        <v>1591</v>
      </c>
      <c r="J858" s="14"/>
      <c r="K858" s="14"/>
      <c r="L858" s="14"/>
      <c r="M858" s="14"/>
      <c r="N858" s="14"/>
      <c r="O858" s="14"/>
      <c r="P858" s="14"/>
    </row>
    <row r="859" spans="1:16">
      <c r="A859" s="29">
        <f t="shared" si="60"/>
        <v>278</v>
      </c>
      <c r="B859" s="30" t="s">
        <v>361</v>
      </c>
      <c r="C859" s="183" t="s">
        <v>362</v>
      </c>
      <c r="D859" s="41" t="s">
        <v>363</v>
      </c>
      <c r="E859" s="32">
        <v>42906</v>
      </c>
      <c r="F859" s="34">
        <v>17500000</v>
      </c>
      <c r="G859" s="34">
        <v>1250000</v>
      </c>
      <c r="H859" s="34">
        <v>1250000</v>
      </c>
      <c r="I859" s="181" t="s">
        <v>1591</v>
      </c>
      <c r="J859" s="14"/>
      <c r="K859" s="14"/>
      <c r="L859" s="14"/>
      <c r="M859" s="14"/>
      <c r="N859" s="14"/>
      <c r="O859" s="14"/>
      <c r="P859" s="14"/>
    </row>
    <row r="860" spans="1:16">
      <c r="A860" s="29">
        <f t="shared" si="60"/>
        <v>279</v>
      </c>
      <c r="B860" s="30" t="s">
        <v>1254</v>
      </c>
      <c r="C860" s="183" t="s">
        <v>1255</v>
      </c>
      <c r="D860" s="183" t="s">
        <v>1256</v>
      </c>
      <c r="E860" s="32">
        <v>42907</v>
      </c>
      <c r="F860" s="34">
        <v>10000000</v>
      </c>
      <c r="G860" s="34">
        <v>0</v>
      </c>
      <c r="H860" s="34">
        <v>5000000</v>
      </c>
      <c r="I860" s="181" t="s">
        <v>1592</v>
      </c>
      <c r="J860" s="14"/>
      <c r="K860" s="14"/>
      <c r="L860" s="14"/>
      <c r="M860" s="14"/>
      <c r="N860" s="14"/>
      <c r="O860" s="14"/>
      <c r="P860" s="14"/>
    </row>
    <row r="861" spans="1:16">
      <c r="A861" s="29">
        <f t="shared" si="60"/>
        <v>280</v>
      </c>
      <c r="B861" s="30" t="s">
        <v>1254</v>
      </c>
      <c r="C861" s="183" t="s">
        <v>1255</v>
      </c>
      <c r="D861" s="183" t="s">
        <v>1256</v>
      </c>
      <c r="E861" s="32">
        <v>42907</v>
      </c>
      <c r="F861" s="34">
        <v>10000000</v>
      </c>
      <c r="G861" s="34">
        <v>0</v>
      </c>
      <c r="H861" s="34">
        <v>5000000</v>
      </c>
      <c r="I861" s="181" t="s">
        <v>1593</v>
      </c>
      <c r="J861" s="14"/>
      <c r="K861" s="14"/>
      <c r="L861" s="14"/>
      <c r="M861" s="14"/>
      <c r="N861" s="14"/>
      <c r="O861" s="14"/>
      <c r="P861" s="14"/>
    </row>
    <row r="862" spans="1:16">
      <c r="A862" s="29">
        <f t="shared" si="60"/>
        <v>281</v>
      </c>
      <c r="B862" s="30" t="s">
        <v>541</v>
      </c>
      <c r="C862" s="183" t="s">
        <v>542</v>
      </c>
      <c r="D862" s="41" t="s">
        <v>543</v>
      </c>
      <c r="E862" s="32">
        <v>42907</v>
      </c>
      <c r="F862" s="34">
        <v>12500000</v>
      </c>
      <c r="G862" s="34">
        <v>0</v>
      </c>
      <c r="H862" s="34">
        <v>0</v>
      </c>
      <c r="I862" s="181" t="s">
        <v>1594</v>
      </c>
      <c r="J862" s="14"/>
      <c r="K862" s="14"/>
      <c r="L862" s="14"/>
      <c r="M862" s="14"/>
      <c r="N862" s="14"/>
      <c r="O862" s="14"/>
      <c r="P862" s="14"/>
    </row>
    <row r="863" spans="1:16">
      <c r="A863" s="29">
        <f t="shared" si="60"/>
        <v>282</v>
      </c>
      <c r="B863" s="30" t="s">
        <v>541</v>
      </c>
      <c r="C863" s="183" t="s">
        <v>542</v>
      </c>
      <c r="D863" s="41" t="s">
        <v>543</v>
      </c>
      <c r="E863" s="32">
        <v>42907</v>
      </c>
      <c r="F863" s="34">
        <v>12500000</v>
      </c>
      <c r="G863" s="34">
        <v>0</v>
      </c>
      <c r="H863" s="34">
        <v>0</v>
      </c>
      <c r="I863" s="181" t="s">
        <v>1594</v>
      </c>
      <c r="J863" s="14"/>
      <c r="K863" s="14"/>
      <c r="L863" s="14"/>
      <c r="M863" s="14"/>
      <c r="N863" s="14"/>
      <c r="O863" s="14"/>
      <c r="P863" s="14"/>
    </row>
    <row r="864" spans="1:16">
      <c r="A864" s="29">
        <f t="shared" si="60"/>
        <v>283</v>
      </c>
      <c r="B864" s="30" t="s">
        <v>505</v>
      </c>
      <c r="C864" s="183" t="s">
        <v>506</v>
      </c>
      <c r="D864" s="41" t="s">
        <v>507</v>
      </c>
      <c r="E864" s="32">
        <v>42907</v>
      </c>
      <c r="F864" s="34">
        <v>10000000</v>
      </c>
      <c r="G864" s="34">
        <v>1250000</v>
      </c>
      <c r="H864" s="34">
        <v>1250000</v>
      </c>
      <c r="I864" s="181" t="s">
        <v>1595</v>
      </c>
      <c r="J864" s="14"/>
      <c r="K864" s="14"/>
      <c r="L864" s="14"/>
      <c r="M864" s="14"/>
      <c r="N864" s="14"/>
      <c r="O864" s="14"/>
      <c r="P864" s="14"/>
    </row>
    <row r="865" spans="1:16">
      <c r="A865" s="29">
        <f t="shared" si="60"/>
        <v>284</v>
      </c>
      <c r="B865" s="30" t="s">
        <v>505</v>
      </c>
      <c r="C865" s="183" t="s">
        <v>506</v>
      </c>
      <c r="D865" s="41" t="s">
        <v>507</v>
      </c>
      <c r="E865" s="32">
        <v>42907</v>
      </c>
      <c r="F865" s="34">
        <v>10000000</v>
      </c>
      <c r="G865" s="34">
        <v>1250000</v>
      </c>
      <c r="H865" s="34">
        <v>1250000</v>
      </c>
      <c r="I865" s="181" t="s">
        <v>1596</v>
      </c>
      <c r="J865" s="14"/>
      <c r="K865" s="14"/>
      <c r="L865" s="14"/>
      <c r="M865" s="14"/>
      <c r="N865" s="14"/>
      <c r="O865" s="14"/>
      <c r="P865" s="14"/>
    </row>
    <row r="866" spans="1:16">
      <c r="A866" s="29">
        <f t="shared" si="60"/>
        <v>285</v>
      </c>
      <c r="B866" s="30" t="s">
        <v>76</v>
      </c>
      <c r="C866" s="183" t="s">
        <v>77</v>
      </c>
      <c r="D866" s="183" t="s">
        <v>78</v>
      </c>
      <c r="E866" s="32">
        <v>42907</v>
      </c>
      <c r="F866" s="34">
        <v>2500000</v>
      </c>
      <c r="G866" s="34">
        <v>1250000</v>
      </c>
      <c r="H866" s="34">
        <v>1250000</v>
      </c>
      <c r="I866" s="181" t="s">
        <v>1597</v>
      </c>
      <c r="J866" s="14"/>
      <c r="K866" s="14"/>
      <c r="L866" s="14"/>
      <c r="M866" s="14"/>
      <c r="N866" s="14"/>
      <c r="O866" s="14"/>
      <c r="P866" s="14"/>
    </row>
    <row r="867" spans="1:16">
      <c r="A867" s="29">
        <f t="shared" si="60"/>
        <v>286</v>
      </c>
      <c r="B867" s="30" t="s">
        <v>76</v>
      </c>
      <c r="C867" s="183" t="s">
        <v>77</v>
      </c>
      <c r="D867" s="183" t="s">
        <v>78</v>
      </c>
      <c r="E867" s="32">
        <v>42907</v>
      </c>
      <c r="F867" s="34">
        <v>2500000</v>
      </c>
      <c r="G867" s="34">
        <v>1250000</v>
      </c>
      <c r="H867" s="34">
        <v>1250000</v>
      </c>
      <c r="I867" s="181" t="s">
        <v>1598</v>
      </c>
      <c r="J867" s="14"/>
      <c r="K867" s="14"/>
      <c r="L867" s="14"/>
      <c r="M867" s="14"/>
      <c r="N867" s="14"/>
      <c r="O867" s="14"/>
      <c r="P867" s="14"/>
    </row>
    <row r="868" spans="1:16">
      <c r="A868" s="29">
        <f t="shared" si="60"/>
        <v>287</v>
      </c>
      <c r="B868" s="30" t="s">
        <v>180</v>
      </c>
      <c r="C868" s="183" t="s">
        <v>181</v>
      </c>
      <c r="D868" s="41" t="s">
        <v>182</v>
      </c>
      <c r="E868" s="32">
        <v>42907</v>
      </c>
      <c r="F868" s="34">
        <v>20000000</v>
      </c>
      <c r="G868" s="34">
        <v>2500000</v>
      </c>
      <c r="H868" s="34">
        <v>2500000</v>
      </c>
      <c r="I868" s="181" t="s">
        <v>1599</v>
      </c>
      <c r="J868" s="14"/>
      <c r="K868" s="14"/>
      <c r="L868" s="14"/>
      <c r="M868" s="14"/>
      <c r="N868" s="14"/>
      <c r="O868" s="14"/>
      <c r="P868" s="14"/>
    </row>
    <row r="869" spans="1:16">
      <c r="A869" s="29">
        <f t="shared" si="60"/>
        <v>288</v>
      </c>
      <c r="B869" s="30" t="s">
        <v>180</v>
      </c>
      <c r="C869" s="183" t="s">
        <v>181</v>
      </c>
      <c r="D869" s="41" t="s">
        <v>182</v>
      </c>
      <c r="E869" s="32">
        <v>42907</v>
      </c>
      <c r="F869" s="34">
        <v>20000000</v>
      </c>
      <c r="G869" s="34">
        <v>2500000</v>
      </c>
      <c r="H869" s="34">
        <v>2500000</v>
      </c>
      <c r="I869" s="181" t="s">
        <v>1599</v>
      </c>
      <c r="J869" s="14"/>
      <c r="K869" s="14"/>
      <c r="L869" s="14"/>
      <c r="M869" s="14"/>
      <c r="N869" s="14"/>
      <c r="O869" s="14"/>
      <c r="P869" s="14"/>
    </row>
    <row r="870" spans="1:16">
      <c r="A870" s="29">
        <f t="shared" si="60"/>
        <v>289</v>
      </c>
      <c r="B870" s="30" t="s">
        <v>251</v>
      </c>
      <c r="C870" s="183" t="s">
        <v>252</v>
      </c>
      <c r="D870" s="41" t="s">
        <v>253</v>
      </c>
      <c r="E870" s="32">
        <v>42907</v>
      </c>
      <c r="F870" s="34">
        <v>17500000</v>
      </c>
      <c r="G870" s="34">
        <v>3875000</v>
      </c>
      <c r="H870" s="34">
        <v>3875000</v>
      </c>
      <c r="I870" s="181"/>
      <c r="J870" s="14"/>
      <c r="K870" s="14"/>
      <c r="L870" s="14"/>
      <c r="M870" s="14"/>
      <c r="N870" s="14"/>
      <c r="O870" s="14"/>
      <c r="P870" s="14"/>
    </row>
    <row r="871" spans="1:16">
      <c r="A871" s="29">
        <f t="shared" si="60"/>
        <v>290</v>
      </c>
      <c r="B871" s="30" t="s">
        <v>251</v>
      </c>
      <c r="C871" s="183" t="s">
        <v>252</v>
      </c>
      <c r="D871" s="41" t="s">
        <v>253</v>
      </c>
      <c r="E871" s="32">
        <v>42907</v>
      </c>
      <c r="F871" s="34">
        <v>17500000</v>
      </c>
      <c r="G871" s="34">
        <v>3875000</v>
      </c>
      <c r="H871" s="34">
        <v>3875000</v>
      </c>
      <c r="I871" s="181"/>
      <c r="J871" s="14"/>
      <c r="K871" s="14"/>
      <c r="L871" s="14"/>
      <c r="M871" s="14"/>
      <c r="N871" s="14"/>
      <c r="O871" s="14"/>
      <c r="P871" s="14"/>
    </row>
    <row r="872" spans="1:16">
      <c r="A872" s="29">
        <f t="shared" si="60"/>
        <v>291</v>
      </c>
      <c r="B872" s="30" t="s">
        <v>1285</v>
      </c>
      <c r="C872" s="183" t="s">
        <v>1286</v>
      </c>
      <c r="D872" s="41" t="s">
        <v>1287</v>
      </c>
      <c r="E872" s="32">
        <v>42908</v>
      </c>
      <c r="F872" s="34">
        <v>15000000</v>
      </c>
      <c r="G872" s="34">
        <v>5000000</v>
      </c>
      <c r="H872" s="34">
        <v>5000000</v>
      </c>
      <c r="I872" s="181" t="s">
        <v>1600</v>
      </c>
      <c r="J872" s="14"/>
      <c r="K872" s="14"/>
      <c r="L872" s="14"/>
      <c r="M872" s="14"/>
      <c r="N872" s="14"/>
      <c r="O872" s="14"/>
      <c r="P872" s="14"/>
    </row>
    <row r="873" spans="1:16">
      <c r="A873" s="29">
        <f t="shared" si="60"/>
        <v>292</v>
      </c>
      <c r="B873" s="30" t="s">
        <v>1285</v>
      </c>
      <c r="C873" s="183" t="s">
        <v>1286</v>
      </c>
      <c r="D873" s="41" t="s">
        <v>1287</v>
      </c>
      <c r="E873" s="32">
        <v>42908</v>
      </c>
      <c r="F873" s="34">
        <v>15000000</v>
      </c>
      <c r="G873" s="34">
        <v>5000000</v>
      </c>
      <c r="H873" s="34">
        <v>5000000</v>
      </c>
      <c r="I873" s="181" t="s">
        <v>1600</v>
      </c>
      <c r="J873" s="14"/>
      <c r="K873" s="14"/>
      <c r="L873" s="14"/>
      <c r="M873" s="14"/>
      <c r="N873" s="14"/>
      <c r="O873" s="14"/>
      <c r="P873" s="14"/>
    </row>
    <row r="874" spans="1:16">
      <c r="A874" s="29">
        <f t="shared" si="60"/>
        <v>293</v>
      </c>
      <c r="B874" s="30" t="s">
        <v>1268</v>
      </c>
      <c r="C874" s="183" t="s">
        <v>1269</v>
      </c>
      <c r="D874" s="41" t="s">
        <v>1270</v>
      </c>
      <c r="E874" s="32">
        <v>42908</v>
      </c>
      <c r="F874" s="34">
        <v>7500000</v>
      </c>
      <c r="G874" s="34">
        <v>1250000</v>
      </c>
      <c r="H874" s="34">
        <v>1250000</v>
      </c>
      <c r="I874" s="181" t="s">
        <v>1601</v>
      </c>
      <c r="J874" s="14"/>
      <c r="K874" s="14"/>
      <c r="L874" s="14"/>
      <c r="M874" s="14"/>
      <c r="N874" s="14"/>
      <c r="O874" s="14"/>
      <c r="P874" s="14"/>
    </row>
    <row r="875" spans="1:16">
      <c r="A875" s="29">
        <f t="shared" si="60"/>
        <v>294</v>
      </c>
      <c r="B875" s="30" t="s">
        <v>1268</v>
      </c>
      <c r="C875" s="183" t="s">
        <v>1269</v>
      </c>
      <c r="D875" s="41" t="s">
        <v>1270</v>
      </c>
      <c r="E875" s="32">
        <v>42908</v>
      </c>
      <c r="F875" s="34">
        <v>7500000</v>
      </c>
      <c r="G875" s="34">
        <v>1250000</v>
      </c>
      <c r="H875" s="34">
        <v>1250000</v>
      </c>
      <c r="I875" s="181" t="s">
        <v>1602</v>
      </c>
      <c r="J875" s="14"/>
      <c r="K875" s="14"/>
      <c r="L875" s="14"/>
      <c r="M875" s="14"/>
      <c r="N875" s="14"/>
      <c r="O875" s="14"/>
      <c r="P875" s="14"/>
    </row>
    <row r="876" spans="1:16">
      <c r="A876" s="29">
        <f t="shared" si="60"/>
        <v>295</v>
      </c>
      <c r="B876" s="30" t="s">
        <v>1258</v>
      </c>
      <c r="C876" s="183" t="s">
        <v>1259</v>
      </c>
      <c r="D876" s="41" t="s">
        <v>1260</v>
      </c>
      <c r="E876" s="32">
        <v>42908</v>
      </c>
      <c r="F876" s="34">
        <v>3000000</v>
      </c>
      <c r="G876" s="34">
        <v>2500000</v>
      </c>
      <c r="H876" s="34">
        <v>2500000</v>
      </c>
      <c r="I876" s="181" t="s">
        <v>1603</v>
      </c>
      <c r="J876" s="14"/>
      <c r="K876" s="14"/>
      <c r="L876" s="14"/>
      <c r="M876" s="14"/>
      <c r="N876" s="14"/>
      <c r="O876" s="14"/>
      <c r="P876" s="14"/>
    </row>
    <row r="877" spans="1:16">
      <c r="A877" s="29">
        <f t="shared" si="60"/>
        <v>296</v>
      </c>
      <c r="B877" s="30" t="s">
        <v>1258</v>
      </c>
      <c r="C877" s="183" t="s">
        <v>1259</v>
      </c>
      <c r="D877" s="41" t="s">
        <v>1260</v>
      </c>
      <c r="E877" s="32">
        <v>42908</v>
      </c>
      <c r="F877" s="34">
        <v>3000000</v>
      </c>
      <c r="G877" s="34">
        <v>2500000</v>
      </c>
      <c r="H877" s="34">
        <v>2500000</v>
      </c>
      <c r="I877" s="181" t="s">
        <v>1603</v>
      </c>
      <c r="J877" s="14"/>
      <c r="K877" s="14"/>
      <c r="L877" s="14"/>
      <c r="M877" s="14"/>
      <c r="N877" s="14"/>
      <c r="O877" s="14"/>
      <c r="P877" s="14"/>
    </row>
    <row r="878" spans="1:16">
      <c r="A878" s="29">
        <f t="shared" si="60"/>
        <v>297</v>
      </c>
      <c r="B878" s="30" t="s">
        <v>262</v>
      </c>
      <c r="C878" s="183" t="s">
        <v>263</v>
      </c>
      <c r="D878" s="41" t="s">
        <v>264</v>
      </c>
      <c r="E878" s="32">
        <v>42921</v>
      </c>
      <c r="F878" s="34">
        <v>10000000</v>
      </c>
      <c r="G878" s="34">
        <v>2500000</v>
      </c>
      <c r="H878" s="34">
        <v>2500000</v>
      </c>
      <c r="I878" s="181" t="s">
        <v>1604</v>
      </c>
      <c r="J878" s="14"/>
      <c r="K878" s="14"/>
      <c r="L878" s="14"/>
      <c r="M878" s="14"/>
      <c r="N878" s="14"/>
      <c r="O878" s="14"/>
      <c r="P878" s="14"/>
    </row>
    <row r="879" spans="1:16">
      <c r="A879" s="29">
        <f t="shared" si="60"/>
        <v>298</v>
      </c>
      <c r="B879" s="30" t="s">
        <v>262</v>
      </c>
      <c r="C879" s="183" t="s">
        <v>263</v>
      </c>
      <c r="D879" s="41" t="s">
        <v>264</v>
      </c>
      <c r="E879" s="32">
        <v>42921</v>
      </c>
      <c r="F879" s="34">
        <v>10000000</v>
      </c>
      <c r="G879" s="34">
        <v>2500000</v>
      </c>
      <c r="H879" s="34">
        <v>2500000</v>
      </c>
      <c r="I879" s="181" t="s">
        <v>1605</v>
      </c>
    </row>
    <row r="880" spans="1:16">
      <c r="A880" s="29">
        <f t="shared" si="60"/>
        <v>299</v>
      </c>
      <c r="B880" s="30" t="s">
        <v>278</v>
      </c>
      <c r="C880" s="183" t="s">
        <v>279</v>
      </c>
      <c r="D880" s="31" t="s">
        <v>280</v>
      </c>
      <c r="E880" s="32">
        <v>42926</v>
      </c>
      <c r="F880" s="34">
        <v>3500000</v>
      </c>
      <c r="G880" s="34">
        <v>2000000</v>
      </c>
      <c r="H880" s="34">
        <v>1000000</v>
      </c>
      <c r="I880" s="181" t="s">
        <v>1606</v>
      </c>
    </row>
    <row r="881" spans="1:16">
      <c r="A881" s="29">
        <f t="shared" si="60"/>
        <v>300</v>
      </c>
      <c r="B881" s="30" t="s">
        <v>278</v>
      </c>
      <c r="C881" s="183" t="s">
        <v>279</v>
      </c>
      <c r="D881" s="31" t="s">
        <v>280</v>
      </c>
      <c r="E881" s="32">
        <v>42926</v>
      </c>
      <c r="F881" s="34">
        <v>3500000</v>
      </c>
      <c r="G881" s="34">
        <v>2000000</v>
      </c>
      <c r="H881" s="34">
        <v>1000000</v>
      </c>
      <c r="I881" s="181" t="s">
        <v>1606</v>
      </c>
    </row>
    <row r="882" spans="1:16">
      <c r="A882" s="29">
        <f t="shared" si="60"/>
        <v>301</v>
      </c>
      <c r="B882" s="30" t="s">
        <v>1191</v>
      </c>
      <c r="C882" s="183" t="s">
        <v>1192</v>
      </c>
      <c r="D882" s="31" t="s">
        <v>1193</v>
      </c>
      <c r="E882" s="32">
        <v>42926</v>
      </c>
      <c r="F882" s="34">
        <v>10000000</v>
      </c>
      <c r="G882" s="34">
        <v>0</v>
      </c>
      <c r="H882" s="34">
        <v>0</v>
      </c>
      <c r="I882" s="181" t="s">
        <v>1607</v>
      </c>
    </row>
    <row r="883" spans="1:16">
      <c r="A883" s="29">
        <f t="shared" si="60"/>
        <v>302</v>
      </c>
      <c r="B883" s="30" t="s">
        <v>1081</v>
      </c>
      <c r="C883" s="183" t="s">
        <v>1082</v>
      </c>
      <c r="D883" s="41" t="s">
        <v>1083</v>
      </c>
      <c r="E883" s="32">
        <v>42926</v>
      </c>
      <c r="F883" s="34">
        <v>7500000</v>
      </c>
      <c r="G883" s="34">
        <v>0</v>
      </c>
      <c r="H883" s="34">
        <v>0</v>
      </c>
      <c r="I883" s="181" t="s">
        <v>1608</v>
      </c>
    </row>
    <row r="884" spans="1:16">
      <c r="A884" s="29">
        <f t="shared" si="60"/>
        <v>303</v>
      </c>
      <c r="B884" s="30" t="s">
        <v>1081</v>
      </c>
      <c r="C884" s="183" t="s">
        <v>1082</v>
      </c>
      <c r="D884" s="41" t="s">
        <v>1083</v>
      </c>
      <c r="E884" s="32">
        <v>42926</v>
      </c>
      <c r="F884" s="34">
        <v>7500000</v>
      </c>
      <c r="G884" s="34">
        <v>0</v>
      </c>
      <c r="H884" s="34">
        <v>0</v>
      </c>
      <c r="I884" s="181"/>
    </row>
    <row r="885" spans="1:16">
      <c r="A885" s="29">
        <f t="shared" si="60"/>
        <v>304</v>
      </c>
      <c r="B885" s="30" t="s">
        <v>110</v>
      </c>
      <c r="C885" s="183" t="s">
        <v>111</v>
      </c>
      <c r="D885" s="41" t="s">
        <v>112</v>
      </c>
      <c r="E885" s="32">
        <v>42926</v>
      </c>
      <c r="F885" s="34">
        <v>12500000</v>
      </c>
      <c r="G885" s="34">
        <v>2500000</v>
      </c>
      <c r="H885" s="34">
        <v>2500000</v>
      </c>
      <c r="I885" s="181" t="s">
        <v>1609</v>
      </c>
    </row>
    <row r="886" spans="1:16">
      <c r="A886" s="29">
        <f t="shared" si="60"/>
        <v>305</v>
      </c>
      <c r="B886" s="30" t="s">
        <v>110</v>
      </c>
      <c r="C886" s="183" t="s">
        <v>111</v>
      </c>
      <c r="D886" s="41" t="s">
        <v>112</v>
      </c>
      <c r="E886" s="32">
        <v>42926</v>
      </c>
      <c r="F886" s="34">
        <v>12500000</v>
      </c>
      <c r="G886" s="34">
        <v>2500000</v>
      </c>
      <c r="H886" s="34">
        <v>2500000</v>
      </c>
      <c r="I886" s="181" t="s">
        <v>1609</v>
      </c>
    </row>
    <row r="887" spans="1:16">
      <c r="A887" s="29">
        <f t="shared" si="60"/>
        <v>306</v>
      </c>
      <c r="B887" s="30" t="s">
        <v>212</v>
      </c>
      <c r="C887" s="183" t="s">
        <v>213</v>
      </c>
      <c r="D887" s="41" t="s">
        <v>214</v>
      </c>
      <c r="E887" s="32">
        <v>42929</v>
      </c>
      <c r="F887" s="34">
        <v>20000000</v>
      </c>
      <c r="G887" s="34">
        <v>0</v>
      </c>
      <c r="H887" s="34">
        <v>0</v>
      </c>
      <c r="I887" s="181" t="s">
        <v>1610</v>
      </c>
    </row>
    <row r="888" spans="1:16">
      <c r="A888" s="29">
        <f t="shared" si="60"/>
        <v>307</v>
      </c>
      <c r="B888" s="30" t="s">
        <v>1316</v>
      </c>
      <c r="C888" s="183" t="s">
        <v>1317</v>
      </c>
      <c r="D888" s="41" t="s">
        <v>1318</v>
      </c>
      <c r="E888" s="32">
        <v>42930</v>
      </c>
      <c r="F888" s="34">
        <v>10000000</v>
      </c>
      <c r="G888" s="34">
        <v>0</v>
      </c>
      <c r="H888" s="34">
        <v>0</v>
      </c>
      <c r="I888" s="181" t="s">
        <v>1611</v>
      </c>
    </row>
    <row r="889" spans="1:16">
      <c r="A889" s="29">
        <f t="shared" si="60"/>
        <v>308</v>
      </c>
      <c r="B889" s="30" t="s">
        <v>711</v>
      </c>
      <c r="C889" s="183" t="s">
        <v>712</v>
      </c>
      <c r="D889" s="41" t="s">
        <v>713</v>
      </c>
      <c r="E889" s="32">
        <v>42930</v>
      </c>
      <c r="F889" s="34">
        <v>12500000</v>
      </c>
      <c r="G889" s="34">
        <v>0</v>
      </c>
      <c r="H889" s="34">
        <v>0</v>
      </c>
      <c r="I889" s="181" t="s">
        <v>1612</v>
      </c>
      <c r="J889" s="14"/>
      <c r="K889" s="14"/>
      <c r="L889" s="14"/>
      <c r="M889" s="14"/>
      <c r="N889" s="14"/>
      <c r="O889" s="14"/>
      <c r="P889" s="14"/>
    </row>
    <row r="890" spans="1:16">
      <c r="A890" s="29">
        <f t="shared" si="60"/>
        <v>309</v>
      </c>
      <c r="B890" s="30" t="s">
        <v>894</v>
      </c>
      <c r="C890" s="183" t="s">
        <v>895</v>
      </c>
      <c r="D890" s="41" t="s">
        <v>896</v>
      </c>
      <c r="E890" s="32">
        <v>42930</v>
      </c>
      <c r="F890" s="34">
        <v>10000000</v>
      </c>
      <c r="G890" s="34">
        <v>5000000</v>
      </c>
      <c r="H890" s="34">
        <v>5000000</v>
      </c>
      <c r="I890" s="181" t="s">
        <v>1613</v>
      </c>
      <c r="J890" s="14"/>
      <c r="K890" s="14"/>
      <c r="L890" s="14"/>
      <c r="M890" s="14"/>
      <c r="N890" s="14"/>
      <c r="O890" s="14"/>
      <c r="P890" s="14"/>
    </row>
    <row r="891" spans="1:16">
      <c r="A891" s="29">
        <f t="shared" si="60"/>
        <v>310</v>
      </c>
      <c r="B891" s="30" t="s">
        <v>477</v>
      </c>
      <c r="C891" s="183" t="s">
        <v>478</v>
      </c>
      <c r="D891" s="41" t="s">
        <v>482</v>
      </c>
      <c r="E891" s="32">
        <v>42933</v>
      </c>
      <c r="F891" s="34">
        <v>15000000</v>
      </c>
      <c r="G891" s="34">
        <v>0</v>
      </c>
      <c r="H891" s="34">
        <v>0</v>
      </c>
      <c r="I891" s="181"/>
      <c r="J891" s="14"/>
      <c r="K891" s="14"/>
      <c r="L891" s="14"/>
      <c r="M891" s="14"/>
      <c r="N891" s="14"/>
      <c r="O891" s="14"/>
      <c r="P891" s="14"/>
    </row>
    <row r="892" spans="1:16">
      <c r="A892" s="29">
        <f t="shared" si="60"/>
        <v>311</v>
      </c>
      <c r="B892" s="30" t="s">
        <v>38</v>
      </c>
      <c r="C892" s="183" t="s">
        <v>39</v>
      </c>
      <c r="D892" s="41" t="s">
        <v>40</v>
      </c>
      <c r="E892" s="32">
        <v>42934</v>
      </c>
      <c r="F892" s="34">
        <v>9500000</v>
      </c>
      <c r="G892" s="34">
        <v>0</v>
      </c>
      <c r="H892" s="34">
        <v>0</v>
      </c>
      <c r="I892" s="181" t="s">
        <v>1614</v>
      </c>
      <c r="J892" s="14"/>
      <c r="K892" s="14"/>
      <c r="L892" s="14"/>
      <c r="M892" s="14"/>
      <c r="N892" s="14"/>
      <c r="O892" s="14"/>
      <c r="P892" s="14"/>
    </row>
    <row r="893" spans="1:16">
      <c r="A893" s="29">
        <f t="shared" si="60"/>
        <v>312</v>
      </c>
      <c r="B893" s="30" t="s">
        <v>585</v>
      </c>
      <c r="C893" s="183" t="s">
        <v>586</v>
      </c>
      <c r="D893" s="41" t="s">
        <v>587</v>
      </c>
      <c r="E893" s="32">
        <v>42937</v>
      </c>
      <c r="F893" s="34">
        <v>18000000</v>
      </c>
      <c r="G893" s="34">
        <v>2000000</v>
      </c>
      <c r="H893" s="34">
        <v>1000000</v>
      </c>
      <c r="I893" s="181" t="s">
        <v>1615</v>
      </c>
    </row>
    <row r="894" spans="1:16">
      <c r="A894" s="29">
        <f t="shared" si="60"/>
        <v>313</v>
      </c>
      <c r="B894" s="30" t="s">
        <v>26</v>
      </c>
      <c r="C894" s="183" t="s">
        <v>27</v>
      </c>
      <c r="D894" s="41" t="s">
        <v>28</v>
      </c>
      <c r="E894" s="32">
        <v>42940</v>
      </c>
      <c r="F894" s="34">
        <v>30000000</v>
      </c>
      <c r="G894" s="34">
        <v>5000000</v>
      </c>
      <c r="H894" s="34">
        <v>0</v>
      </c>
      <c r="I894" s="181" t="s">
        <v>1616</v>
      </c>
    </row>
    <row r="895" spans="1:16">
      <c r="A895" s="29">
        <f t="shared" si="60"/>
        <v>314</v>
      </c>
      <c r="B895" s="30" t="s">
        <v>26</v>
      </c>
      <c r="C895" s="183" t="s">
        <v>27</v>
      </c>
      <c r="D895" s="41" t="s">
        <v>28</v>
      </c>
      <c r="E895" s="32">
        <v>42940</v>
      </c>
      <c r="F895" s="34">
        <v>15000000</v>
      </c>
      <c r="G895" s="34">
        <v>2500000</v>
      </c>
      <c r="H895" s="34">
        <v>0</v>
      </c>
      <c r="I895" s="181" t="s">
        <v>1616</v>
      </c>
    </row>
    <row r="896" spans="1:16">
      <c r="A896" s="29">
        <f t="shared" si="60"/>
        <v>315</v>
      </c>
      <c r="B896" s="30" t="s">
        <v>26</v>
      </c>
      <c r="C896" s="183" t="s">
        <v>27</v>
      </c>
      <c r="D896" s="41" t="s">
        <v>28</v>
      </c>
      <c r="E896" s="32">
        <v>42940</v>
      </c>
      <c r="F896" s="34">
        <v>15000000</v>
      </c>
      <c r="G896" s="34">
        <v>2500000</v>
      </c>
      <c r="H896" s="34">
        <v>0</v>
      </c>
      <c r="I896" s="181" t="s">
        <v>1616</v>
      </c>
    </row>
    <row r="897" spans="1:16">
      <c r="A897" s="29">
        <f t="shared" si="60"/>
        <v>316</v>
      </c>
      <c r="B897" s="30" t="s">
        <v>878</v>
      </c>
      <c r="C897" s="183" t="s">
        <v>879</v>
      </c>
      <c r="D897" s="183" t="s">
        <v>880</v>
      </c>
      <c r="E897" s="32">
        <v>42941</v>
      </c>
      <c r="F897" s="34">
        <v>5000000</v>
      </c>
      <c r="G897" s="34">
        <v>2500000</v>
      </c>
      <c r="H897" s="34">
        <v>2500000</v>
      </c>
      <c r="I897" s="181" t="s">
        <v>1617</v>
      </c>
    </row>
    <row r="898" spans="1:16">
      <c r="A898" s="29">
        <f t="shared" si="60"/>
        <v>317</v>
      </c>
      <c r="B898" s="30" t="s">
        <v>334</v>
      </c>
      <c r="C898" s="31" t="s">
        <v>335</v>
      </c>
      <c r="D898" s="31" t="s">
        <v>336</v>
      </c>
      <c r="E898" s="32">
        <v>42941</v>
      </c>
      <c r="F898" s="34">
        <v>50000000</v>
      </c>
      <c r="G898" s="34">
        <v>7500000</v>
      </c>
      <c r="H898" s="34">
        <v>7500000</v>
      </c>
      <c r="I898" s="181" t="s">
        <v>1618</v>
      </c>
    </row>
    <row r="899" spans="1:16">
      <c r="A899" s="29">
        <f t="shared" si="60"/>
        <v>318</v>
      </c>
      <c r="B899" s="30" t="s">
        <v>334</v>
      </c>
      <c r="C899" s="31" t="s">
        <v>335</v>
      </c>
      <c r="D899" s="31" t="s">
        <v>336</v>
      </c>
      <c r="E899" s="32">
        <v>42941</v>
      </c>
      <c r="F899" s="34">
        <v>25000000</v>
      </c>
      <c r="G899" s="34">
        <f>5000000</f>
        <v>5000000</v>
      </c>
      <c r="H899" s="34">
        <f>5000000</f>
        <v>5000000</v>
      </c>
      <c r="I899" s="181" t="s">
        <v>1619</v>
      </c>
      <c r="J899" s="14"/>
      <c r="K899" s="14"/>
      <c r="L899" s="14"/>
      <c r="M899" s="14"/>
      <c r="N899" s="14"/>
      <c r="O899" s="14"/>
      <c r="P899" s="14"/>
    </row>
    <row r="900" spans="1:16">
      <c r="A900" s="29">
        <f t="shared" si="60"/>
        <v>319</v>
      </c>
      <c r="B900" s="30" t="s">
        <v>683</v>
      </c>
      <c r="C900" s="31" t="s">
        <v>684</v>
      </c>
      <c r="D900" s="31" t="s">
        <v>685</v>
      </c>
      <c r="E900" s="32">
        <v>42941</v>
      </c>
      <c r="F900" s="34">
        <v>10000000</v>
      </c>
      <c r="G900" s="34">
        <v>2000000</v>
      </c>
      <c r="H900" s="34">
        <v>0</v>
      </c>
      <c r="I900" s="181" t="s">
        <v>1620</v>
      </c>
      <c r="J900" s="14"/>
      <c r="K900" s="14"/>
      <c r="L900" s="14"/>
      <c r="M900" s="14"/>
      <c r="N900" s="14"/>
      <c r="O900" s="14"/>
      <c r="P900" s="14"/>
    </row>
    <row r="901" spans="1:16">
      <c r="A901" s="29">
        <f t="shared" si="60"/>
        <v>320</v>
      </c>
      <c r="B901" s="30" t="s">
        <v>537</v>
      </c>
      <c r="C901" s="31" t="s">
        <v>538</v>
      </c>
      <c r="D901" s="31" t="s">
        <v>539</v>
      </c>
      <c r="E901" s="32">
        <v>42941</v>
      </c>
      <c r="F901" s="34">
        <v>6000000</v>
      </c>
      <c r="G901" s="34">
        <v>0</v>
      </c>
      <c r="H901" s="34">
        <v>0</v>
      </c>
      <c r="I901" s="181" t="s">
        <v>1621</v>
      </c>
      <c r="J901" s="14"/>
      <c r="K901" s="14"/>
      <c r="L901" s="14"/>
      <c r="M901" s="14"/>
      <c r="N901" s="14"/>
      <c r="O901" s="14"/>
      <c r="P901" s="14"/>
    </row>
    <row r="902" spans="1:16">
      <c r="A902" s="29">
        <f t="shared" si="60"/>
        <v>321</v>
      </c>
      <c r="B902" s="30" t="s">
        <v>537</v>
      </c>
      <c r="C902" s="31" t="s">
        <v>538</v>
      </c>
      <c r="D902" s="31" t="s">
        <v>539</v>
      </c>
      <c r="E902" s="32">
        <v>42941</v>
      </c>
      <c r="F902" s="34">
        <v>4000000</v>
      </c>
      <c r="G902" s="34">
        <v>0</v>
      </c>
      <c r="H902" s="34">
        <v>0</v>
      </c>
      <c r="I902" s="181" t="s">
        <v>1622</v>
      </c>
      <c r="J902" s="14"/>
      <c r="K902" s="14"/>
      <c r="L902" s="14"/>
      <c r="M902" s="14"/>
      <c r="N902" s="14"/>
      <c r="O902" s="14"/>
      <c r="P902" s="14"/>
    </row>
    <row r="903" spans="1:16">
      <c r="A903" s="29">
        <f t="shared" si="60"/>
        <v>322</v>
      </c>
      <c r="B903" s="30" t="s">
        <v>741</v>
      </c>
      <c r="C903" s="31" t="s">
        <v>742</v>
      </c>
      <c r="D903" s="31" t="s">
        <v>743</v>
      </c>
      <c r="E903" s="32">
        <v>42941</v>
      </c>
      <c r="F903" s="34">
        <v>10000000</v>
      </c>
      <c r="G903" s="34">
        <v>1500000</v>
      </c>
      <c r="H903" s="34">
        <v>1000000</v>
      </c>
      <c r="I903" s="181" t="s">
        <v>1623</v>
      </c>
      <c r="J903" s="14"/>
      <c r="K903" s="14"/>
      <c r="L903" s="14"/>
      <c r="M903" s="14"/>
      <c r="N903" s="14"/>
      <c r="O903" s="14"/>
      <c r="P903" s="14"/>
    </row>
    <row r="904" spans="1:16">
      <c r="A904" s="29">
        <f t="shared" ref="A904:A967" si="61">+A903+1</f>
        <v>323</v>
      </c>
      <c r="B904" s="30" t="s">
        <v>741</v>
      </c>
      <c r="C904" s="31" t="s">
        <v>742</v>
      </c>
      <c r="D904" s="31" t="s">
        <v>743</v>
      </c>
      <c r="E904" s="32">
        <v>42941</v>
      </c>
      <c r="F904" s="34">
        <v>10000000</v>
      </c>
      <c r="G904" s="34">
        <v>1500000</v>
      </c>
      <c r="H904" s="34">
        <v>1000000</v>
      </c>
      <c r="I904" s="181" t="s">
        <v>1624</v>
      </c>
      <c r="J904" s="14"/>
      <c r="K904" s="14"/>
      <c r="L904" s="14"/>
      <c r="M904" s="14"/>
      <c r="N904" s="14"/>
      <c r="O904" s="14"/>
      <c r="P904" s="14"/>
    </row>
    <row r="905" spans="1:16">
      <c r="A905" s="29">
        <f t="shared" si="61"/>
        <v>324</v>
      </c>
      <c r="B905" s="30" t="s">
        <v>1008</v>
      </c>
      <c r="C905" s="31" t="s">
        <v>1009</v>
      </c>
      <c r="D905" s="31" t="s">
        <v>1010</v>
      </c>
      <c r="E905" s="32">
        <v>42941</v>
      </c>
      <c r="F905" s="34">
        <v>25000000</v>
      </c>
      <c r="G905" s="34">
        <v>5000000</v>
      </c>
      <c r="H905" s="34">
        <v>5000000</v>
      </c>
      <c r="I905" s="181" t="s">
        <v>1625</v>
      </c>
      <c r="J905" s="14"/>
      <c r="K905" s="14"/>
      <c r="L905" s="14"/>
      <c r="M905" s="14"/>
      <c r="N905" s="14"/>
      <c r="O905" s="14"/>
      <c r="P905" s="14"/>
    </row>
    <row r="906" spans="1:16">
      <c r="A906" s="29">
        <f t="shared" si="61"/>
        <v>325</v>
      </c>
      <c r="B906" s="30" t="s">
        <v>568</v>
      </c>
      <c r="C906" s="31" t="s">
        <v>569</v>
      </c>
      <c r="D906" s="31" t="s">
        <v>570</v>
      </c>
      <c r="E906" s="32">
        <v>42941</v>
      </c>
      <c r="F906" s="34">
        <v>25000000</v>
      </c>
      <c r="G906" s="34">
        <v>5000000</v>
      </c>
      <c r="H906" s="34">
        <v>5000000</v>
      </c>
      <c r="I906" s="181" t="s">
        <v>1626</v>
      </c>
      <c r="J906" s="14"/>
      <c r="K906" s="14"/>
      <c r="L906" s="14"/>
      <c r="M906" s="14"/>
      <c r="N906" s="14"/>
      <c r="O906" s="14"/>
      <c r="P906" s="14"/>
    </row>
    <row r="907" spans="1:16">
      <c r="A907" s="29">
        <f t="shared" si="61"/>
        <v>326</v>
      </c>
      <c r="B907" s="30" t="s">
        <v>792</v>
      </c>
      <c r="C907" s="31" t="s">
        <v>793</v>
      </c>
      <c r="D907" s="31" t="s">
        <v>794</v>
      </c>
      <c r="E907" s="32">
        <v>42942</v>
      </c>
      <c r="F907" s="34">
        <v>7750000</v>
      </c>
      <c r="G907" s="34">
        <v>0</v>
      </c>
      <c r="H907" s="34">
        <v>1250000</v>
      </c>
      <c r="I907" s="181" t="s">
        <v>1627</v>
      </c>
      <c r="J907" s="14"/>
      <c r="K907" s="14"/>
      <c r="L907" s="14"/>
      <c r="M907" s="14"/>
      <c r="N907" s="14"/>
      <c r="O907" s="14"/>
      <c r="P907" s="14"/>
    </row>
    <row r="908" spans="1:16">
      <c r="A908" s="29">
        <f t="shared" si="61"/>
        <v>327</v>
      </c>
      <c r="B908" s="30" t="s">
        <v>792</v>
      </c>
      <c r="C908" s="31" t="s">
        <v>793</v>
      </c>
      <c r="D908" s="31" t="s">
        <v>794</v>
      </c>
      <c r="E908" s="32">
        <v>42942</v>
      </c>
      <c r="F908" s="34">
        <v>7750000</v>
      </c>
      <c r="G908" s="34">
        <v>0</v>
      </c>
      <c r="H908" s="34">
        <v>1250000</v>
      </c>
      <c r="I908" s="181" t="s">
        <v>1627</v>
      </c>
      <c r="J908" s="14"/>
      <c r="K908" s="14"/>
      <c r="L908" s="14"/>
      <c r="M908" s="14"/>
      <c r="N908" s="14"/>
      <c r="O908" s="14"/>
      <c r="P908" s="14"/>
    </row>
    <row r="909" spans="1:16">
      <c r="A909" s="29">
        <f t="shared" si="61"/>
        <v>328</v>
      </c>
      <c r="B909" s="30" t="s">
        <v>758</v>
      </c>
      <c r="C909" s="31" t="s">
        <v>759</v>
      </c>
      <c r="D909" s="31" t="s">
        <v>760</v>
      </c>
      <c r="E909" s="32">
        <v>42942</v>
      </c>
      <c r="F909" s="34">
        <v>7500000</v>
      </c>
      <c r="G909" s="34">
        <v>3000000</v>
      </c>
      <c r="H909" s="34">
        <v>3000000</v>
      </c>
      <c r="I909" s="181"/>
      <c r="J909" s="14"/>
      <c r="K909" s="14"/>
      <c r="L909" s="14"/>
      <c r="M909" s="14"/>
      <c r="N909" s="14"/>
      <c r="O909" s="14"/>
      <c r="P909" s="14"/>
    </row>
    <row r="910" spans="1:16">
      <c r="A910" s="29">
        <f t="shared" si="61"/>
        <v>329</v>
      </c>
      <c r="B910" s="30" t="s">
        <v>758</v>
      </c>
      <c r="C910" s="31" t="s">
        <v>759</v>
      </c>
      <c r="D910" s="31" t="s">
        <v>760</v>
      </c>
      <c r="E910" s="32">
        <v>42942</v>
      </c>
      <c r="F910" s="34">
        <v>7500000</v>
      </c>
      <c r="G910" s="34">
        <v>3000000</v>
      </c>
      <c r="H910" s="34">
        <v>3000000</v>
      </c>
      <c r="I910" s="181"/>
      <c r="J910" s="14"/>
      <c r="K910" s="14"/>
      <c r="L910" s="14"/>
      <c r="M910" s="14"/>
      <c r="N910" s="14"/>
      <c r="O910" s="14"/>
      <c r="P910" s="14"/>
    </row>
    <row r="911" spans="1:16">
      <c r="A911" s="29">
        <f t="shared" si="61"/>
        <v>330</v>
      </c>
      <c r="B911" s="30" t="s">
        <v>52</v>
      </c>
      <c r="C911" s="31" t="s">
        <v>53</v>
      </c>
      <c r="D911" s="31" t="s">
        <v>54</v>
      </c>
      <c r="E911" s="32">
        <v>42942</v>
      </c>
      <c r="F911" s="34">
        <v>15000000</v>
      </c>
      <c r="G911" s="34">
        <v>2500000</v>
      </c>
      <c r="H911" s="34">
        <v>2500000</v>
      </c>
      <c r="I911" s="181" t="s">
        <v>1628</v>
      </c>
      <c r="J911" s="14"/>
      <c r="K911" s="14"/>
      <c r="L911" s="14"/>
      <c r="M911" s="14"/>
      <c r="N911" s="14"/>
      <c r="O911" s="14"/>
      <c r="P911" s="14"/>
    </row>
    <row r="912" spans="1:16">
      <c r="A912" s="29">
        <f t="shared" si="61"/>
        <v>331</v>
      </c>
      <c r="B912" s="30" t="s">
        <v>883</v>
      </c>
      <c r="C912" s="31" t="s">
        <v>884</v>
      </c>
      <c r="D912" s="31" t="s">
        <v>885</v>
      </c>
      <c r="E912" s="32">
        <v>42942</v>
      </c>
      <c r="F912" s="34">
        <v>12000000</v>
      </c>
      <c r="G912" s="34">
        <v>0</v>
      </c>
      <c r="H912" s="34">
        <v>0</v>
      </c>
      <c r="I912" s="181"/>
      <c r="J912" s="14"/>
      <c r="K912" s="14"/>
      <c r="L912" s="14"/>
      <c r="M912" s="14"/>
      <c r="N912" s="14"/>
      <c r="O912" s="14"/>
      <c r="P912" s="14"/>
    </row>
    <row r="913" spans="1:16">
      <c r="A913" s="29">
        <f t="shared" si="61"/>
        <v>332</v>
      </c>
      <c r="B913" s="30" t="s">
        <v>883</v>
      </c>
      <c r="C913" s="31" t="s">
        <v>884</v>
      </c>
      <c r="D913" s="31" t="s">
        <v>885</v>
      </c>
      <c r="E913" s="32">
        <v>42947</v>
      </c>
      <c r="F913" s="34">
        <v>18000000</v>
      </c>
      <c r="G913" s="34">
        <v>10000000</v>
      </c>
      <c r="H913" s="34">
        <v>7000000</v>
      </c>
      <c r="I913" s="181"/>
      <c r="J913" s="14"/>
      <c r="K913" s="14"/>
      <c r="L913" s="14"/>
      <c r="M913" s="14"/>
      <c r="N913" s="14"/>
      <c r="O913" s="14"/>
      <c r="P913" s="14"/>
    </row>
    <row r="914" spans="1:16">
      <c r="A914" s="29">
        <f t="shared" si="61"/>
        <v>333</v>
      </c>
      <c r="B914" s="30" t="s">
        <v>998</v>
      </c>
      <c r="C914" s="183" t="s">
        <v>999</v>
      </c>
      <c r="D914" s="183" t="s">
        <v>1000</v>
      </c>
      <c r="E914" s="32">
        <v>42942</v>
      </c>
      <c r="F914" s="34">
        <v>8000000</v>
      </c>
      <c r="G914" s="34">
        <v>0</v>
      </c>
      <c r="H914" s="34">
        <v>0</v>
      </c>
      <c r="I914" s="181" t="s">
        <v>1629</v>
      </c>
      <c r="J914" s="14"/>
      <c r="K914" s="14"/>
      <c r="L914" s="14"/>
      <c r="M914" s="14"/>
      <c r="N914" s="14"/>
      <c r="O914" s="14"/>
      <c r="P914" s="14"/>
    </row>
    <row r="915" spans="1:16">
      <c r="A915" s="29">
        <f t="shared" si="61"/>
        <v>334</v>
      </c>
      <c r="B915" s="30" t="s">
        <v>668</v>
      </c>
      <c r="C915" s="183" t="s">
        <v>669</v>
      </c>
      <c r="D915" s="183" t="s">
        <v>670</v>
      </c>
      <c r="E915" s="32">
        <v>42944</v>
      </c>
      <c r="F915" s="34">
        <v>20000000</v>
      </c>
      <c r="G915" s="34">
        <v>6000000</v>
      </c>
      <c r="H915" s="34">
        <v>4000000</v>
      </c>
      <c r="I915" s="181" t="s">
        <v>1630</v>
      </c>
      <c r="J915" s="14"/>
      <c r="K915" s="14"/>
      <c r="L915" s="14"/>
      <c r="M915" s="14"/>
      <c r="N915" s="14"/>
      <c r="O915" s="14"/>
      <c r="P915" s="14"/>
    </row>
    <row r="916" spans="1:16">
      <c r="A916" s="29">
        <f t="shared" si="61"/>
        <v>335</v>
      </c>
      <c r="B916" s="30" t="s">
        <v>1085</v>
      </c>
      <c r="C916" s="183" t="s">
        <v>1086</v>
      </c>
      <c r="D916" s="183" t="s">
        <v>1087</v>
      </c>
      <c r="E916" s="32">
        <v>42944</v>
      </c>
      <c r="F916" s="34">
        <v>3000000</v>
      </c>
      <c r="G916" s="34">
        <v>2500000</v>
      </c>
      <c r="H916" s="34">
        <v>2500000</v>
      </c>
      <c r="I916" s="181" t="s">
        <v>1631</v>
      </c>
      <c r="J916" s="14"/>
      <c r="K916" s="14"/>
      <c r="L916" s="14"/>
      <c r="M916" s="14"/>
      <c r="N916" s="14"/>
      <c r="O916" s="14"/>
      <c r="P916" s="14"/>
    </row>
    <row r="917" spans="1:16">
      <c r="A917" s="29">
        <f t="shared" si="61"/>
        <v>336</v>
      </c>
      <c r="B917" s="30" t="s">
        <v>347</v>
      </c>
      <c r="C917" s="183" t="s">
        <v>348</v>
      </c>
      <c r="D917" s="183" t="s">
        <v>349</v>
      </c>
      <c r="E917" s="32">
        <v>42943</v>
      </c>
      <c r="F917" s="34">
        <v>12000000</v>
      </c>
      <c r="G917" s="34">
        <v>2500000</v>
      </c>
      <c r="H917" s="34">
        <v>2500000</v>
      </c>
      <c r="I917" s="181" t="s">
        <v>1632</v>
      </c>
      <c r="J917" s="14"/>
      <c r="K917" s="14"/>
      <c r="L917" s="14"/>
      <c r="M917" s="14"/>
      <c r="N917" s="14"/>
      <c r="O917" s="14"/>
      <c r="P917" s="14"/>
    </row>
    <row r="918" spans="1:16">
      <c r="A918" s="29">
        <f t="shared" si="61"/>
        <v>337</v>
      </c>
      <c r="B918" s="30" t="s">
        <v>347</v>
      </c>
      <c r="C918" s="183" t="s">
        <v>348</v>
      </c>
      <c r="D918" s="183" t="s">
        <v>349</v>
      </c>
      <c r="E918" s="32">
        <v>42943</v>
      </c>
      <c r="F918" s="34">
        <v>12000000</v>
      </c>
      <c r="G918" s="34">
        <v>2500000</v>
      </c>
      <c r="H918" s="34">
        <v>2500000</v>
      </c>
      <c r="I918" s="181" t="s">
        <v>1632</v>
      </c>
      <c r="J918" s="14"/>
      <c r="K918" s="14"/>
      <c r="L918" s="14"/>
      <c r="M918" s="14"/>
      <c r="N918" s="14"/>
      <c r="O918" s="14"/>
      <c r="P918" s="14"/>
    </row>
    <row r="919" spans="1:16">
      <c r="A919" s="29">
        <f t="shared" si="61"/>
        <v>338</v>
      </c>
      <c r="B919" s="30" t="s">
        <v>60</v>
      </c>
      <c r="C919" s="183" t="s">
        <v>61</v>
      </c>
      <c r="D919" s="183" t="s">
        <v>62</v>
      </c>
      <c r="E919" s="32">
        <v>42943</v>
      </c>
      <c r="F919" s="34">
        <v>7500000</v>
      </c>
      <c r="G919" s="34">
        <v>3000000</v>
      </c>
      <c r="H919" s="34">
        <v>3000000</v>
      </c>
      <c r="I919" s="181" t="s">
        <v>1633</v>
      </c>
      <c r="J919" s="14"/>
      <c r="K919" s="14"/>
      <c r="L919" s="14"/>
      <c r="M919" s="14"/>
      <c r="N919" s="14"/>
      <c r="O919" s="14"/>
      <c r="P919" s="14"/>
    </row>
    <row r="920" spans="1:16">
      <c r="A920" s="29">
        <f t="shared" si="61"/>
        <v>339</v>
      </c>
      <c r="B920" s="30" t="s">
        <v>60</v>
      </c>
      <c r="C920" s="183" t="s">
        <v>61</v>
      </c>
      <c r="D920" s="183" t="s">
        <v>62</v>
      </c>
      <c r="E920" s="32">
        <v>42943</v>
      </c>
      <c r="F920" s="34">
        <v>7500000</v>
      </c>
      <c r="G920" s="34">
        <v>3000000</v>
      </c>
      <c r="H920" s="34">
        <v>3000000</v>
      </c>
      <c r="I920" s="181" t="s">
        <v>1634</v>
      </c>
      <c r="J920" s="14"/>
      <c r="K920" s="14"/>
      <c r="L920" s="14"/>
      <c r="M920" s="14"/>
      <c r="N920" s="14"/>
      <c r="O920" s="14"/>
      <c r="P920" s="14"/>
    </row>
    <row r="921" spans="1:16">
      <c r="A921" s="29">
        <f t="shared" si="61"/>
        <v>340</v>
      </c>
      <c r="B921" s="30" t="s">
        <v>298</v>
      </c>
      <c r="C921" s="183" t="s">
        <v>299</v>
      </c>
      <c r="D921" s="183" t="s">
        <v>300</v>
      </c>
      <c r="E921" s="32">
        <v>42943</v>
      </c>
      <c r="F921" s="34">
        <v>75000000</v>
      </c>
      <c r="G921" s="34">
        <v>0</v>
      </c>
      <c r="H921" s="34">
        <v>0</v>
      </c>
      <c r="I921" s="181"/>
      <c r="J921" s="14"/>
      <c r="K921" s="14"/>
      <c r="L921" s="14"/>
      <c r="M921" s="14"/>
      <c r="N921" s="14"/>
      <c r="O921" s="14"/>
      <c r="P921" s="14"/>
    </row>
    <row r="922" spans="1:16">
      <c r="A922" s="29">
        <f t="shared" si="61"/>
        <v>341</v>
      </c>
      <c r="B922" s="30" t="s">
        <v>1133</v>
      </c>
      <c r="C922" s="183" t="s">
        <v>1134</v>
      </c>
      <c r="D922" s="183" t="s">
        <v>1135</v>
      </c>
      <c r="E922" s="32">
        <v>42943</v>
      </c>
      <c r="F922" s="34">
        <v>20000000</v>
      </c>
      <c r="G922" s="34">
        <v>2500000</v>
      </c>
      <c r="H922" s="34">
        <v>2500000</v>
      </c>
      <c r="I922" s="181" t="s">
        <v>1635</v>
      </c>
      <c r="J922" s="14"/>
      <c r="K922" s="14"/>
      <c r="L922" s="14"/>
      <c r="M922" s="14"/>
      <c r="N922" s="14"/>
      <c r="O922" s="14"/>
      <c r="P922" s="14"/>
    </row>
    <row r="923" spans="1:16">
      <c r="A923" s="29">
        <f t="shared" si="61"/>
        <v>342</v>
      </c>
      <c r="B923" s="30" t="s">
        <v>1133</v>
      </c>
      <c r="C923" s="183" t="s">
        <v>1134</v>
      </c>
      <c r="D923" s="183" t="s">
        <v>1135</v>
      </c>
      <c r="E923" s="32">
        <v>42943</v>
      </c>
      <c r="F923" s="34">
        <v>20000000</v>
      </c>
      <c r="G923" s="34">
        <v>2500000</v>
      </c>
      <c r="H923" s="34">
        <v>2500000</v>
      </c>
      <c r="I923" s="181" t="s">
        <v>1635</v>
      </c>
      <c r="J923" s="14"/>
      <c r="K923" s="14"/>
      <c r="L923" s="14"/>
      <c r="M923" s="14"/>
      <c r="N923" s="14"/>
      <c r="O923" s="14"/>
      <c r="P923" s="14"/>
    </row>
    <row r="924" spans="1:16">
      <c r="A924" s="29">
        <f t="shared" si="61"/>
        <v>343</v>
      </c>
      <c r="B924" s="30" t="s">
        <v>687</v>
      </c>
      <c r="C924" s="183" t="s">
        <v>688</v>
      </c>
      <c r="D924" s="183" t="s">
        <v>689</v>
      </c>
      <c r="E924" s="32">
        <v>42943</v>
      </c>
      <c r="F924" s="34">
        <v>5000000</v>
      </c>
      <c r="G924" s="34">
        <v>0</v>
      </c>
      <c r="H924" s="34">
        <v>0</v>
      </c>
      <c r="I924" s="181" t="s">
        <v>1636</v>
      </c>
      <c r="J924" s="14"/>
      <c r="K924" s="14"/>
      <c r="L924" s="14"/>
      <c r="M924" s="14"/>
      <c r="N924" s="14"/>
      <c r="O924" s="14"/>
      <c r="P924" s="14"/>
    </row>
    <row r="925" spans="1:16">
      <c r="A925" s="29">
        <f t="shared" si="61"/>
        <v>344</v>
      </c>
      <c r="B925" s="30" t="s">
        <v>687</v>
      </c>
      <c r="C925" s="183" t="s">
        <v>688</v>
      </c>
      <c r="D925" s="183" t="s">
        <v>689</v>
      </c>
      <c r="E925" s="32">
        <v>42943</v>
      </c>
      <c r="F925" s="34">
        <v>5000000</v>
      </c>
      <c r="G925" s="34">
        <v>0</v>
      </c>
      <c r="H925" s="34">
        <v>0</v>
      </c>
      <c r="I925" s="181" t="s">
        <v>1637</v>
      </c>
      <c r="J925" s="14"/>
      <c r="K925" s="14"/>
      <c r="L925" s="14"/>
      <c r="M925" s="14"/>
      <c r="N925" s="14"/>
      <c r="O925" s="14"/>
      <c r="P925" s="14"/>
    </row>
    <row r="926" spans="1:16">
      <c r="A926" s="29">
        <f t="shared" si="61"/>
        <v>345</v>
      </c>
      <c r="B926" s="30" t="s">
        <v>602</v>
      </c>
      <c r="C926" s="183" t="s">
        <v>603</v>
      </c>
      <c r="D926" s="31" t="s">
        <v>604</v>
      </c>
      <c r="E926" s="32">
        <v>42947</v>
      </c>
      <c r="F926" s="34">
        <v>36000000</v>
      </c>
      <c r="G926" s="34">
        <v>0</v>
      </c>
      <c r="H926" s="34">
        <v>0</v>
      </c>
      <c r="I926" s="181"/>
      <c r="J926" s="14"/>
      <c r="K926" s="14"/>
      <c r="L926" s="14"/>
      <c r="M926" s="14"/>
      <c r="N926" s="14"/>
      <c r="O926" s="14"/>
      <c r="P926" s="14"/>
    </row>
    <row r="927" spans="1:16">
      <c r="A927" s="29">
        <f t="shared" si="61"/>
        <v>346</v>
      </c>
      <c r="B927" s="30" t="s">
        <v>98</v>
      </c>
      <c r="C927" s="183" t="s">
        <v>99</v>
      </c>
      <c r="D927" s="31" t="s">
        <v>100</v>
      </c>
      <c r="E927" s="32">
        <v>42947</v>
      </c>
      <c r="F927" s="34">
        <v>30000000</v>
      </c>
      <c r="G927" s="34">
        <v>10000000</v>
      </c>
      <c r="H927" s="34">
        <v>10000000</v>
      </c>
      <c r="I927" s="181" t="s">
        <v>1638</v>
      </c>
      <c r="J927" s="14"/>
      <c r="K927" s="14"/>
      <c r="L927" s="14"/>
      <c r="M927" s="14"/>
      <c r="N927" s="14"/>
      <c r="O927" s="14"/>
      <c r="P927" s="14"/>
    </row>
    <row r="928" spans="1:16">
      <c r="A928" s="29">
        <f t="shared" si="61"/>
        <v>347</v>
      </c>
      <c r="B928" s="30" t="s">
        <v>176</v>
      </c>
      <c r="C928" s="183" t="s">
        <v>177</v>
      </c>
      <c r="D928" s="41" t="s">
        <v>178</v>
      </c>
      <c r="E928" s="32">
        <v>42949</v>
      </c>
      <c r="F928" s="34">
        <v>10000000</v>
      </c>
      <c r="G928" s="34">
        <v>2500000</v>
      </c>
      <c r="H928" s="34">
        <v>2500000</v>
      </c>
      <c r="I928" s="181" t="s">
        <v>1639</v>
      </c>
      <c r="J928" s="14"/>
      <c r="K928" s="14"/>
      <c r="L928" s="14"/>
      <c r="M928" s="14"/>
      <c r="N928" s="14"/>
      <c r="O928" s="14"/>
      <c r="P928" s="14"/>
    </row>
    <row r="929" spans="1:16">
      <c r="A929" s="29">
        <f t="shared" si="61"/>
        <v>348</v>
      </c>
      <c r="B929" s="30" t="s">
        <v>176</v>
      </c>
      <c r="C929" s="183" t="s">
        <v>177</v>
      </c>
      <c r="D929" s="41" t="s">
        <v>178</v>
      </c>
      <c r="E929" s="32">
        <v>42949</v>
      </c>
      <c r="F929" s="34">
        <v>10000000</v>
      </c>
      <c r="G929" s="34">
        <v>2500000</v>
      </c>
      <c r="H929" s="34">
        <v>2500000</v>
      </c>
      <c r="I929" s="181" t="s">
        <v>1640</v>
      </c>
      <c r="J929" s="14"/>
      <c r="K929" s="14"/>
      <c r="L929" s="14"/>
      <c r="M929" s="14"/>
      <c r="N929" s="14"/>
      <c r="O929" s="14"/>
      <c r="P929" s="14"/>
    </row>
    <row r="930" spans="1:16">
      <c r="A930" s="29">
        <f t="shared" si="61"/>
        <v>349</v>
      </c>
      <c r="B930" s="30" t="s">
        <v>1060</v>
      </c>
      <c r="C930" s="183" t="s">
        <v>1061</v>
      </c>
      <c r="D930" s="31" t="s">
        <v>1062</v>
      </c>
      <c r="E930" s="32">
        <v>42950</v>
      </c>
      <c r="F930" s="34">
        <v>2500000</v>
      </c>
      <c r="G930" s="34">
        <v>1250000</v>
      </c>
      <c r="H930" s="34">
        <v>1250000</v>
      </c>
      <c r="I930" s="181" t="s">
        <v>1641</v>
      </c>
      <c r="J930" s="14"/>
      <c r="K930" s="14"/>
      <c r="L930" s="14"/>
      <c r="M930" s="14"/>
      <c r="N930" s="14"/>
      <c r="O930" s="14"/>
      <c r="P930" s="14"/>
    </row>
    <row r="931" spans="1:16">
      <c r="A931" s="29">
        <f t="shared" si="61"/>
        <v>350</v>
      </c>
      <c r="B931" s="30" t="s">
        <v>1060</v>
      </c>
      <c r="C931" s="183" t="s">
        <v>1061</v>
      </c>
      <c r="D931" s="31" t="s">
        <v>1062</v>
      </c>
      <c r="E931" s="32">
        <v>42950</v>
      </c>
      <c r="F931" s="34">
        <v>2500000</v>
      </c>
      <c r="G931" s="34">
        <v>1250000</v>
      </c>
      <c r="H931" s="34">
        <v>1250000</v>
      </c>
      <c r="I931" s="181" t="s">
        <v>1641</v>
      </c>
      <c r="J931" s="14"/>
      <c r="K931" s="14"/>
      <c r="L931" s="14"/>
      <c r="M931" s="14"/>
      <c r="N931" s="14"/>
      <c r="O931" s="14"/>
      <c r="P931" s="14"/>
    </row>
    <row r="932" spans="1:16">
      <c r="A932" s="29">
        <f t="shared" si="61"/>
        <v>351</v>
      </c>
      <c r="B932" s="30" t="s">
        <v>1299</v>
      </c>
      <c r="C932" s="31" t="s">
        <v>1300</v>
      </c>
      <c r="D932" s="31" t="s">
        <v>1301</v>
      </c>
      <c r="E932" s="32">
        <v>42951</v>
      </c>
      <c r="F932" s="34">
        <v>4000000</v>
      </c>
      <c r="G932" s="34">
        <v>1000000</v>
      </c>
      <c r="H932" s="34">
        <v>1250000</v>
      </c>
      <c r="I932" s="181" t="s">
        <v>1642</v>
      </c>
      <c r="J932" s="14"/>
      <c r="K932" s="14"/>
      <c r="L932" s="14"/>
      <c r="M932" s="14"/>
      <c r="N932" s="14"/>
      <c r="O932" s="14"/>
      <c r="P932" s="14"/>
    </row>
    <row r="933" spans="1:16">
      <c r="A933" s="29">
        <f t="shared" si="61"/>
        <v>352</v>
      </c>
      <c r="B933" s="30" t="s">
        <v>1299</v>
      </c>
      <c r="C933" s="31" t="s">
        <v>1300</v>
      </c>
      <c r="D933" s="31" t="s">
        <v>1301</v>
      </c>
      <c r="E933" s="32">
        <v>42951</v>
      </c>
      <c r="F933" s="34">
        <v>4000000</v>
      </c>
      <c r="G933" s="34">
        <v>1000000</v>
      </c>
      <c r="H933" s="34">
        <v>1250000</v>
      </c>
      <c r="I933" s="181" t="s">
        <v>1642</v>
      </c>
      <c r="J933" s="14"/>
      <c r="K933" s="14"/>
      <c r="L933" s="14"/>
      <c r="M933" s="14"/>
      <c r="N933" s="14"/>
      <c r="O933" s="14"/>
      <c r="P933" s="14"/>
    </row>
    <row r="934" spans="1:16">
      <c r="A934" s="29">
        <f t="shared" si="61"/>
        <v>353</v>
      </c>
      <c r="B934" s="30" t="s">
        <v>1289</v>
      </c>
      <c r="C934" s="31" t="s">
        <v>1290</v>
      </c>
      <c r="D934" s="31" t="s">
        <v>1291</v>
      </c>
      <c r="E934" s="32">
        <v>42961</v>
      </c>
      <c r="F934" s="34">
        <v>15000000</v>
      </c>
      <c r="G934" s="34">
        <v>0</v>
      </c>
      <c r="H934" s="34">
        <v>0</v>
      </c>
      <c r="I934" s="181" t="s">
        <v>1643</v>
      </c>
      <c r="J934" s="14"/>
      <c r="K934" s="14"/>
      <c r="L934" s="14"/>
      <c r="M934" s="14"/>
      <c r="N934" s="14"/>
      <c r="O934" s="14"/>
      <c r="P934" s="14"/>
    </row>
    <row r="935" spans="1:16">
      <c r="A935" s="29">
        <f t="shared" si="61"/>
        <v>354</v>
      </c>
      <c r="B935" s="30" t="s">
        <v>1236</v>
      </c>
      <c r="C935" s="31" t="s">
        <v>1237</v>
      </c>
      <c r="D935" s="31" t="s">
        <v>1238</v>
      </c>
      <c r="E935" s="32">
        <v>42961</v>
      </c>
      <c r="F935" s="34">
        <v>8000000</v>
      </c>
      <c r="G935" s="34">
        <v>2000000</v>
      </c>
      <c r="H935" s="34">
        <v>2000000</v>
      </c>
      <c r="I935" s="181"/>
      <c r="J935" s="14"/>
      <c r="K935" s="14"/>
      <c r="L935" s="14"/>
      <c r="M935" s="14"/>
      <c r="N935" s="14"/>
      <c r="O935" s="14"/>
      <c r="P935" s="14"/>
    </row>
    <row r="936" spans="1:16">
      <c r="A936" s="29">
        <f t="shared" si="61"/>
        <v>355</v>
      </c>
      <c r="B936" s="30" t="s">
        <v>705</v>
      </c>
      <c r="C936" s="183" t="s">
        <v>706</v>
      </c>
      <c r="D936" s="41" t="s">
        <v>707</v>
      </c>
      <c r="E936" s="32">
        <v>42972</v>
      </c>
      <c r="F936" s="34">
        <v>10000000</v>
      </c>
      <c r="G936" s="34">
        <v>2000000</v>
      </c>
      <c r="H936" s="34">
        <v>2000000</v>
      </c>
      <c r="I936" s="181" t="s">
        <v>1644</v>
      </c>
    </row>
    <row r="937" spans="1:16">
      <c r="A937" s="29">
        <f t="shared" si="61"/>
        <v>356</v>
      </c>
      <c r="B937" s="30" t="s">
        <v>1201</v>
      </c>
      <c r="C937" s="183" t="s">
        <v>1202</v>
      </c>
      <c r="D937" s="41" t="s">
        <v>1203</v>
      </c>
      <c r="E937" s="32">
        <v>42972</v>
      </c>
      <c r="F937" s="34">
        <v>10000000</v>
      </c>
      <c r="G937" s="34">
        <v>5000000</v>
      </c>
      <c r="H937" s="34">
        <v>5000000</v>
      </c>
      <c r="I937" s="181" t="s">
        <v>1645</v>
      </c>
    </row>
    <row r="938" spans="1:16">
      <c r="A938" s="29">
        <f t="shared" si="61"/>
        <v>357</v>
      </c>
      <c r="B938" s="30" t="s">
        <v>966</v>
      </c>
      <c r="C938" s="183" t="s">
        <v>967</v>
      </c>
      <c r="D938" s="41" t="s">
        <v>967</v>
      </c>
      <c r="E938" s="32">
        <v>42977</v>
      </c>
      <c r="F938" s="34">
        <v>25000000</v>
      </c>
      <c r="G938" s="34">
        <v>0</v>
      </c>
      <c r="H938" s="34">
        <v>0</v>
      </c>
      <c r="I938" s="181"/>
    </row>
    <row r="939" spans="1:16">
      <c r="A939" s="29">
        <f t="shared" si="61"/>
        <v>358</v>
      </c>
      <c r="B939" s="30" t="s">
        <v>1223</v>
      </c>
      <c r="C939" s="183" t="s">
        <v>1220</v>
      </c>
      <c r="D939" s="41" t="s">
        <v>1224</v>
      </c>
      <c r="E939" s="32">
        <v>42975</v>
      </c>
      <c r="F939" s="34">
        <v>35000000</v>
      </c>
      <c r="G939" s="34">
        <v>7500000</v>
      </c>
      <c r="H939" s="34">
        <v>7500000</v>
      </c>
      <c r="I939" s="181" t="s">
        <v>1646</v>
      </c>
    </row>
    <row r="940" spans="1:16">
      <c r="A940" s="29">
        <f t="shared" si="61"/>
        <v>359</v>
      </c>
      <c r="B940" s="30" t="s">
        <v>461</v>
      </c>
      <c r="C940" s="183" t="s">
        <v>462</v>
      </c>
      <c r="D940" s="31" t="s">
        <v>463</v>
      </c>
      <c r="E940" s="32">
        <v>42975</v>
      </c>
      <c r="F940" s="34">
        <v>6500000</v>
      </c>
      <c r="G940" s="34">
        <v>0</v>
      </c>
      <c r="H940" s="34">
        <v>0</v>
      </c>
      <c r="I940" s="181" t="s">
        <v>1647</v>
      </c>
      <c r="J940" s="14"/>
      <c r="K940" s="14"/>
      <c r="L940" s="14"/>
      <c r="M940" s="14"/>
      <c r="N940" s="14"/>
      <c r="O940" s="14"/>
      <c r="P940" s="14"/>
    </row>
    <row r="941" spans="1:16">
      <c r="A941" s="29">
        <f t="shared" si="61"/>
        <v>360</v>
      </c>
      <c r="B941" s="30" t="s">
        <v>461</v>
      </c>
      <c r="C941" s="183" t="s">
        <v>462</v>
      </c>
      <c r="D941" s="31" t="s">
        <v>463</v>
      </c>
      <c r="E941" s="32">
        <v>42975</v>
      </c>
      <c r="F941" s="34">
        <v>6500000</v>
      </c>
      <c r="G941" s="34"/>
      <c r="H941" s="34"/>
      <c r="I941" s="181" t="s">
        <v>1648</v>
      </c>
      <c r="J941" s="14"/>
      <c r="K941" s="14"/>
      <c r="L941" s="14"/>
      <c r="M941" s="14"/>
      <c r="N941" s="14"/>
      <c r="O941" s="14"/>
      <c r="P941" s="14"/>
    </row>
    <row r="942" spans="1:16">
      <c r="A942" s="29">
        <f t="shared" si="61"/>
        <v>361</v>
      </c>
      <c r="B942" s="30" t="s">
        <v>1339</v>
      </c>
      <c r="C942" s="183" t="s">
        <v>1340</v>
      </c>
      <c r="D942" s="31" t="s">
        <v>1341</v>
      </c>
      <c r="E942" s="32">
        <v>42975</v>
      </c>
      <c r="F942" s="34">
        <v>15000000</v>
      </c>
      <c r="G942" s="34">
        <v>5000000</v>
      </c>
      <c r="H942" s="34">
        <v>5000000</v>
      </c>
      <c r="I942" s="181" t="s">
        <v>1649</v>
      </c>
      <c r="J942" s="14"/>
      <c r="K942" s="14"/>
      <c r="L942" s="14"/>
      <c r="M942" s="14"/>
      <c r="N942" s="14"/>
      <c r="O942" s="14"/>
      <c r="P942" s="14"/>
    </row>
    <row r="943" spans="1:16">
      <c r="A943" s="29">
        <f t="shared" si="61"/>
        <v>362</v>
      </c>
      <c r="B943" s="30" t="s">
        <v>1251</v>
      </c>
      <c r="C943" s="31" t="s">
        <v>1252</v>
      </c>
      <c r="D943" s="31" t="s">
        <v>1253</v>
      </c>
      <c r="E943" s="32">
        <v>42976</v>
      </c>
      <c r="F943" s="34">
        <v>7500000</v>
      </c>
      <c r="G943" s="34">
        <v>2500000</v>
      </c>
      <c r="H943" s="34">
        <v>2000000</v>
      </c>
      <c r="I943" s="181" t="s">
        <v>1650</v>
      </c>
      <c r="J943" s="14"/>
      <c r="K943" s="14"/>
      <c r="L943" s="14"/>
      <c r="M943" s="14"/>
      <c r="N943" s="14"/>
      <c r="O943" s="14"/>
      <c r="P943" s="14"/>
    </row>
    <row r="944" spans="1:16">
      <c r="A944" s="29">
        <f t="shared" si="61"/>
        <v>363</v>
      </c>
      <c r="B944" s="30" t="s">
        <v>1251</v>
      </c>
      <c r="C944" s="31" t="s">
        <v>1252</v>
      </c>
      <c r="D944" s="31" t="s">
        <v>1253</v>
      </c>
      <c r="E944" s="32">
        <v>42976</v>
      </c>
      <c r="F944" s="34">
        <v>7500000</v>
      </c>
      <c r="G944" s="34">
        <v>2500000</v>
      </c>
      <c r="H944" s="34">
        <v>2000000</v>
      </c>
      <c r="I944" s="181" t="s">
        <v>1651</v>
      </c>
      <c r="J944" s="14"/>
      <c r="K944" s="14"/>
      <c r="L944" s="14"/>
      <c r="M944" s="14"/>
      <c r="N944" s="14"/>
      <c r="O944" s="14"/>
      <c r="P944" s="14"/>
    </row>
    <row r="945" spans="1:16">
      <c r="A945" s="29">
        <f t="shared" si="61"/>
        <v>364</v>
      </c>
      <c r="B945" s="30" t="s">
        <v>786</v>
      </c>
      <c r="C945" s="31" t="s">
        <v>787</v>
      </c>
      <c r="D945" s="31" t="s">
        <v>788</v>
      </c>
      <c r="E945" s="32">
        <v>42976</v>
      </c>
      <c r="F945" s="34">
        <v>20000000</v>
      </c>
      <c r="G945" s="34">
        <v>5000000</v>
      </c>
      <c r="H945" s="34">
        <v>0</v>
      </c>
      <c r="I945" s="181" t="s">
        <v>1652</v>
      </c>
      <c r="J945" s="14"/>
      <c r="K945" s="14"/>
      <c r="L945" s="14"/>
      <c r="M945" s="14"/>
      <c r="N945" s="14"/>
      <c r="O945" s="14"/>
      <c r="P945" s="14"/>
    </row>
    <row r="946" spans="1:16">
      <c r="A946" s="29">
        <f t="shared" si="61"/>
        <v>365</v>
      </c>
      <c r="B946" s="30" t="s">
        <v>764</v>
      </c>
      <c r="C946" s="31" t="s">
        <v>765</v>
      </c>
      <c r="D946" s="31" t="s">
        <v>766</v>
      </c>
      <c r="E946" s="32">
        <v>42976</v>
      </c>
      <c r="F946" s="34">
        <v>11000000</v>
      </c>
      <c r="G946" s="34">
        <v>0</v>
      </c>
      <c r="H946" s="34">
        <v>0</v>
      </c>
      <c r="I946" s="181" t="s">
        <v>1653</v>
      </c>
      <c r="J946" s="14"/>
      <c r="K946" s="14"/>
      <c r="L946" s="14"/>
      <c r="M946" s="14"/>
      <c r="N946" s="14"/>
      <c r="O946" s="14"/>
      <c r="P946" s="14"/>
    </row>
    <row r="947" spans="1:16">
      <c r="A947" s="29">
        <f t="shared" si="61"/>
        <v>366</v>
      </c>
      <c r="B947" s="30" t="s">
        <v>936</v>
      </c>
      <c r="C947" s="31" t="s">
        <v>937</v>
      </c>
      <c r="D947" s="31" t="s">
        <v>938</v>
      </c>
      <c r="E947" s="32">
        <v>42978</v>
      </c>
      <c r="F947" s="34">
        <v>10000000</v>
      </c>
      <c r="G947" s="34">
        <v>0</v>
      </c>
      <c r="H947" s="34">
        <v>2500000</v>
      </c>
      <c r="I947" s="181" t="s">
        <v>1654</v>
      </c>
      <c r="J947" s="14"/>
      <c r="K947" s="14"/>
      <c r="L947" s="14"/>
      <c r="M947" s="14"/>
      <c r="N947" s="14"/>
      <c r="O947" s="14"/>
      <c r="P947" s="14"/>
    </row>
    <row r="948" spans="1:16">
      <c r="A948" s="29">
        <f t="shared" si="61"/>
        <v>367</v>
      </c>
      <c r="B948" s="30" t="s">
        <v>936</v>
      </c>
      <c r="C948" s="31" t="s">
        <v>937</v>
      </c>
      <c r="D948" s="31" t="s">
        <v>938</v>
      </c>
      <c r="E948" s="32">
        <v>42978</v>
      </c>
      <c r="F948" s="34">
        <v>10000000</v>
      </c>
      <c r="G948" s="34">
        <v>0</v>
      </c>
      <c r="H948" s="34">
        <v>2500000</v>
      </c>
      <c r="I948" s="181" t="s">
        <v>1655</v>
      </c>
      <c r="J948" s="14"/>
      <c r="K948" s="14"/>
      <c r="L948" s="14"/>
      <c r="M948" s="14"/>
      <c r="N948" s="14"/>
      <c r="O948" s="14"/>
      <c r="P948" s="14"/>
    </row>
    <row r="949" spans="1:16">
      <c r="A949" s="29">
        <f t="shared" si="61"/>
        <v>368</v>
      </c>
      <c r="B949" s="30" t="s">
        <v>1078</v>
      </c>
      <c r="C949" s="183" t="s">
        <v>1079</v>
      </c>
      <c r="D949" s="41" t="s">
        <v>1080</v>
      </c>
      <c r="E949" s="32">
        <v>42983</v>
      </c>
      <c r="F949" s="34">
        <v>5000000</v>
      </c>
      <c r="G949" s="34">
        <v>3500000</v>
      </c>
      <c r="H949" s="34">
        <v>0</v>
      </c>
      <c r="I949" s="181" t="s">
        <v>1656</v>
      </c>
      <c r="J949" s="14"/>
      <c r="K949" s="14"/>
      <c r="L949" s="14"/>
      <c r="M949" s="14"/>
      <c r="N949" s="14"/>
      <c r="O949" s="14"/>
      <c r="P949" s="14"/>
    </row>
    <row r="950" spans="1:16">
      <c r="A950" s="29">
        <f t="shared" si="61"/>
        <v>369</v>
      </c>
      <c r="B950" s="30" t="s">
        <v>1197</v>
      </c>
      <c r="C950" s="183" t="s">
        <v>1198</v>
      </c>
      <c r="D950" s="41" t="s">
        <v>1199</v>
      </c>
      <c r="E950" s="32">
        <v>42984</v>
      </c>
      <c r="F950" s="34">
        <v>8000000</v>
      </c>
      <c r="G950" s="34">
        <v>1000000</v>
      </c>
      <c r="H950" s="34">
        <v>1000000</v>
      </c>
      <c r="I950" s="181" t="s">
        <v>1657</v>
      </c>
      <c r="J950" s="14"/>
      <c r="K950" s="14"/>
      <c r="L950" s="14"/>
      <c r="M950" s="14"/>
      <c r="N950" s="14"/>
      <c r="O950" s="14"/>
      <c r="P950" s="14"/>
    </row>
    <row r="951" spans="1:16">
      <c r="A951" s="29">
        <f t="shared" si="61"/>
        <v>370</v>
      </c>
      <c r="B951" s="30" t="s">
        <v>1197</v>
      </c>
      <c r="C951" s="183" t="s">
        <v>1198</v>
      </c>
      <c r="D951" s="41" t="s">
        <v>1199</v>
      </c>
      <c r="E951" s="32">
        <v>42984</v>
      </c>
      <c r="F951" s="34">
        <v>8000000</v>
      </c>
      <c r="G951" s="34">
        <v>1000000</v>
      </c>
      <c r="H951" s="34">
        <v>1000000</v>
      </c>
      <c r="I951" s="181" t="s">
        <v>1658</v>
      </c>
      <c r="J951" s="14"/>
      <c r="K951" s="14"/>
      <c r="L951" s="14"/>
      <c r="M951" s="14"/>
      <c r="N951" s="14"/>
      <c r="O951" s="14"/>
      <c r="P951" s="14"/>
    </row>
    <row r="952" spans="1:16">
      <c r="A952" s="29">
        <f t="shared" si="61"/>
        <v>371</v>
      </c>
      <c r="B952" s="30" t="s">
        <v>533</v>
      </c>
      <c r="C952" s="183" t="s">
        <v>534</v>
      </c>
      <c r="D952" s="31" t="s">
        <v>535</v>
      </c>
      <c r="E952" s="32">
        <v>42983</v>
      </c>
      <c r="F952" s="34">
        <v>10000000</v>
      </c>
      <c r="G952" s="34">
        <v>5000000</v>
      </c>
      <c r="H952" s="34">
        <v>5000000</v>
      </c>
      <c r="I952" s="181" t="s">
        <v>1659</v>
      </c>
      <c r="J952" s="14"/>
      <c r="K952" s="14"/>
      <c r="L952" s="14"/>
      <c r="M952" s="14"/>
      <c r="N952" s="14"/>
      <c r="O952" s="14"/>
      <c r="P952" s="14"/>
    </row>
    <row r="953" spans="1:16">
      <c r="A953" s="29">
        <f t="shared" si="61"/>
        <v>372</v>
      </c>
      <c r="B953" s="30" t="s">
        <v>477</v>
      </c>
      <c r="C953" s="183" t="s">
        <v>478</v>
      </c>
      <c r="D953" s="31" t="s">
        <v>484</v>
      </c>
      <c r="E953" s="32">
        <v>42986</v>
      </c>
      <c r="F953" s="34">
        <v>15000000</v>
      </c>
      <c r="G953" s="34">
        <v>0</v>
      </c>
      <c r="H953" s="34">
        <v>0</v>
      </c>
      <c r="I953" s="181" t="s">
        <v>1660</v>
      </c>
      <c r="J953" s="14"/>
      <c r="K953" s="14"/>
      <c r="L953" s="14"/>
      <c r="M953" s="14"/>
      <c r="N953" s="14"/>
      <c r="O953" s="14"/>
      <c r="P953" s="14"/>
    </row>
    <row r="954" spans="1:16">
      <c r="A954" s="29">
        <f t="shared" si="61"/>
        <v>373</v>
      </c>
      <c r="B954" s="30" t="s">
        <v>1661</v>
      </c>
      <c r="C954" s="31" t="s">
        <v>34</v>
      </c>
      <c r="D954" s="31" t="s">
        <v>35</v>
      </c>
      <c r="E954" s="32">
        <v>42982</v>
      </c>
      <c r="F954" s="34">
        <v>10000000</v>
      </c>
      <c r="G954" s="34">
        <v>0</v>
      </c>
      <c r="H954" s="34">
        <v>0</v>
      </c>
      <c r="I954" s="181" t="s">
        <v>1531</v>
      </c>
      <c r="J954" s="14"/>
      <c r="K954" s="14"/>
      <c r="L954" s="14"/>
      <c r="M954" s="14"/>
      <c r="N954" s="14"/>
      <c r="O954" s="14"/>
      <c r="P954" s="14"/>
    </row>
    <row r="955" spans="1:16">
      <c r="A955" s="29">
        <f t="shared" si="61"/>
        <v>374</v>
      </c>
      <c r="B955" s="30" t="s">
        <v>860</v>
      </c>
      <c r="C955" s="31" t="s">
        <v>861</v>
      </c>
      <c r="D955" s="31" t="s">
        <v>862</v>
      </c>
      <c r="E955" s="32">
        <v>42982</v>
      </c>
      <c r="F955" s="34">
        <v>5000000</v>
      </c>
      <c r="G955" s="34">
        <v>750000</v>
      </c>
      <c r="H955" s="34">
        <v>750000</v>
      </c>
      <c r="I955" s="181" t="s">
        <v>1662</v>
      </c>
      <c r="J955" s="14"/>
      <c r="K955" s="14"/>
      <c r="L955" s="14"/>
      <c r="M955" s="14"/>
      <c r="N955" s="14"/>
      <c r="O955" s="14"/>
      <c r="P955" s="14"/>
    </row>
    <row r="956" spans="1:16">
      <c r="A956" s="29">
        <f t="shared" si="61"/>
        <v>375</v>
      </c>
      <c r="B956" s="30" t="s">
        <v>860</v>
      </c>
      <c r="C956" s="31" t="s">
        <v>861</v>
      </c>
      <c r="D956" s="31" t="s">
        <v>862</v>
      </c>
      <c r="E956" s="32">
        <v>42982</v>
      </c>
      <c r="F956" s="34">
        <v>5000000</v>
      </c>
      <c r="G956" s="34">
        <v>750000</v>
      </c>
      <c r="H956" s="34">
        <v>750000</v>
      </c>
      <c r="I956" s="181" t="s">
        <v>1663</v>
      </c>
      <c r="J956" s="14"/>
      <c r="K956" s="14"/>
      <c r="L956" s="14"/>
      <c r="M956" s="14"/>
      <c r="N956" s="14"/>
      <c r="O956" s="14"/>
      <c r="P956" s="14"/>
    </row>
    <row r="957" spans="1:16">
      <c r="A957" s="29">
        <f t="shared" si="61"/>
        <v>376</v>
      </c>
      <c r="B957" s="30" t="s">
        <v>106</v>
      </c>
      <c r="C957" s="31" t="s">
        <v>107</v>
      </c>
      <c r="D957" s="31" t="s">
        <v>108</v>
      </c>
      <c r="E957" s="32">
        <v>42982</v>
      </c>
      <c r="F957" s="34">
        <v>10000000</v>
      </c>
      <c r="G957" s="34">
        <v>3500000</v>
      </c>
      <c r="H957" s="34">
        <v>3500000</v>
      </c>
      <c r="I957" s="181" t="s">
        <v>1664</v>
      </c>
      <c r="J957" s="14"/>
      <c r="K957" s="14"/>
      <c r="L957" s="14"/>
      <c r="M957" s="14"/>
      <c r="N957" s="14"/>
      <c r="O957" s="14"/>
      <c r="P957" s="14"/>
    </row>
    <row r="958" spans="1:16">
      <c r="A958" s="29">
        <f t="shared" si="61"/>
        <v>377</v>
      </c>
      <c r="B958" s="30" t="s">
        <v>106</v>
      </c>
      <c r="C958" s="31" t="s">
        <v>107</v>
      </c>
      <c r="D958" s="31" t="s">
        <v>108</v>
      </c>
      <c r="E958" s="32">
        <v>42982</v>
      </c>
      <c r="F958" s="34">
        <v>10000000</v>
      </c>
      <c r="G958" s="34">
        <v>3500000</v>
      </c>
      <c r="H958" s="34">
        <v>3500000</v>
      </c>
      <c r="I958" s="181" t="s">
        <v>1665</v>
      </c>
      <c r="J958" s="14"/>
      <c r="K958" s="14"/>
      <c r="L958" s="14"/>
      <c r="M958" s="14"/>
      <c r="N958" s="14"/>
      <c r="O958" s="14"/>
      <c r="P958" s="14"/>
    </row>
    <row r="959" spans="1:16">
      <c r="A959" s="29">
        <f t="shared" si="61"/>
        <v>378</v>
      </c>
      <c r="B959" s="30" t="s">
        <v>315</v>
      </c>
      <c r="C959" s="31" t="s">
        <v>316</v>
      </c>
      <c r="D959" s="31" t="s">
        <v>317</v>
      </c>
      <c r="E959" s="32">
        <v>42982</v>
      </c>
      <c r="F959" s="34">
        <v>10000000</v>
      </c>
      <c r="G959" s="34">
        <v>3500000</v>
      </c>
      <c r="H959" s="34">
        <v>3500000</v>
      </c>
      <c r="I959" s="181" t="s">
        <v>1666</v>
      </c>
      <c r="J959" s="14"/>
      <c r="K959" s="14"/>
      <c r="L959" s="14"/>
      <c r="M959" s="14"/>
      <c r="N959" s="14"/>
      <c r="O959" s="14"/>
      <c r="P959" s="14"/>
    </row>
    <row r="960" spans="1:16">
      <c r="A960" s="29">
        <f t="shared" si="61"/>
        <v>379</v>
      </c>
      <c r="B960" s="30" t="s">
        <v>315</v>
      </c>
      <c r="C960" s="31" t="s">
        <v>316</v>
      </c>
      <c r="D960" s="31" t="s">
        <v>317</v>
      </c>
      <c r="E960" s="32">
        <v>42982</v>
      </c>
      <c r="F960" s="34">
        <v>10000000</v>
      </c>
      <c r="G960" s="34">
        <v>3500000</v>
      </c>
      <c r="H960" s="34">
        <v>3500000</v>
      </c>
      <c r="I960" s="181" t="s">
        <v>1667</v>
      </c>
      <c r="J960" s="14"/>
      <c r="K960" s="14"/>
      <c r="L960" s="14"/>
      <c r="M960" s="14"/>
      <c r="N960" s="14"/>
      <c r="O960" s="14"/>
      <c r="P960" s="14"/>
    </row>
    <row r="961" spans="1:16">
      <c r="A961" s="29">
        <f t="shared" si="61"/>
        <v>380</v>
      </c>
      <c r="B961" s="30" t="s">
        <v>990</v>
      </c>
      <c r="C961" s="183" t="s">
        <v>991</v>
      </c>
      <c r="D961" s="31" t="s">
        <v>992</v>
      </c>
      <c r="E961" s="32">
        <v>42985</v>
      </c>
      <c r="F961" s="34">
        <v>20000000</v>
      </c>
      <c r="G961" s="34">
        <v>0</v>
      </c>
      <c r="H961" s="34">
        <v>0</v>
      </c>
      <c r="I961" s="181" t="s">
        <v>1668</v>
      </c>
      <c r="J961" s="14"/>
      <c r="K961" s="14"/>
      <c r="L961" s="14"/>
      <c r="M961" s="14"/>
      <c r="N961" s="14"/>
      <c r="O961" s="14"/>
      <c r="P961" s="14"/>
    </row>
    <row r="962" spans="1:16">
      <c r="A962" s="29">
        <f t="shared" si="61"/>
        <v>381</v>
      </c>
      <c r="B962" s="30" t="s">
        <v>694</v>
      </c>
      <c r="C962" s="183" t="s">
        <v>695</v>
      </c>
      <c r="D962" s="31" t="s">
        <v>696</v>
      </c>
      <c r="E962" s="32">
        <v>42985</v>
      </c>
      <c r="F962" s="34">
        <v>5000000</v>
      </c>
      <c r="G962" s="34">
        <v>2500000</v>
      </c>
      <c r="H962" s="34">
        <v>5000000</v>
      </c>
      <c r="I962" s="181" t="s">
        <v>1669</v>
      </c>
      <c r="J962" s="14"/>
      <c r="K962" s="14"/>
      <c r="L962" s="14"/>
      <c r="M962" s="14"/>
      <c r="N962" s="14"/>
      <c r="O962" s="14"/>
      <c r="P962" s="14"/>
    </row>
    <row r="963" spans="1:16">
      <c r="A963" s="29">
        <f t="shared" si="61"/>
        <v>382</v>
      </c>
      <c r="B963" s="30" t="s">
        <v>694</v>
      </c>
      <c r="C963" s="183" t="s">
        <v>695</v>
      </c>
      <c r="D963" s="31" t="s">
        <v>696</v>
      </c>
      <c r="E963" s="32">
        <v>42985</v>
      </c>
      <c r="F963" s="34">
        <v>5000000</v>
      </c>
      <c r="G963" s="34">
        <v>2500000</v>
      </c>
      <c r="H963" s="34">
        <v>5000000</v>
      </c>
      <c r="I963" s="181" t="s">
        <v>1669</v>
      </c>
      <c r="J963" s="14"/>
      <c r="K963" s="14"/>
      <c r="L963" s="14"/>
      <c r="M963" s="14"/>
      <c r="N963" s="14"/>
      <c r="O963" s="14"/>
      <c r="P963" s="14"/>
    </row>
    <row r="964" spans="1:16">
      <c r="A964" s="29">
        <f t="shared" si="61"/>
        <v>383</v>
      </c>
      <c r="B964" s="30" t="s">
        <v>591</v>
      </c>
      <c r="C964" s="183" t="s">
        <v>592</v>
      </c>
      <c r="D964" s="31" t="s">
        <v>593</v>
      </c>
      <c r="E964" s="32">
        <v>42990</v>
      </c>
      <c r="F964" s="34">
        <v>6000000</v>
      </c>
      <c r="G964" s="34">
        <v>3000000</v>
      </c>
      <c r="H964" s="34">
        <v>3000000</v>
      </c>
      <c r="I964" s="181" t="s">
        <v>1670</v>
      </c>
      <c r="J964" s="14"/>
      <c r="K964" s="14"/>
      <c r="L964" s="14"/>
      <c r="M964" s="14"/>
      <c r="N964" s="14"/>
      <c r="O964" s="14"/>
      <c r="P964" s="14"/>
    </row>
    <row r="965" spans="1:16">
      <c r="A965" s="29">
        <f t="shared" si="61"/>
        <v>384</v>
      </c>
      <c r="B965" s="30" t="s">
        <v>591</v>
      </c>
      <c r="C965" s="183" t="s">
        <v>592</v>
      </c>
      <c r="D965" s="31" t="s">
        <v>593</v>
      </c>
      <c r="E965" s="32">
        <v>42990</v>
      </c>
      <c r="F965" s="34">
        <v>6000000</v>
      </c>
      <c r="G965" s="34">
        <v>3000000</v>
      </c>
      <c r="H965" s="34">
        <v>3000000</v>
      </c>
      <c r="I965" s="181" t="s">
        <v>1671</v>
      </c>
      <c r="J965" s="14"/>
      <c r="K965" s="14"/>
      <c r="L965" s="14"/>
      <c r="M965" s="14"/>
      <c r="N965" s="14"/>
      <c r="O965" s="14"/>
      <c r="P965" s="14"/>
    </row>
    <row r="966" spans="1:16">
      <c r="A966" s="29">
        <f t="shared" si="61"/>
        <v>385</v>
      </c>
      <c r="B966" s="30" t="s">
        <v>1122</v>
      </c>
      <c r="C966" s="183" t="s">
        <v>1123</v>
      </c>
      <c r="D966" s="183" t="s">
        <v>1124</v>
      </c>
      <c r="E966" s="32">
        <v>42992</v>
      </c>
      <c r="F966" s="34">
        <v>10000000</v>
      </c>
      <c r="G966" s="34">
        <v>3000000</v>
      </c>
      <c r="H966" s="34">
        <v>3000000</v>
      </c>
      <c r="I966" s="181" t="s">
        <v>1672</v>
      </c>
      <c r="J966" s="14"/>
      <c r="K966" s="14"/>
      <c r="L966" s="14"/>
      <c r="M966" s="14"/>
      <c r="N966" s="14"/>
      <c r="O966" s="14"/>
      <c r="P966" s="14"/>
    </row>
    <row r="967" spans="1:16">
      <c r="A967" s="29">
        <f t="shared" si="61"/>
        <v>386</v>
      </c>
      <c r="B967" s="30" t="s">
        <v>137</v>
      </c>
      <c r="C967" s="183" t="s">
        <v>138</v>
      </c>
      <c r="D967" s="183" t="s">
        <v>139</v>
      </c>
      <c r="E967" s="32">
        <v>42992</v>
      </c>
      <c r="F967" s="34">
        <v>16000000</v>
      </c>
      <c r="G967" s="34">
        <v>5000000</v>
      </c>
      <c r="H967" s="34">
        <v>4000000</v>
      </c>
      <c r="I967" s="181" t="s">
        <v>1673</v>
      </c>
      <c r="J967" s="14"/>
      <c r="K967" s="14"/>
      <c r="L967" s="14"/>
      <c r="M967" s="14"/>
      <c r="N967" s="14"/>
      <c r="O967" s="14"/>
      <c r="P967" s="14"/>
    </row>
    <row r="968" spans="1:16">
      <c r="A968" s="29">
        <f t="shared" ref="A968:A1031" si="62">+A967+1</f>
        <v>387</v>
      </c>
      <c r="B968" s="30" t="s">
        <v>613</v>
      </c>
      <c r="C968" s="183" t="s">
        <v>614</v>
      </c>
      <c r="D968" s="183" t="s">
        <v>615</v>
      </c>
      <c r="E968" s="32">
        <v>42993</v>
      </c>
      <c r="F968" s="34">
        <v>12500000</v>
      </c>
      <c r="G968" s="34">
        <v>1500000</v>
      </c>
      <c r="H968" s="34">
        <v>1000000</v>
      </c>
      <c r="I968" s="181" t="s">
        <v>1674</v>
      </c>
      <c r="J968" s="14"/>
      <c r="K968" s="14"/>
      <c r="L968" s="14"/>
      <c r="M968" s="14"/>
      <c r="N968" s="14"/>
      <c r="O968" s="14"/>
      <c r="P968" s="14"/>
    </row>
    <row r="969" spans="1:16">
      <c r="A969" s="29">
        <f t="shared" si="62"/>
        <v>388</v>
      </c>
      <c r="B969" s="30" t="s">
        <v>613</v>
      </c>
      <c r="C969" s="183" t="s">
        <v>614</v>
      </c>
      <c r="D969" s="183" t="s">
        <v>615</v>
      </c>
      <c r="E969" s="32">
        <v>42993</v>
      </c>
      <c r="F969" s="34">
        <v>12500000</v>
      </c>
      <c r="G969" s="34">
        <v>1500000</v>
      </c>
      <c r="H969" s="34">
        <v>1000000</v>
      </c>
      <c r="I969" s="181" t="s">
        <v>1674</v>
      </c>
      <c r="J969" s="14"/>
      <c r="K969" s="14"/>
      <c r="L969" s="14"/>
      <c r="M969" s="14"/>
      <c r="N969" s="14"/>
      <c r="O969" s="14"/>
      <c r="P969" s="14"/>
    </row>
    <row r="970" spans="1:16">
      <c r="A970" s="29">
        <f t="shared" si="62"/>
        <v>389</v>
      </c>
      <c r="B970" s="30" t="s">
        <v>1024</v>
      </c>
      <c r="C970" s="183" t="s">
        <v>1675</v>
      </c>
      <c r="D970" s="41" t="s">
        <v>1676</v>
      </c>
      <c r="E970" s="32">
        <v>42997</v>
      </c>
      <c r="F970" s="34">
        <v>15000000</v>
      </c>
      <c r="G970" s="34">
        <v>0</v>
      </c>
      <c r="H970" s="34">
        <v>0</v>
      </c>
      <c r="I970" s="181" t="s">
        <v>1677</v>
      </c>
    </row>
    <row r="971" spans="1:16">
      <c r="A971" s="29">
        <f t="shared" si="62"/>
        <v>390</v>
      </c>
      <c r="B971" s="30" t="s">
        <v>979</v>
      </c>
      <c r="C971" s="183" t="s">
        <v>980</v>
      </c>
      <c r="D971" s="41" t="s">
        <v>981</v>
      </c>
      <c r="E971" s="32">
        <v>43003</v>
      </c>
      <c r="F971" s="34">
        <v>3750000</v>
      </c>
      <c r="G971" s="34">
        <v>0</v>
      </c>
      <c r="H971" s="34">
        <v>1250000</v>
      </c>
      <c r="I971" s="181" t="s">
        <v>1678</v>
      </c>
    </row>
    <row r="972" spans="1:16">
      <c r="A972" s="29">
        <f t="shared" si="62"/>
        <v>391</v>
      </c>
      <c r="B972" s="30" t="s">
        <v>979</v>
      </c>
      <c r="C972" s="183" t="s">
        <v>980</v>
      </c>
      <c r="D972" s="41" t="s">
        <v>981</v>
      </c>
      <c r="E972" s="32">
        <v>43003</v>
      </c>
      <c r="F972" s="34">
        <v>3750000</v>
      </c>
      <c r="G972" s="34">
        <v>0</v>
      </c>
      <c r="H972" s="34">
        <v>1250000</v>
      </c>
      <c r="I972" s="181" t="s">
        <v>1679</v>
      </c>
    </row>
    <row r="973" spans="1:16">
      <c r="A973" s="29">
        <f t="shared" si="62"/>
        <v>392</v>
      </c>
      <c r="B973" s="30" t="s">
        <v>319</v>
      </c>
      <c r="C973" s="183" t="s">
        <v>320</v>
      </c>
      <c r="D973" s="41" t="s">
        <v>321</v>
      </c>
      <c r="E973" s="32">
        <v>43003</v>
      </c>
      <c r="F973" s="34">
        <v>15000000</v>
      </c>
      <c r="G973" s="34">
        <v>0</v>
      </c>
      <c r="H973" s="34">
        <v>0</v>
      </c>
      <c r="I973" s="181" t="s">
        <v>1680</v>
      </c>
    </row>
    <row r="974" spans="1:16">
      <c r="A974" s="29">
        <f t="shared" si="62"/>
        <v>393</v>
      </c>
      <c r="B974" s="30" t="s">
        <v>1264</v>
      </c>
      <c r="C974" s="183" t="s">
        <v>1265</v>
      </c>
      <c r="D974" s="31" t="s">
        <v>1266</v>
      </c>
      <c r="E974" s="32">
        <v>43003</v>
      </c>
      <c r="F974" s="34">
        <v>7500000</v>
      </c>
      <c r="G974" s="34">
        <v>0</v>
      </c>
      <c r="H974" s="34">
        <v>2500000</v>
      </c>
      <c r="I974" s="181" t="s">
        <v>1681</v>
      </c>
    </row>
    <row r="975" spans="1:16">
      <c r="A975" s="29">
        <f t="shared" si="62"/>
        <v>394</v>
      </c>
      <c r="B975" s="30" t="s">
        <v>1264</v>
      </c>
      <c r="C975" s="183" t="s">
        <v>1265</v>
      </c>
      <c r="D975" s="31" t="s">
        <v>1266</v>
      </c>
      <c r="E975" s="32">
        <v>43003</v>
      </c>
      <c r="F975" s="34">
        <v>7500000</v>
      </c>
      <c r="G975" s="34">
        <v>0</v>
      </c>
      <c r="H975" s="34">
        <v>2500000</v>
      </c>
      <c r="I975" s="181" t="s">
        <v>1682</v>
      </c>
    </row>
    <row r="976" spans="1:16">
      <c r="A976" s="29">
        <f t="shared" si="62"/>
        <v>395</v>
      </c>
      <c r="B976" s="30" t="s">
        <v>512</v>
      </c>
      <c r="C976" s="31" t="s">
        <v>513</v>
      </c>
      <c r="D976" s="31" t="s">
        <v>514</v>
      </c>
      <c r="E976" s="32">
        <v>43004</v>
      </c>
      <c r="F976" s="34">
        <v>10000000</v>
      </c>
      <c r="G976" s="34">
        <v>0</v>
      </c>
      <c r="H976" s="34">
        <v>10000000</v>
      </c>
      <c r="I976" s="181" t="s">
        <v>1683</v>
      </c>
    </row>
    <row r="977" spans="1:16">
      <c r="A977" s="29">
        <f t="shared" si="62"/>
        <v>396</v>
      </c>
      <c r="B977" s="30" t="s">
        <v>474</v>
      </c>
      <c r="C977" s="31" t="s">
        <v>475</v>
      </c>
      <c r="D977" s="31" t="s">
        <v>476</v>
      </c>
      <c r="E977" s="32">
        <v>43006</v>
      </c>
      <c r="F977" s="34">
        <v>22000000</v>
      </c>
      <c r="G977" s="34">
        <v>0</v>
      </c>
      <c r="H977" s="34">
        <v>0</v>
      </c>
      <c r="I977" s="181" t="s">
        <v>1684</v>
      </c>
      <c r="J977" s="14"/>
      <c r="K977" s="14"/>
      <c r="L977" s="14"/>
      <c r="M977" s="14"/>
      <c r="N977" s="14"/>
      <c r="O977" s="14"/>
      <c r="P977" s="14"/>
    </row>
    <row r="978" spans="1:16">
      <c r="A978" s="29">
        <f t="shared" si="62"/>
        <v>397</v>
      </c>
      <c r="B978" s="30" t="s">
        <v>916</v>
      </c>
      <c r="C978" s="31" t="s">
        <v>917</v>
      </c>
      <c r="D978" s="31" t="s">
        <v>918</v>
      </c>
      <c r="E978" s="32">
        <v>42982</v>
      </c>
      <c r="F978" s="34">
        <v>11000000</v>
      </c>
      <c r="G978" s="34">
        <v>3000000</v>
      </c>
      <c r="H978" s="34">
        <v>3000000</v>
      </c>
      <c r="I978" s="181"/>
      <c r="J978" s="14"/>
      <c r="K978" s="14"/>
      <c r="L978" s="14"/>
      <c r="M978" s="14"/>
      <c r="N978" s="14"/>
      <c r="O978" s="14"/>
      <c r="P978" s="14"/>
    </row>
    <row r="979" spans="1:16">
      <c r="A979" s="29">
        <f t="shared" si="62"/>
        <v>398</v>
      </c>
      <c r="B979" s="30" t="s">
        <v>855</v>
      </c>
      <c r="C979" s="183" t="s">
        <v>856</v>
      </c>
      <c r="D979" s="41" t="s">
        <v>857</v>
      </c>
      <c r="E979" s="32">
        <v>43011</v>
      </c>
      <c r="F979" s="34">
        <v>30000000</v>
      </c>
      <c r="G979" s="34">
        <v>5000000</v>
      </c>
      <c r="H979" s="34">
        <v>7000000</v>
      </c>
      <c r="I979" s="181" t="s">
        <v>1685</v>
      </c>
    </row>
    <row r="980" spans="1:16">
      <c r="A980" s="29">
        <f t="shared" si="62"/>
        <v>399</v>
      </c>
      <c r="B980" s="30" t="s">
        <v>445</v>
      </c>
      <c r="C980" s="183" t="s">
        <v>446</v>
      </c>
      <c r="D980" s="41" t="s">
        <v>447</v>
      </c>
      <c r="E980" s="32">
        <v>43013</v>
      </c>
      <c r="F980" s="34">
        <v>37500000</v>
      </c>
      <c r="G980" s="34">
        <v>3750000</v>
      </c>
      <c r="H980" s="34">
        <v>3750000</v>
      </c>
      <c r="I980" s="181"/>
    </row>
    <row r="981" spans="1:16">
      <c r="A981" s="29">
        <f t="shared" si="62"/>
        <v>400</v>
      </c>
      <c r="B981" s="30" t="s">
        <v>445</v>
      </c>
      <c r="C981" s="183" t="s">
        <v>446</v>
      </c>
      <c r="D981" s="41" t="s">
        <v>447</v>
      </c>
      <c r="E981" s="32">
        <v>43013</v>
      </c>
      <c r="F981" s="34">
        <v>37500000</v>
      </c>
      <c r="G981" s="34">
        <v>3750000</v>
      </c>
      <c r="H981" s="34">
        <v>3750000</v>
      </c>
      <c r="I981" s="181"/>
    </row>
    <row r="982" spans="1:16">
      <c r="A982" s="29">
        <f t="shared" si="62"/>
        <v>401</v>
      </c>
      <c r="B982" s="30" t="s">
        <v>672</v>
      </c>
      <c r="C982" s="183" t="s">
        <v>673</v>
      </c>
      <c r="D982" s="41" t="s">
        <v>674</v>
      </c>
      <c r="E982" s="32">
        <v>43013</v>
      </c>
      <c r="F982" s="34">
        <v>15000000</v>
      </c>
      <c r="G982" s="34">
        <v>2000000</v>
      </c>
      <c r="H982" s="34">
        <v>0</v>
      </c>
      <c r="I982" s="181" t="s">
        <v>1686</v>
      </c>
    </row>
    <row r="983" spans="1:16">
      <c r="A983" s="29">
        <f t="shared" si="62"/>
        <v>402</v>
      </c>
      <c r="B983" s="30" t="s">
        <v>874</v>
      </c>
      <c r="C983" s="183" t="s">
        <v>875</v>
      </c>
      <c r="D983" s="41" t="s">
        <v>876</v>
      </c>
      <c r="E983" s="32">
        <v>43017</v>
      </c>
      <c r="F983" s="34">
        <v>7500000</v>
      </c>
      <c r="G983" s="34">
        <v>7500000</v>
      </c>
      <c r="H983" s="34">
        <v>0</v>
      </c>
      <c r="I983" s="181"/>
    </row>
    <row r="984" spans="1:16">
      <c r="A984" s="29">
        <f t="shared" si="62"/>
        <v>403</v>
      </c>
      <c r="B984" s="30" t="s">
        <v>1129</v>
      </c>
      <c r="C984" s="183" t="s">
        <v>1130</v>
      </c>
      <c r="D984" s="31" t="s">
        <v>1131</v>
      </c>
      <c r="E984" s="32">
        <v>43017</v>
      </c>
      <c r="F984" s="34">
        <v>7500000</v>
      </c>
      <c r="G984" s="34">
        <v>4000000</v>
      </c>
      <c r="H984" s="34">
        <v>2800000</v>
      </c>
      <c r="I984" s="181" t="s">
        <v>1687</v>
      </c>
    </row>
    <row r="985" spans="1:16">
      <c r="A985" s="29">
        <f t="shared" si="62"/>
        <v>404</v>
      </c>
      <c r="B985" s="30" t="s">
        <v>1165</v>
      </c>
      <c r="C985" s="183" t="s">
        <v>1166</v>
      </c>
      <c r="D985" s="31" t="s">
        <v>1167</v>
      </c>
      <c r="E985" s="32">
        <v>43018</v>
      </c>
      <c r="F985" s="34">
        <v>20000000</v>
      </c>
      <c r="G985" s="34">
        <v>0</v>
      </c>
      <c r="H985" s="34">
        <v>0</v>
      </c>
      <c r="I985" s="181" t="s">
        <v>1688</v>
      </c>
    </row>
    <row r="986" spans="1:16">
      <c r="A986" s="29">
        <f t="shared" si="62"/>
        <v>405</v>
      </c>
      <c r="B986" s="30" t="s">
        <v>1273</v>
      </c>
      <c r="C986" s="31" t="s">
        <v>1274</v>
      </c>
      <c r="D986" s="31" t="s">
        <v>1275</v>
      </c>
      <c r="E986" s="32">
        <v>43018</v>
      </c>
      <c r="F986" s="34">
        <v>15000000</v>
      </c>
      <c r="G986" s="34">
        <v>0</v>
      </c>
      <c r="H986" s="34">
        <v>0</v>
      </c>
      <c r="I986" s="181" t="s">
        <v>1689</v>
      </c>
    </row>
    <row r="987" spans="1:16">
      <c r="A987" s="29">
        <f t="shared" si="62"/>
        <v>406</v>
      </c>
      <c r="B987" s="30" t="s">
        <v>1005</v>
      </c>
      <c r="C987" s="31" t="s">
        <v>1006</v>
      </c>
      <c r="D987" s="31" t="s">
        <v>1007</v>
      </c>
      <c r="E987" s="32">
        <v>43018</v>
      </c>
      <c r="F987" s="34">
        <v>11000000</v>
      </c>
      <c r="G987" s="34">
        <v>0</v>
      </c>
      <c r="H987" s="34">
        <v>0</v>
      </c>
      <c r="I987" s="181"/>
    </row>
    <row r="988" spans="1:16">
      <c r="A988" s="29">
        <f t="shared" si="62"/>
        <v>407</v>
      </c>
      <c r="B988" s="30" t="s">
        <v>905</v>
      </c>
      <c r="C988" s="31" t="s">
        <v>906</v>
      </c>
      <c r="D988" s="31" t="s">
        <v>907</v>
      </c>
      <c r="E988" s="32">
        <v>43018</v>
      </c>
      <c r="F988" s="34">
        <v>15000000</v>
      </c>
      <c r="G988" s="34">
        <v>2000000</v>
      </c>
      <c r="H988" s="34">
        <v>2000000</v>
      </c>
      <c r="I988" s="181" t="s">
        <v>1690</v>
      </c>
    </row>
    <row r="989" spans="1:16">
      <c r="A989" s="29">
        <f t="shared" si="62"/>
        <v>408</v>
      </c>
      <c r="B989" s="30" t="s">
        <v>994</v>
      </c>
      <c r="C989" s="31" t="s">
        <v>995</v>
      </c>
      <c r="D989" s="31" t="s">
        <v>996</v>
      </c>
      <c r="E989" s="32">
        <v>43020</v>
      </c>
      <c r="F989" s="34">
        <v>5500000</v>
      </c>
      <c r="G989" s="34">
        <v>0</v>
      </c>
      <c r="H989" s="34">
        <v>0</v>
      </c>
      <c r="I989" s="181" t="s">
        <v>1691</v>
      </c>
    </row>
    <row r="990" spans="1:16">
      <c r="A990" s="29">
        <f t="shared" si="62"/>
        <v>409</v>
      </c>
      <c r="B990" s="30" t="s">
        <v>994</v>
      </c>
      <c r="C990" s="31" t="s">
        <v>995</v>
      </c>
      <c r="D990" s="31" t="s">
        <v>996</v>
      </c>
      <c r="E990" s="32">
        <v>43020</v>
      </c>
      <c r="F990" s="34">
        <v>5500000</v>
      </c>
      <c r="G990" s="34">
        <v>0</v>
      </c>
      <c r="H990" s="34">
        <v>0</v>
      </c>
      <c r="I990" s="181" t="s">
        <v>1692</v>
      </c>
    </row>
    <row r="991" spans="1:16">
      <c r="A991" s="29">
        <f t="shared" si="62"/>
        <v>410</v>
      </c>
      <c r="B991" s="30" t="s">
        <v>114</v>
      </c>
      <c r="C991" s="183" t="s">
        <v>115</v>
      </c>
      <c r="D991" s="31" t="s">
        <v>116</v>
      </c>
      <c r="E991" s="32">
        <v>43019</v>
      </c>
      <c r="F991" s="34">
        <v>7000000</v>
      </c>
      <c r="G991" s="34">
        <v>500000</v>
      </c>
      <c r="H991" s="34">
        <v>0</v>
      </c>
      <c r="I991" s="181" t="s">
        <v>1693</v>
      </c>
    </row>
    <row r="992" spans="1:16">
      <c r="A992" s="29">
        <f t="shared" si="62"/>
        <v>411</v>
      </c>
      <c r="B992" s="30" t="s">
        <v>114</v>
      </c>
      <c r="C992" s="183" t="s">
        <v>115</v>
      </c>
      <c r="D992" s="31" t="s">
        <v>116</v>
      </c>
      <c r="E992" s="32">
        <v>43019</v>
      </c>
      <c r="F992" s="34">
        <v>7000000</v>
      </c>
      <c r="G992" s="34">
        <v>500000</v>
      </c>
      <c r="H992" s="34">
        <v>0</v>
      </c>
      <c r="I992" s="181" t="s">
        <v>1694</v>
      </c>
    </row>
    <row r="993" spans="1:16">
      <c r="A993" s="29">
        <f t="shared" si="62"/>
        <v>412</v>
      </c>
      <c r="B993" s="30" t="s">
        <v>1035</v>
      </c>
      <c r="C993" s="183" t="s">
        <v>1036</v>
      </c>
      <c r="D993" s="31" t="s">
        <v>1037</v>
      </c>
      <c r="E993" s="32">
        <v>43021</v>
      </c>
      <c r="F993" s="34">
        <v>5000000</v>
      </c>
      <c r="G993" s="34">
        <v>2500000</v>
      </c>
      <c r="H993" s="34">
        <v>2500000</v>
      </c>
      <c r="I993" s="181"/>
      <c r="J993" s="14"/>
      <c r="K993" s="14"/>
      <c r="L993" s="14"/>
      <c r="M993" s="14"/>
      <c r="N993" s="14"/>
      <c r="O993" s="14"/>
      <c r="P993" s="14"/>
    </row>
    <row r="994" spans="1:16">
      <c r="A994" s="29">
        <f t="shared" si="62"/>
        <v>413</v>
      </c>
      <c r="B994" s="30" t="s">
        <v>529</v>
      </c>
      <c r="C994" s="183" t="s">
        <v>530</v>
      </c>
      <c r="D994" s="41" t="s">
        <v>531</v>
      </c>
      <c r="E994" s="32">
        <v>43033</v>
      </c>
      <c r="F994" s="34">
        <v>7500000</v>
      </c>
      <c r="G994" s="34">
        <v>5000000</v>
      </c>
      <c r="H994" s="34">
        <v>2500000</v>
      </c>
      <c r="I994" s="181" t="s">
        <v>1695</v>
      </c>
      <c r="J994" s="14"/>
      <c r="K994" s="14"/>
      <c r="L994" s="14"/>
      <c r="M994" s="14"/>
      <c r="N994" s="14"/>
      <c r="O994" s="14"/>
      <c r="P994" s="14"/>
    </row>
    <row r="995" spans="1:16">
      <c r="A995" s="29">
        <f t="shared" si="62"/>
        <v>414</v>
      </c>
      <c r="B995" s="30" t="s">
        <v>383</v>
      </c>
      <c r="C995" s="183" t="s">
        <v>384</v>
      </c>
      <c r="D995" s="41" t="s">
        <v>385</v>
      </c>
      <c r="E995" s="32">
        <v>43033</v>
      </c>
      <c r="F995" s="34">
        <v>17500000</v>
      </c>
      <c r="G995" s="34">
        <v>1250000</v>
      </c>
      <c r="H995" s="34">
        <v>1250000</v>
      </c>
      <c r="I995" s="181" t="s">
        <v>1696</v>
      </c>
      <c r="J995" s="14"/>
      <c r="K995" s="14"/>
      <c r="L995" s="14"/>
      <c r="M995" s="14"/>
      <c r="N995" s="14"/>
      <c r="O995" s="14"/>
      <c r="P995" s="14"/>
    </row>
    <row r="996" spans="1:16">
      <c r="A996" s="29">
        <f t="shared" si="62"/>
        <v>415</v>
      </c>
      <c r="B996" s="30" t="s">
        <v>383</v>
      </c>
      <c r="C996" s="183" t="s">
        <v>384</v>
      </c>
      <c r="D996" s="41" t="s">
        <v>385</v>
      </c>
      <c r="E996" s="32">
        <v>43033</v>
      </c>
      <c r="F996" s="34">
        <v>17500000</v>
      </c>
      <c r="G996" s="34">
        <v>1250000</v>
      </c>
      <c r="H996" s="34">
        <v>1250000</v>
      </c>
      <c r="I996" s="181" t="s">
        <v>1697</v>
      </c>
      <c r="J996" s="14"/>
      <c r="K996" s="14"/>
      <c r="L996" s="14"/>
      <c r="M996" s="14"/>
      <c r="N996" s="14"/>
      <c r="O996" s="14"/>
      <c r="P996" s="14"/>
    </row>
    <row r="997" spans="1:16">
      <c r="A997" s="29">
        <f t="shared" si="62"/>
        <v>416</v>
      </c>
      <c r="B997" s="30" t="s">
        <v>1303</v>
      </c>
      <c r="C997" s="183" t="s">
        <v>1304</v>
      </c>
      <c r="D997" s="41" t="s">
        <v>1305</v>
      </c>
      <c r="E997" s="32">
        <v>43033</v>
      </c>
      <c r="F997" s="34">
        <v>33000000</v>
      </c>
      <c r="G997" s="34">
        <v>0</v>
      </c>
      <c r="H997" s="34">
        <v>0</v>
      </c>
      <c r="I997" s="181" t="s">
        <v>1698</v>
      </c>
      <c r="J997" s="14"/>
      <c r="K997" s="14"/>
      <c r="L997" s="14"/>
      <c r="M997" s="14"/>
      <c r="N997" s="14"/>
      <c r="O997" s="14"/>
      <c r="P997" s="14"/>
    </row>
    <row r="998" spans="1:16">
      <c r="A998" s="29">
        <f t="shared" si="62"/>
        <v>417</v>
      </c>
      <c r="B998" s="30" t="s">
        <v>1386</v>
      </c>
      <c r="C998" s="183" t="s">
        <v>1387</v>
      </c>
      <c r="D998" s="41" t="s">
        <v>1699</v>
      </c>
      <c r="E998" s="32">
        <v>43040</v>
      </c>
      <c r="F998" s="34">
        <v>5000000</v>
      </c>
      <c r="G998" s="34">
        <v>2500000</v>
      </c>
      <c r="H998" s="34">
        <v>2500000</v>
      </c>
      <c r="I998" s="181" t="s">
        <v>1700</v>
      </c>
    </row>
    <row r="999" spans="1:16">
      <c r="A999" s="29">
        <f t="shared" si="62"/>
        <v>418</v>
      </c>
      <c r="B999" s="30" t="s">
        <v>643</v>
      </c>
      <c r="C999" s="183" t="s">
        <v>644</v>
      </c>
      <c r="D999" s="41" t="s">
        <v>645</v>
      </c>
      <c r="E999" s="32">
        <v>43040</v>
      </c>
      <c r="F999" s="34">
        <v>15000000</v>
      </c>
      <c r="G999" s="34">
        <v>5000000</v>
      </c>
      <c r="H999" s="34">
        <v>0</v>
      </c>
      <c r="I999" s="181" t="s">
        <v>1701</v>
      </c>
    </row>
    <row r="1000" spans="1:16">
      <c r="A1000" s="29">
        <f t="shared" si="62"/>
        <v>419</v>
      </c>
      <c r="B1000" s="30" t="s">
        <v>208</v>
      </c>
      <c r="C1000" s="183" t="s">
        <v>209</v>
      </c>
      <c r="D1000" s="41" t="s">
        <v>210</v>
      </c>
      <c r="E1000" s="32">
        <v>43041</v>
      </c>
      <c r="F1000" s="34">
        <v>15000000</v>
      </c>
      <c r="G1000" s="34">
        <v>0</v>
      </c>
      <c r="H1000" s="34">
        <v>0</v>
      </c>
      <c r="I1000" s="181" t="s">
        <v>1702</v>
      </c>
    </row>
    <row r="1001" spans="1:16">
      <c r="A1001" s="29">
        <f t="shared" si="62"/>
        <v>420</v>
      </c>
      <c r="B1001" s="30" t="s">
        <v>1125</v>
      </c>
      <c r="C1001" s="183" t="s">
        <v>1126</v>
      </c>
      <c r="D1001" s="41" t="s">
        <v>1127</v>
      </c>
      <c r="E1001" s="32">
        <v>43042</v>
      </c>
      <c r="F1001" s="34">
        <v>5000000</v>
      </c>
      <c r="G1001" s="34">
        <v>2000000</v>
      </c>
      <c r="H1001" s="34">
        <v>3000000</v>
      </c>
      <c r="I1001" s="181" t="s">
        <v>1703</v>
      </c>
    </row>
    <row r="1002" spans="1:16">
      <c r="A1002" s="29">
        <f t="shared" si="62"/>
        <v>421</v>
      </c>
      <c r="B1002" s="30" t="s">
        <v>235</v>
      </c>
      <c r="C1002" s="183" t="s">
        <v>236</v>
      </c>
      <c r="D1002" s="41" t="s">
        <v>237</v>
      </c>
      <c r="E1002" s="32">
        <v>43042</v>
      </c>
      <c r="F1002" s="34">
        <v>5000000</v>
      </c>
      <c r="G1002" s="34">
        <v>0</v>
      </c>
      <c r="H1002" s="34">
        <v>0</v>
      </c>
      <c r="I1002" s="181" t="s">
        <v>1704</v>
      </c>
    </row>
    <row r="1003" spans="1:16">
      <c r="A1003" s="29">
        <f t="shared" si="62"/>
        <v>422</v>
      </c>
      <c r="B1003" s="30" t="s">
        <v>235</v>
      </c>
      <c r="C1003" s="183" t="s">
        <v>236</v>
      </c>
      <c r="D1003" s="41" t="s">
        <v>237</v>
      </c>
      <c r="E1003" s="32">
        <v>43042</v>
      </c>
      <c r="F1003" s="34">
        <v>5000000</v>
      </c>
      <c r="G1003" s="34">
        <v>0</v>
      </c>
      <c r="H1003" s="34">
        <v>0</v>
      </c>
      <c r="I1003" s="181" t="s">
        <v>1705</v>
      </c>
      <c r="J1003" s="14"/>
      <c r="K1003" s="14"/>
      <c r="L1003" s="14"/>
      <c r="M1003" s="14"/>
      <c r="N1003" s="14"/>
      <c r="O1003" s="14"/>
      <c r="P1003" s="14"/>
    </row>
    <row r="1004" spans="1:16">
      <c r="A1004" s="29">
        <f t="shared" si="62"/>
        <v>423</v>
      </c>
      <c r="B1004" s="30" t="s">
        <v>561</v>
      </c>
      <c r="C1004" s="183" t="s">
        <v>562</v>
      </c>
      <c r="D1004" s="31" t="s">
        <v>563</v>
      </c>
      <c r="E1004" s="32">
        <v>43045</v>
      </c>
      <c r="F1004" s="34">
        <v>12000000</v>
      </c>
      <c r="G1004" s="34">
        <v>0</v>
      </c>
      <c r="H1004" s="34">
        <v>0</v>
      </c>
      <c r="I1004" s="181"/>
      <c r="J1004" s="14"/>
      <c r="K1004" s="14"/>
      <c r="L1004" s="14"/>
      <c r="M1004" s="14"/>
      <c r="N1004" s="14"/>
      <c r="O1004" s="14"/>
      <c r="P1004" s="14"/>
    </row>
    <row r="1005" spans="1:16">
      <c r="A1005" s="29">
        <f t="shared" si="62"/>
        <v>424</v>
      </c>
      <c r="B1005" s="30" t="s">
        <v>925</v>
      </c>
      <c r="C1005" s="183" t="s">
        <v>926</v>
      </c>
      <c r="D1005" s="183" t="s">
        <v>927</v>
      </c>
      <c r="E1005" s="32">
        <v>43047</v>
      </c>
      <c r="F1005" s="34">
        <v>15000000</v>
      </c>
      <c r="G1005" s="34">
        <v>0</v>
      </c>
      <c r="H1005" s="34">
        <v>0</v>
      </c>
      <c r="I1005" s="181"/>
      <c r="J1005" s="14"/>
      <c r="K1005" s="14"/>
      <c r="L1005" s="14"/>
      <c r="M1005" s="14"/>
      <c r="N1005" s="14"/>
      <c r="O1005" s="14"/>
      <c r="P1005" s="14"/>
    </row>
    <row r="1006" spans="1:16">
      <c r="A1006" s="29">
        <f t="shared" si="62"/>
        <v>425</v>
      </c>
      <c r="B1006" s="30" t="s">
        <v>804</v>
      </c>
      <c r="C1006" s="183" t="s">
        <v>805</v>
      </c>
      <c r="D1006" s="41" t="s">
        <v>806</v>
      </c>
      <c r="E1006" s="32">
        <v>43066</v>
      </c>
      <c r="F1006" s="34">
        <v>12500000</v>
      </c>
      <c r="G1006" s="34">
        <v>0</v>
      </c>
      <c r="H1006" s="34">
        <v>0</v>
      </c>
      <c r="I1006" s="181" t="s">
        <v>1706</v>
      </c>
      <c r="J1006" s="14"/>
      <c r="K1006" s="14"/>
      <c r="L1006" s="14"/>
      <c r="M1006" s="14"/>
      <c r="N1006" s="14"/>
      <c r="O1006" s="14"/>
      <c r="P1006" s="14"/>
    </row>
    <row r="1007" spans="1:16">
      <c r="A1007" s="29">
        <f t="shared" si="62"/>
        <v>426</v>
      </c>
      <c r="B1007" s="30" t="s">
        <v>804</v>
      </c>
      <c r="C1007" s="183" t="s">
        <v>805</v>
      </c>
      <c r="D1007" s="41" t="s">
        <v>806</v>
      </c>
      <c r="E1007" s="32">
        <v>43066</v>
      </c>
      <c r="F1007" s="34">
        <v>12500000</v>
      </c>
      <c r="G1007" s="34">
        <v>0</v>
      </c>
      <c r="H1007" s="34">
        <v>0</v>
      </c>
      <c r="I1007" s="181" t="s">
        <v>1707</v>
      </c>
      <c r="J1007" s="14"/>
      <c r="K1007" s="14"/>
      <c r="L1007" s="14"/>
      <c r="M1007" s="14"/>
      <c r="N1007" s="14"/>
      <c r="O1007" s="14"/>
      <c r="P1007" s="14"/>
    </row>
    <row r="1008" spans="1:16">
      <c r="A1008" s="29">
        <f t="shared" si="62"/>
        <v>427</v>
      </c>
      <c r="B1008" s="30" t="s">
        <v>575</v>
      </c>
      <c r="C1008" s="183" t="s">
        <v>576</v>
      </c>
      <c r="D1008" s="41" t="s">
        <v>577</v>
      </c>
      <c r="E1008" s="32">
        <v>43063</v>
      </c>
      <c r="F1008" s="34">
        <v>0</v>
      </c>
      <c r="G1008" s="34">
        <v>2500000</v>
      </c>
      <c r="H1008" s="34">
        <v>2500000</v>
      </c>
      <c r="I1008" s="181" t="s">
        <v>1708</v>
      </c>
      <c r="J1008" s="14"/>
      <c r="K1008" s="14"/>
      <c r="L1008" s="14"/>
      <c r="M1008" s="14"/>
      <c r="N1008" s="14"/>
      <c r="O1008" s="14"/>
      <c r="P1008" s="14"/>
    </row>
    <row r="1009" spans="1:16">
      <c r="A1009" s="29">
        <f t="shared" si="62"/>
        <v>428</v>
      </c>
      <c r="B1009" s="30" t="s">
        <v>575</v>
      </c>
      <c r="C1009" s="183" t="s">
        <v>576</v>
      </c>
      <c r="D1009" s="41" t="s">
        <v>577</v>
      </c>
      <c r="E1009" s="32">
        <v>43063</v>
      </c>
      <c r="F1009" s="34">
        <v>0</v>
      </c>
      <c r="G1009" s="34">
        <v>2500000</v>
      </c>
      <c r="H1009" s="34">
        <v>2500000</v>
      </c>
      <c r="I1009" s="181" t="s">
        <v>1709</v>
      </c>
      <c r="J1009" s="14"/>
      <c r="K1009" s="14"/>
      <c r="L1009" s="14"/>
      <c r="M1009" s="14"/>
      <c r="N1009" s="14"/>
      <c r="O1009" s="14"/>
      <c r="P1009" s="14"/>
    </row>
    <row r="1010" spans="1:16">
      <c r="A1010" s="29">
        <f t="shared" si="62"/>
        <v>429</v>
      </c>
      <c r="B1010" s="30" t="s">
        <v>962</v>
      </c>
      <c r="C1010" s="183" t="s">
        <v>963</v>
      </c>
      <c r="D1010" s="183" t="s">
        <v>964</v>
      </c>
      <c r="E1010" s="32">
        <v>43063</v>
      </c>
      <c r="F1010" s="34">
        <v>4000000</v>
      </c>
      <c r="G1010" s="34">
        <v>0</v>
      </c>
      <c r="H1010" s="34">
        <v>0</v>
      </c>
      <c r="I1010" s="181" t="s">
        <v>1710</v>
      </c>
      <c r="J1010" s="14"/>
      <c r="K1010" s="14"/>
      <c r="L1010" s="14"/>
      <c r="M1010" s="14"/>
      <c r="N1010" s="14"/>
      <c r="O1010" s="14"/>
      <c r="P1010" s="14"/>
    </row>
    <row r="1011" spans="1:16">
      <c r="A1011" s="29">
        <f t="shared" si="62"/>
        <v>430</v>
      </c>
      <c r="B1011" s="30" t="s">
        <v>962</v>
      </c>
      <c r="C1011" s="183" t="s">
        <v>963</v>
      </c>
      <c r="D1011" s="183" t="s">
        <v>964</v>
      </c>
      <c r="E1011" s="32">
        <v>43063</v>
      </c>
      <c r="F1011" s="34">
        <v>4000000</v>
      </c>
      <c r="G1011" s="34">
        <v>0</v>
      </c>
      <c r="H1011" s="34">
        <v>0</v>
      </c>
      <c r="I1011" s="181" t="s">
        <v>1711</v>
      </c>
      <c r="J1011" s="14"/>
      <c r="K1011" s="14"/>
      <c r="L1011" s="14"/>
      <c r="M1011" s="14"/>
      <c r="N1011" s="14"/>
      <c r="O1011" s="14"/>
      <c r="P1011" s="14"/>
    </row>
    <row r="1012" spans="1:16">
      <c r="A1012" s="29">
        <f t="shared" si="62"/>
        <v>431</v>
      </c>
      <c r="B1012" s="30" t="s">
        <v>1114</v>
      </c>
      <c r="C1012" s="183" t="s">
        <v>1115</v>
      </c>
      <c r="D1012" s="183" t="s">
        <v>1116</v>
      </c>
      <c r="E1012" s="32">
        <v>43068</v>
      </c>
      <c r="F1012" s="34">
        <v>60000000</v>
      </c>
      <c r="G1012" s="34">
        <v>7000000</v>
      </c>
      <c r="H1012" s="34">
        <v>7000000</v>
      </c>
      <c r="I1012" s="181"/>
      <c r="J1012" s="14"/>
      <c r="K1012" s="14"/>
      <c r="L1012" s="14"/>
      <c r="M1012" s="14"/>
      <c r="N1012" s="14"/>
      <c r="O1012" s="14"/>
      <c r="P1012" s="14"/>
    </row>
    <row r="1013" spans="1:16">
      <c r="A1013" s="29">
        <f t="shared" si="62"/>
        <v>432</v>
      </c>
      <c r="B1013" s="30" t="s">
        <v>1002</v>
      </c>
      <c r="C1013" s="183" t="s">
        <v>1003</v>
      </c>
      <c r="D1013" s="183" t="s">
        <v>1004</v>
      </c>
      <c r="E1013" s="32">
        <v>43088</v>
      </c>
      <c r="F1013" s="42">
        <v>20000000</v>
      </c>
      <c r="G1013" s="34">
        <v>0</v>
      </c>
      <c r="H1013" s="42">
        <v>0</v>
      </c>
      <c r="I1013" s="181" t="s">
        <v>1712</v>
      </c>
    </row>
    <row r="1014" spans="1:16">
      <c r="A1014" s="29">
        <f t="shared" si="62"/>
        <v>433</v>
      </c>
      <c r="B1014" s="30" t="s">
        <v>1002</v>
      </c>
      <c r="C1014" s="183" t="s">
        <v>1003</v>
      </c>
      <c r="D1014" s="183" t="s">
        <v>1004</v>
      </c>
      <c r="E1014" s="32">
        <v>43088</v>
      </c>
      <c r="F1014" s="42">
        <v>20000000</v>
      </c>
      <c r="G1014" s="34">
        <v>0</v>
      </c>
      <c r="H1014" s="42">
        <v>0</v>
      </c>
      <c r="I1014" s="181" t="s">
        <v>1713</v>
      </c>
    </row>
    <row r="1015" spans="1:16">
      <c r="A1015" s="29">
        <f t="shared" si="62"/>
        <v>434</v>
      </c>
      <c r="B1015" s="30" t="s">
        <v>26</v>
      </c>
      <c r="C1015" s="183" t="s">
        <v>27</v>
      </c>
      <c r="D1015" s="183" t="s">
        <v>31</v>
      </c>
      <c r="E1015" s="32">
        <v>43084</v>
      </c>
      <c r="F1015" s="42">
        <v>0</v>
      </c>
      <c r="G1015" s="34">
        <v>0</v>
      </c>
      <c r="H1015" s="42">
        <v>2500000</v>
      </c>
      <c r="I1015" s="181" t="s">
        <v>1714</v>
      </c>
      <c r="J1015" s="14"/>
      <c r="K1015" s="14"/>
      <c r="L1015" s="14"/>
      <c r="M1015" s="14"/>
      <c r="N1015" s="14"/>
      <c r="O1015" s="14"/>
      <c r="P1015" s="14"/>
    </row>
    <row r="1016" spans="1:16">
      <c r="A1016" s="29">
        <f t="shared" si="62"/>
        <v>435</v>
      </c>
      <c r="B1016" s="30" t="s">
        <v>1466</v>
      </c>
      <c r="C1016" s="183" t="s">
        <v>1032</v>
      </c>
      <c r="D1016" s="183" t="s">
        <v>1033</v>
      </c>
      <c r="E1016" s="32">
        <v>43073</v>
      </c>
      <c r="F1016" s="42">
        <v>17500000</v>
      </c>
      <c r="G1016" s="34">
        <v>0</v>
      </c>
      <c r="H1016" s="42">
        <v>2500000</v>
      </c>
      <c r="I1016" s="181" t="s">
        <v>1715</v>
      </c>
      <c r="J1016" s="14"/>
      <c r="K1016" s="14"/>
      <c r="L1016" s="14"/>
      <c r="M1016" s="14"/>
      <c r="N1016" s="14"/>
      <c r="O1016" s="14"/>
      <c r="P1016" s="14"/>
    </row>
    <row r="1017" spans="1:16">
      <c r="A1017" s="29">
        <f t="shared" si="62"/>
        <v>436</v>
      </c>
      <c r="B1017" s="30" t="s">
        <v>1466</v>
      </c>
      <c r="C1017" s="183" t="s">
        <v>1032</v>
      </c>
      <c r="D1017" s="183" t="s">
        <v>1033</v>
      </c>
      <c r="E1017" s="32">
        <v>43073</v>
      </c>
      <c r="F1017" s="42">
        <v>17500000</v>
      </c>
      <c r="G1017" s="34">
        <v>0</v>
      </c>
      <c r="H1017" s="42">
        <v>2500000</v>
      </c>
      <c r="I1017" s="181" t="s">
        <v>1715</v>
      </c>
      <c r="J1017" s="14"/>
      <c r="K1017" s="14"/>
      <c r="L1017" s="14"/>
      <c r="M1017" s="14"/>
      <c r="N1017" s="14"/>
      <c r="O1017" s="14"/>
      <c r="P1017" s="14"/>
    </row>
    <row r="1018" spans="1:16">
      <c r="A1018" s="29">
        <f t="shared" si="62"/>
        <v>437</v>
      </c>
      <c r="B1018" s="30" t="s">
        <v>617</v>
      </c>
      <c r="C1018" s="183" t="s">
        <v>618</v>
      </c>
      <c r="D1018" s="183" t="s">
        <v>619</v>
      </c>
      <c r="E1018" s="32">
        <v>43089</v>
      </c>
      <c r="F1018" s="34">
        <v>11000000</v>
      </c>
      <c r="G1018" s="34">
        <v>0</v>
      </c>
      <c r="H1018" s="34">
        <v>0</v>
      </c>
      <c r="I1018" s="181"/>
      <c r="J1018" s="14"/>
      <c r="K1018" s="14"/>
      <c r="L1018" s="14"/>
      <c r="M1018" s="14"/>
      <c r="N1018" s="14"/>
      <c r="O1018" s="14"/>
      <c r="P1018" s="14"/>
    </row>
    <row r="1019" spans="1:16">
      <c r="A1019" s="29">
        <f t="shared" si="62"/>
        <v>438</v>
      </c>
      <c r="B1019" s="30" t="s">
        <v>701</v>
      </c>
      <c r="C1019" s="183" t="s">
        <v>702</v>
      </c>
      <c r="D1019" s="183" t="s">
        <v>703</v>
      </c>
      <c r="E1019" s="32">
        <v>43089</v>
      </c>
      <c r="F1019" s="34">
        <v>15000000</v>
      </c>
      <c r="G1019" s="34">
        <v>0</v>
      </c>
      <c r="H1019" s="34">
        <v>0</v>
      </c>
      <c r="I1019" s="181"/>
      <c r="J1019" s="14"/>
      <c r="K1019" s="14"/>
      <c r="L1019" s="14"/>
      <c r="M1019" s="14"/>
      <c r="N1019" s="14"/>
      <c r="O1019" s="14"/>
      <c r="P1019" s="14"/>
    </row>
    <row r="1020" spans="1:16">
      <c r="A1020" s="29">
        <f t="shared" si="62"/>
        <v>439</v>
      </c>
      <c r="B1020" s="30" t="s">
        <v>774</v>
      </c>
      <c r="C1020" s="183" t="s">
        <v>775</v>
      </c>
      <c r="D1020" s="183" t="s">
        <v>776</v>
      </c>
      <c r="E1020" s="32">
        <v>43087</v>
      </c>
      <c r="F1020" s="42">
        <v>12500000</v>
      </c>
      <c r="G1020" s="42">
        <v>3000000</v>
      </c>
      <c r="H1020" s="42">
        <v>3500000</v>
      </c>
      <c r="I1020" s="181" t="s">
        <v>1716</v>
      </c>
      <c r="J1020" s="14"/>
      <c r="K1020" s="14"/>
      <c r="L1020" s="14"/>
      <c r="M1020" s="14"/>
      <c r="N1020" s="14"/>
      <c r="O1020" s="14"/>
      <c r="P1020" s="14"/>
    </row>
    <row r="1021" spans="1:16">
      <c r="A1021" s="29">
        <f t="shared" si="62"/>
        <v>440</v>
      </c>
      <c r="B1021" s="30" t="s">
        <v>774</v>
      </c>
      <c r="C1021" s="183" t="s">
        <v>775</v>
      </c>
      <c r="D1021" s="183" t="s">
        <v>776</v>
      </c>
      <c r="E1021" s="32">
        <v>43087</v>
      </c>
      <c r="F1021" s="42">
        <v>12500000</v>
      </c>
      <c r="G1021" s="42">
        <v>3000000</v>
      </c>
      <c r="H1021" s="42">
        <v>3500000</v>
      </c>
      <c r="I1021" s="181" t="s">
        <v>1717</v>
      </c>
      <c r="J1021" s="14"/>
      <c r="K1021" s="14"/>
      <c r="L1021" s="14"/>
      <c r="M1021" s="14"/>
      <c r="N1021" s="14"/>
      <c r="O1021" s="14"/>
      <c r="P1021" s="14"/>
    </row>
    <row r="1022" spans="1:16">
      <c r="A1022" s="29">
        <f t="shared" si="62"/>
        <v>441</v>
      </c>
      <c r="B1022" s="30" t="s">
        <v>771</v>
      </c>
      <c r="C1022" s="183" t="s">
        <v>772</v>
      </c>
      <c r="D1022" s="183" t="s">
        <v>773</v>
      </c>
      <c r="E1022" s="32">
        <v>43087</v>
      </c>
      <c r="F1022" s="34">
        <v>30000000</v>
      </c>
      <c r="G1022" s="34">
        <v>10000000</v>
      </c>
      <c r="H1022" s="34">
        <v>10000000</v>
      </c>
      <c r="I1022" s="181" t="s">
        <v>1718</v>
      </c>
      <c r="J1022" s="14"/>
      <c r="K1022" s="14"/>
      <c r="L1022" s="14"/>
      <c r="M1022" s="14"/>
      <c r="N1022" s="14"/>
      <c r="O1022" s="14"/>
      <c r="P1022" s="14"/>
    </row>
    <row r="1023" spans="1:16">
      <c r="A1023" s="29">
        <f t="shared" si="62"/>
        <v>442</v>
      </c>
      <c r="B1023" s="30" t="s">
        <v>565</v>
      </c>
      <c r="C1023" s="183" t="s">
        <v>566</v>
      </c>
      <c r="D1023" s="183" t="s">
        <v>567</v>
      </c>
      <c r="E1023" s="32">
        <v>43084</v>
      </c>
      <c r="F1023" s="34">
        <v>7500000</v>
      </c>
      <c r="G1023" s="34">
        <v>0</v>
      </c>
      <c r="H1023" s="42">
        <v>0</v>
      </c>
      <c r="I1023" s="181" t="s">
        <v>1719</v>
      </c>
      <c r="J1023" s="14"/>
      <c r="K1023" s="14"/>
      <c r="L1023" s="14"/>
      <c r="M1023" s="14"/>
      <c r="N1023" s="14"/>
      <c r="O1023" s="14"/>
      <c r="P1023" s="14"/>
    </row>
    <row r="1024" spans="1:16">
      <c r="A1024" s="29">
        <f t="shared" si="62"/>
        <v>443</v>
      </c>
      <c r="B1024" s="30" t="s">
        <v>565</v>
      </c>
      <c r="C1024" s="183" t="s">
        <v>566</v>
      </c>
      <c r="D1024" s="183" t="s">
        <v>567</v>
      </c>
      <c r="E1024" s="32">
        <v>43084</v>
      </c>
      <c r="F1024" s="34">
        <v>7500000</v>
      </c>
      <c r="G1024" s="34">
        <v>0</v>
      </c>
      <c r="H1024" s="42">
        <v>0</v>
      </c>
      <c r="I1024" s="181" t="s">
        <v>1720</v>
      </c>
      <c r="J1024" s="14"/>
      <c r="K1024" s="14"/>
      <c r="L1024" s="14"/>
      <c r="M1024" s="14"/>
      <c r="N1024" s="14"/>
      <c r="O1024" s="14"/>
      <c r="P1024" s="14"/>
    </row>
    <row r="1025" spans="1:16">
      <c r="A1025" s="29">
        <f t="shared" si="62"/>
        <v>444</v>
      </c>
      <c r="B1025" s="30" t="s">
        <v>1248</v>
      </c>
      <c r="C1025" s="183" t="s">
        <v>1249</v>
      </c>
      <c r="D1025" s="183" t="s">
        <v>1250</v>
      </c>
      <c r="E1025" s="32">
        <v>43098</v>
      </c>
      <c r="F1025" s="34">
        <v>40000000</v>
      </c>
      <c r="G1025" s="34">
        <v>4000000</v>
      </c>
      <c r="H1025" s="42">
        <v>7000000</v>
      </c>
      <c r="I1025" s="181" t="s">
        <v>1721</v>
      </c>
      <c r="J1025" s="14"/>
      <c r="K1025" s="14"/>
      <c r="L1025" s="14"/>
      <c r="M1025" s="14"/>
      <c r="N1025" s="14"/>
      <c r="O1025" s="14"/>
      <c r="P1025" s="14"/>
    </row>
    <row r="1026" spans="1:16">
      <c r="A1026" s="29">
        <f t="shared" si="62"/>
        <v>445</v>
      </c>
      <c r="B1026" s="30" t="s">
        <v>1325</v>
      </c>
      <c r="C1026" s="183" t="s">
        <v>1326</v>
      </c>
      <c r="D1026" s="183" t="s">
        <v>1327</v>
      </c>
      <c r="E1026" s="32">
        <v>43098</v>
      </c>
      <c r="F1026" s="34">
        <v>9000000</v>
      </c>
      <c r="G1026" s="34">
        <v>0</v>
      </c>
      <c r="H1026" s="34">
        <v>0</v>
      </c>
      <c r="I1026" s="181"/>
      <c r="J1026" s="14"/>
      <c r="K1026" s="14"/>
      <c r="L1026" s="14"/>
      <c r="M1026" s="14"/>
      <c r="N1026" s="14"/>
      <c r="O1026" s="14"/>
      <c r="P1026" s="14"/>
    </row>
    <row r="1027" spans="1:16">
      <c r="A1027" s="29">
        <f t="shared" si="62"/>
        <v>446</v>
      </c>
      <c r="B1027" s="30" t="s">
        <v>343</v>
      </c>
      <c r="C1027" s="183" t="s">
        <v>344</v>
      </c>
      <c r="D1027" s="183" t="s">
        <v>345</v>
      </c>
      <c r="E1027" s="32">
        <v>43097</v>
      </c>
      <c r="F1027" s="34">
        <v>3500000</v>
      </c>
      <c r="G1027" s="34">
        <v>0</v>
      </c>
      <c r="H1027" s="34">
        <v>0</v>
      </c>
      <c r="I1027" s="181" t="s">
        <v>1722</v>
      </c>
      <c r="J1027" s="14"/>
      <c r="K1027" s="14"/>
      <c r="L1027" s="14"/>
      <c r="M1027" s="14"/>
      <c r="N1027" s="14"/>
      <c r="O1027" s="14"/>
      <c r="P1027" s="14"/>
    </row>
    <row r="1028" spans="1:16">
      <c r="A1028" s="29">
        <f t="shared" si="62"/>
        <v>447</v>
      </c>
      <c r="B1028" s="30" t="s">
        <v>737</v>
      </c>
      <c r="C1028" s="183" t="s">
        <v>738</v>
      </c>
      <c r="D1028" s="183" t="s">
        <v>739</v>
      </c>
      <c r="E1028" s="32">
        <v>43097</v>
      </c>
      <c r="F1028" s="34">
        <v>25000000</v>
      </c>
      <c r="G1028" s="34">
        <v>10000000</v>
      </c>
      <c r="H1028" s="34">
        <v>10000000</v>
      </c>
      <c r="I1028" s="181" t="s">
        <v>1723</v>
      </c>
      <c r="J1028" s="14"/>
      <c r="K1028" s="14"/>
      <c r="L1028" s="14"/>
      <c r="M1028" s="14"/>
      <c r="N1028" s="14"/>
      <c r="O1028" s="14"/>
      <c r="P1028" s="14"/>
    </row>
    <row r="1029" spans="1:16">
      <c r="A1029" s="29">
        <f t="shared" si="62"/>
        <v>448</v>
      </c>
      <c r="B1029" s="30" t="s">
        <v>901</v>
      </c>
      <c r="C1029" s="183" t="s">
        <v>902</v>
      </c>
      <c r="D1029" s="183" t="s">
        <v>903</v>
      </c>
      <c r="E1029" s="32">
        <v>43097</v>
      </c>
      <c r="F1029" s="34">
        <v>5000000</v>
      </c>
      <c r="G1029" s="34">
        <v>0</v>
      </c>
      <c r="H1029" s="34">
        <v>0</v>
      </c>
      <c r="I1029" s="181" t="s">
        <v>1724</v>
      </c>
      <c r="J1029" s="14"/>
      <c r="K1029" s="14"/>
      <c r="L1029" s="14"/>
      <c r="M1029" s="14"/>
      <c r="N1029" s="14"/>
      <c r="O1029" s="14"/>
      <c r="P1029" s="14"/>
    </row>
    <row r="1030" spans="1:16">
      <c r="A1030" s="29">
        <f t="shared" si="62"/>
        <v>449</v>
      </c>
      <c r="B1030" s="30" t="s">
        <v>901</v>
      </c>
      <c r="C1030" s="183" t="s">
        <v>902</v>
      </c>
      <c r="D1030" s="183" t="s">
        <v>903</v>
      </c>
      <c r="E1030" s="32">
        <v>43097</v>
      </c>
      <c r="F1030" s="34">
        <v>5000000</v>
      </c>
      <c r="G1030" s="34">
        <v>0</v>
      </c>
      <c r="H1030" s="34">
        <v>0</v>
      </c>
      <c r="I1030" s="181" t="s">
        <v>1725</v>
      </c>
      <c r="J1030" s="14"/>
      <c r="K1030" s="14"/>
      <c r="L1030" s="14"/>
      <c r="M1030" s="14"/>
      <c r="N1030" s="14"/>
      <c r="O1030" s="14"/>
      <c r="P1030" s="14"/>
    </row>
    <row r="1031" spans="1:16">
      <c r="A1031" s="29">
        <f t="shared" si="62"/>
        <v>450</v>
      </c>
      <c r="B1031" s="30" t="s">
        <v>1329</v>
      </c>
      <c r="C1031" s="183" t="s">
        <v>1330</v>
      </c>
      <c r="D1031" s="183" t="s">
        <v>1331</v>
      </c>
      <c r="E1031" s="32">
        <v>43104</v>
      </c>
      <c r="F1031" s="42">
        <v>12000000</v>
      </c>
      <c r="G1031" s="34">
        <v>0</v>
      </c>
      <c r="H1031" s="42">
        <v>0</v>
      </c>
      <c r="I1031" s="181" t="s">
        <v>1726</v>
      </c>
      <c r="J1031" s="14"/>
      <c r="K1031" s="14"/>
      <c r="L1031" s="14"/>
      <c r="M1031" s="14"/>
      <c r="N1031" s="14"/>
      <c r="O1031" s="14"/>
      <c r="P1031" s="14"/>
    </row>
    <row r="1032" spans="1:16">
      <c r="A1032" s="29">
        <f t="shared" ref="A1032:A1051" si="63">+A1031+1</f>
        <v>451</v>
      </c>
      <c r="B1032" s="30" t="s">
        <v>824</v>
      </c>
      <c r="C1032" s="183" t="s">
        <v>825</v>
      </c>
      <c r="D1032" s="183" t="s">
        <v>826</v>
      </c>
      <c r="E1032" s="32">
        <v>43104</v>
      </c>
      <c r="F1032" s="42">
        <v>13500000</v>
      </c>
      <c r="G1032" s="34">
        <v>5000000</v>
      </c>
      <c r="H1032" s="42">
        <v>5000000</v>
      </c>
      <c r="I1032" s="181" t="s">
        <v>1727</v>
      </c>
      <c r="J1032" s="14"/>
      <c r="K1032" s="14"/>
      <c r="L1032" s="14"/>
      <c r="M1032" s="14"/>
      <c r="N1032" s="14"/>
      <c r="O1032" s="14"/>
      <c r="P1032" s="14"/>
    </row>
    <row r="1033" spans="1:16">
      <c r="A1033" s="29">
        <f t="shared" si="63"/>
        <v>452</v>
      </c>
      <c r="B1033" s="30" t="s">
        <v>1024</v>
      </c>
      <c r="C1033" s="183" t="s">
        <v>1025</v>
      </c>
      <c r="D1033" s="183" t="s">
        <v>1026</v>
      </c>
      <c r="E1033" s="32">
        <v>43105</v>
      </c>
      <c r="F1033" s="42">
        <v>15000000</v>
      </c>
      <c r="G1033" s="34">
        <v>0</v>
      </c>
      <c r="H1033" s="42">
        <v>0</v>
      </c>
      <c r="I1033" s="181" t="s">
        <v>1677</v>
      </c>
      <c r="J1033" s="14"/>
      <c r="K1033" s="14"/>
      <c r="L1033" s="14"/>
      <c r="M1033" s="14"/>
      <c r="N1033" s="14"/>
      <c r="O1033" s="14"/>
      <c r="P1033" s="14"/>
    </row>
    <row r="1034" spans="1:16">
      <c r="A1034" s="29">
        <f t="shared" si="63"/>
        <v>453</v>
      </c>
      <c r="B1034" s="30" t="s">
        <v>1144</v>
      </c>
      <c r="C1034" s="183" t="s">
        <v>1145</v>
      </c>
      <c r="D1034" s="183" t="s">
        <v>1146</v>
      </c>
      <c r="E1034" s="32">
        <v>43104</v>
      </c>
      <c r="F1034" s="42">
        <v>5000000</v>
      </c>
      <c r="G1034" s="34">
        <v>2500000</v>
      </c>
      <c r="H1034" s="42">
        <v>0</v>
      </c>
      <c r="I1034" s="181" t="s">
        <v>1728</v>
      </c>
      <c r="J1034" s="14"/>
      <c r="K1034" s="14"/>
      <c r="L1034" s="14"/>
      <c r="M1034" s="14"/>
      <c r="N1034" s="14"/>
      <c r="O1034" s="14"/>
      <c r="P1034" s="14"/>
    </row>
    <row r="1035" spans="1:16">
      <c r="A1035" s="29">
        <f t="shared" si="63"/>
        <v>454</v>
      </c>
      <c r="B1035" s="30" t="s">
        <v>1144</v>
      </c>
      <c r="C1035" s="183" t="s">
        <v>1145</v>
      </c>
      <c r="D1035" s="183" t="s">
        <v>1146</v>
      </c>
      <c r="E1035" s="32">
        <v>43104</v>
      </c>
      <c r="F1035" s="42">
        <v>5000000</v>
      </c>
      <c r="G1035" s="34">
        <v>2500000</v>
      </c>
      <c r="H1035" s="42">
        <v>0</v>
      </c>
      <c r="I1035" s="181" t="s">
        <v>1729</v>
      </c>
      <c r="J1035" s="14"/>
      <c r="K1035" s="14"/>
      <c r="L1035" s="14"/>
      <c r="M1035" s="14"/>
      <c r="N1035" s="14"/>
      <c r="O1035" s="14"/>
      <c r="P1035" s="14"/>
    </row>
    <row r="1036" spans="1:16">
      <c r="A1036" s="29">
        <f t="shared" si="63"/>
        <v>455</v>
      </c>
      <c r="B1036" s="30" t="s">
        <v>948</v>
      </c>
      <c r="C1036" s="183" t="s">
        <v>949</v>
      </c>
      <c r="D1036" s="183" t="s">
        <v>950</v>
      </c>
      <c r="E1036" s="32">
        <v>43110</v>
      </c>
      <c r="F1036" s="42">
        <v>10000000</v>
      </c>
      <c r="G1036" s="34">
        <v>0</v>
      </c>
      <c r="H1036" s="42">
        <v>0</v>
      </c>
      <c r="I1036" s="181" t="s">
        <v>1730</v>
      </c>
      <c r="J1036" s="14"/>
      <c r="K1036" s="14"/>
      <c r="L1036" s="14"/>
      <c r="M1036" s="14"/>
      <c r="N1036" s="14"/>
      <c r="O1036" s="14"/>
      <c r="P1036" s="14"/>
    </row>
    <row r="1037" spans="1:16">
      <c r="A1037" s="29">
        <f t="shared" si="63"/>
        <v>456</v>
      </c>
      <c r="B1037" s="30" t="s">
        <v>948</v>
      </c>
      <c r="C1037" s="183" t="s">
        <v>949</v>
      </c>
      <c r="D1037" s="183" t="s">
        <v>950</v>
      </c>
      <c r="E1037" s="32">
        <v>43110</v>
      </c>
      <c r="F1037" s="42">
        <v>10000000</v>
      </c>
      <c r="G1037" s="34">
        <v>0</v>
      </c>
      <c r="H1037" s="42">
        <v>0</v>
      </c>
      <c r="I1037" s="181" t="s">
        <v>1730</v>
      </c>
      <c r="J1037" s="14"/>
      <c r="K1037" s="14"/>
      <c r="L1037" s="14"/>
      <c r="M1037" s="14"/>
      <c r="N1037" s="14"/>
      <c r="O1037" s="14"/>
      <c r="P1037" s="14"/>
    </row>
    <row r="1038" spans="1:16">
      <c r="A1038" s="29">
        <f t="shared" si="63"/>
        <v>457</v>
      </c>
      <c r="B1038" s="30" t="s">
        <v>726</v>
      </c>
      <c r="C1038" s="183" t="s">
        <v>727</v>
      </c>
      <c r="D1038" s="183" t="s">
        <v>728</v>
      </c>
      <c r="E1038" s="32">
        <v>43111</v>
      </c>
      <c r="F1038" s="42">
        <v>2500000</v>
      </c>
      <c r="G1038" s="42">
        <v>1000000</v>
      </c>
      <c r="H1038" s="42">
        <v>2500000</v>
      </c>
      <c r="I1038" s="181" t="s">
        <v>1731</v>
      </c>
      <c r="J1038" s="14"/>
      <c r="K1038" s="14"/>
      <c r="L1038" s="14"/>
      <c r="M1038" s="14"/>
      <c r="N1038" s="14"/>
      <c r="O1038" s="14"/>
      <c r="P1038" s="14"/>
    </row>
    <row r="1039" spans="1:16">
      <c r="A1039" s="29">
        <f t="shared" si="63"/>
        <v>458</v>
      </c>
      <c r="B1039" s="30" t="s">
        <v>726</v>
      </c>
      <c r="C1039" s="183" t="s">
        <v>727</v>
      </c>
      <c r="D1039" s="183" t="s">
        <v>728</v>
      </c>
      <c r="E1039" s="32">
        <v>43111</v>
      </c>
      <c r="F1039" s="42">
        <v>2500000</v>
      </c>
      <c r="G1039" s="42">
        <v>1000000</v>
      </c>
      <c r="H1039" s="42">
        <v>2500000</v>
      </c>
      <c r="I1039" s="181" t="s">
        <v>1732</v>
      </c>
      <c r="J1039" s="14"/>
      <c r="K1039" s="14"/>
      <c r="L1039" s="14"/>
      <c r="M1039" s="14"/>
      <c r="N1039" s="14"/>
      <c r="O1039" s="14"/>
      <c r="P1039" s="14"/>
    </row>
    <row r="1040" spans="1:16">
      <c r="A1040" s="29">
        <f t="shared" si="63"/>
        <v>459</v>
      </c>
      <c r="B1040" s="30" t="s">
        <v>1214</v>
      </c>
      <c r="C1040" s="183" t="s">
        <v>1215</v>
      </c>
      <c r="D1040" s="183" t="s">
        <v>1216</v>
      </c>
      <c r="E1040" s="32">
        <v>43125</v>
      </c>
      <c r="F1040" s="42">
        <v>7500000</v>
      </c>
      <c r="G1040" s="42">
        <v>1250000</v>
      </c>
      <c r="H1040" s="42">
        <v>1250000</v>
      </c>
      <c r="I1040" s="181" t="s">
        <v>1733</v>
      </c>
    </row>
    <row r="1041" spans="1:16">
      <c r="A1041" s="29">
        <f t="shared" si="63"/>
        <v>460</v>
      </c>
      <c r="B1041" s="30" t="s">
        <v>1214</v>
      </c>
      <c r="C1041" s="183" t="s">
        <v>1215</v>
      </c>
      <c r="D1041" s="183" t="s">
        <v>1216</v>
      </c>
      <c r="E1041" s="32">
        <v>43125</v>
      </c>
      <c r="F1041" s="42">
        <v>7500000</v>
      </c>
      <c r="G1041" s="42">
        <v>1250000</v>
      </c>
      <c r="H1041" s="42">
        <v>1250000</v>
      </c>
      <c r="I1041" s="181" t="s">
        <v>1734</v>
      </c>
      <c r="J1041" s="14"/>
      <c r="K1041" s="14"/>
      <c r="L1041" s="14"/>
      <c r="M1041" s="14"/>
      <c r="N1041" s="14"/>
      <c r="O1041" s="14"/>
      <c r="P1041" s="14"/>
    </row>
    <row r="1042" spans="1:16">
      <c r="A1042" s="29">
        <f t="shared" si="63"/>
        <v>461</v>
      </c>
      <c r="B1042" s="30" t="s">
        <v>986</v>
      </c>
      <c r="C1042" s="183" t="s">
        <v>987</v>
      </c>
      <c r="D1042" s="183" t="s">
        <v>988</v>
      </c>
      <c r="E1042" s="32">
        <v>43130</v>
      </c>
      <c r="F1042" s="42">
        <v>32500000</v>
      </c>
      <c r="G1042" s="42">
        <v>7500000</v>
      </c>
      <c r="H1042" s="42">
        <v>7500000</v>
      </c>
      <c r="I1042" s="181" t="s">
        <v>1735</v>
      </c>
      <c r="J1042" s="14"/>
      <c r="K1042" s="14"/>
      <c r="L1042" s="14"/>
      <c r="M1042" s="14"/>
      <c r="N1042" s="14"/>
      <c r="O1042" s="14"/>
      <c r="P1042" s="14"/>
    </row>
    <row r="1043" spans="1:16">
      <c r="A1043" s="29">
        <f t="shared" si="63"/>
        <v>462</v>
      </c>
      <c r="B1043" s="30" t="s">
        <v>986</v>
      </c>
      <c r="C1043" s="183" t="s">
        <v>987</v>
      </c>
      <c r="D1043" s="183" t="s">
        <v>988</v>
      </c>
      <c r="E1043" s="32">
        <v>43130</v>
      </c>
      <c r="F1043" s="42">
        <v>32500000</v>
      </c>
      <c r="G1043" s="42">
        <v>7500000</v>
      </c>
      <c r="H1043" s="42">
        <v>7500000</v>
      </c>
      <c r="I1043" s="181" t="s">
        <v>1736</v>
      </c>
      <c r="J1043" s="14"/>
      <c r="K1043" s="14"/>
      <c r="L1043" s="14"/>
      <c r="M1043" s="14"/>
      <c r="N1043" s="14"/>
      <c r="O1043" s="14"/>
      <c r="P1043" s="14"/>
    </row>
    <row r="1044" spans="1:16">
      <c r="A1044" s="29">
        <f t="shared" si="63"/>
        <v>463</v>
      </c>
      <c r="B1044" s="30" t="s">
        <v>1362</v>
      </c>
      <c r="C1044" s="183" t="s">
        <v>1363</v>
      </c>
      <c r="D1044" s="183" t="s">
        <v>1364</v>
      </c>
      <c r="E1044" s="32">
        <v>43140</v>
      </c>
      <c r="F1044" s="42">
        <v>7500000</v>
      </c>
      <c r="G1044" s="42">
        <v>0</v>
      </c>
      <c r="H1044" s="42">
        <v>0</v>
      </c>
      <c r="I1044" s="181"/>
      <c r="J1044" s="14"/>
      <c r="K1044" s="14"/>
      <c r="L1044" s="14"/>
      <c r="M1044" s="14"/>
      <c r="N1044" s="14"/>
      <c r="O1044" s="14"/>
      <c r="P1044" s="14"/>
    </row>
    <row r="1045" spans="1:16">
      <c r="A1045" s="29">
        <f t="shared" si="63"/>
        <v>464</v>
      </c>
      <c r="B1045" s="30" t="s">
        <v>1362</v>
      </c>
      <c r="C1045" s="183" t="s">
        <v>1363</v>
      </c>
      <c r="D1045" s="183" t="s">
        <v>1364</v>
      </c>
      <c r="E1045" s="32">
        <v>43140</v>
      </c>
      <c r="F1045" s="42">
        <v>7500000</v>
      </c>
      <c r="G1045" s="42">
        <v>0</v>
      </c>
      <c r="H1045" s="42">
        <v>0</v>
      </c>
      <c r="I1045" s="181"/>
      <c r="J1045" s="14"/>
      <c r="K1045" s="14"/>
      <c r="L1045" s="14"/>
      <c r="M1045" s="14"/>
      <c r="N1045" s="14"/>
      <c r="O1045" s="14"/>
      <c r="P1045" s="14"/>
    </row>
    <row r="1046" spans="1:16">
      <c r="A1046" s="29">
        <f t="shared" si="63"/>
        <v>465</v>
      </c>
      <c r="B1046" s="30" t="s">
        <v>1366</v>
      </c>
      <c r="C1046" s="183" t="s">
        <v>1367</v>
      </c>
      <c r="D1046" s="183" t="s">
        <v>1368</v>
      </c>
      <c r="E1046" s="32">
        <v>43140</v>
      </c>
      <c r="F1046" s="42">
        <v>7500000</v>
      </c>
      <c r="G1046" s="42">
        <v>0</v>
      </c>
      <c r="H1046" s="42">
        <v>2500000</v>
      </c>
      <c r="I1046" s="181" t="s">
        <v>1737</v>
      </c>
      <c r="J1046" s="14"/>
      <c r="K1046" s="14"/>
      <c r="L1046" s="14"/>
      <c r="M1046" s="14"/>
      <c r="N1046" s="14"/>
      <c r="O1046" s="14"/>
      <c r="P1046" s="14"/>
    </row>
    <row r="1047" spans="1:16">
      <c r="A1047" s="29">
        <f t="shared" si="63"/>
        <v>466</v>
      </c>
      <c r="B1047" s="30" t="s">
        <v>1366</v>
      </c>
      <c r="C1047" s="183" t="s">
        <v>1367</v>
      </c>
      <c r="D1047" s="183" t="s">
        <v>1368</v>
      </c>
      <c r="E1047" s="32">
        <v>43140</v>
      </c>
      <c r="F1047" s="42">
        <v>7500000</v>
      </c>
      <c r="G1047" s="42">
        <v>0</v>
      </c>
      <c r="H1047" s="42">
        <v>2500000</v>
      </c>
      <c r="I1047" s="181" t="s">
        <v>1738</v>
      </c>
      <c r="J1047" s="14"/>
      <c r="K1047" s="14"/>
      <c r="L1047" s="14"/>
      <c r="M1047" s="14"/>
      <c r="N1047" s="14"/>
      <c r="O1047" s="14"/>
      <c r="P1047" s="14"/>
    </row>
    <row r="1048" spans="1:16">
      <c r="A1048" s="29">
        <f t="shared" si="63"/>
        <v>467</v>
      </c>
      <c r="B1048" s="119" t="s">
        <v>1370</v>
      </c>
      <c r="C1048" s="185" t="s">
        <v>1371</v>
      </c>
      <c r="D1048" s="185" t="s">
        <v>1372</v>
      </c>
      <c r="E1048" s="32">
        <v>43154</v>
      </c>
      <c r="F1048" s="37">
        <v>23000000</v>
      </c>
      <c r="G1048" s="37">
        <v>5000000</v>
      </c>
      <c r="H1048" s="37">
        <v>2000000</v>
      </c>
      <c r="I1048" s="186" t="s">
        <v>1739</v>
      </c>
      <c r="J1048" s="14"/>
      <c r="K1048" s="14"/>
      <c r="L1048" s="14"/>
      <c r="M1048" s="14"/>
      <c r="N1048" s="14"/>
      <c r="O1048" s="14"/>
      <c r="P1048" s="14"/>
    </row>
    <row r="1049" spans="1:16">
      <c r="A1049" s="29">
        <f t="shared" si="63"/>
        <v>468</v>
      </c>
      <c r="B1049" s="119" t="s">
        <v>1373</v>
      </c>
      <c r="C1049" s="185" t="s">
        <v>1374</v>
      </c>
      <c r="D1049" s="185" t="s">
        <v>1375</v>
      </c>
      <c r="E1049" s="32">
        <v>43154</v>
      </c>
      <c r="F1049" s="37">
        <v>20000000</v>
      </c>
      <c r="G1049" s="37">
        <v>2000000</v>
      </c>
      <c r="H1049" s="37">
        <v>3000000</v>
      </c>
      <c r="I1049" s="186" t="s">
        <v>1740</v>
      </c>
      <c r="J1049" s="14"/>
      <c r="K1049" s="14"/>
      <c r="L1049" s="14"/>
      <c r="M1049" s="14"/>
      <c r="N1049" s="14"/>
      <c r="O1049" s="14"/>
      <c r="P1049" s="14"/>
    </row>
    <row r="1050" spans="1:16">
      <c r="A1050" s="29">
        <f t="shared" si="63"/>
        <v>469</v>
      </c>
      <c r="B1050" s="119" t="s">
        <v>1386</v>
      </c>
      <c r="C1050" s="185" t="s">
        <v>1387</v>
      </c>
      <c r="D1050" s="185" t="s">
        <v>1388</v>
      </c>
      <c r="E1050" s="32">
        <v>43153</v>
      </c>
      <c r="F1050" s="37">
        <v>5000000</v>
      </c>
      <c r="G1050" s="37">
        <v>2500000</v>
      </c>
      <c r="H1050" s="37">
        <v>2500000</v>
      </c>
      <c r="I1050" s="186" t="s">
        <v>1700</v>
      </c>
      <c r="J1050" s="14"/>
      <c r="K1050" s="14"/>
      <c r="L1050" s="14"/>
      <c r="M1050" s="14"/>
      <c r="N1050" s="14"/>
      <c r="O1050" s="14"/>
      <c r="P1050" s="14"/>
    </row>
    <row r="1051" spans="1:16">
      <c r="A1051" s="29">
        <f t="shared" si="63"/>
        <v>470</v>
      </c>
      <c r="B1051" s="119" t="s">
        <v>1386</v>
      </c>
      <c r="C1051" s="185" t="s">
        <v>1387</v>
      </c>
      <c r="D1051" s="185" t="s">
        <v>1388</v>
      </c>
      <c r="E1051" s="32">
        <v>43153</v>
      </c>
      <c r="F1051" s="37">
        <v>5000000</v>
      </c>
      <c r="G1051" s="37">
        <v>2500000</v>
      </c>
      <c r="H1051" s="37">
        <v>2500000</v>
      </c>
      <c r="I1051" s="186" t="s">
        <v>1700</v>
      </c>
      <c r="J1051" s="14"/>
      <c r="K1051" s="14"/>
      <c r="L1051" s="14"/>
      <c r="M1051" s="14"/>
      <c r="N1051" s="14"/>
      <c r="O1051" s="14"/>
      <c r="P1051" s="14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8"/>
  <sheetViews>
    <sheetView showGridLines="0" view="pageBreakPreview" zoomScaleSheetLayoutView="100" workbookViewId="0">
      <pane ySplit="4" topLeftCell="A5" activePane="bottomLeft" state="frozen"/>
      <selection pane="bottomLeft" activeCell="D12" sqref="D12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4" customWidth="1"/>
    <col min="12" max="12" width="20.42578125" style="134" customWidth="1"/>
    <col min="13" max="13" width="20.5703125" style="132" customWidth="1"/>
    <col min="14" max="14" width="10.42578125" style="179" bestFit="1" customWidth="1"/>
    <col min="15" max="15" width="42.85546875" style="180" bestFit="1" customWidth="1"/>
    <col min="16" max="17" width="15.7109375" style="14" bestFit="1" customWidth="1"/>
    <col min="18" max="18" width="16.5703125" style="14" bestFit="1" customWidth="1"/>
    <col min="19" max="35" width="9.140625" style="14"/>
    <col min="36" max="36" width="10.140625" style="14" customWidth="1"/>
    <col min="37" max="16384" width="9.140625" style="14"/>
  </cols>
  <sheetData>
    <row r="1" spans="1:18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8" ht="20.25">
      <c r="A2" s="187" t="s">
        <v>1741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8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8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8" s="198" customFormat="1">
      <c r="A5" s="194">
        <v>1</v>
      </c>
      <c r="B5" s="54" t="s">
        <v>118</v>
      </c>
      <c r="C5" s="55" t="s">
        <v>119</v>
      </c>
      <c r="D5" s="63">
        <v>42896</v>
      </c>
      <c r="E5" s="195">
        <v>86448</v>
      </c>
      <c r="F5" s="196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97" t="s">
        <v>1742</v>
      </c>
      <c r="P5" s="48">
        <f t="shared" ref="P5:P68" si="5">+M5</f>
        <v>86448</v>
      </c>
      <c r="Q5" s="40">
        <f>+'[1]dend dn2'!Z134</f>
        <v>86448</v>
      </c>
      <c r="R5" s="40">
        <f t="shared" ref="R5:R68" si="6">+P5-Q5</f>
        <v>0</v>
      </c>
    </row>
    <row r="6" spans="1:18" s="198" customFormat="1">
      <c r="A6" s="194">
        <f t="shared" ref="A6:A69" si="7">+A5+1</f>
        <v>2</v>
      </c>
      <c r="B6" s="54" t="s">
        <v>118</v>
      </c>
      <c r="C6" s="55" t="s">
        <v>119</v>
      </c>
      <c r="D6" s="63">
        <v>42926</v>
      </c>
      <c r="E6" s="195">
        <v>33780</v>
      </c>
      <c r="F6" s="196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97" t="s">
        <v>1743</v>
      </c>
      <c r="P6" s="48">
        <f t="shared" si="5"/>
        <v>33780</v>
      </c>
      <c r="Q6" s="40">
        <f>+'[1]dend dn2'!Z135</f>
        <v>33780</v>
      </c>
      <c r="R6" s="40">
        <f t="shared" si="6"/>
        <v>0</v>
      </c>
    </row>
    <row r="7" spans="1:18">
      <c r="A7" s="194">
        <f t="shared" si="7"/>
        <v>3</v>
      </c>
      <c r="B7" s="54" t="s">
        <v>118</v>
      </c>
      <c r="C7" s="55" t="s">
        <v>119</v>
      </c>
      <c r="D7" s="63">
        <v>42926</v>
      </c>
      <c r="E7" s="195">
        <v>100000</v>
      </c>
      <c r="F7" s="196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97" t="s">
        <v>1743</v>
      </c>
      <c r="P7" s="48">
        <f t="shared" si="5"/>
        <v>100000</v>
      </c>
      <c r="Q7" s="40">
        <f>+'[1]dend dn2'!Z136</f>
        <v>100000</v>
      </c>
      <c r="R7" s="40">
        <f t="shared" si="6"/>
        <v>0</v>
      </c>
    </row>
    <row r="8" spans="1:18">
      <c r="A8" s="194">
        <f t="shared" si="7"/>
        <v>4</v>
      </c>
      <c r="B8" s="54" t="s">
        <v>118</v>
      </c>
      <c r="C8" s="55" t="s">
        <v>119</v>
      </c>
      <c r="D8" s="63">
        <v>42926</v>
      </c>
      <c r="E8" s="195">
        <v>100000</v>
      </c>
      <c r="F8" s="196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97" t="s">
        <v>1743</v>
      </c>
      <c r="P8" s="48">
        <f t="shared" si="5"/>
        <v>100000</v>
      </c>
      <c r="Q8" s="40">
        <f>+'[1]dend dn2'!Z137</f>
        <v>100000</v>
      </c>
      <c r="R8" s="40">
        <f t="shared" si="6"/>
        <v>0</v>
      </c>
    </row>
    <row r="9" spans="1:18">
      <c r="A9" s="194">
        <f t="shared" si="7"/>
        <v>5</v>
      </c>
      <c r="B9" s="54" t="s">
        <v>118</v>
      </c>
      <c r="C9" s="55" t="s">
        <v>119</v>
      </c>
      <c r="D9" s="63">
        <v>42957</v>
      </c>
      <c r="E9" s="195">
        <v>100000</v>
      </c>
      <c r="F9" s="196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97" t="s">
        <v>1744</v>
      </c>
      <c r="P9" s="48">
        <f t="shared" si="5"/>
        <v>100000</v>
      </c>
      <c r="Q9" s="40">
        <f>+'[1]dend dn2'!Z138</f>
        <v>100000</v>
      </c>
      <c r="R9" s="40">
        <f t="shared" si="6"/>
        <v>0</v>
      </c>
    </row>
    <row r="10" spans="1:18">
      <c r="A10" s="194">
        <f t="shared" si="7"/>
        <v>6</v>
      </c>
      <c r="B10" s="54" t="s">
        <v>118</v>
      </c>
      <c r="C10" s="55" t="s">
        <v>119</v>
      </c>
      <c r="D10" s="63">
        <v>42957</v>
      </c>
      <c r="E10" s="195">
        <v>100000</v>
      </c>
      <c r="F10" s="196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97" t="s">
        <v>1744</v>
      </c>
      <c r="P10" s="48">
        <f t="shared" si="5"/>
        <v>100000</v>
      </c>
      <c r="Q10" s="40">
        <f>+'[1]dend dn2'!Z139</f>
        <v>100000</v>
      </c>
      <c r="R10" s="40">
        <f t="shared" si="6"/>
        <v>0</v>
      </c>
    </row>
    <row r="11" spans="1:18">
      <c r="A11" s="194">
        <f t="shared" si="7"/>
        <v>7</v>
      </c>
      <c r="B11" s="54" t="s">
        <v>118</v>
      </c>
      <c r="C11" s="55" t="s">
        <v>119</v>
      </c>
      <c r="D11" s="63">
        <v>42957</v>
      </c>
      <c r="E11" s="195">
        <v>33780</v>
      </c>
      <c r="F11" s="196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97" t="s">
        <v>1744</v>
      </c>
      <c r="P11" s="48">
        <f t="shared" si="5"/>
        <v>33780</v>
      </c>
      <c r="Q11" s="40">
        <f>+'[1]dend dn2'!Z140</f>
        <v>33780</v>
      </c>
      <c r="R11" s="40">
        <f t="shared" si="6"/>
        <v>0</v>
      </c>
    </row>
    <row r="12" spans="1:18">
      <c r="A12" s="194">
        <f t="shared" si="7"/>
        <v>8</v>
      </c>
      <c r="B12" s="54" t="s">
        <v>118</v>
      </c>
      <c r="C12" s="55" t="s">
        <v>119</v>
      </c>
      <c r="D12" s="63">
        <v>42988</v>
      </c>
      <c r="E12" s="199">
        <v>100000</v>
      </c>
      <c r="F12" s="196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97" t="s">
        <v>1745</v>
      </c>
      <c r="P12" s="48">
        <f t="shared" si="5"/>
        <v>100000</v>
      </c>
      <c r="Q12" s="40">
        <f>+'[1]dend dn2'!Z141</f>
        <v>100000</v>
      </c>
      <c r="R12" s="40">
        <f t="shared" si="6"/>
        <v>0</v>
      </c>
    </row>
    <row r="13" spans="1:18">
      <c r="A13" s="194">
        <f t="shared" si="7"/>
        <v>9</v>
      </c>
      <c r="B13" s="54" t="s">
        <v>118</v>
      </c>
      <c r="C13" s="55" t="s">
        <v>119</v>
      </c>
      <c r="D13" s="63">
        <v>42988</v>
      </c>
      <c r="E13" s="199">
        <v>100000</v>
      </c>
      <c r="F13" s="196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97" t="s">
        <v>1745</v>
      </c>
      <c r="P13" s="48">
        <f t="shared" si="5"/>
        <v>100000</v>
      </c>
      <c r="Q13" s="40">
        <f>+'[1]dend dn2'!Z142</f>
        <v>100000</v>
      </c>
      <c r="R13" s="40">
        <f t="shared" si="6"/>
        <v>0</v>
      </c>
    </row>
    <row r="14" spans="1:18">
      <c r="A14" s="194">
        <f t="shared" si="7"/>
        <v>10</v>
      </c>
      <c r="B14" s="54" t="s">
        <v>118</v>
      </c>
      <c r="C14" s="55" t="s">
        <v>119</v>
      </c>
      <c r="D14" s="63">
        <v>42988</v>
      </c>
      <c r="E14" s="199">
        <v>33780</v>
      </c>
      <c r="F14" s="196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97" t="s">
        <v>1745</v>
      </c>
      <c r="P14" s="48">
        <f t="shared" si="5"/>
        <v>33780</v>
      </c>
      <c r="Q14" s="40">
        <f>+'[1]dend dn2'!Z143</f>
        <v>33780</v>
      </c>
      <c r="R14" s="40">
        <f t="shared" si="6"/>
        <v>0</v>
      </c>
    </row>
    <row r="15" spans="1:18">
      <c r="A15" s="194">
        <f t="shared" si="7"/>
        <v>11</v>
      </c>
      <c r="B15" s="54" t="s">
        <v>118</v>
      </c>
      <c r="C15" s="55" t="s">
        <v>119</v>
      </c>
      <c r="D15" s="63">
        <v>43018</v>
      </c>
      <c r="E15" s="199">
        <v>100000</v>
      </c>
      <c r="F15" s="196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97" t="s">
        <v>1746</v>
      </c>
      <c r="P15" s="48">
        <f t="shared" si="5"/>
        <v>100000</v>
      </c>
      <c r="Q15" s="40">
        <f>+'[1]dend dn2'!Z144</f>
        <v>100000</v>
      </c>
      <c r="R15" s="40">
        <f t="shared" si="6"/>
        <v>0</v>
      </c>
    </row>
    <row r="16" spans="1:18">
      <c r="A16" s="194">
        <f t="shared" si="7"/>
        <v>12</v>
      </c>
      <c r="B16" s="54" t="s">
        <v>118</v>
      </c>
      <c r="C16" s="55" t="s">
        <v>119</v>
      </c>
      <c r="D16" s="63">
        <v>43018</v>
      </c>
      <c r="E16" s="199">
        <v>100000</v>
      </c>
      <c r="F16" s="196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97" t="s">
        <v>1746</v>
      </c>
      <c r="P16" s="48">
        <f t="shared" si="5"/>
        <v>100000</v>
      </c>
      <c r="Q16" s="40">
        <f>+'[1]dend dn2'!Z145</f>
        <v>100000</v>
      </c>
      <c r="R16" s="40">
        <f t="shared" si="6"/>
        <v>0</v>
      </c>
    </row>
    <row r="17" spans="1:18">
      <c r="A17" s="194">
        <f t="shared" si="7"/>
        <v>13</v>
      </c>
      <c r="B17" s="54" t="s">
        <v>118</v>
      </c>
      <c r="C17" s="55" t="s">
        <v>119</v>
      </c>
      <c r="D17" s="63">
        <v>43018</v>
      </c>
      <c r="E17" s="199">
        <v>33780</v>
      </c>
      <c r="F17" s="196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97" t="s">
        <v>1746</v>
      </c>
      <c r="P17" s="48">
        <f t="shared" si="5"/>
        <v>33780</v>
      </c>
      <c r="Q17" s="40">
        <f>+'[1]dend dn2'!Z146</f>
        <v>33780</v>
      </c>
      <c r="R17" s="40">
        <f t="shared" si="6"/>
        <v>0</v>
      </c>
    </row>
    <row r="18" spans="1:18">
      <c r="A18" s="194">
        <f t="shared" si="7"/>
        <v>14</v>
      </c>
      <c r="B18" s="54" t="s">
        <v>118</v>
      </c>
      <c r="C18" s="55" t="s">
        <v>119</v>
      </c>
      <c r="D18" s="63">
        <v>43049</v>
      </c>
      <c r="E18" s="199">
        <v>100000</v>
      </c>
      <c r="F18" s="196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200">
        <f t="shared" si="4"/>
        <v>100000</v>
      </c>
      <c r="N18" s="126"/>
      <c r="O18" s="197" t="s">
        <v>1747</v>
      </c>
      <c r="P18" s="48">
        <f t="shared" si="5"/>
        <v>100000</v>
      </c>
      <c r="Q18" s="40">
        <f>+'[1]dend dn2'!Z147</f>
        <v>100000</v>
      </c>
      <c r="R18" s="40">
        <f t="shared" si="6"/>
        <v>0</v>
      </c>
    </row>
    <row r="19" spans="1:18">
      <c r="A19" s="194">
        <f t="shared" si="7"/>
        <v>15</v>
      </c>
      <c r="B19" s="54" t="s">
        <v>118</v>
      </c>
      <c r="C19" s="55" t="s">
        <v>119</v>
      </c>
      <c r="D19" s="63">
        <v>43049</v>
      </c>
      <c r="E19" s="199">
        <v>100000</v>
      </c>
      <c r="F19" s="196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200">
        <f t="shared" si="4"/>
        <v>100000</v>
      </c>
      <c r="N19" s="126"/>
      <c r="O19" s="197" t="s">
        <v>1747</v>
      </c>
      <c r="P19" s="48">
        <f t="shared" si="5"/>
        <v>100000</v>
      </c>
      <c r="Q19" s="40">
        <f>+'[1]dend dn2'!Z148</f>
        <v>100000</v>
      </c>
      <c r="R19" s="40">
        <f t="shared" si="6"/>
        <v>0</v>
      </c>
    </row>
    <row r="20" spans="1:18">
      <c r="A20" s="194">
        <f t="shared" si="7"/>
        <v>16</v>
      </c>
      <c r="B20" s="54" t="s">
        <v>118</v>
      </c>
      <c r="C20" s="55" t="s">
        <v>119</v>
      </c>
      <c r="D20" s="63">
        <v>43049</v>
      </c>
      <c r="E20" s="199">
        <v>33780</v>
      </c>
      <c r="F20" s="196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200">
        <f t="shared" si="4"/>
        <v>33780</v>
      </c>
      <c r="N20" s="126"/>
      <c r="O20" s="197" t="s">
        <v>1747</v>
      </c>
      <c r="P20" s="48">
        <f t="shared" si="5"/>
        <v>33780</v>
      </c>
      <c r="Q20" s="40">
        <f>+'[1]dend dn2'!Z149</f>
        <v>33780</v>
      </c>
      <c r="R20" s="40">
        <f t="shared" si="6"/>
        <v>0</v>
      </c>
    </row>
    <row r="21" spans="1:18">
      <c r="A21" s="194">
        <f t="shared" si="7"/>
        <v>17</v>
      </c>
      <c r="B21" s="54" t="s">
        <v>118</v>
      </c>
      <c r="C21" s="55" t="s">
        <v>119</v>
      </c>
      <c r="D21" s="63">
        <v>43079</v>
      </c>
      <c r="E21" s="199">
        <v>100000</v>
      </c>
      <c r="F21" s="196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200">
        <f t="shared" si="4"/>
        <v>100000</v>
      </c>
      <c r="N21" s="126"/>
      <c r="O21" s="197" t="s">
        <v>1748</v>
      </c>
      <c r="P21" s="48">
        <f t="shared" si="5"/>
        <v>100000</v>
      </c>
      <c r="Q21" s="40">
        <f>+'[1]dend dn2'!Z150</f>
        <v>100000</v>
      </c>
      <c r="R21" s="40">
        <f t="shared" si="6"/>
        <v>0</v>
      </c>
    </row>
    <row r="22" spans="1:18">
      <c r="A22" s="194">
        <f t="shared" si="7"/>
        <v>18</v>
      </c>
      <c r="B22" s="54" t="s">
        <v>118</v>
      </c>
      <c r="C22" s="55" t="s">
        <v>119</v>
      </c>
      <c r="D22" s="63">
        <v>43079</v>
      </c>
      <c r="E22" s="199">
        <v>100000</v>
      </c>
      <c r="F22" s="196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200">
        <f t="shared" si="4"/>
        <v>100000</v>
      </c>
      <c r="N22" s="126"/>
      <c r="O22" s="197" t="s">
        <v>1748</v>
      </c>
      <c r="P22" s="48">
        <f t="shared" si="5"/>
        <v>100000</v>
      </c>
      <c r="Q22" s="40">
        <f>+'[1]dend dn2'!Z151</f>
        <v>100000</v>
      </c>
      <c r="R22" s="40">
        <f t="shared" si="6"/>
        <v>0</v>
      </c>
    </row>
    <row r="23" spans="1:18">
      <c r="A23" s="194">
        <f t="shared" si="7"/>
        <v>19</v>
      </c>
      <c r="B23" s="54" t="s">
        <v>118</v>
      </c>
      <c r="C23" s="55" t="s">
        <v>119</v>
      </c>
      <c r="D23" s="63">
        <v>43079</v>
      </c>
      <c r="E23" s="199">
        <v>33780</v>
      </c>
      <c r="F23" s="196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200">
        <f t="shared" si="4"/>
        <v>33780</v>
      </c>
      <c r="N23" s="126"/>
      <c r="O23" s="197" t="s">
        <v>1748</v>
      </c>
      <c r="P23" s="48">
        <f t="shared" si="5"/>
        <v>33780</v>
      </c>
      <c r="Q23" s="40">
        <f>+'[1]dend dn2'!Z152</f>
        <v>33780</v>
      </c>
      <c r="R23" s="40">
        <f t="shared" si="6"/>
        <v>0</v>
      </c>
    </row>
    <row r="24" spans="1:18">
      <c r="A24" s="194">
        <f t="shared" si="7"/>
        <v>20</v>
      </c>
      <c r="B24" s="54" t="s">
        <v>118</v>
      </c>
      <c r="C24" s="55" t="s">
        <v>119</v>
      </c>
      <c r="D24" s="63">
        <v>43110</v>
      </c>
      <c r="E24" s="195">
        <v>100000</v>
      </c>
      <c r="F24" s="196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200">
        <f t="shared" si="4"/>
        <v>100000</v>
      </c>
      <c r="N24" s="126"/>
      <c r="O24" s="197" t="s">
        <v>1749</v>
      </c>
      <c r="P24" s="48">
        <f t="shared" si="5"/>
        <v>100000</v>
      </c>
      <c r="Q24" s="40">
        <f>+'[1]dend dn2'!Z153</f>
        <v>100000</v>
      </c>
      <c r="R24" s="40">
        <f t="shared" si="6"/>
        <v>0</v>
      </c>
    </row>
    <row r="25" spans="1:18">
      <c r="A25" s="194">
        <f t="shared" si="7"/>
        <v>21</v>
      </c>
      <c r="B25" s="54" t="s">
        <v>118</v>
      </c>
      <c r="C25" s="55" t="s">
        <v>119</v>
      </c>
      <c r="D25" s="63">
        <v>43110</v>
      </c>
      <c r="E25" s="195">
        <v>100000</v>
      </c>
      <c r="F25" s="196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200">
        <f t="shared" si="4"/>
        <v>100000</v>
      </c>
      <c r="N25" s="126"/>
      <c r="O25" s="197" t="s">
        <v>1749</v>
      </c>
      <c r="P25" s="48">
        <f t="shared" si="5"/>
        <v>100000</v>
      </c>
      <c r="Q25" s="40">
        <f>+'[1]dend dn2'!Z154</f>
        <v>100000</v>
      </c>
      <c r="R25" s="40">
        <f t="shared" si="6"/>
        <v>0</v>
      </c>
    </row>
    <row r="26" spans="1:18">
      <c r="A26" s="194">
        <f t="shared" si="7"/>
        <v>22</v>
      </c>
      <c r="B26" s="54" t="s">
        <v>118</v>
      </c>
      <c r="C26" s="55" t="s">
        <v>119</v>
      </c>
      <c r="D26" s="63">
        <v>43110</v>
      </c>
      <c r="E26" s="195">
        <v>33780</v>
      </c>
      <c r="F26" s="196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200">
        <f t="shared" si="4"/>
        <v>33780</v>
      </c>
      <c r="N26" s="126"/>
      <c r="O26" s="197" t="s">
        <v>1749</v>
      </c>
      <c r="P26" s="48">
        <f t="shared" si="5"/>
        <v>33780</v>
      </c>
      <c r="Q26" s="40">
        <f>+'[1]dend dn2'!Z155</f>
        <v>33780</v>
      </c>
      <c r="R26" s="40">
        <f t="shared" si="6"/>
        <v>0</v>
      </c>
    </row>
    <row r="27" spans="1:18">
      <c r="A27" s="194">
        <f t="shared" si="7"/>
        <v>23</v>
      </c>
      <c r="B27" s="54" t="s">
        <v>302</v>
      </c>
      <c r="C27" s="55" t="s">
        <v>303</v>
      </c>
      <c r="D27" s="63">
        <v>42988</v>
      </c>
      <c r="E27" s="199">
        <v>112650</v>
      </c>
      <c r="F27" s="196">
        <f t="shared" si="0"/>
        <v>112650</v>
      </c>
      <c r="G27" s="59">
        <f t="shared" si="1"/>
        <v>112650</v>
      </c>
      <c r="H27" s="57">
        <v>0</v>
      </c>
      <c r="I27" s="60">
        <v>1</v>
      </c>
      <c r="J27" s="60">
        <v>1</v>
      </c>
      <c r="K27" s="33">
        <f t="shared" si="2"/>
        <v>112650</v>
      </c>
      <c r="L27" s="33">
        <f t="shared" si="3"/>
        <v>112650</v>
      </c>
      <c r="M27" s="33">
        <f t="shared" si="4"/>
        <v>112650</v>
      </c>
      <c r="N27" s="126"/>
      <c r="O27" s="197" t="s">
        <v>1745</v>
      </c>
      <c r="P27" s="48">
        <f t="shared" si="5"/>
        <v>112650</v>
      </c>
      <c r="Q27" s="40">
        <f>+'[1]dend dn2'!Z156</f>
        <v>112650</v>
      </c>
      <c r="R27" s="40">
        <f t="shared" si="6"/>
        <v>0</v>
      </c>
    </row>
    <row r="28" spans="1:18">
      <c r="A28" s="194">
        <f t="shared" si="7"/>
        <v>24</v>
      </c>
      <c r="B28" s="54" t="s">
        <v>302</v>
      </c>
      <c r="C28" s="55" t="s">
        <v>303</v>
      </c>
      <c r="D28" s="63">
        <v>43018</v>
      </c>
      <c r="E28" s="199">
        <v>112650</v>
      </c>
      <c r="F28" s="196">
        <f t="shared" si="0"/>
        <v>112650</v>
      </c>
      <c r="G28" s="59">
        <f t="shared" si="1"/>
        <v>112650</v>
      </c>
      <c r="H28" s="57">
        <v>0</v>
      </c>
      <c r="I28" s="60">
        <v>1</v>
      </c>
      <c r="J28" s="60">
        <v>1</v>
      </c>
      <c r="K28" s="33">
        <f t="shared" si="2"/>
        <v>112650</v>
      </c>
      <c r="L28" s="33">
        <f t="shared" si="3"/>
        <v>112650</v>
      </c>
      <c r="M28" s="33">
        <f t="shared" si="4"/>
        <v>112650</v>
      </c>
      <c r="N28" s="126"/>
      <c r="O28" s="197" t="s">
        <v>1746</v>
      </c>
      <c r="P28" s="48">
        <f t="shared" si="5"/>
        <v>112650</v>
      </c>
      <c r="Q28" s="40">
        <f>+'[1]dend dn2'!Z157</f>
        <v>112650</v>
      </c>
      <c r="R28" s="40">
        <f t="shared" si="6"/>
        <v>0</v>
      </c>
    </row>
    <row r="29" spans="1:18">
      <c r="A29" s="194">
        <f t="shared" si="7"/>
        <v>25</v>
      </c>
      <c r="B29" s="54" t="s">
        <v>302</v>
      </c>
      <c r="C29" s="55" t="s">
        <v>303</v>
      </c>
      <c r="D29" s="63">
        <v>43049</v>
      </c>
      <c r="E29" s="199">
        <v>112650</v>
      </c>
      <c r="F29" s="196">
        <f t="shared" si="0"/>
        <v>112650</v>
      </c>
      <c r="G29" s="59">
        <f t="shared" si="1"/>
        <v>112650</v>
      </c>
      <c r="H29" s="57">
        <v>0</v>
      </c>
      <c r="I29" s="60">
        <v>1</v>
      </c>
      <c r="J29" s="60">
        <v>1</v>
      </c>
      <c r="K29" s="33">
        <f t="shared" si="2"/>
        <v>112650</v>
      </c>
      <c r="L29" s="33">
        <f t="shared" si="3"/>
        <v>112650</v>
      </c>
      <c r="M29" s="200">
        <f t="shared" si="4"/>
        <v>112650</v>
      </c>
      <c r="N29" s="126"/>
      <c r="O29" s="197" t="s">
        <v>1747</v>
      </c>
      <c r="P29" s="48">
        <f t="shared" si="5"/>
        <v>112650</v>
      </c>
      <c r="Q29" s="40">
        <f>+'[1]dend dn2'!Z158</f>
        <v>112650</v>
      </c>
      <c r="R29" s="40">
        <f t="shared" si="6"/>
        <v>0</v>
      </c>
    </row>
    <row r="30" spans="1:18">
      <c r="A30" s="194">
        <f t="shared" si="7"/>
        <v>26</v>
      </c>
      <c r="B30" s="54" t="s">
        <v>302</v>
      </c>
      <c r="C30" s="55" t="s">
        <v>303</v>
      </c>
      <c r="D30" s="63">
        <v>43079</v>
      </c>
      <c r="E30" s="199">
        <v>112650</v>
      </c>
      <c r="F30" s="196">
        <f t="shared" si="0"/>
        <v>112650</v>
      </c>
      <c r="G30" s="59">
        <f t="shared" si="1"/>
        <v>112650</v>
      </c>
      <c r="H30" s="57">
        <v>0</v>
      </c>
      <c r="I30" s="60">
        <v>1</v>
      </c>
      <c r="J30" s="60">
        <v>1</v>
      </c>
      <c r="K30" s="33">
        <f t="shared" si="2"/>
        <v>112650</v>
      </c>
      <c r="L30" s="33">
        <f t="shared" si="3"/>
        <v>112650</v>
      </c>
      <c r="M30" s="200">
        <f t="shared" si="4"/>
        <v>112650</v>
      </c>
      <c r="N30" s="126"/>
      <c r="O30" s="197" t="s">
        <v>1748</v>
      </c>
      <c r="P30" s="48">
        <f t="shared" si="5"/>
        <v>112650</v>
      </c>
      <c r="Q30" s="40">
        <f>+'[1]dend dn2'!Z159</f>
        <v>112650</v>
      </c>
      <c r="R30" s="40">
        <f t="shared" si="6"/>
        <v>0</v>
      </c>
    </row>
    <row r="31" spans="1:18">
      <c r="A31" s="194">
        <f t="shared" si="7"/>
        <v>27</v>
      </c>
      <c r="B31" s="54" t="s">
        <v>302</v>
      </c>
      <c r="C31" s="55" t="s">
        <v>303</v>
      </c>
      <c r="D31" s="63">
        <v>43110</v>
      </c>
      <c r="E31" s="195">
        <v>112650</v>
      </c>
      <c r="F31" s="196">
        <f t="shared" si="0"/>
        <v>112650</v>
      </c>
      <c r="G31" s="59">
        <f t="shared" si="1"/>
        <v>112650</v>
      </c>
      <c r="H31" s="57">
        <v>0</v>
      </c>
      <c r="I31" s="60">
        <v>1</v>
      </c>
      <c r="J31" s="60">
        <v>1</v>
      </c>
      <c r="K31" s="33">
        <f t="shared" si="2"/>
        <v>112650</v>
      </c>
      <c r="L31" s="33">
        <f t="shared" si="3"/>
        <v>112650</v>
      </c>
      <c r="M31" s="200">
        <f t="shared" si="4"/>
        <v>112650</v>
      </c>
      <c r="N31" s="126"/>
      <c r="O31" s="197" t="s">
        <v>1749</v>
      </c>
      <c r="P31" s="48">
        <f t="shared" si="5"/>
        <v>112650</v>
      </c>
      <c r="Q31" s="40">
        <f>+'[1]dend dn2'!Z160</f>
        <v>112650</v>
      </c>
      <c r="R31" s="40">
        <f t="shared" si="6"/>
        <v>0</v>
      </c>
    </row>
    <row r="32" spans="1:18">
      <c r="A32" s="194">
        <f t="shared" si="7"/>
        <v>28</v>
      </c>
      <c r="B32" s="54" t="s">
        <v>400</v>
      </c>
      <c r="C32" s="55" t="s">
        <v>401</v>
      </c>
      <c r="D32" s="63">
        <v>42835</v>
      </c>
      <c r="E32" s="201">
        <v>62134</v>
      </c>
      <c r="F32" s="196">
        <f t="shared" si="0"/>
        <v>62134</v>
      </c>
      <c r="G32" s="59">
        <f t="shared" si="1"/>
        <v>62134</v>
      </c>
      <c r="H32" s="57">
        <v>0</v>
      </c>
      <c r="I32" s="60">
        <v>1</v>
      </c>
      <c r="J32" s="60">
        <v>1</v>
      </c>
      <c r="K32" s="33">
        <f t="shared" si="2"/>
        <v>62134</v>
      </c>
      <c r="L32" s="33">
        <f t="shared" si="3"/>
        <v>62134</v>
      </c>
      <c r="M32" s="200">
        <f t="shared" si="4"/>
        <v>62134</v>
      </c>
      <c r="N32" s="126"/>
      <c r="O32" s="197" t="s">
        <v>1750</v>
      </c>
      <c r="P32" s="48">
        <f t="shared" si="5"/>
        <v>62134</v>
      </c>
      <c r="Q32" s="40">
        <f>+'[1]dend dn2'!Z161</f>
        <v>62134</v>
      </c>
      <c r="R32" s="40">
        <f t="shared" si="6"/>
        <v>0</v>
      </c>
    </row>
    <row r="33" spans="1:18">
      <c r="A33" s="194">
        <f t="shared" si="7"/>
        <v>29</v>
      </c>
      <c r="B33" s="54" t="s">
        <v>400</v>
      </c>
      <c r="C33" s="55" t="s">
        <v>401</v>
      </c>
      <c r="D33" s="202">
        <v>42653</v>
      </c>
      <c r="E33" s="203">
        <v>187866</v>
      </c>
      <c r="F33" s="196">
        <f t="shared" si="0"/>
        <v>187866</v>
      </c>
      <c r="G33" s="59">
        <f t="shared" si="1"/>
        <v>187866</v>
      </c>
      <c r="H33" s="57">
        <v>0</v>
      </c>
      <c r="I33" s="60">
        <v>1</v>
      </c>
      <c r="J33" s="60">
        <v>1</v>
      </c>
      <c r="K33" s="33">
        <f t="shared" si="2"/>
        <v>187866</v>
      </c>
      <c r="L33" s="33">
        <f t="shared" si="3"/>
        <v>187866</v>
      </c>
      <c r="M33" s="33">
        <f t="shared" si="4"/>
        <v>187866</v>
      </c>
      <c r="N33" s="126"/>
      <c r="O33" s="30" t="s">
        <v>1751</v>
      </c>
      <c r="P33" s="48">
        <f t="shared" si="5"/>
        <v>187866</v>
      </c>
      <c r="Q33" s="40">
        <f>+'[1]dend dn2'!Z162</f>
        <v>187866</v>
      </c>
      <c r="R33" s="40">
        <f t="shared" si="6"/>
        <v>0</v>
      </c>
    </row>
    <row r="34" spans="1:18">
      <c r="A34" s="194">
        <f t="shared" si="7"/>
        <v>30</v>
      </c>
      <c r="B34" s="54" t="s">
        <v>400</v>
      </c>
      <c r="C34" s="55" t="s">
        <v>401</v>
      </c>
      <c r="D34" s="202">
        <v>42684</v>
      </c>
      <c r="E34" s="204">
        <v>187866</v>
      </c>
      <c r="F34" s="196">
        <f t="shared" si="0"/>
        <v>187866</v>
      </c>
      <c r="G34" s="59">
        <f t="shared" si="1"/>
        <v>187866</v>
      </c>
      <c r="H34" s="57">
        <v>0</v>
      </c>
      <c r="I34" s="60">
        <v>1</v>
      </c>
      <c r="J34" s="60">
        <v>1</v>
      </c>
      <c r="K34" s="33">
        <f t="shared" si="2"/>
        <v>187866</v>
      </c>
      <c r="L34" s="33">
        <f t="shared" si="3"/>
        <v>187866</v>
      </c>
      <c r="M34" s="33">
        <f t="shared" si="4"/>
        <v>187866</v>
      </c>
      <c r="N34" s="126"/>
      <c r="O34" s="30" t="s">
        <v>1752</v>
      </c>
      <c r="P34" s="48">
        <f t="shared" si="5"/>
        <v>187866</v>
      </c>
      <c r="Q34" s="40">
        <f>+'[1]dend dn2'!Z163</f>
        <v>187866</v>
      </c>
      <c r="R34" s="40">
        <f t="shared" si="6"/>
        <v>0</v>
      </c>
    </row>
    <row r="35" spans="1:18">
      <c r="A35" s="194">
        <f t="shared" si="7"/>
        <v>31</v>
      </c>
      <c r="B35" s="54" t="s">
        <v>400</v>
      </c>
      <c r="C35" s="55" t="s">
        <v>401</v>
      </c>
      <c r="D35" s="63">
        <v>42714</v>
      </c>
      <c r="E35" s="203">
        <v>187866</v>
      </c>
      <c r="F35" s="196">
        <f t="shared" si="0"/>
        <v>187866</v>
      </c>
      <c r="G35" s="59">
        <f t="shared" si="1"/>
        <v>187866</v>
      </c>
      <c r="H35" s="57">
        <v>0</v>
      </c>
      <c r="I35" s="60">
        <v>1</v>
      </c>
      <c r="J35" s="60">
        <v>1</v>
      </c>
      <c r="K35" s="33">
        <f t="shared" si="2"/>
        <v>187866</v>
      </c>
      <c r="L35" s="33">
        <f t="shared" si="3"/>
        <v>187866</v>
      </c>
      <c r="M35" s="33">
        <f t="shared" si="4"/>
        <v>187866</v>
      </c>
      <c r="N35" s="126"/>
      <c r="O35" s="30" t="s">
        <v>1753</v>
      </c>
      <c r="P35" s="48">
        <f t="shared" si="5"/>
        <v>187866</v>
      </c>
      <c r="Q35" s="40">
        <f>+'[1]dend dn2'!Z164</f>
        <v>187866</v>
      </c>
      <c r="R35" s="40">
        <f t="shared" si="6"/>
        <v>0</v>
      </c>
    </row>
    <row r="36" spans="1:18">
      <c r="A36" s="194">
        <f t="shared" si="7"/>
        <v>32</v>
      </c>
      <c r="B36" s="54" t="s">
        <v>400</v>
      </c>
      <c r="C36" s="55" t="s">
        <v>401</v>
      </c>
      <c r="D36" s="63">
        <v>42745</v>
      </c>
      <c r="E36" s="204">
        <v>187866</v>
      </c>
      <c r="F36" s="196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1754</v>
      </c>
      <c r="P36" s="48">
        <f t="shared" si="5"/>
        <v>187866</v>
      </c>
      <c r="Q36" s="40">
        <f>+'[1]dend dn2'!Z165</f>
        <v>187866</v>
      </c>
      <c r="R36" s="40">
        <f t="shared" si="6"/>
        <v>0</v>
      </c>
    </row>
    <row r="37" spans="1:18">
      <c r="A37" s="194">
        <f t="shared" si="7"/>
        <v>33</v>
      </c>
      <c r="B37" s="54" t="s">
        <v>400</v>
      </c>
      <c r="C37" s="55" t="s">
        <v>401</v>
      </c>
      <c r="D37" s="63">
        <v>42776</v>
      </c>
      <c r="E37" s="203">
        <v>187866</v>
      </c>
      <c r="F37" s="196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197" t="s">
        <v>1755</v>
      </c>
      <c r="P37" s="48">
        <f t="shared" si="5"/>
        <v>187866</v>
      </c>
      <c r="Q37" s="40">
        <f>+'[1]dend dn2'!Z166</f>
        <v>187866</v>
      </c>
      <c r="R37" s="40">
        <f t="shared" si="6"/>
        <v>0</v>
      </c>
    </row>
    <row r="38" spans="1:18">
      <c r="A38" s="194">
        <f t="shared" si="7"/>
        <v>34</v>
      </c>
      <c r="B38" s="54" t="s">
        <v>400</v>
      </c>
      <c r="C38" s="55" t="s">
        <v>401</v>
      </c>
      <c r="D38" s="63">
        <v>42804</v>
      </c>
      <c r="E38" s="203">
        <v>187866</v>
      </c>
      <c r="F38" s="196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197" t="s">
        <v>1750</v>
      </c>
      <c r="P38" s="48">
        <f t="shared" si="5"/>
        <v>187866</v>
      </c>
      <c r="Q38" s="40">
        <f>+'[1]dend dn2'!Z167</f>
        <v>187866</v>
      </c>
      <c r="R38" s="40">
        <f t="shared" si="6"/>
        <v>0</v>
      </c>
    </row>
    <row r="39" spans="1:18">
      <c r="A39" s="194">
        <f t="shared" si="7"/>
        <v>35</v>
      </c>
      <c r="B39" s="54" t="s">
        <v>400</v>
      </c>
      <c r="C39" s="55" t="s">
        <v>401</v>
      </c>
      <c r="D39" s="63">
        <v>42835</v>
      </c>
      <c r="E39" s="203">
        <v>187866</v>
      </c>
      <c r="F39" s="196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197" t="s">
        <v>1750</v>
      </c>
      <c r="P39" s="48">
        <f t="shared" si="5"/>
        <v>187866</v>
      </c>
      <c r="Q39" s="40">
        <f>+'[1]dend dn2'!Z168</f>
        <v>187866</v>
      </c>
      <c r="R39" s="40">
        <f t="shared" si="6"/>
        <v>0</v>
      </c>
    </row>
    <row r="40" spans="1:18">
      <c r="A40" s="194">
        <f t="shared" si="7"/>
        <v>36</v>
      </c>
      <c r="B40" s="54" t="s">
        <v>400</v>
      </c>
      <c r="C40" s="55" t="s">
        <v>401</v>
      </c>
      <c r="D40" s="63">
        <v>42865</v>
      </c>
      <c r="E40" s="195">
        <v>187866</v>
      </c>
      <c r="F40" s="196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97" t="s">
        <v>1756</v>
      </c>
      <c r="P40" s="48">
        <f t="shared" si="5"/>
        <v>187866</v>
      </c>
      <c r="Q40" s="40">
        <f>+'[1]dend dn2'!Z169</f>
        <v>187866</v>
      </c>
      <c r="R40" s="40">
        <f t="shared" si="6"/>
        <v>0</v>
      </c>
    </row>
    <row r="41" spans="1:18">
      <c r="A41" s="194">
        <f t="shared" si="7"/>
        <v>37</v>
      </c>
      <c r="B41" s="54" t="s">
        <v>400</v>
      </c>
      <c r="C41" s="55" t="s">
        <v>401</v>
      </c>
      <c r="D41" s="63">
        <v>42896</v>
      </c>
      <c r="E41" s="195">
        <v>62134</v>
      </c>
      <c r="F41" s="196">
        <f t="shared" si="0"/>
        <v>62134</v>
      </c>
      <c r="G41" s="59">
        <f t="shared" si="1"/>
        <v>62134</v>
      </c>
      <c r="H41" s="57">
        <v>0</v>
      </c>
      <c r="I41" s="60">
        <v>1</v>
      </c>
      <c r="J41" s="60">
        <v>1</v>
      </c>
      <c r="K41" s="33">
        <f t="shared" si="2"/>
        <v>62134</v>
      </c>
      <c r="L41" s="33">
        <f t="shared" si="3"/>
        <v>62134</v>
      </c>
      <c r="M41" s="33">
        <f t="shared" si="4"/>
        <v>62134</v>
      </c>
      <c r="N41" s="126"/>
      <c r="O41" s="197" t="s">
        <v>1742</v>
      </c>
      <c r="P41" s="48">
        <f t="shared" si="5"/>
        <v>62134</v>
      </c>
      <c r="Q41" s="40">
        <f>+'[1]dend dn2'!Z170</f>
        <v>62134</v>
      </c>
      <c r="R41" s="40">
        <f t="shared" si="6"/>
        <v>0</v>
      </c>
    </row>
    <row r="42" spans="1:18">
      <c r="A42" s="194">
        <f t="shared" si="7"/>
        <v>38</v>
      </c>
      <c r="B42" s="54" t="s">
        <v>400</v>
      </c>
      <c r="C42" s="55" t="s">
        <v>401</v>
      </c>
      <c r="D42" s="63">
        <v>42896</v>
      </c>
      <c r="E42" s="195">
        <v>187866</v>
      </c>
      <c r="F42" s="196">
        <f t="shared" si="0"/>
        <v>187866</v>
      </c>
      <c r="G42" s="59">
        <f t="shared" si="1"/>
        <v>187866</v>
      </c>
      <c r="H42" s="57">
        <v>0</v>
      </c>
      <c r="I42" s="60">
        <v>1</v>
      </c>
      <c r="J42" s="60">
        <v>1</v>
      </c>
      <c r="K42" s="33">
        <f t="shared" si="2"/>
        <v>187866</v>
      </c>
      <c r="L42" s="33">
        <f t="shared" si="3"/>
        <v>187866</v>
      </c>
      <c r="M42" s="33">
        <f t="shared" si="4"/>
        <v>187866</v>
      </c>
      <c r="N42" s="126"/>
      <c r="O42" s="197" t="s">
        <v>1742</v>
      </c>
      <c r="P42" s="48">
        <f t="shared" si="5"/>
        <v>187866</v>
      </c>
      <c r="Q42" s="40">
        <f>+'[1]dend dn2'!Z171</f>
        <v>187866</v>
      </c>
      <c r="R42" s="40">
        <f t="shared" si="6"/>
        <v>0</v>
      </c>
    </row>
    <row r="43" spans="1:18">
      <c r="A43" s="194">
        <f t="shared" si="7"/>
        <v>39</v>
      </c>
      <c r="B43" s="54" t="s">
        <v>400</v>
      </c>
      <c r="C43" s="55" t="s">
        <v>401</v>
      </c>
      <c r="D43" s="63">
        <v>42926</v>
      </c>
      <c r="E43" s="195">
        <v>62134</v>
      </c>
      <c r="F43" s="196">
        <f t="shared" si="0"/>
        <v>62134</v>
      </c>
      <c r="G43" s="59">
        <f t="shared" si="1"/>
        <v>62134</v>
      </c>
      <c r="H43" s="57">
        <v>0</v>
      </c>
      <c r="I43" s="60">
        <v>1</v>
      </c>
      <c r="J43" s="60">
        <v>1</v>
      </c>
      <c r="K43" s="33">
        <f t="shared" si="2"/>
        <v>62134</v>
      </c>
      <c r="L43" s="33">
        <f t="shared" si="3"/>
        <v>62134</v>
      </c>
      <c r="M43" s="33">
        <f t="shared" si="4"/>
        <v>62134</v>
      </c>
      <c r="N43" s="126"/>
      <c r="O43" s="197" t="s">
        <v>1743</v>
      </c>
      <c r="P43" s="48">
        <f t="shared" si="5"/>
        <v>62134</v>
      </c>
      <c r="Q43" s="40">
        <f>+'[1]dend dn2'!Z172</f>
        <v>62134</v>
      </c>
      <c r="R43" s="40">
        <f t="shared" si="6"/>
        <v>0</v>
      </c>
    </row>
    <row r="44" spans="1:18">
      <c r="A44" s="194">
        <f t="shared" si="7"/>
        <v>40</v>
      </c>
      <c r="B44" s="54" t="s">
        <v>400</v>
      </c>
      <c r="C44" s="55" t="s">
        <v>401</v>
      </c>
      <c r="D44" s="63">
        <v>42926</v>
      </c>
      <c r="E44" s="195">
        <v>187866</v>
      </c>
      <c r="F44" s="196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97" t="s">
        <v>1743</v>
      </c>
      <c r="P44" s="48">
        <f t="shared" si="5"/>
        <v>187866</v>
      </c>
      <c r="Q44" s="40">
        <f>+'[1]dend dn2'!Z173</f>
        <v>187866</v>
      </c>
      <c r="R44" s="40">
        <f t="shared" si="6"/>
        <v>0</v>
      </c>
    </row>
    <row r="45" spans="1:18">
      <c r="A45" s="194">
        <f t="shared" si="7"/>
        <v>41</v>
      </c>
      <c r="B45" s="54" t="s">
        <v>400</v>
      </c>
      <c r="C45" s="55" t="s">
        <v>401</v>
      </c>
      <c r="D45" s="63">
        <v>42957</v>
      </c>
      <c r="E45" s="195">
        <v>187866</v>
      </c>
      <c r="F45" s="196">
        <f t="shared" si="0"/>
        <v>187866</v>
      </c>
      <c r="G45" s="59">
        <f t="shared" si="1"/>
        <v>187866</v>
      </c>
      <c r="H45" s="57">
        <v>0</v>
      </c>
      <c r="I45" s="60">
        <v>1</v>
      </c>
      <c r="J45" s="60">
        <v>1</v>
      </c>
      <c r="K45" s="33">
        <f t="shared" si="2"/>
        <v>187866</v>
      </c>
      <c r="L45" s="33">
        <f t="shared" si="3"/>
        <v>187866</v>
      </c>
      <c r="M45" s="33">
        <f t="shared" si="4"/>
        <v>187866</v>
      </c>
      <c r="N45" s="126"/>
      <c r="O45" s="197" t="s">
        <v>1744</v>
      </c>
      <c r="P45" s="48">
        <f t="shared" si="5"/>
        <v>187866</v>
      </c>
      <c r="Q45" s="40">
        <f>+'[1]dend dn2'!Z174</f>
        <v>187866</v>
      </c>
      <c r="R45" s="40">
        <f t="shared" si="6"/>
        <v>0</v>
      </c>
    </row>
    <row r="46" spans="1:18">
      <c r="A46" s="194">
        <f t="shared" si="7"/>
        <v>42</v>
      </c>
      <c r="B46" s="54" t="s">
        <v>400</v>
      </c>
      <c r="C46" s="55" t="s">
        <v>401</v>
      </c>
      <c r="D46" s="63">
        <v>42957</v>
      </c>
      <c r="E46" s="195">
        <v>62134</v>
      </c>
      <c r="F46" s="196">
        <f t="shared" si="0"/>
        <v>62134</v>
      </c>
      <c r="G46" s="59">
        <f t="shared" si="1"/>
        <v>62134</v>
      </c>
      <c r="H46" s="57">
        <v>0</v>
      </c>
      <c r="I46" s="60">
        <v>1</v>
      </c>
      <c r="J46" s="60">
        <v>1</v>
      </c>
      <c r="K46" s="33">
        <f t="shared" si="2"/>
        <v>62134</v>
      </c>
      <c r="L46" s="33">
        <f t="shared" si="3"/>
        <v>62134</v>
      </c>
      <c r="M46" s="33">
        <f t="shared" si="4"/>
        <v>62134</v>
      </c>
      <c r="N46" s="126"/>
      <c r="O46" s="197" t="s">
        <v>1744</v>
      </c>
      <c r="P46" s="48">
        <f t="shared" si="5"/>
        <v>62134</v>
      </c>
      <c r="Q46" s="40">
        <f>+'[1]dend dn2'!Z175</f>
        <v>62134</v>
      </c>
      <c r="R46" s="40">
        <f t="shared" si="6"/>
        <v>0</v>
      </c>
    </row>
    <row r="47" spans="1:18">
      <c r="A47" s="194">
        <f t="shared" si="7"/>
        <v>43</v>
      </c>
      <c r="B47" s="54" t="s">
        <v>400</v>
      </c>
      <c r="C47" s="55" t="s">
        <v>401</v>
      </c>
      <c r="D47" s="63">
        <v>42988</v>
      </c>
      <c r="E47" s="199">
        <v>187866</v>
      </c>
      <c r="F47" s="196">
        <f t="shared" si="0"/>
        <v>187866</v>
      </c>
      <c r="G47" s="59">
        <f t="shared" si="1"/>
        <v>187866</v>
      </c>
      <c r="H47" s="57">
        <v>0</v>
      </c>
      <c r="I47" s="60">
        <v>1</v>
      </c>
      <c r="J47" s="60">
        <v>1</v>
      </c>
      <c r="K47" s="33">
        <f t="shared" si="2"/>
        <v>187866</v>
      </c>
      <c r="L47" s="33">
        <f t="shared" si="3"/>
        <v>187866</v>
      </c>
      <c r="M47" s="33">
        <f t="shared" si="4"/>
        <v>187866</v>
      </c>
      <c r="N47" s="126"/>
      <c r="O47" s="197" t="s">
        <v>1745</v>
      </c>
      <c r="P47" s="48">
        <f t="shared" si="5"/>
        <v>187866</v>
      </c>
      <c r="Q47" s="40">
        <f>+'[1]dend dn2'!Z176</f>
        <v>187866</v>
      </c>
      <c r="R47" s="40">
        <f t="shared" si="6"/>
        <v>0</v>
      </c>
    </row>
    <row r="48" spans="1:18">
      <c r="A48" s="194">
        <f t="shared" si="7"/>
        <v>44</v>
      </c>
      <c r="B48" s="54" t="s">
        <v>400</v>
      </c>
      <c r="C48" s="55" t="s">
        <v>401</v>
      </c>
      <c r="D48" s="63">
        <v>42988</v>
      </c>
      <c r="E48" s="199">
        <v>62134</v>
      </c>
      <c r="F48" s="196">
        <f t="shared" si="0"/>
        <v>62134</v>
      </c>
      <c r="G48" s="59">
        <f t="shared" si="1"/>
        <v>62134</v>
      </c>
      <c r="H48" s="57">
        <v>0</v>
      </c>
      <c r="I48" s="60">
        <v>1</v>
      </c>
      <c r="J48" s="60">
        <v>1</v>
      </c>
      <c r="K48" s="33">
        <f t="shared" si="2"/>
        <v>62134</v>
      </c>
      <c r="L48" s="33">
        <f t="shared" si="3"/>
        <v>62134</v>
      </c>
      <c r="M48" s="33">
        <f t="shared" si="4"/>
        <v>62134</v>
      </c>
      <c r="N48" s="126"/>
      <c r="O48" s="197" t="s">
        <v>1745</v>
      </c>
      <c r="P48" s="48">
        <f t="shared" si="5"/>
        <v>62134</v>
      </c>
      <c r="Q48" s="40">
        <f>+'[1]dend dn2'!Z177</f>
        <v>62134</v>
      </c>
      <c r="R48" s="40">
        <f t="shared" si="6"/>
        <v>0</v>
      </c>
    </row>
    <row r="49" spans="1:18">
      <c r="A49" s="194">
        <f t="shared" si="7"/>
        <v>45</v>
      </c>
      <c r="B49" s="54" t="s">
        <v>400</v>
      </c>
      <c r="C49" s="55" t="s">
        <v>401</v>
      </c>
      <c r="D49" s="63">
        <v>43018</v>
      </c>
      <c r="E49" s="199">
        <v>187866</v>
      </c>
      <c r="F49" s="196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97" t="s">
        <v>1746</v>
      </c>
      <c r="P49" s="48">
        <f t="shared" si="5"/>
        <v>187866</v>
      </c>
      <c r="Q49" s="40">
        <f>+'[1]dend dn2'!Z178</f>
        <v>187866</v>
      </c>
      <c r="R49" s="40">
        <f t="shared" si="6"/>
        <v>0</v>
      </c>
    </row>
    <row r="50" spans="1:18">
      <c r="A50" s="194">
        <f t="shared" si="7"/>
        <v>46</v>
      </c>
      <c r="B50" s="54" t="s">
        <v>400</v>
      </c>
      <c r="C50" s="55" t="s">
        <v>401</v>
      </c>
      <c r="D50" s="63">
        <v>43018</v>
      </c>
      <c r="E50" s="199">
        <v>62134</v>
      </c>
      <c r="F50" s="196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97" t="s">
        <v>1746</v>
      </c>
      <c r="P50" s="48">
        <f t="shared" si="5"/>
        <v>62134</v>
      </c>
      <c r="Q50" s="40">
        <f>+'[1]dend dn2'!Z179</f>
        <v>62134</v>
      </c>
      <c r="R50" s="40">
        <f t="shared" si="6"/>
        <v>0</v>
      </c>
    </row>
    <row r="51" spans="1:18">
      <c r="A51" s="194">
        <f t="shared" si="7"/>
        <v>47</v>
      </c>
      <c r="B51" s="54" t="s">
        <v>400</v>
      </c>
      <c r="C51" s="55" t="s">
        <v>401</v>
      </c>
      <c r="D51" s="63">
        <v>43049</v>
      </c>
      <c r="E51" s="199">
        <v>187866</v>
      </c>
      <c r="F51" s="196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200">
        <f t="shared" si="4"/>
        <v>187866</v>
      </c>
      <c r="N51" s="126"/>
      <c r="O51" s="197" t="s">
        <v>1747</v>
      </c>
      <c r="P51" s="48">
        <f t="shared" si="5"/>
        <v>187866</v>
      </c>
      <c r="Q51" s="40">
        <f>+'[1]dend dn2'!Z180</f>
        <v>187866</v>
      </c>
      <c r="R51" s="40">
        <f t="shared" si="6"/>
        <v>0</v>
      </c>
    </row>
    <row r="52" spans="1:18">
      <c r="A52" s="194">
        <f t="shared" si="7"/>
        <v>48</v>
      </c>
      <c r="B52" s="54" t="s">
        <v>400</v>
      </c>
      <c r="C52" s="55" t="s">
        <v>401</v>
      </c>
      <c r="D52" s="63">
        <v>43049</v>
      </c>
      <c r="E52" s="199">
        <v>62134</v>
      </c>
      <c r="F52" s="196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200">
        <f t="shared" si="4"/>
        <v>62134</v>
      </c>
      <c r="N52" s="126"/>
      <c r="O52" s="197" t="s">
        <v>1747</v>
      </c>
      <c r="P52" s="48">
        <f t="shared" si="5"/>
        <v>62134</v>
      </c>
      <c r="Q52" s="40">
        <f>+'[1]dend dn2'!Z181</f>
        <v>62134</v>
      </c>
      <c r="R52" s="40">
        <f t="shared" si="6"/>
        <v>0</v>
      </c>
    </row>
    <row r="53" spans="1:18">
      <c r="A53" s="194">
        <f t="shared" si="7"/>
        <v>49</v>
      </c>
      <c r="B53" s="54" t="s">
        <v>400</v>
      </c>
      <c r="C53" s="55" t="s">
        <v>401</v>
      </c>
      <c r="D53" s="63">
        <v>43079</v>
      </c>
      <c r="E53" s="199">
        <v>187866</v>
      </c>
      <c r="F53" s="196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200">
        <f t="shared" si="4"/>
        <v>187866</v>
      </c>
      <c r="N53" s="126"/>
      <c r="O53" s="197" t="s">
        <v>1748</v>
      </c>
      <c r="P53" s="48">
        <f t="shared" si="5"/>
        <v>187866</v>
      </c>
      <c r="Q53" s="40">
        <f>+'[1]dend dn2'!Z182</f>
        <v>187866</v>
      </c>
      <c r="R53" s="40">
        <f t="shared" si="6"/>
        <v>0</v>
      </c>
    </row>
    <row r="54" spans="1:18">
      <c r="A54" s="194">
        <f t="shared" si="7"/>
        <v>50</v>
      </c>
      <c r="B54" s="54" t="s">
        <v>400</v>
      </c>
      <c r="C54" s="55" t="s">
        <v>401</v>
      </c>
      <c r="D54" s="63">
        <v>43079</v>
      </c>
      <c r="E54" s="199">
        <v>62134</v>
      </c>
      <c r="F54" s="196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200">
        <f t="shared" si="4"/>
        <v>62134</v>
      </c>
      <c r="N54" s="126"/>
      <c r="O54" s="197" t="s">
        <v>1748</v>
      </c>
      <c r="P54" s="48">
        <f t="shared" si="5"/>
        <v>62134</v>
      </c>
      <c r="Q54" s="40">
        <f>+'[1]dend dn2'!Z183</f>
        <v>62134</v>
      </c>
      <c r="R54" s="40">
        <f t="shared" si="6"/>
        <v>0</v>
      </c>
    </row>
    <row r="55" spans="1:18">
      <c r="A55" s="194">
        <f t="shared" si="7"/>
        <v>51</v>
      </c>
      <c r="B55" s="54" t="s">
        <v>400</v>
      </c>
      <c r="C55" s="55" t="s">
        <v>401</v>
      </c>
      <c r="D55" s="63">
        <v>43110</v>
      </c>
      <c r="E55" s="195">
        <v>187866</v>
      </c>
      <c r="F55" s="196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200">
        <f t="shared" si="4"/>
        <v>187866</v>
      </c>
      <c r="N55" s="126"/>
      <c r="O55" s="197" t="s">
        <v>1749</v>
      </c>
      <c r="P55" s="48">
        <f t="shared" si="5"/>
        <v>187866</v>
      </c>
      <c r="Q55" s="40">
        <f>+'[1]dend dn2'!Z184</f>
        <v>187866</v>
      </c>
      <c r="R55" s="40">
        <f t="shared" si="6"/>
        <v>0</v>
      </c>
    </row>
    <row r="56" spans="1:18">
      <c r="A56" s="194">
        <f t="shared" si="7"/>
        <v>52</v>
      </c>
      <c r="B56" s="54" t="s">
        <v>400</v>
      </c>
      <c r="C56" s="55" t="s">
        <v>401</v>
      </c>
      <c r="D56" s="63">
        <v>43110</v>
      </c>
      <c r="E56" s="195">
        <v>62134</v>
      </c>
      <c r="F56" s="196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200">
        <f t="shared" si="4"/>
        <v>62134</v>
      </c>
      <c r="N56" s="126"/>
      <c r="O56" s="197" t="s">
        <v>1749</v>
      </c>
      <c r="P56" s="48">
        <f t="shared" si="5"/>
        <v>62134</v>
      </c>
      <c r="Q56" s="40">
        <f>+'[1]dend dn2'!Z185</f>
        <v>62134</v>
      </c>
      <c r="R56" s="40">
        <f t="shared" si="6"/>
        <v>0</v>
      </c>
    </row>
    <row r="57" spans="1:18">
      <c r="A57" s="194">
        <f t="shared" si="7"/>
        <v>53</v>
      </c>
      <c r="B57" s="54" t="s">
        <v>458</v>
      </c>
      <c r="C57" s="55">
        <v>901781</v>
      </c>
      <c r="D57" s="202">
        <v>42531</v>
      </c>
      <c r="E57" s="203">
        <v>40000</v>
      </c>
      <c r="F57" s="196">
        <f t="shared" si="0"/>
        <v>40000</v>
      </c>
      <c r="G57" s="59">
        <f t="shared" si="1"/>
        <v>40000</v>
      </c>
      <c r="H57" s="57">
        <v>0</v>
      </c>
      <c r="I57" s="60">
        <v>1</v>
      </c>
      <c r="J57" s="60">
        <v>1</v>
      </c>
      <c r="K57" s="33">
        <f t="shared" si="2"/>
        <v>40000</v>
      </c>
      <c r="L57" s="33">
        <f t="shared" si="3"/>
        <v>40000</v>
      </c>
      <c r="M57" s="33">
        <f t="shared" si="4"/>
        <v>40000</v>
      </c>
      <c r="N57" s="126"/>
      <c r="O57" s="30" t="s">
        <v>1757</v>
      </c>
      <c r="P57" s="48">
        <f t="shared" si="5"/>
        <v>40000</v>
      </c>
      <c r="Q57" s="40">
        <f>+'[1]dend dn2'!Z186</f>
        <v>40000</v>
      </c>
      <c r="R57" s="40">
        <f t="shared" si="6"/>
        <v>0</v>
      </c>
    </row>
    <row r="58" spans="1:18">
      <c r="A58" s="194">
        <f t="shared" si="7"/>
        <v>54</v>
      </c>
      <c r="B58" s="54" t="s">
        <v>458</v>
      </c>
      <c r="C58" s="55">
        <v>901781</v>
      </c>
      <c r="D58" s="202">
        <v>42561</v>
      </c>
      <c r="E58" s="203">
        <v>40000</v>
      </c>
      <c r="F58" s="196">
        <f t="shared" si="0"/>
        <v>40000</v>
      </c>
      <c r="G58" s="59">
        <f t="shared" si="1"/>
        <v>40000</v>
      </c>
      <c r="H58" s="57">
        <v>0</v>
      </c>
      <c r="I58" s="60">
        <v>1</v>
      </c>
      <c r="J58" s="60">
        <v>1</v>
      </c>
      <c r="K58" s="33">
        <f t="shared" si="2"/>
        <v>40000</v>
      </c>
      <c r="L58" s="33">
        <f t="shared" si="3"/>
        <v>40000</v>
      </c>
      <c r="M58" s="33">
        <f t="shared" si="4"/>
        <v>40000</v>
      </c>
      <c r="N58" s="126"/>
      <c r="O58" s="30" t="s">
        <v>1758</v>
      </c>
      <c r="P58" s="48">
        <f t="shared" si="5"/>
        <v>40000</v>
      </c>
      <c r="Q58" s="40">
        <f>+'[1]dend dn2'!Z187</f>
        <v>40000</v>
      </c>
      <c r="R58" s="40">
        <f t="shared" si="6"/>
        <v>0</v>
      </c>
    </row>
    <row r="59" spans="1:18">
      <c r="A59" s="194">
        <f t="shared" si="7"/>
        <v>55</v>
      </c>
      <c r="B59" s="54" t="s">
        <v>458</v>
      </c>
      <c r="C59" s="55">
        <v>901781</v>
      </c>
      <c r="D59" s="202">
        <v>42592</v>
      </c>
      <c r="E59" s="204">
        <v>40000</v>
      </c>
      <c r="F59" s="196">
        <f t="shared" si="0"/>
        <v>40000</v>
      </c>
      <c r="G59" s="59">
        <f t="shared" si="1"/>
        <v>40000</v>
      </c>
      <c r="H59" s="57">
        <v>0</v>
      </c>
      <c r="I59" s="60">
        <v>1</v>
      </c>
      <c r="J59" s="60">
        <v>1</v>
      </c>
      <c r="K59" s="33">
        <f t="shared" si="2"/>
        <v>40000</v>
      </c>
      <c r="L59" s="33">
        <f t="shared" si="3"/>
        <v>40000</v>
      </c>
      <c r="M59" s="33">
        <f t="shared" si="4"/>
        <v>40000</v>
      </c>
      <c r="N59" s="126"/>
      <c r="O59" s="30" t="s">
        <v>1759</v>
      </c>
      <c r="P59" s="48">
        <f t="shared" si="5"/>
        <v>40000</v>
      </c>
      <c r="Q59" s="40">
        <f>+'[1]dend dn2'!Z188</f>
        <v>40000</v>
      </c>
      <c r="R59" s="40">
        <f t="shared" si="6"/>
        <v>0</v>
      </c>
    </row>
    <row r="60" spans="1:18">
      <c r="A60" s="194">
        <f t="shared" si="7"/>
        <v>56</v>
      </c>
      <c r="B60" s="54" t="s">
        <v>458</v>
      </c>
      <c r="C60" s="55">
        <v>901781</v>
      </c>
      <c r="D60" s="202">
        <v>42623</v>
      </c>
      <c r="E60" s="204">
        <v>40000</v>
      </c>
      <c r="F60" s="196">
        <f t="shared" si="0"/>
        <v>40000</v>
      </c>
      <c r="G60" s="59">
        <f t="shared" si="1"/>
        <v>40000</v>
      </c>
      <c r="H60" s="57">
        <v>0</v>
      </c>
      <c r="I60" s="60">
        <v>1</v>
      </c>
      <c r="J60" s="60">
        <v>1</v>
      </c>
      <c r="K60" s="33">
        <f t="shared" si="2"/>
        <v>40000</v>
      </c>
      <c r="L60" s="33">
        <f t="shared" si="3"/>
        <v>40000</v>
      </c>
      <c r="M60" s="33">
        <f t="shared" si="4"/>
        <v>40000</v>
      </c>
      <c r="N60" s="126"/>
      <c r="O60" s="30" t="s">
        <v>1760</v>
      </c>
      <c r="P60" s="48">
        <f t="shared" si="5"/>
        <v>40000</v>
      </c>
      <c r="Q60" s="40">
        <f>+'[1]dend dn2'!Z189</f>
        <v>40000</v>
      </c>
      <c r="R60" s="40">
        <f t="shared" si="6"/>
        <v>0</v>
      </c>
    </row>
    <row r="61" spans="1:18">
      <c r="A61" s="194">
        <f t="shared" si="7"/>
        <v>57</v>
      </c>
      <c r="B61" s="54" t="s">
        <v>458</v>
      </c>
      <c r="C61" s="55">
        <v>901781</v>
      </c>
      <c r="D61" s="202">
        <v>42653</v>
      </c>
      <c r="E61" s="203">
        <v>40000</v>
      </c>
      <c r="F61" s="196">
        <f t="shared" si="0"/>
        <v>40000</v>
      </c>
      <c r="G61" s="59">
        <f t="shared" si="1"/>
        <v>40000</v>
      </c>
      <c r="H61" s="57">
        <v>0</v>
      </c>
      <c r="I61" s="60">
        <v>1</v>
      </c>
      <c r="J61" s="60">
        <v>1</v>
      </c>
      <c r="K61" s="33">
        <f t="shared" si="2"/>
        <v>40000</v>
      </c>
      <c r="L61" s="33">
        <f t="shared" si="3"/>
        <v>40000</v>
      </c>
      <c r="M61" s="33">
        <f t="shared" si="4"/>
        <v>40000</v>
      </c>
      <c r="N61" s="126"/>
      <c r="O61" s="30" t="s">
        <v>1751</v>
      </c>
      <c r="P61" s="48">
        <f t="shared" si="5"/>
        <v>40000</v>
      </c>
      <c r="Q61" s="40">
        <f>+'[1]dend dn2'!Z190</f>
        <v>40000</v>
      </c>
      <c r="R61" s="40">
        <f t="shared" si="6"/>
        <v>0</v>
      </c>
    </row>
    <row r="62" spans="1:18">
      <c r="A62" s="194">
        <f t="shared" si="7"/>
        <v>58</v>
      </c>
      <c r="B62" s="54" t="s">
        <v>458</v>
      </c>
      <c r="C62" s="55">
        <v>901781</v>
      </c>
      <c r="D62" s="202">
        <v>42684</v>
      </c>
      <c r="E62" s="204">
        <v>40000</v>
      </c>
      <c r="F62" s="196">
        <f t="shared" si="0"/>
        <v>40000</v>
      </c>
      <c r="G62" s="59">
        <f t="shared" si="1"/>
        <v>40000</v>
      </c>
      <c r="H62" s="57">
        <v>0</v>
      </c>
      <c r="I62" s="60">
        <v>1</v>
      </c>
      <c r="J62" s="60">
        <v>1</v>
      </c>
      <c r="K62" s="33">
        <f t="shared" si="2"/>
        <v>40000</v>
      </c>
      <c r="L62" s="33">
        <f t="shared" si="3"/>
        <v>40000</v>
      </c>
      <c r="M62" s="33">
        <f t="shared" si="4"/>
        <v>40000</v>
      </c>
      <c r="N62" s="126"/>
      <c r="O62" s="30" t="s">
        <v>1752</v>
      </c>
      <c r="P62" s="48">
        <f t="shared" si="5"/>
        <v>40000</v>
      </c>
      <c r="Q62" s="40">
        <f>+'[1]dend dn2'!Z191</f>
        <v>40000</v>
      </c>
      <c r="R62" s="40">
        <f t="shared" si="6"/>
        <v>0</v>
      </c>
    </row>
    <row r="63" spans="1:18">
      <c r="A63" s="194">
        <f t="shared" si="7"/>
        <v>59</v>
      </c>
      <c r="B63" s="54" t="s">
        <v>458</v>
      </c>
      <c r="C63" s="55">
        <v>901781</v>
      </c>
      <c r="D63" s="63">
        <v>42714</v>
      </c>
      <c r="E63" s="203">
        <v>40000</v>
      </c>
      <c r="F63" s="196">
        <f t="shared" si="0"/>
        <v>40000</v>
      </c>
      <c r="G63" s="59">
        <f t="shared" si="1"/>
        <v>40000</v>
      </c>
      <c r="H63" s="57">
        <v>0</v>
      </c>
      <c r="I63" s="60">
        <v>1</v>
      </c>
      <c r="J63" s="60">
        <v>1</v>
      </c>
      <c r="K63" s="33">
        <f t="shared" si="2"/>
        <v>40000</v>
      </c>
      <c r="L63" s="33">
        <f t="shared" si="3"/>
        <v>40000</v>
      </c>
      <c r="M63" s="33">
        <f t="shared" si="4"/>
        <v>40000</v>
      </c>
      <c r="N63" s="126"/>
      <c r="O63" s="30" t="s">
        <v>1753</v>
      </c>
      <c r="P63" s="48">
        <f t="shared" si="5"/>
        <v>40000</v>
      </c>
      <c r="Q63" s="40">
        <f>+'[1]dend dn2'!Z192</f>
        <v>40000</v>
      </c>
      <c r="R63" s="40">
        <f t="shared" si="6"/>
        <v>0</v>
      </c>
    </row>
    <row r="64" spans="1:18">
      <c r="A64" s="194">
        <f t="shared" si="7"/>
        <v>60</v>
      </c>
      <c r="B64" s="54" t="s">
        <v>458</v>
      </c>
      <c r="C64" s="55">
        <v>901781</v>
      </c>
      <c r="D64" s="63">
        <v>42745</v>
      </c>
      <c r="E64" s="204">
        <v>40000</v>
      </c>
      <c r="F64" s="196">
        <f t="shared" si="0"/>
        <v>40000</v>
      </c>
      <c r="G64" s="59">
        <f t="shared" si="1"/>
        <v>40000</v>
      </c>
      <c r="H64" s="57">
        <v>0</v>
      </c>
      <c r="I64" s="60">
        <v>1</v>
      </c>
      <c r="J64" s="60">
        <v>1</v>
      </c>
      <c r="K64" s="33">
        <f t="shared" si="2"/>
        <v>40000</v>
      </c>
      <c r="L64" s="33">
        <f t="shared" si="3"/>
        <v>40000</v>
      </c>
      <c r="M64" s="33">
        <f t="shared" si="4"/>
        <v>40000</v>
      </c>
      <c r="N64" s="126"/>
      <c r="O64" s="30" t="s">
        <v>1754</v>
      </c>
      <c r="P64" s="48">
        <f t="shared" si="5"/>
        <v>40000</v>
      </c>
      <c r="Q64" s="40">
        <f>+'[1]dend dn2'!Z193</f>
        <v>40000</v>
      </c>
      <c r="R64" s="40">
        <f t="shared" si="6"/>
        <v>0</v>
      </c>
    </row>
    <row r="65" spans="1:18">
      <c r="A65" s="194">
        <f t="shared" si="7"/>
        <v>61</v>
      </c>
      <c r="B65" s="54" t="s">
        <v>458</v>
      </c>
      <c r="C65" s="55">
        <v>901781</v>
      </c>
      <c r="D65" s="63">
        <v>42776</v>
      </c>
      <c r="E65" s="203">
        <v>40000</v>
      </c>
      <c r="F65" s="196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197" t="s">
        <v>1755</v>
      </c>
      <c r="P65" s="48">
        <f t="shared" si="5"/>
        <v>40000</v>
      </c>
      <c r="Q65" s="40">
        <f>+'[1]dend dn2'!Z194</f>
        <v>40000</v>
      </c>
      <c r="R65" s="40">
        <f t="shared" si="6"/>
        <v>0</v>
      </c>
    </row>
    <row r="66" spans="1:18">
      <c r="A66" s="194">
        <f t="shared" si="7"/>
        <v>62</v>
      </c>
      <c r="B66" s="54" t="s">
        <v>458</v>
      </c>
      <c r="C66" s="55">
        <v>901781</v>
      </c>
      <c r="D66" s="63">
        <v>42804</v>
      </c>
      <c r="E66" s="203">
        <v>40000</v>
      </c>
      <c r="F66" s="196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197" t="s">
        <v>1750</v>
      </c>
      <c r="P66" s="48">
        <f t="shared" si="5"/>
        <v>40000</v>
      </c>
      <c r="Q66" s="40">
        <f>+'[1]dend dn2'!Z195</f>
        <v>40000</v>
      </c>
      <c r="R66" s="40">
        <f t="shared" si="6"/>
        <v>0</v>
      </c>
    </row>
    <row r="67" spans="1:18">
      <c r="A67" s="194">
        <f t="shared" si="7"/>
        <v>63</v>
      </c>
      <c r="B67" s="54" t="s">
        <v>458</v>
      </c>
      <c r="C67" s="55">
        <v>901781</v>
      </c>
      <c r="D67" s="63">
        <v>42835</v>
      </c>
      <c r="E67" s="203">
        <v>40000</v>
      </c>
      <c r="F67" s="196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197" t="s">
        <v>1750</v>
      </c>
      <c r="P67" s="48">
        <f t="shared" si="5"/>
        <v>40000</v>
      </c>
      <c r="Q67" s="40">
        <f>+'[1]dend dn2'!Z196</f>
        <v>40000</v>
      </c>
      <c r="R67" s="40">
        <f t="shared" si="6"/>
        <v>0</v>
      </c>
    </row>
    <row r="68" spans="1:18">
      <c r="A68" s="194">
        <f t="shared" si="7"/>
        <v>64</v>
      </c>
      <c r="B68" s="54" t="s">
        <v>458</v>
      </c>
      <c r="C68" s="55">
        <v>901781</v>
      </c>
      <c r="D68" s="63">
        <v>42865</v>
      </c>
      <c r="E68" s="195">
        <v>40000</v>
      </c>
      <c r="F68" s="196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197" t="s">
        <v>1756</v>
      </c>
      <c r="P68" s="48">
        <f t="shared" si="5"/>
        <v>40000</v>
      </c>
      <c r="Q68" s="40">
        <f>+'[1]dend dn2'!Z197</f>
        <v>40000</v>
      </c>
      <c r="R68" s="40">
        <f t="shared" si="6"/>
        <v>0</v>
      </c>
    </row>
    <row r="69" spans="1:18">
      <c r="A69" s="194">
        <f t="shared" si="7"/>
        <v>65</v>
      </c>
      <c r="B69" s="54" t="s">
        <v>458</v>
      </c>
      <c r="C69" s="55">
        <v>901781</v>
      </c>
      <c r="D69" s="63">
        <v>42896</v>
      </c>
      <c r="E69" s="195">
        <v>40000</v>
      </c>
      <c r="F69" s="196">
        <f t="shared" ref="F69:F132" si="8">+I69*K69</f>
        <v>40000</v>
      </c>
      <c r="G69" s="59">
        <f t="shared" ref="G69:G132" si="9">+E69/I69</f>
        <v>40000</v>
      </c>
      <c r="H69" s="57">
        <v>0</v>
      </c>
      <c r="I69" s="60">
        <v>1</v>
      </c>
      <c r="J69" s="60">
        <v>1</v>
      </c>
      <c r="K69" s="33">
        <f t="shared" ref="K69:K132" si="10">+G69+H69</f>
        <v>40000</v>
      </c>
      <c r="L69" s="33">
        <f t="shared" ref="L69:L132" si="11">+J69*K69</f>
        <v>40000</v>
      </c>
      <c r="M69" s="33">
        <f t="shared" ref="M69:M132" si="12">+G69*J69</f>
        <v>40000</v>
      </c>
      <c r="N69" s="126"/>
      <c r="O69" s="197" t="s">
        <v>1742</v>
      </c>
      <c r="P69" s="48">
        <f t="shared" ref="P69:P132" si="13">+M69</f>
        <v>40000</v>
      </c>
      <c r="Q69" s="40">
        <f>+'[1]dend dn2'!Z198</f>
        <v>40000</v>
      </c>
      <c r="R69" s="40">
        <f t="shared" ref="R69:R132" si="14">+P69-Q69</f>
        <v>0</v>
      </c>
    </row>
    <row r="70" spans="1:18">
      <c r="A70" s="194">
        <f t="shared" ref="A70:A133" si="15">+A69+1</f>
        <v>66</v>
      </c>
      <c r="B70" s="54" t="s">
        <v>458</v>
      </c>
      <c r="C70" s="55">
        <v>901781</v>
      </c>
      <c r="D70" s="63">
        <v>42926</v>
      </c>
      <c r="E70" s="195">
        <v>40000</v>
      </c>
      <c r="F70" s="196">
        <f t="shared" si="8"/>
        <v>40000</v>
      </c>
      <c r="G70" s="59">
        <f t="shared" si="9"/>
        <v>40000</v>
      </c>
      <c r="H70" s="57">
        <v>0</v>
      </c>
      <c r="I70" s="60">
        <v>1</v>
      </c>
      <c r="J70" s="60">
        <v>1</v>
      </c>
      <c r="K70" s="33">
        <f t="shared" si="10"/>
        <v>40000</v>
      </c>
      <c r="L70" s="33">
        <f t="shared" si="11"/>
        <v>40000</v>
      </c>
      <c r="M70" s="33">
        <f t="shared" si="12"/>
        <v>40000</v>
      </c>
      <c r="N70" s="126"/>
      <c r="O70" s="197" t="s">
        <v>1743</v>
      </c>
      <c r="P70" s="48">
        <f t="shared" si="13"/>
        <v>40000</v>
      </c>
      <c r="Q70" s="40">
        <f>+'[1]dend dn2'!Z199</f>
        <v>40000</v>
      </c>
      <c r="R70" s="40">
        <f t="shared" si="14"/>
        <v>0</v>
      </c>
    </row>
    <row r="71" spans="1:18">
      <c r="A71" s="194">
        <f t="shared" si="15"/>
        <v>67</v>
      </c>
      <c r="B71" s="54" t="s">
        <v>458</v>
      </c>
      <c r="C71" s="55">
        <v>901781</v>
      </c>
      <c r="D71" s="63">
        <v>42957</v>
      </c>
      <c r="E71" s="195">
        <v>40000</v>
      </c>
      <c r="F71" s="196">
        <f t="shared" si="8"/>
        <v>40000</v>
      </c>
      <c r="G71" s="59">
        <f t="shared" si="9"/>
        <v>40000</v>
      </c>
      <c r="H71" s="57">
        <v>0</v>
      </c>
      <c r="I71" s="60">
        <v>1</v>
      </c>
      <c r="J71" s="60">
        <v>1</v>
      </c>
      <c r="K71" s="33">
        <f t="shared" si="10"/>
        <v>40000</v>
      </c>
      <c r="L71" s="33">
        <f t="shared" si="11"/>
        <v>40000</v>
      </c>
      <c r="M71" s="33">
        <f t="shared" si="12"/>
        <v>40000</v>
      </c>
      <c r="N71" s="126"/>
      <c r="O71" s="197" t="s">
        <v>1744</v>
      </c>
      <c r="P71" s="48">
        <f t="shared" si="13"/>
        <v>40000</v>
      </c>
      <c r="Q71" s="40">
        <f>+'[1]dend dn2'!Z200</f>
        <v>40000</v>
      </c>
      <c r="R71" s="40">
        <f t="shared" si="14"/>
        <v>0</v>
      </c>
    </row>
    <row r="72" spans="1:18">
      <c r="A72" s="194">
        <f t="shared" si="15"/>
        <v>68</v>
      </c>
      <c r="B72" s="54" t="s">
        <v>458</v>
      </c>
      <c r="C72" s="55">
        <v>901781</v>
      </c>
      <c r="D72" s="63">
        <v>42988</v>
      </c>
      <c r="E72" s="199">
        <v>40000</v>
      </c>
      <c r="F72" s="196">
        <f t="shared" si="8"/>
        <v>40000</v>
      </c>
      <c r="G72" s="59">
        <f t="shared" si="9"/>
        <v>40000</v>
      </c>
      <c r="H72" s="57">
        <v>0</v>
      </c>
      <c r="I72" s="60">
        <v>1</v>
      </c>
      <c r="J72" s="60">
        <v>1</v>
      </c>
      <c r="K72" s="33">
        <f t="shared" si="10"/>
        <v>40000</v>
      </c>
      <c r="L72" s="33">
        <f t="shared" si="11"/>
        <v>40000</v>
      </c>
      <c r="M72" s="33">
        <f t="shared" si="12"/>
        <v>40000</v>
      </c>
      <c r="N72" s="126"/>
      <c r="O72" s="197" t="s">
        <v>1745</v>
      </c>
      <c r="P72" s="48">
        <f t="shared" si="13"/>
        <v>40000</v>
      </c>
      <c r="Q72" s="40">
        <f>+'[1]dend dn2'!Z201</f>
        <v>40000</v>
      </c>
      <c r="R72" s="40">
        <f t="shared" si="14"/>
        <v>0</v>
      </c>
    </row>
    <row r="73" spans="1:18">
      <c r="A73" s="194">
        <f t="shared" si="15"/>
        <v>69</v>
      </c>
      <c r="B73" s="54" t="s">
        <v>458</v>
      </c>
      <c r="C73" s="55">
        <v>901781</v>
      </c>
      <c r="D73" s="63">
        <v>43018</v>
      </c>
      <c r="E73" s="199">
        <v>40000</v>
      </c>
      <c r="F73" s="196">
        <f t="shared" si="8"/>
        <v>40000</v>
      </c>
      <c r="G73" s="59">
        <f t="shared" si="9"/>
        <v>40000</v>
      </c>
      <c r="H73" s="57">
        <v>0</v>
      </c>
      <c r="I73" s="60">
        <v>1</v>
      </c>
      <c r="J73" s="60">
        <v>1</v>
      </c>
      <c r="K73" s="33">
        <f t="shared" si="10"/>
        <v>40000</v>
      </c>
      <c r="L73" s="33">
        <f t="shared" si="11"/>
        <v>40000</v>
      </c>
      <c r="M73" s="33">
        <f t="shared" si="12"/>
        <v>40000</v>
      </c>
      <c r="N73" s="126"/>
      <c r="O73" s="197" t="s">
        <v>1746</v>
      </c>
      <c r="P73" s="48">
        <f t="shared" si="13"/>
        <v>40000</v>
      </c>
      <c r="Q73" s="40">
        <f>+'[1]dend dn2'!Z202</f>
        <v>40000</v>
      </c>
      <c r="R73" s="40">
        <f t="shared" si="14"/>
        <v>0</v>
      </c>
    </row>
    <row r="74" spans="1:18">
      <c r="A74" s="194">
        <f t="shared" si="15"/>
        <v>70</v>
      </c>
      <c r="B74" s="54" t="s">
        <v>458</v>
      </c>
      <c r="C74" s="55">
        <v>901781</v>
      </c>
      <c r="D74" s="63">
        <v>43049</v>
      </c>
      <c r="E74" s="199">
        <v>40000</v>
      </c>
      <c r="F74" s="196">
        <f t="shared" si="8"/>
        <v>40000</v>
      </c>
      <c r="G74" s="59">
        <f t="shared" si="9"/>
        <v>40000</v>
      </c>
      <c r="H74" s="57">
        <v>0</v>
      </c>
      <c r="I74" s="60">
        <v>1</v>
      </c>
      <c r="J74" s="60">
        <v>1</v>
      </c>
      <c r="K74" s="33">
        <f t="shared" si="10"/>
        <v>40000</v>
      </c>
      <c r="L74" s="33">
        <f t="shared" si="11"/>
        <v>40000</v>
      </c>
      <c r="M74" s="200">
        <f t="shared" si="12"/>
        <v>40000</v>
      </c>
      <c r="N74" s="126"/>
      <c r="O74" s="197" t="s">
        <v>1747</v>
      </c>
      <c r="P74" s="48">
        <f t="shared" si="13"/>
        <v>40000</v>
      </c>
      <c r="Q74" s="40">
        <f>+'[1]dend dn2'!Z203</f>
        <v>40000</v>
      </c>
      <c r="R74" s="40">
        <f t="shared" si="14"/>
        <v>0</v>
      </c>
    </row>
    <row r="75" spans="1:18">
      <c r="A75" s="194">
        <f t="shared" si="15"/>
        <v>71</v>
      </c>
      <c r="B75" s="54" t="s">
        <v>458</v>
      </c>
      <c r="C75" s="55">
        <v>901781</v>
      </c>
      <c r="D75" s="63">
        <v>43079</v>
      </c>
      <c r="E75" s="199">
        <v>40000</v>
      </c>
      <c r="F75" s="196">
        <f t="shared" si="8"/>
        <v>40000</v>
      </c>
      <c r="G75" s="59">
        <f t="shared" si="9"/>
        <v>40000</v>
      </c>
      <c r="H75" s="57">
        <v>0</v>
      </c>
      <c r="I75" s="60">
        <v>1</v>
      </c>
      <c r="J75" s="60">
        <v>1</v>
      </c>
      <c r="K75" s="33">
        <f t="shared" si="10"/>
        <v>40000</v>
      </c>
      <c r="L75" s="33">
        <f t="shared" si="11"/>
        <v>40000</v>
      </c>
      <c r="M75" s="200">
        <f t="shared" si="12"/>
        <v>40000</v>
      </c>
      <c r="N75" s="126"/>
      <c r="O75" s="197" t="s">
        <v>1748</v>
      </c>
      <c r="P75" s="48">
        <f t="shared" si="13"/>
        <v>40000</v>
      </c>
      <c r="Q75" s="40">
        <f>+'[1]dend dn2'!Z204</f>
        <v>40000</v>
      </c>
      <c r="R75" s="40">
        <f t="shared" si="14"/>
        <v>0</v>
      </c>
    </row>
    <row r="76" spans="1:18">
      <c r="A76" s="194">
        <f t="shared" si="15"/>
        <v>72</v>
      </c>
      <c r="B76" s="54" t="s">
        <v>458</v>
      </c>
      <c r="C76" s="55">
        <v>901781</v>
      </c>
      <c r="D76" s="63">
        <v>43110</v>
      </c>
      <c r="E76" s="195">
        <v>40000</v>
      </c>
      <c r="F76" s="196">
        <f t="shared" si="8"/>
        <v>40000</v>
      </c>
      <c r="G76" s="59">
        <f t="shared" si="9"/>
        <v>40000</v>
      </c>
      <c r="H76" s="57">
        <v>0</v>
      </c>
      <c r="I76" s="60">
        <v>1</v>
      </c>
      <c r="J76" s="60">
        <v>1</v>
      </c>
      <c r="K76" s="33">
        <f t="shared" si="10"/>
        <v>40000</v>
      </c>
      <c r="L76" s="33">
        <f t="shared" si="11"/>
        <v>40000</v>
      </c>
      <c r="M76" s="200">
        <f t="shared" si="12"/>
        <v>40000</v>
      </c>
      <c r="N76" s="126"/>
      <c r="O76" s="197" t="s">
        <v>1749</v>
      </c>
      <c r="P76" s="48">
        <f t="shared" si="13"/>
        <v>40000</v>
      </c>
      <c r="Q76" s="40">
        <f>+'[1]dend dn2'!Z205</f>
        <v>40000</v>
      </c>
      <c r="R76" s="40">
        <f t="shared" si="14"/>
        <v>0</v>
      </c>
    </row>
    <row r="77" spans="1:18">
      <c r="A77" s="194">
        <f t="shared" si="15"/>
        <v>73</v>
      </c>
      <c r="B77" s="54" t="s">
        <v>519</v>
      </c>
      <c r="C77" s="55" t="s">
        <v>520</v>
      </c>
      <c r="D77" s="63">
        <v>42804</v>
      </c>
      <c r="E77" s="203">
        <v>200000</v>
      </c>
      <c r="F77" s="196">
        <f t="shared" si="8"/>
        <v>200000</v>
      </c>
      <c r="G77" s="59">
        <f t="shared" si="9"/>
        <v>200000</v>
      </c>
      <c r="H77" s="57">
        <v>0</v>
      </c>
      <c r="I77" s="60">
        <v>1</v>
      </c>
      <c r="J77" s="60">
        <v>1</v>
      </c>
      <c r="K77" s="33">
        <f t="shared" si="10"/>
        <v>200000</v>
      </c>
      <c r="L77" s="33">
        <f t="shared" si="11"/>
        <v>200000</v>
      </c>
      <c r="M77" s="200">
        <f t="shared" si="12"/>
        <v>200000</v>
      </c>
      <c r="N77" s="126"/>
      <c r="O77" s="197" t="s">
        <v>1750</v>
      </c>
      <c r="P77" s="48">
        <f t="shared" si="13"/>
        <v>200000</v>
      </c>
      <c r="Q77" s="40">
        <f>+'[1]dend dn2'!Z206</f>
        <v>200000</v>
      </c>
      <c r="R77" s="40">
        <f t="shared" si="14"/>
        <v>0</v>
      </c>
    </row>
    <row r="78" spans="1:18">
      <c r="A78" s="194">
        <f t="shared" si="15"/>
        <v>74</v>
      </c>
      <c r="B78" s="54" t="s">
        <v>519</v>
      </c>
      <c r="C78" s="55" t="s">
        <v>520</v>
      </c>
      <c r="D78" s="63">
        <v>42804</v>
      </c>
      <c r="E78" s="203">
        <v>200000</v>
      </c>
      <c r="F78" s="196">
        <f t="shared" si="8"/>
        <v>200000</v>
      </c>
      <c r="G78" s="59">
        <f t="shared" si="9"/>
        <v>200000</v>
      </c>
      <c r="H78" s="57">
        <v>0</v>
      </c>
      <c r="I78" s="60">
        <v>1</v>
      </c>
      <c r="J78" s="60">
        <v>1</v>
      </c>
      <c r="K78" s="33">
        <f t="shared" si="10"/>
        <v>200000</v>
      </c>
      <c r="L78" s="33">
        <f t="shared" si="11"/>
        <v>200000</v>
      </c>
      <c r="M78" s="200">
        <f t="shared" si="12"/>
        <v>200000</v>
      </c>
      <c r="N78" s="126"/>
      <c r="O78" s="197" t="s">
        <v>1750</v>
      </c>
      <c r="P78" s="48">
        <f t="shared" si="13"/>
        <v>200000</v>
      </c>
      <c r="Q78" s="40">
        <f>+'[1]dend dn2'!Z207</f>
        <v>200000</v>
      </c>
      <c r="R78" s="40">
        <f t="shared" si="14"/>
        <v>0</v>
      </c>
    </row>
    <row r="79" spans="1:18">
      <c r="A79" s="194">
        <f t="shared" si="15"/>
        <v>75</v>
      </c>
      <c r="B79" s="54" t="s">
        <v>519</v>
      </c>
      <c r="C79" s="55" t="s">
        <v>520</v>
      </c>
      <c r="D79" s="63">
        <v>43049</v>
      </c>
      <c r="E79" s="199">
        <v>200000</v>
      </c>
      <c r="F79" s="196">
        <f t="shared" si="8"/>
        <v>200000</v>
      </c>
      <c r="G79" s="59">
        <f t="shared" si="9"/>
        <v>200000</v>
      </c>
      <c r="H79" s="57">
        <v>0</v>
      </c>
      <c r="I79" s="60">
        <v>1</v>
      </c>
      <c r="J79" s="60">
        <v>1</v>
      </c>
      <c r="K79" s="33">
        <f t="shared" si="10"/>
        <v>200000</v>
      </c>
      <c r="L79" s="33">
        <f t="shared" si="11"/>
        <v>200000</v>
      </c>
      <c r="M79" s="200">
        <f t="shared" si="12"/>
        <v>200000</v>
      </c>
      <c r="N79" s="126"/>
      <c r="O79" s="197" t="s">
        <v>1747</v>
      </c>
      <c r="P79" s="48">
        <f t="shared" si="13"/>
        <v>200000</v>
      </c>
      <c r="Q79" s="40">
        <f>+'[1]dend dn2'!Z208</f>
        <v>200000</v>
      </c>
      <c r="R79" s="40">
        <f t="shared" si="14"/>
        <v>0</v>
      </c>
    </row>
    <row r="80" spans="1:18">
      <c r="A80" s="194">
        <f t="shared" si="15"/>
        <v>76</v>
      </c>
      <c r="B80" s="54" t="s">
        <v>519</v>
      </c>
      <c r="C80" s="55" t="s">
        <v>520</v>
      </c>
      <c r="D80" s="63">
        <v>43049</v>
      </c>
      <c r="E80" s="199">
        <v>200000</v>
      </c>
      <c r="F80" s="196">
        <f t="shared" si="8"/>
        <v>200000</v>
      </c>
      <c r="G80" s="59">
        <f t="shared" si="9"/>
        <v>200000</v>
      </c>
      <c r="H80" s="57">
        <v>0</v>
      </c>
      <c r="I80" s="60">
        <v>1</v>
      </c>
      <c r="J80" s="60">
        <v>1</v>
      </c>
      <c r="K80" s="33">
        <f t="shared" si="10"/>
        <v>200000</v>
      </c>
      <c r="L80" s="33">
        <f t="shared" si="11"/>
        <v>200000</v>
      </c>
      <c r="M80" s="200">
        <f t="shared" si="12"/>
        <v>200000</v>
      </c>
      <c r="N80" s="126"/>
      <c r="O80" s="197" t="s">
        <v>1747</v>
      </c>
      <c r="P80" s="48">
        <f t="shared" si="13"/>
        <v>200000</v>
      </c>
      <c r="Q80" s="40">
        <f>+'[1]dend dn2'!Z209</f>
        <v>200000</v>
      </c>
      <c r="R80" s="40">
        <f t="shared" si="14"/>
        <v>0</v>
      </c>
    </row>
    <row r="81" spans="1:18">
      <c r="A81" s="194">
        <f t="shared" si="15"/>
        <v>77</v>
      </c>
      <c r="B81" s="54" t="s">
        <v>519</v>
      </c>
      <c r="C81" s="55" t="s">
        <v>520</v>
      </c>
      <c r="D81" s="63">
        <v>43079</v>
      </c>
      <c r="E81" s="199">
        <v>200000</v>
      </c>
      <c r="F81" s="196">
        <f t="shared" si="8"/>
        <v>200000</v>
      </c>
      <c r="G81" s="59">
        <f t="shared" si="9"/>
        <v>200000</v>
      </c>
      <c r="H81" s="57">
        <v>0</v>
      </c>
      <c r="I81" s="60">
        <v>1</v>
      </c>
      <c r="J81" s="60">
        <v>1</v>
      </c>
      <c r="K81" s="33">
        <f t="shared" si="10"/>
        <v>200000</v>
      </c>
      <c r="L81" s="33">
        <f t="shared" si="11"/>
        <v>200000</v>
      </c>
      <c r="M81" s="200">
        <f t="shared" si="12"/>
        <v>200000</v>
      </c>
      <c r="N81" s="126"/>
      <c r="O81" s="197" t="s">
        <v>1748</v>
      </c>
      <c r="P81" s="48">
        <f t="shared" si="13"/>
        <v>200000</v>
      </c>
      <c r="Q81" s="40">
        <f>+'[1]dend dn2'!Z210</f>
        <v>200000</v>
      </c>
      <c r="R81" s="40">
        <f t="shared" si="14"/>
        <v>0</v>
      </c>
    </row>
    <row r="82" spans="1:18">
      <c r="A82" s="194">
        <f t="shared" si="15"/>
        <v>78</v>
      </c>
      <c r="B82" s="54" t="s">
        <v>519</v>
      </c>
      <c r="C82" s="55" t="s">
        <v>520</v>
      </c>
      <c r="D82" s="63">
        <v>43079</v>
      </c>
      <c r="E82" s="199">
        <v>200000</v>
      </c>
      <c r="F82" s="196">
        <f t="shared" si="8"/>
        <v>200000</v>
      </c>
      <c r="G82" s="59">
        <f t="shared" si="9"/>
        <v>200000</v>
      </c>
      <c r="H82" s="57">
        <v>0</v>
      </c>
      <c r="I82" s="60">
        <v>1</v>
      </c>
      <c r="J82" s="60">
        <v>1</v>
      </c>
      <c r="K82" s="33">
        <f t="shared" si="10"/>
        <v>200000</v>
      </c>
      <c r="L82" s="33">
        <f t="shared" si="11"/>
        <v>200000</v>
      </c>
      <c r="M82" s="200">
        <f t="shared" si="12"/>
        <v>200000</v>
      </c>
      <c r="N82" s="126"/>
      <c r="O82" s="197" t="s">
        <v>1748</v>
      </c>
      <c r="P82" s="48">
        <f t="shared" si="13"/>
        <v>200000</v>
      </c>
      <c r="Q82" s="40">
        <f>+'[1]dend dn2'!Z211</f>
        <v>200000</v>
      </c>
      <c r="R82" s="40">
        <f t="shared" si="14"/>
        <v>0</v>
      </c>
    </row>
    <row r="83" spans="1:18">
      <c r="A83" s="194">
        <f t="shared" si="15"/>
        <v>79</v>
      </c>
      <c r="B83" s="54" t="s">
        <v>519</v>
      </c>
      <c r="C83" s="55" t="s">
        <v>520</v>
      </c>
      <c r="D83" s="63">
        <v>43110</v>
      </c>
      <c r="E83" s="195">
        <v>200000</v>
      </c>
      <c r="F83" s="196">
        <f t="shared" si="8"/>
        <v>200000</v>
      </c>
      <c r="G83" s="59">
        <f t="shared" si="9"/>
        <v>200000</v>
      </c>
      <c r="H83" s="57">
        <v>0</v>
      </c>
      <c r="I83" s="60">
        <v>1</v>
      </c>
      <c r="J83" s="60">
        <v>1</v>
      </c>
      <c r="K83" s="33">
        <f t="shared" si="10"/>
        <v>200000</v>
      </c>
      <c r="L83" s="33">
        <f t="shared" si="11"/>
        <v>200000</v>
      </c>
      <c r="M83" s="200">
        <f t="shared" si="12"/>
        <v>200000</v>
      </c>
      <c r="N83" s="126"/>
      <c r="O83" s="197" t="s">
        <v>1749</v>
      </c>
      <c r="P83" s="48">
        <f t="shared" si="13"/>
        <v>200000</v>
      </c>
      <c r="Q83" s="40">
        <f>+'[1]dend dn2'!Z212</f>
        <v>200000</v>
      </c>
      <c r="R83" s="40">
        <f t="shared" si="14"/>
        <v>0</v>
      </c>
    </row>
    <row r="84" spans="1:18">
      <c r="A84" s="194">
        <f t="shared" si="15"/>
        <v>80</v>
      </c>
      <c r="B84" s="54" t="s">
        <v>519</v>
      </c>
      <c r="C84" s="55" t="s">
        <v>520</v>
      </c>
      <c r="D84" s="63">
        <v>43110</v>
      </c>
      <c r="E84" s="195">
        <v>200000</v>
      </c>
      <c r="F84" s="196">
        <f t="shared" si="8"/>
        <v>200000</v>
      </c>
      <c r="G84" s="59">
        <f t="shared" si="9"/>
        <v>200000</v>
      </c>
      <c r="H84" s="57">
        <v>0</v>
      </c>
      <c r="I84" s="60">
        <v>1</v>
      </c>
      <c r="J84" s="60">
        <v>1</v>
      </c>
      <c r="K84" s="33">
        <f t="shared" si="10"/>
        <v>200000</v>
      </c>
      <c r="L84" s="33">
        <f t="shared" si="11"/>
        <v>200000</v>
      </c>
      <c r="M84" s="200">
        <f t="shared" si="12"/>
        <v>200000</v>
      </c>
      <c r="N84" s="126"/>
      <c r="O84" s="197" t="s">
        <v>1749</v>
      </c>
      <c r="P84" s="48">
        <f t="shared" si="13"/>
        <v>200000</v>
      </c>
      <c r="Q84" s="40">
        <f>+'[1]dend dn2'!Z213</f>
        <v>200000</v>
      </c>
      <c r="R84" s="40">
        <f t="shared" si="14"/>
        <v>0</v>
      </c>
    </row>
    <row r="85" spans="1:18">
      <c r="A85" s="194">
        <f t="shared" si="15"/>
        <v>81</v>
      </c>
      <c r="B85" s="54" t="s">
        <v>811</v>
      </c>
      <c r="C85" s="55" t="s">
        <v>812</v>
      </c>
      <c r="D85" s="63">
        <v>42988</v>
      </c>
      <c r="E85" s="199">
        <v>77800</v>
      </c>
      <c r="F85" s="196">
        <f t="shared" si="8"/>
        <v>77800</v>
      </c>
      <c r="G85" s="59">
        <f t="shared" si="9"/>
        <v>77800</v>
      </c>
      <c r="H85" s="57">
        <v>0</v>
      </c>
      <c r="I85" s="60">
        <v>1</v>
      </c>
      <c r="J85" s="60">
        <v>1</v>
      </c>
      <c r="K85" s="33">
        <f t="shared" si="10"/>
        <v>77800</v>
      </c>
      <c r="L85" s="33">
        <f t="shared" si="11"/>
        <v>77800</v>
      </c>
      <c r="M85" s="33">
        <f t="shared" si="12"/>
        <v>77800</v>
      </c>
      <c r="N85" s="126"/>
      <c r="O85" s="197" t="s">
        <v>1745</v>
      </c>
      <c r="P85" s="48">
        <f t="shared" si="13"/>
        <v>77800</v>
      </c>
      <c r="Q85" s="40">
        <f>+'[1]dend dn2'!Z214</f>
        <v>77800</v>
      </c>
      <c r="R85" s="40">
        <f t="shared" si="14"/>
        <v>0</v>
      </c>
    </row>
    <row r="86" spans="1:18">
      <c r="A86" s="194">
        <f t="shared" si="15"/>
        <v>82</v>
      </c>
      <c r="B86" s="54" t="s">
        <v>811</v>
      </c>
      <c r="C86" s="55" t="s">
        <v>812</v>
      </c>
      <c r="D86" s="63">
        <v>43018</v>
      </c>
      <c r="E86" s="199">
        <v>77800</v>
      </c>
      <c r="F86" s="196">
        <f t="shared" si="8"/>
        <v>77800</v>
      </c>
      <c r="G86" s="59">
        <f t="shared" si="9"/>
        <v>77800</v>
      </c>
      <c r="H86" s="57">
        <v>0</v>
      </c>
      <c r="I86" s="60">
        <v>1</v>
      </c>
      <c r="J86" s="60">
        <v>1</v>
      </c>
      <c r="K86" s="33">
        <f t="shared" si="10"/>
        <v>77800</v>
      </c>
      <c r="L86" s="33">
        <f t="shared" si="11"/>
        <v>77800</v>
      </c>
      <c r="M86" s="33">
        <f t="shared" si="12"/>
        <v>77800</v>
      </c>
      <c r="N86" s="126"/>
      <c r="O86" s="197" t="s">
        <v>1746</v>
      </c>
      <c r="P86" s="48">
        <f t="shared" si="13"/>
        <v>77800</v>
      </c>
      <c r="Q86" s="40">
        <f>+'[1]dend dn2'!Z215</f>
        <v>77800</v>
      </c>
      <c r="R86" s="40">
        <f t="shared" si="14"/>
        <v>0</v>
      </c>
    </row>
    <row r="87" spans="1:18">
      <c r="A87" s="194">
        <f t="shared" si="15"/>
        <v>83</v>
      </c>
      <c r="B87" s="54" t="s">
        <v>811</v>
      </c>
      <c r="C87" s="55" t="s">
        <v>812</v>
      </c>
      <c r="D87" s="63">
        <v>43018</v>
      </c>
      <c r="E87" s="199">
        <v>77800</v>
      </c>
      <c r="F87" s="196">
        <f t="shared" si="8"/>
        <v>77800</v>
      </c>
      <c r="G87" s="59">
        <f t="shared" si="9"/>
        <v>77800</v>
      </c>
      <c r="H87" s="57">
        <v>0</v>
      </c>
      <c r="I87" s="60">
        <v>1</v>
      </c>
      <c r="J87" s="60">
        <v>1</v>
      </c>
      <c r="K87" s="33">
        <f t="shared" si="10"/>
        <v>77800</v>
      </c>
      <c r="L87" s="33">
        <f t="shared" si="11"/>
        <v>77800</v>
      </c>
      <c r="M87" s="33">
        <f t="shared" si="12"/>
        <v>77800</v>
      </c>
      <c r="N87" s="126"/>
      <c r="O87" s="197" t="s">
        <v>1746</v>
      </c>
      <c r="P87" s="48">
        <f t="shared" si="13"/>
        <v>77800</v>
      </c>
      <c r="Q87" s="40">
        <f>+'[1]dend dn2'!Z216</f>
        <v>77800</v>
      </c>
      <c r="R87" s="40">
        <f t="shared" si="14"/>
        <v>0</v>
      </c>
    </row>
    <row r="88" spans="1:18">
      <c r="A88" s="194">
        <f t="shared" si="15"/>
        <v>84</v>
      </c>
      <c r="B88" s="54" t="s">
        <v>811</v>
      </c>
      <c r="C88" s="55" t="s">
        <v>812</v>
      </c>
      <c r="D88" s="63">
        <v>43049</v>
      </c>
      <c r="E88" s="199">
        <v>77800</v>
      </c>
      <c r="F88" s="196">
        <f t="shared" si="8"/>
        <v>77800</v>
      </c>
      <c r="G88" s="59">
        <f t="shared" si="9"/>
        <v>77800</v>
      </c>
      <c r="H88" s="57">
        <v>0</v>
      </c>
      <c r="I88" s="60">
        <v>1</v>
      </c>
      <c r="J88" s="60">
        <v>1</v>
      </c>
      <c r="K88" s="33">
        <f t="shared" si="10"/>
        <v>77800</v>
      </c>
      <c r="L88" s="33">
        <f t="shared" si="11"/>
        <v>77800</v>
      </c>
      <c r="M88" s="200">
        <f t="shared" si="12"/>
        <v>77800</v>
      </c>
      <c r="N88" s="126"/>
      <c r="O88" s="197" t="s">
        <v>1747</v>
      </c>
      <c r="P88" s="48">
        <f t="shared" si="13"/>
        <v>77800</v>
      </c>
      <c r="Q88" s="40">
        <f>+'[1]dend dn2'!Z217</f>
        <v>77800</v>
      </c>
      <c r="R88" s="40">
        <f t="shared" si="14"/>
        <v>0</v>
      </c>
    </row>
    <row r="89" spans="1:18">
      <c r="A89" s="194">
        <f t="shared" si="15"/>
        <v>85</v>
      </c>
      <c r="B89" s="54" t="s">
        <v>811</v>
      </c>
      <c r="C89" s="55" t="s">
        <v>812</v>
      </c>
      <c r="D89" s="63">
        <v>43049</v>
      </c>
      <c r="E89" s="199">
        <v>77800</v>
      </c>
      <c r="F89" s="196">
        <f t="shared" si="8"/>
        <v>77800</v>
      </c>
      <c r="G89" s="59">
        <f t="shared" si="9"/>
        <v>77800</v>
      </c>
      <c r="H89" s="57">
        <v>0</v>
      </c>
      <c r="I89" s="60">
        <v>1</v>
      </c>
      <c r="J89" s="60">
        <v>1</v>
      </c>
      <c r="K89" s="33">
        <f t="shared" si="10"/>
        <v>77800</v>
      </c>
      <c r="L89" s="33">
        <f t="shared" si="11"/>
        <v>77800</v>
      </c>
      <c r="M89" s="200">
        <f t="shared" si="12"/>
        <v>77800</v>
      </c>
      <c r="N89" s="126"/>
      <c r="O89" s="197" t="s">
        <v>1747</v>
      </c>
      <c r="P89" s="48">
        <f t="shared" si="13"/>
        <v>77800</v>
      </c>
      <c r="Q89" s="40">
        <f>+'[1]dend dn2'!Z218</f>
        <v>77800</v>
      </c>
      <c r="R89" s="40">
        <f t="shared" si="14"/>
        <v>0</v>
      </c>
    </row>
    <row r="90" spans="1:18">
      <c r="A90" s="194">
        <f t="shared" si="15"/>
        <v>86</v>
      </c>
      <c r="B90" s="54" t="s">
        <v>811</v>
      </c>
      <c r="C90" s="55" t="s">
        <v>812</v>
      </c>
      <c r="D90" s="63">
        <v>43079</v>
      </c>
      <c r="E90" s="199">
        <v>77800</v>
      </c>
      <c r="F90" s="196">
        <f t="shared" si="8"/>
        <v>77800</v>
      </c>
      <c r="G90" s="59">
        <f t="shared" si="9"/>
        <v>77800</v>
      </c>
      <c r="H90" s="57">
        <v>0</v>
      </c>
      <c r="I90" s="60">
        <v>1</v>
      </c>
      <c r="J90" s="60">
        <v>1</v>
      </c>
      <c r="K90" s="33">
        <f t="shared" si="10"/>
        <v>77800</v>
      </c>
      <c r="L90" s="33">
        <f t="shared" si="11"/>
        <v>77800</v>
      </c>
      <c r="M90" s="200">
        <f t="shared" si="12"/>
        <v>77800</v>
      </c>
      <c r="N90" s="126"/>
      <c r="O90" s="197" t="s">
        <v>1748</v>
      </c>
      <c r="P90" s="48">
        <f t="shared" si="13"/>
        <v>77800</v>
      </c>
      <c r="Q90" s="40">
        <f>+'[1]dend dn2'!Z219</f>
        <v>77800</v>
      </c>
      <c r="R90" s="40">
        <f t="shared" si="14"/>
        <v>0</v>
      </c>
    </row>
    <row r="91" spans="1:18">
      <c r="A91" s="194">
        <f t="shared" si="15"/>
        <v>87</v>
      </c>
      <c r="B91" s="54" t="s">
        <v>811</v>
      </c>
      <c r="C91" s="55" t="s">
        <v>812</v>
      </c>
      <c r="D91" s="63">
        <v>43079</v>
      </c>
      <c r="E91" s="199">
        <v>77800</v>
      </c>
      <c r="F91" s="196">
        <f t="shared" si="8"/>
        <v>77800</v>
      </c>
      <c r="G91" s="59">
        <f t="shared" si="9"/>
        <v>77800</v>
      </c>
      <c r="H91" s="57">
        <v>0</v>
      </c>
      <c r="I91" s="60">
        <v>1</v>
      </c>
      <c r="J91" s="60">
        <v>1</v>
      </c>
      <c r="K91" s="33">
        <f t="shared" si="10"/>
        <v>77800</v>
      </c>
      <c r="L91" s="33">
        <f t="shared" si="11"/>
        <v>77800</v>
      </c>
      <c r="M91" s="200">
        <f t="shared" si="12"/>
        <v>77800</v>
      </c>
      <c r="N91" s="126"/>
      <c r="O91" s="197" t="s">
        <v>1748</v>
      </c>
      <c r="P91" s="48">
        <f t="shared" si="13"/>
        <v>77800</v>
      </c>
      <c r="Q91" s="40">
        <f>+'[1]dend dn2'!Z220</f>
        <v>77800</v>
      </c>
      <c r="R91" s="40">
        <f t="shared" si="14"/>
        <v>0</v>
      </c>
    </row>
    <row r="92" spans="1:18">
      <c r="A92" s="194">
        <f t="shared" si="15"/>
        <v>88</v>
      </c>
      <c r="B92" s="54" t="s">
        <v>811</v>
      </c>
      <c r="C92" s="55" t="s">
        <v>812</v>
      </c>
      <c r="D92" s="63">
        <v>43110</v>
      </c>
      <c r="E92" s="195">
        <v>77800</v>
      </c>
      <c r="F92" s="196">
        <f t="shared" si="8"/>
        <v>77800</v>
      </c>
      <c r="G92" s="59">
        <f t="shared" si="9"/>
        <v>77800</v>
      </c>
      <c r="H92" s="57">
        <v>0</v>
      </c>
      <c r="I92" s="60">
        <v>1</v>
      </c>
      <c r="J92" s="60">
        <v>1</v>
      </c>
      <c r="K92" s="33">
        <f t="shared" si="10"/>
        <v>77800</v>
      </c>
      <c r="L92" s="33">
        <f t="shared" si="11"/>
        <v>77800</v>
      </c>
      <c r="M92" s="200">
        <f t="shared" si="12"/>
        <v>77800</v>
      </c>
      <c r="N92" s="126"/>
      <c r="O92" s="197" t="s">
        <v>1749</v>
      </c>
      <c r="P92" s="48">
        <f t="shared" si="13"/>
        <v>77800</v>
      </c>
      <c r="Q92" s="40">
        <f>+'[1]dend dn2'!Z221</f>
        <v>77800</v>
      </c>
      <c r="R92" s="40">
        <f t="shared" si="14"/>
        <v>0</v>
      </c>
    </row>
    <row r="93" spans="1:18">
      <c r="A93" s="194">
        <f t="shared" si="15"/>
        <v>89</v>
      </c>
      <c r="B93" s="54" t="s">
        <v>811</v>
      </c>
      <c r="C93" s="55" t="s">
        <v>812</v>
      </c>
      <c r="D93" s="63">
        <v>43110</v>
      </c>
      <c r="E93" s="195">
        <v>77800</v>
      </c>
      <c r="F93" s="196">
        <f t="shared" si="8"/>
        <v>77800</v>
      </c>
      <c r="G93" s="59">
        <f t="shared" si="9"/>
        <v>77800</v>
      </c>
      <c r="H93" s="57">
        <v>0</v>
      </c>
      <c r="I93" s="60">
        <v>1</v>
      </c>
      <c r="J93" s="60">
        <v>1</v>
      </c>
      <c r="K93" s="33">
        <f t="shared" si="10"/>
        <v>77800</v>
      </c>
      <c r="L93" s="33">
        <f t="shared" si="11"/>
        <v>77800</v>
      </c>
      <c r="M93" s="200">
        <f t="shared" si="12"/>
        <v>77800</v>
      </c>
      <c r="N93" s="126"/>
      <c r="O93" s="197" t="s">
        <v>1749</v>
      </c>
      <c r="P93" s="48">
        <f t="shared" si="13"/>
        <v>77800</v>
      </c>
      <c r="Q93" s="40">
        <f>+'[1]dend dn2'!Z222</f>
        <v>77800</v>
      </c>
      <c r="R93" s="40">
        <f t="shared" si="14"/>
        <v>0</v>
      </c>
    </row>
    <row r="94" spans="1:18">
      <c r="A94" s="194">
        <f t="shared" si="15"/>
        <v>90</v>
      </c>
      <c r="B94" s="54" t="s">
        <v>834</v>
      </c>
      <c r="C94" s="55">
        <v>921578</v>
      </c>
      <c r="D94" s="63">
        <v>42410</v>
      </c>
      <c r="E94" s="203">
        <v>65000</v>
      </c>
      <c r="F94" s="196">
        <f t="shared" si="8"/>
        <v>65000</v>
      </c>
      <c r="G94" s="59">
        <f t="shared" si="9"/>
        <v>65000</v>
      </c>
      <c r="H94" s="57">
        <v>0</v>
      </c>
      <c r="I94" s="60">
        <v>1</v>
      </c>
      <c r="J94" s="60">
        <v>1</v>
      </c>
      <c r="K94" s="33">
        <f t="shared" si="10"/>
        <v>65000</v>
      </c>
      <c r="L94" s="33">
        <f t="shared" si="11"/>
        <v>65000</v>
      </c>
      <c r="M94" s="33">
        <f t="shared" si="12"/>
        <v>65000</v>
      </c>
      <c r="N94" s="126"/>
      <c r="O94" s="30" t="s">
        <v>1761</v>
      </c>
      <c r="P94" s="48">
        <f t="shared" si="13"/>
        <v>65000</v>
      </c>
      <c r="Q94" s="40">
        <f>+'[1]dend dn2'!Z223</f>
        <v>65000</v>
      </c>
      <c r="R94" s="40">
        <f t="shared" si="14"/>
        <v>0</v>
      </c>
    </row>
    <row r="95" spans="1:18">
      <c r="A95" s="194">
        <f t="shared" si="15"/>
        <v>91</v>
      </c>
      <c r="B95" s="54" t="s">
        <v>834</v>
      </c>
      <c r="C95" s="55">
        <v>921578</v>
      </c>
      <c r="D95" s="63">
        <v>42439</v>
      </c>
      <c r="E95" s="203">
        <v>65000</v>
      </c>
      <c r="F95" s="196">
        <f t="shared" si="8"/>
        <v>65000</v>
      </c>
      <c r="G95" s="59">
        <f t="shared" si="9"/>
        <v>65000</v>
      </c>
      <c r="H95" s="57">
        <v>0</v>
      </c>
      <c r="I95" s="60">
        <v>1</v>
      </c>
      <c r="J95" s="60">
        <v>1</v>
      </c>
      <c r="K95" s="33">
        <f t="shared" si="10"/>
        <v>65000</v>
      </c>
      <c r="L95" s="33">
        <f t="shared" si="11"/>
        <v>65000</v>
      </c>
      <c r="M95" s="33">
        <f t="shared" si="12"/>
        <v>65000</v>
      </c>
      <c r="N95" s="126"/>
      <c r="O95" s="30" t="s">
        <v>1762</v>
      </c>
      <c r="P95" s="48">
        <f t="shared" si="13"/>
        <v>65000</v>
      </c>
      <c r="Q95" s="40">
        <f>+'[1]dend dn2'!Z224</f>
        <v>65000</v>
      </c>
      <c r="R95" s="40">
        <f t="shared" si="14"/>
        <v>0</v>
      </c>
    </row>
    <row r="96" spans="1:18">
      <c r="A96" s="194">
        <f t="shared" si="15"/>
        <v>92</v>
      </c>
      <c r="B96" s="54" t="s">
        <v>834</v>
      </c>
      <c r="C96" s="55">
        <v>921578</v>
      </c>
      <c r="D96" s="63">
        <v>42470</v>
      </c>
      <c r="E96" s="204">
        <v>65000</v>
      </c>
      <c r="F96" s="196">
        <f t="shared" si="8"/>
        <v>65000</v>
      </c>
      <c r="G96" s="59">
        <f t="shared" si="9"/>
        <v>65000</v>
      </c>
      <c r="H96" s="57">
        <v>0</v>
      </c>
      <c r="I96" s="60">
        <v>1</v>
      </c>
      <c r="J96" s="60">
        <v>1</v>
      </c>
      <c r="K96" s="33">
        <f t="shared" si="10"/>
        <v>65000</v>
      </c>
      <c r="L96" s="33">
        <f t="shared" si="11"/>
        <v>65000</v>
      </c>
      <c r="M96" s="33">
        <f t="shared" si="12"/>
        <v>65000</v>
      </c>
      <c r="N96" s="126"/>
      <c r="O96" s="30" t="s">
        <v>1763</v>
      </c>
      <c r="P96" s="48">
        <f t="shared" si="13"/>
        <v>65000</v>
      </c>
      <c r="Q96" s="40">
        <f>+'[1]dend dn2'!Z225</f>
        <v>65000</v>
      </c>
      <c r="R96" s="40">
        <f t="shared" si="14"/>
        <v>0</v>
      </c>
    </row>
    <row r="97" spans="1:18">
      <c r="A97" s="194">
        <f t="shared" si="15"/>
        <v>93</v>
      </c>
      <c r="B97" s="54" t="s">
        <v>834</v>
      </c>
      <c r="C97" s="55">
        <v>921578</v>
      </c>
      <c r="D97" s="202">
        <v>42531</v>
      </c>
      <c r="E97" s="203">
        <v>65000</v>
      </c>
      <c r="F97" s="196">
        <f t="shared" si="8"/>
        <v>65000</v>
      </c>
      <c r="G97" s="59">
        <f t="shared" si="9"/>
        <v>65000</v>
      </c>
      <c r="H97" s="57">
        <v>0</v>
      </c>
      <c r="I97" s="60">
        <v>1</v>
      </c>
      <c r="J97" s="60">
        <v>1</v>
      </c>
      <c r="K97" s="33">
        <f t="shared" si="10"/>
        <v>65000</v>
      </c>
      <c r="L97" s="33">
        <f t="shared" si="11"/>
        <v>65000</v>
      </c>
      <c r="M97" s="33">
        <f t="shared" si="12"/>
        <v>65000</v>
      </c>
      <c r="N97" s="126"/>
      <c r="O97" s="30" t="s">
        <v>1757</v>
      </c>
      <c r="P97" s="48">
        <f t="shared" si="13"/>
        <v>65000</v>
      </c>
      <c r="Q97" s="40">
        <f>+'[1]dend dn2'!Z226</f>
        <v>65000</v>
      </c>
      <c r="R97" s="40">
        <f t="shared" si="14"/>
        <v>0</v>
      </c>
    </row>
    <row r="98" spans="1:18">
      <c r="A98" s="194">
        <f t="shared" si="15"/>
        <v>94</v>
      </c>
      <c r="B98" s="54" t="s">
        <v>834</v>
      </c>
      <c r="C98" s="55">
        <v>921578</v>
      </c>
      <c r="D98" s="202">
        <v>42561</v>
      </c>
      <c r="E98" s="203">
        <v>65000</v>
      </c>
      <c r="F98" s="196">
        <f t="shared" si="8"/>
        <v>65000</v>
      </c>
      <c r="G98" s="59">
        <f t="shared" si="9"/>
        <v>65000</v>
      </c>
      <c r="H98" s="57">
        <v>0</v>
      </c>
      <c r="I98" s="60">
        <v>1</v>
      </c>
      <c r="J98" s="60">
        <v>1</v>
      </c>
      <c r="K98" s="33">
        <f t="shared" si="10"/>
        <v>65000</v>
      </c>
      <c r="L98" s="33">
        <f t="shared" si="11"/>
        <v>65000</v>
      </c>
      <c r="M98" s="33">
        <f t="shared" si="12"/>
        <v>65000</v>
      </c>
      <c r="N98" s="126"/>
      <c r="O98" s="30" t="s">
        <v>1758</v>
      </c>
      <c r="P98" s="48">
        <f t="shared" si="13"/>
        <v>65000</v>
      </c>
      <c r="Q98" s="40">
        <f>+'[1]dend dn2'!Z227</f>
        <v>65000</v>
      </c>
      <c r="R98" s="40">
        <f t="shared" si="14"/>
        <v>0</v>
      </c>
    </row>
    <row r="99" spans="1:18">
      <c r="A99" s="194">
        <f t="shared" si="15"/>
        <v>95</v>
      </c>
      <c r="B99" s="54" t="s">
        <v>834</v>
      </c>
      <c r="C99" s="55">
        <v>921578</v>
      </c>
      <c r="D99" s="202">
        <v>42592</v>
      </c>
      <c r="E99" s="204">
        <v>65000</v>
      </c>
      <c r="F99" s="196">
        <f t="shared" si="8"/>
        <v>65000</v>
      </c>
      <c r="G99" s="59">
        <f t="shared" si="9"/>
        <v>65000</v>
      </c>
      <c r="H99" s="57">
        <v>0</v>
      </c>
      <c r="I99" s="60">
        <v>1</v>
      </c>
      <c r="J99" s="60">
        <v>1</v>
      </c>
      <c r="K99" s="33">
        <f t="shared" si="10"/>
        <v>65000</v>
      </c>
      <c r="L99" s="33">
        <f t="shared" si="11"/>
        <v>65000</v>
      </c>
      <c r="M99" s="33">
        <f t="shared" si="12"/>
        <v>65000</v>
      </c>
      <c r="N99" s="126"/>
      <c r="O99" s="30" t="s">
        <v>1759</v>
      </c>
      <c r="P99" s="48">
        <f t="shared" si="13"/>
        <v>65000</v>
      </c>
      <c r="Q99" s="40">
        <f>+'[1]dend dn2'!Z228</f>
        <v>65000</v>
      </c>
      <c r="R99" s="40">
        <f t="shared" si="14"/>
        <v>0</v>
      </c>
    </row>
    <row r="100" spans="1:18">
      <c r="A100" s="194">
        <f t="shared" si="15"/>
        <v>96</v>
      </c>
      <c r="B100" s="54" t="s">
        <v>834</v>
      </c>
      <c r="C100" s="55">
        <v>921578</v>
      </c>
      <c r="D100" s="202">
        <v>42623</v>
      </c>
      <c r="E100" s="204">
        <v>65000</v>
      </c>
      <c r="F100" s="196">
        <f t="shared" si="8"/>
        <v>65000</v>
      </c>
      <c r="G100" s="59">
        <f t="shared" si="9"/>
        <v>65000</v>
      </c>
      <c r="H100" s="57">
        <v>0</v>
      </c>
      <c r="I100" s="60">
        <v>1</v>
      </c>
      <c r="J100" s="60">
        <v>1</v>
      </c>
      <c r="K100" s="33">
        <f t="shared" si="10"/>
        <v>65000</v>
      </c>
      <c r="L100" s="33">
        <f t="shared" si="11"/>
        <v>65000</v>
      </c>
      <c r="M100" s="33">
        <f t="shared" si="12"/>
        <v>65000</v>
      </c>
      <c r="N100" s="126"/>
      <c r="O100" s="30" t="s">
        <v>1760</v>
      </c>
      <c r="P100" s="48">
        <f t="shared" si="13"/>
        <v>65000</v>
      </c>
      <c r="Q100" s="40">
        <f>+'[1]dend dn2'!Z229</f>
        <v>65000</v>
      </c>
      <c r="R100" s="40">
        <f t="shared" si="14"/>
        <v>0</v>
      </c>
    </row>
    <row r="101" spans="1:18">
      <c r="A101" s="194">
        <f t="shared" si="15"/>
        <v>97</v>
      </c>
      <c r="B101" s="54" t="s">
        <v>834</v>
      </c>
      <c r="C101" s="55">
        <v>921578</v>
      </c>
      <c r="D101" s="202">
        <v>42653</v>
      </c>
      <c r="E101" s="203">
        <v>65000</v>
      </c>
      <c r="F101" s="196">
        <f t="shared" si="8"/>
        <v>65000</v>
      </c>
      <c r="G101" s="59">
        <f t="shared" si="9"/>
        <v>65000</v>
      </c>
      <c r="H101" s="57">
        <v>0</v>
      </c>
      <c r="I101" s="60">
        <v>1</v>
      </c>
      <c r="J101" s="60">
        <v>1</v>
      </c>
      <c r="K101" s="33">
        <f t="shared" si="10"/>
        <v>65000</v>
      </c>
      <c r="L101" s="33">
        <f t="shared" si="11"/>
        <v>65000</v>
      </c>
      <c r="M101" s="33">
        <f t="shared" si="12"/>
        <v>65000</v>
      </c>
      <c r="N101" s="126"/>
      <c r="O101" s="30" t="s">
        <v>1751</v>
      </c>
      <c r="P101" s="48">
        <f t="shared" si="13"/>
        <v>65000</v>
      </c>
      <c r="Q101" s="40">
        <f>+'[1]dend dn2'!Z230</f>
        <v>65000</v>
      </c>
      <c r="R101" s="40">
        <f t="shared" si="14"/>
        <v>0</v>
      </c>
    </row>
    <row r="102" spans="1:18">
      <c r="A102" s="194">
        <f t="shared" si="15"/>
        <v>98</v>
      </c>
      <c r="B102" s="54" t="s">
        <v>834</v>
      </c>
      <c r="C102" s="55">
        <v>921578</v>
      </c>
      <c r="D102" s="202">
        <v>42684</v>
      </c>
      <c r="E102" s="204">
        <v>65000</v>
      </c>
      <c r="F102" s="196">
        <f t="shared" si="8"/>
        <v>65000</v>
      </c>
      <c r="G102" s="59">
        <f t="shared" si="9"/>
        <v>65000</v>
      </c>
      <c r="H102" s="57">
        <v>0</v>
      </c>
      <c r="I102" s="60">
        <v>1</v>
      </c>
      <c r="J102" s="60">
        <v>1</v>
      </c>
      <c r="K102" s="33">
        <f t="shared" si="10"/>
        <v>65000</v>
      </c>
      <c r="L102" s="33">
        <f t="shared" si="11"/>
        <v>65000</v>
      </c>
      <c r="M102" s="33">
        <f t="shared" si="12"/>
        <v>65000</v>
      </c>
      <c r="N102" s="126"/>
      <c r="O102" s="30" t="s">
        <v>1752</v>
      </c>
      <c r="P102" s="48">
        <f t="shared" si="13"/>
        <v>65000</v>
      </c>
      <c r="Q102" s="40">
        <f>+'[1]dend dn2'!Z231</f>
        <v>65000</v>
      </c>
      <c r="R102" s="40">
        <f t="shared" si="14"/>
        <v>0</v>
      </c>
    </row>
    <row r="103" spans="1:18">
      <c r="A103" s="194">
        <f t="shared" si="15"/>
        <v>99</v>
      </c>
      <c r="B103" s="54" t="s">
        <v>834</v>
      </c>
      <c r="C103" s="55">
        <v>921578</v>
      </c>
      <c r="D103" s="63">
        <v>42745</v>
      </c>
      <c r="E103" s="204">
        <v>65000</v>
      </c>
      <c r="F103" s="196">
        <f t="shared" si="8"/>
        <v>65000</v>
      </c>
      <c r="G103" s="59">
        <f t="shared" si="9"/>
        <v>65000</v>
      </c>
      <c r="H103" s="57">
        <v>0</v>
      </c>
      <c r="I103" s="60">
        <v>1</v>
      </c>
      <c r="J103" s="60">
        <v>1</v>
      </c>
      <c r="K103" s="33">
        <f t="shared" si="10"/>
        <v>65000</v>
      </c>
      <c r="L103" s="33">
        <f t="shared" si="11"/>
        <v>65000</v>
      </c>
      <c r="M103" s="33">
        <f t="shared" si="12"/>
        <v>65000</v>
      </c>
      <c r="N103" s="126"/>
      <c r="O103" s="30" t="s">
        <v>1754</v>
      </c>
      <c r="P103" s="48">
        <f t="shared" si="13"/>
        <v>65000</v>
      </c>
      <c r="Q103" s="40">
        <f>+'[1]dend dn2'!Z232</f>
        <v>65000</v>
      </c>
      <c r="R103" s="40">
        <f t="shared" si="14"/>
        <v>0</v>
      </c>
    </row>
    <row r="104" spans="1:18">
      <c r="A104" s="194">
        <f t="shared" si="15"/>
        <v>100</v>
      </c>
      <c r="B104" s="54" t="s">
        <v>834</v>
      </c>
      <c r="C104" s="55">
        <v>921578</v>
      </c>
      <c r="D104" s="63">
        <v>42776</v>
      </c>
      <c r="E104" s="203">
        <v>65000</v>
      </c>
      <c r="F104" s="196">
        <f t="shared" si="8"/>
        <v>65000</v>
      </c>
      <c r="G104" s="59">
        <f t="shared" si="9"/>
        <v>65000</v>
      </c>
      <c r="H104" s="57">
        <v>0</v>
      </c>
      <c r="I104" s="60">
        <v>1</v>
      </c>
      <c r="J104" s="60">
        <v>1</v>
      </c>
      <c r="K104" s="33">
        <f t="shared" si="10"/>
        <v>65000</v>
      </c>
      <c r="L104" s="33">
        <f t="shared" si="11"/>
        <v>65000</v>
      </c>
      <c r="M104" s="33">
        <f t="shared" si="12"/>
        <v>65000</v>
      </c>
      <c r="N104" s="126"/>
      <c r="O104" s="197" t="s">
        <v>1755</v>
      </c>
      <c r="P104" s="48">
        <f t="shared" si="13"/>
        <v>65000</v>
      </c>
      <c r="Q104" s="40">
        <f>+'[1]dend dn2'!Z233</f>
        <v>65000</v>
      </c>
      <c r="R104" s="40">
        <f t="shared" si="14"/>
        <v>0</v>
      </c>
    </row>
    <row r="105" spans="1:18">
      <c r="A105" s="194">
        <f t="shared" si="15"/>
        <v>101</v>
      </c>
      <c r="B105" s="54" t="s">
        <v>834</v>
      </c>
      <c r="C105" s="55">
        <v>921578</v>
      </c>
      <c r="D105" s="63">
        <v>42804</v>
      </c>
      <c r="E105" s="203">
        <v>65000</v>
      </c>
      <c r="F105" s="196">
        <f t="shared" si="8"/>
        <v>65000</v>
      </c>
      <c r="G105" s="59">
        <f t="shared" si="9"/>
        <v>65000</v>
      </c>
      <c r="H105" s="57">
        <v>0</v>
      </c>
      <c r="I105" s="60">
        <v>1</v>
      </c>
      <c r="J105" s="60">
        <v>1</v>
      </c>
      <c r="K105" s="33">
        <f t="shared" si="10"/>
        <v>65000</v>
      </c>
      <c r="L105" s="33">
        <f t="shared" si="11"/>
        <v>65000</v>
      </c>
      <c r="M105" s="33">
        <f t="shared" si="12"/>
        <v>65000</v>
      </c>
      <c r="N105" s="126"/>
      <c r="O105" s="197" t="s">
        <v>1750</v>
      </c>
      <c r="P105" s="48">
        <f t="shared" si="13"/>
        <v>65000</v>
      </c>
      <c r="Q105" s="40">
        <f>+'[1]dend dn2'!Z234</f>
        <v>65000</v>
      </c>
      <c r="R105" s="40">
        <f t="shared" si="14"/>
        <v>0</v>
      </c>
    </row>
    <row r="106" spans="1:18">
      <c r="A106" s="194">
        <f t="shared" si="15"/>
        <v>102</v>
      </c>
      <c r="B106" s="54" t="s">
        <v>834</v>
      </c>
      <c r="C106" s="55">
        <v>921578</v>
      </c>
      <c r="D106" s="63">
        <v>42835</v>
      </c>
      <c r="E106" s="203">
        <v>65000</v>
      </c>
      <c r="F106" s="196">
        <f t="shared" si="8"/>
        <v>65000</v>
      </c>
      <c r="G106" s="59">
        <f t="shared" si="9"/>
        <v>65000</v>
      </c>
      <c r="H106" s="57">
        <v>0</v>
      </c>
      <c r="I106" s="60">
        <v>1</v>
      </c>
      <c r="J106" s="60">
        <v>1</v>
      </c>
      <c r="K106" s="33">
        <f t="shared" si="10"/>
        <v>65000</v>
      </c>
      <c r="L106" s="33">
        <f t="shared" si="11"/>
        <v>65000</v>
      </c>
      <c r="M106" s="33">
        <f t="shared" si="12"/>
        <v>65000</v>
      </c>
      <c r="N106" s="126"/>
      <c r="O106" s="197" t="s">
        <v>1750</v>
      </c>
      <c r="P106" s="48">
        <f t="shared" si="13"/>
        <v>65000</v>
      </c>
      <c r="Q106" s="40">
        <f>+'[1]dend dn2'!Z235</f>
        <v>65000</v>
      </c>
      <c r="R106" s="40">
        <f t="shared" si="14"/>
        <v>0</v>
      </c>
    </row>
    <row r="107" spans="1:18">
      <c r="A107" s="194">
        <f t="shared" si="15"/>
        <v>103</v>
      </c>
      <c r="B107" s="54" t="s">
        <v>834</v>
      </c>
      <c r="C107" s="55">
        <v>921578</v>
      </c>
      <c r="D107" s="63">
        <v>42865</v>
      </c>
      <c r="E107" s="195">
        <v>65000</v>
      </c>
      <c r="F107" s="196">
        <f t="shared" si="8"/>
        <v>65000</v>
      </c>
      <c r="G107" s="59">
        <f t="shared" si="9"/>
        <v>65000</v>
      </c>
      <c r="H107" s="57">
        <v>0</v>
      </c>
      <c r="I107" s="60">
        <v>1</v>
      </c>
      <c r="J107" s="60">
        <v>1</v>
      </c>
      <c r="K107" s="33">
        <f t="shared" si="10"/>
        <v>65000</v>
      </c>
      <c r="L107" s="33">
        <f t="shared" si="11"/>
        <v>65000</v>
      </c>
      <c r="M107" s="33">
        <f t="shared" si="12"/>
        <v>65000</v>
      </c>
      <c r="N107" s="126"/>
      <c r="O107" s="197" t="s">
        <v>1756</v>
      </c>
      <c r="P107" s="48">
        <f t="shared" si="13"/>
        <v>65000</v>
      </c>
      <c r="Q107" s="40">
        <f>+'[1]dend dn2'!Z236</f>
        <v>65000</v>
      </c>
      <c r="R107" s="40">
        <f t="shared" si="14"/>
        <v>0</v>
      </c>
    </row>
    <row r="108" spans="1:18">
      <c r="A108" s="194">
        <f t="shared" si="15"/>
        <v>104</v>
      </c>
      <c r="B108" s="54" t="s">
        <v>834</v>
      </c>
      <c r="C108" s="55">
        <v>921578</v>
      </c>
      <c r="D108" s="63">
        <v>42896</v>
      </c>
      <c r="E108" s="195">
        <v>65000</v>
      </c>
      <c r="F108" s="196">
        <f t="shared" si="8"/>
        <v>65000</v>
      </c>
      <c r="G108" s="59">
        <f t="shared" si="9"/>
        <v>65000</v>
      </c>
      <c r="H108" s="57">
        <v>0</v>
      </c>
      <c r="I108" s="60">
        <v>1</v>
      </c>
      <c r="J108" s="60">
        <v>1</v>
      </c>
      <c r="K108" s="33">
        <f t="shared" si="10"/>
        <v>65000</v>
      </c>
      <c r="L108" s="33">
        <f t="shared" si="11"/>
        <v>65000</v>
      </c>
      <c r="M108" s="33">
        <f t="shared" si="12"/>
        <v>65000</v>
      </c>
      <c r="N108" s="126"/>
      <c r="O108" s="197" t="s">
        <v>1742</v>
      </c>
      <c r="P108" s="48">
        <f t="shared" si="13"/>
        <v>65000</v>
      </c>
      <c r="Q108" s="40">
        <f>+'[1]dend dn2'!Z237</f>
        <v>65000</v>
      </c>
      <c r="R108" s="40">
        <f t="shared" si="14"/>
        <v>0</v>
      </c>
    </row>
    <row r="109" spans="1:18">
      <c r="A109" s="194">
        <f t="shared" si="15"/>
        <v>105</v>
      </c>
      <c r="B109" s="54" t="s">
        <v>834</v>
      </c>
      <c r="C109" s="55">
        <v>921578</v>
      </c>
      <c r="D109" s="63">
        <v>42926</v>
      </c>
      <c r="E109" s="195">
        <v>65000</v>
      </c>
      <c r="F109" s="196">
        <f t="shared" si="8"/>
        <v>65000</v>
      </c>
      <c r="G109" s="59">
        <f t="shared" si="9"/>
        <v>65000</v>
      </c>
      <c r="H109" s="57">
        <v>0</v>
      </c>
      <c r="I109" s="60">
        <v>1</v>
      </c>
      <c r="J109" s="60">
        <v>1</v>
      </c>
      <c r="K109" s="33">
        <f t="shared" si="10"/>
        <v>65000</v>
      </c>
      <c r="L109" s="33">
        <f t="shared" si="11"/>
        <v>65000</v>
      </c>
      <c r="M109" s="33">
        <f t="shared" si="12"/>
        <v>65000</v>
      </c>
      <c r="N109" s="126"/>
      <c r="O109" s="197" t="s">
        <v>1743</v>
      </c>
      <c r="P109" s="48">
        <f t="shared" si="13"/>
        <v>65000</v>
      </c>
      <c r="Q109" s="40">
        <f>+'[1]dend dn2'!Z238</f>
        <v>65000</v>
      </c>
      <c r="R109" s="40">
        <f t="shared" si="14"/>
        <v>0</v>
      </c>
    </row>
    <row r="110" spans="1:18">
      <c r="A110" s="194">
        <f t="shared" si="15"/>
        <v>106</v>
      </c>
      <c r="B110" s="54" t="s">
        <v>834</v>
      </c>
      <c r="C110" s="55">
        <v>921578</v>
      </c>
      <c r="D110" s="63">
        <v>42957</v>
      </c>
      <c r="E110" s="195">
        <v>65000</v>
      </c>
      <c r="F110" s="196">
        <f t="shared" si="8"/>
        <v>65000</v>
      </c>
      <c r="G110" s="59">
        <f t="shared" si="9"/>
        <v>65000</v>
      </c>
      <c r="H110" s="57">
        <v>0</v>
      </c>
      <c r="I110" s="60">
        <v>1</v>
      </c>
      <c r="J110" s="60">
        <v>1</v>
      </c>
      <c r="K110" s="33">
        <f t="shared" si="10"/>
        <v>65000</v>
      </c>
      <c r="L110" s="33">
        <f t="shared" si="11"/>
        <v>65000</v>
      </c>
      <c r="M110" s="33">
        <f t="shared" si="12"/>
        <v>65000</v>
      </c>
      <c r="N110" s="126"/>
      <c r="O110" s="197" t="s">
        <v>1744</v>
      </c>
      <c r="P110" s="48">
        <f t="shared" si="13"/>
        <v>65000</v>
      </c>
      <c r="Q110" s="40">
        <f>+'[1]dend dn2'!Z239</f>
        <v>65000</v>
      </c>
      <c r="R110" s="40">
        <f t="shared" si="14"/>
        <v>0</v>
      </c>
    </row>
    <row r="111" spans="1:18">
      <c r="A111" s="194">
        <f t="shared" si="15"/>
        <v>107</v>
      </c>
      <c r="B111" s="54" t="s">
        <v>834</v>
      </c>
      <c r="C111" s="55">
        <v>921578</v>
      </c>
      <c r="D111" s="63">
        <v>43018</v>
      </c>
      <c r="E111" s="199">
        <v>65000</v>
      </c>
      <c r="F111" s="196">
        <f t="shared" si="8"/>
        <v>65000</v>
      </c>
      <c r="G111" s="59">
        <f t="shared" si="9"/>
        <v>65000</v>
      </c>
      <c r="H111" s="57">
        <v>0</v>
      </c>
      <c r="I111" s="60">
        <v>1</v>
      </c>
      <c r="J111" s="60">
        <v>1</v>
      </c>
      <c r="K111" s="33">
        <f t="shared" si="10"/>
        <v>65000</v>
      </c>
      <c r="L111" s="33">
        <f t="shared" si="11"/>
        <v>65000</v>
      </c>
      <c r="M111" s="33">
        <f t="shared" si="12"/>
        <v>65000</v>
      </c>
      <c r="N111" s="126"/>
      <c r="O111" s="197" t="s">
        <v>1746</v>
      </c>
      <c r="P111" s="48">
        <f t="shared" si="13"/>
        <v>65000</v>
      </c>
      <c r="Q111" s="40">
        <f>+'[1]dend dn2'!Z240</f>
        <v>65000</v>
      </c>
      <c r="R111" s="40">
        <f t="shared" si="14"/>
        <v>0</v>
      </c>
    </row>
    <row r="112" spans="1:18">
      <c r="A112" s="194">
        <f t="shared" si="15"/>
        <v>108</v>
      </c>
      <c r="B112" s="54" t="s">
        <v>834</v>
      </c>
      <c r="C112" s="55">
        <v>921578</v>
      </c>
      <c r="D112" s="63">
        <v>43110</v>
      </c>
      <c r="E112" s="195">
        <v>65000</v>
      </c>
      <c r="F112" s="196">
        <f t="shared" si="8"/>
        <v>65000</v>
      </c>
      <c r="G112" s="59">
        <f t="shared" si="9"/>
        <v>65000</v>
      </c>
      <c r="H112" s="57">
        <v>0</v>
      </c>
      <c r="I112" s="60">
        <v>1</v>
      </c>
      <c r="J112" s="60">
        <v>1</v>
      </c>
      <c r="K112" s="33">
        <f t="shared" si="10"/>
        <v>65000</v>
      </c>
      <c r="L112" s="33">
        <f t="shared" si="11"/>
        <v>65000</v>
      </c>
      <c r="M112" s="200">
        <f t="shared" si="12"/>
        <v>65000</v>
      </c>
      <c r="N112" s="126"/>
      <c r="O112" s="197" t="s">
        <v>1749</v>
      </c>
      <c r="P112" s="48">
        <f t="shared" si="13"/>
        <v>65000</v>
      </c>
      <c r="Q112" s="40">
        <f>+'[1]dend dn2'!Z241</f>
        <v>65000</v>
      </c>
      <c r="R112" s="40">
        <f t="shared" si="14"/>
        <v>0</v>
      </c>
    </row>
    <row r="113" spans="1:18">
      <c r="A113" s="194">
        <f t="shared" si="15"/>
        <v>109</v>
      </c>
      <c r="B113" s="54" t="s">
        <v>958</v>
      </c>
      <c r="C113" s="55" t="s">
        <v>959</v>
      </c>
      <c r="D113" s="63">
        <v>42926</v>
      </c>
      <c r="E113" s="195">
        <v>67500</v>
      </c>
      <c r="F113" s="196">
        <f t="shared" si="8"/>
        <v>67500</v>
      </c>
      <c r="G113" s="59">
        <f t="shared" si="9"/>
        <v>67500</v>
      </c>
      <c r="H113" s="57">
        <v>0</v>
      </c>
      <c r="I113" s="60">
        <v>1</v>
      </c>
      <c r="J113" s="60">
        <v>1</v>
      </c>
      <c r="K113" s="33">
        <f t="shared" si="10"/>
        <v>67500</v>
      </c>
      <c r="L113" s="33">
        <f t="shared" si="11"/>
        <v>67500</v>
      </c>
      <c r="M113" s="33">
        <f t="shared" si="12"/>
        <v>67500</v>
      </c>
      <c r="N113" s="126"/>
      <c r="O113" s="197" t="s">
        <v>1743</v>
      </c>
      <c r="P113" s="48">
        <f t="shared" si="13"/>
        <v>67500</v>
      </c>
      <c r="Q113" s="40">
        <f>+'[1]dend dn2'!Z242</f>
        <v>67500</v>
      </c>
      <c r="R113" s="40">
        <f t="shared" si="14"/>
        <v>0</v>
      </c>
    </row>
    <row r="114" spans="1:18">
      <c r="A114" s="194">
        <f t="shared" si="15"/>
        <v>110</v>
      </c>
      <c r="B114" s="54" t="s">
        <v>958</v>
      </c>
      <c r="C114" s="55" t="s">
        <v>959</v>
      </c>
      <c r="D114" s="63">
        <v>42957</v>
      </c>
      <c r="E114" s="195">
        <v>67500</v>
      </c>
      <c r="F114" s="196">
        <f t="shared" si="8"/>
        <v>67500</v>
      </c>
      <c r="G114" s="59">
        <f t="shared" si="9"/>
        <v>67500</v>
      </c>
      <c r="H114" s="57">
        <v>0</v>
      </c>
      <c r="I114" s="60">
        <v>1</v>
      </c>
      <c r="J114" s="60">
        <v>1</v>
      </c>
      <c r="K114" s="33">
        <f t="shared" si="10"/>
        <v>67500</v>
      </c>
      <c r="L114" s="33">
        <f t="shared" si="11"/>
        <v>67500</v>
      </c>
      <c r="M114" s="33">
        <f t="shared" si="12"/>
        <v>67500</v>
      </c>
      <c r="N114" s="126"/>
      <c r="O114" s="197" t="s">
        <v>1744</v>
      </c>
      <c r="P114" s="48">
        <f t="shared" si="13"/>
        <v>67500</v>
      </c>
      <c r="Q114" s="40">
        <f>+'[1]dend dn2'!Z243</f>
        <v>67500</v>
      </c>
      <c r="R114" s="40">
        <f t="shared" si="14"/>
        <v>0</v>
      </c>
    </row>
    <row r="115" spans="1:18">
      <c r="A115" s="194">
        <f t="shared" si="15"/>
        <v>111</v>
      </c>
      <c r="B115" s="54" t="s">
        <v>958</v>
      </c>
      <c r="C115" s="55" t="s">
        <v>959</v>
      </c>
      <c r="D115" s="63">
        <v>42957</v>
      </c>
      <c r="E115" s="195">
        <v>67500</v>
      </c>
      <c r="F115" s="196">
        <f t="shared" si="8"/>
        <v>67500</v>
      </c>
      <c r="G115" s="59">
        <f t="shared" si="9"/>
        <v>67500</v>
      </c>
      <c r="H115" s="57">
        <v>0</v>
      </c>
      <c r="I115" s="60">
        <v>1</v>
      </c>
      <c r="J115" s="60">
        <v>1</v>
      </c>
      <c r="K115" s="33">
        <f t="shared" si="10"/>
        <v>67500</v>
      </c>
      <c r="L115" s="33">
        <f t="shared" si="11"/>
        <v>67500</v>
      </c>
      <c r="M115" s="33">
        <f t="shared" si="12"/>
        <v>67500</v>
      </c>
      <c r="N115" s="126"/>
      <c r="O115" s="197" t="s">
        <v>1744</v>
      </c>
      <c r="P115" s="48">
        <f t="shared" si="13"/>
        <v>67500</v>
      </c>
      <c r="Q115" s="40">
        <f>+'[1]dend dn2'!Z244</f>
        <v>67500</v>
      </c>
      <c r="R115" s="40">
        <f t="shared" si="14"/>
        <v>0</v>
      </c>
    </row>
    <row r="116" spans="1:18">
      <c r="A116" s="194">
        <f t="shared" si="15"/>
        <v>112</v>
      </c>
      <c r="B116" s="54" t="s">
        <v>958</v>
      </c>
      <c r="C116" s="55" t="s">
        <v>959</v>
      </c>
      <c r="D116" s="63">
        <v>42988</v>
      </c>
      <c r="E116" s="199">
        <v>67500</v>
      </c>
      <c r="F116" s="196">
        <f t="shared" si="8"/>
        <v>67500</v>
      </c>
      <c r="G116" s="59">
        <f t="shared" si="9"/>
        <v>67500</v>
      </c>
      <c r="H116" s="57">
        <v>0</v>
      </c>
      <c r="I116" s="60">
        <v>1</v>
      </c>
      <c r="J116" s="60">
        <v>1</v>
      </c>
      <c r="K116" s="33">
        <f t="shared" si="10"/>
        <v>67500</v>
      </c>
      <c r="L116" s="33">
        <f t="shared" si="11"/>
        <v>67500</v>
      </c>
      <c r="M116" s="33">
        <f t="shared" si="12"/>
        <v>67500</v>
      </c>
      <c r="N116" s="126"/>
      <c r="O116" s="197" t="s">
        <v>1745</v>
      </c>
      <c r="P116" s="48">
        <f t="shared" si="13"/>
        <v>67500</v>
      </c>
      <c r="Q116" s="40">
        <f>+'[1]dend dn2'!Z245</f>
        <v>67500</v>
      </c>
      <c r="R116" s="40">
        <f t="shared" si="14"/>
        <v>0</v>
      </c>
    </row>
    <row r="117" spans="1:18">
      <c r="A117" s="194">
        <f t="shared" si="15"/>
        <v>113</v>
      </c>
      <c r="B117" s="54" t="s">
        <v>958</v>
      </c>
      <c r="C117" s="55" t="s">
        <v>959</v>
      </c>
      <c r="D117" s="63">
        <v>42988</v>
      </c>
      <c r="E117" s="199">
        <v>67500</v>
      </c>
      <c r="F117" s="196">
        <f t="shared" si="8"/>
        <v>67500</v>
      </c>
      <c r="G117" s="59">
        <f t="shared" si="9"/>
        <v>67500</v>
      </c>
      <c r="H117" s="57">
        <v>0</v>
      </c>
      <c r="I117" s="60">
        <v>1</v>
      </c>
      <c r="J117" s="60">
        <v>1</v>
      </c>
      <c r="K117" s="33">
        <f t="shared" si="10"/>
        <v>67500</v>
      </c>
      <c r="L117" s="33">
        <f t="shared" si="11"/>
        <v>67500</v>
      </c>
      <c r="M117" s="33">
        <f t="shared" si="12"/>
        <v>67500</v>
      </c>
      <c r="N117" s="126"/>
      <c r="O117" s="197" t="s">
        <v>1745</v>
      </c>
      <c r="P117" s="48">
        <f t="shared" si="13"/>
        <v>67500</v>
      </c>
      <c r="Q117" s="40">
        <f>+'[1]dend dn2'!Z246</f>
        <v>67500</v>
      </c>
      <c r="R117" s="40">
        <f t="shared" si="14"/>
        <v>0</v>
      </c>
    </row>
    <row r="118" spans="1:18">
      <c r="A118" s="194">
        <f t="shared" si="15"/>
        <v>114</v>
      </c>
      <c r="B118" s="54" t="s">
        <v>958</v>
      </c>
      <c r="C118" s="55" t="s">
        <v>959</v>
      </c>
      <c r="D118" s="63">
        <v>43018</v>
      </c>
      <c r="E118" s="199">
        <v>67500</v>
      </c>
      <c r="F118" s="196">
        <f t="shared" si="8"/>
        <v>67500</v>
      </c>
      <c r="G118" s="59">
        <f t="shared" si="9"/>
        <v>67500</v>
      </c>
      <c r="H118" s="57">
        <v>0</v>
      </c>
      <c r="I118" s="60">
        <v>1</v>
      </c>
      <c r="J118" s="60">
        <v>1</v>
      </c>
      <c r="K118" s="33">
        <f t="shared" si="10"/>
        <v>67500</v>
      </c>
      <c r="L118" s="33">
        <f t="shared" si="11"/>
        <v>67500</v>
      </c>
      <c r="M118" s="33">
        <f t="shared" si="12"/>
        <v>67500</v>
      </c>
      <c r="N118" s="126"/>
      <c r="O118" s="197" t="s">
        <v>1746</v>
      </c>
      <c r="P118" s="48">
        <f t="shared" si="13"/>
        <v>67500</v>
      </c>
      <c r="Q118" s="40">
        <f>+'[1]dend dn2'!Z247</f>
        <v>67500</v>
      </c>
      <c r="R118" s="40">
        <f t="shared" si="14"/>
        <v>0</v>
      </c>
    </row>
    <row r="119" spans="1:18">
      <c r="A119" s="194">
        <f t="shared" si="15"/>
        <v>115</v>
      </c>
      <c r="B119" s="54" t="s">
        <v>958</v>
      </c>
      <c r="C119" s="55" t="s">
        <v>959</v>
      </c>
      <c r="D119" s="63">
        <v>43018</v>
      </c>
      <c r="E119" s="199">
        <v>67500</v>
      </c>
      <c r="F119" s="196">
        <f t="shared" si="8"/>
        <v>67500</v>
      </c>
      <c r="G119" s="59">
        <f t="shared" si="9"/>
        <v>67500</v>
      </c>
      <c r="H119" s="57">
        <v>0</v>
      </c>
      <c r="I119" s="60">
        <v>1</v>
      </c>
      <c r="J119" s="60">
        <v>1</v>
      </c>
      <c r="K119" s="33">
        <f t="shared" si="10"/>
        <v>67500</v>
      </c>
      <c r="L119" s="33">
        <f t="shared" si="11"/>
        <v>67500</v>
      </c>
      <c r="M119" s="33">
        <f t="shared" si="12"/>
        <v>67500</v>
      </c>
      <c r="N119" s="126"/>
      <c r="O119" s="197" t="s">
        <v>1746</v>
      </c>
      <c r="P119" s="48">
        <f t="shared" si="13"/>
        <v>67500</v>
      </c>
      <c r="Q119" s="40">
        <f>+'[1]dend dn2'!Z248</f>
        <v>67500</v>
      </c>
      <c r="R119" s="40">
        <f t="shared" si="14"/>
        <v>0</v>
      </c>
    </row>
    <row r="120" spans="1:18">
      <c r="A120" s="194">
        <f t="shared" si="15"/>
        <v>116</v>
      </c>
      <c r="B120" s="54" t="s">
        <v>958</v>
      </c>
      <c r="C120" s="55" t="s">
        <v>959</v>
      </c>
      <c r="D120" s="63">
        <v>43049</v>
      </c>
      <c r="E120" s="199">
        <v>67500</v>
      </c>
      <c r="F120" s="196">
        <f t="shared" si="8"/>
        <v>67500</v>
      </c>
      <c r="G120" s="59">
        <f t="shared" si="9"/>
        <v>67500</v>
      </c>
      <c r="H120" s="57">
        <v>0</v>
      </c>
      <c r="I120" s="60">
        <v>1</v>
      </c>
      <c r="J120" s="60">
        <v>1</v>
      </c>
      <c r="K120" s="33">
        <f t="shared" si="10"/>
        <v>67500</v>
      </c>
      <c r="L120" s="33">
        <f t="shared" si="11"/>
        <v>67500</v>
      </c>
      <c r="M120" s="200">
        <f t="shared" si="12"/>
        <v>67500</v>
      </c>
      <c r="N120" s="126"/>
      <c r="O120" s="197" t="s">
        <v>1747</v>
      </c>
      <c r="P120" s="48">
        <f t="shared" si="13"/>
        <v>67500</v>
      </c>
      <c r="Q120" s="40">
        <f>+'[1]dend dn2'!Z249</f>
        <v>67500</v>
      </c>
      <c r="R120" s="40">
        <f t="shared" si="14"/>
        <v>0</v>
      </c>
    </row>
    <row r="121" spans="1:18">
      <c r="A121" s="194">
        <f t="shared" si="15"/>
        <v>117</v>
      </c>
      <c r="B121" s="54" t="s">
        <v>958</v>
      </c>
      <c r="C121" s="55" t="s">
        <v>959</v>
      </c>
      <c r="D121" s="63">
        <v>43049</v>
      </c>
      <c r="E121" s="199">
        <v>67500</v>
      </c>
      <c r="F121" s="196">
        <f t="shared" si="8"/>
        <v>67500</v>
      </c>
      <c r="G121" s="59">
        <f t="shared" si="9"/>
        <v>67500</v>
      </c>
      <c r="H121" s="57">
        <v>0</v>
      </c>
      <c r="I121" s="60">
        <v>1</v>
      </c>
      <c r="J121" s="60">
        <v>1</v>
      </c>
      <c r="K121" s="33">
        <f t="shared" si="10"/>
        <v>67500</v>
      </c>
      <c r="L121" s="33">
        <f t="shared" si="11"/>
        <v>67500</v>
      </c>
      <c r="M121" s="200">
        <f t="shared" si="12"/>
        <v>67500</v>
      </c>
      <c r="N121" s="126"/>
      <c r="O121" s="197" t="s">
        <v>1747</v>
      </c>
      <c r="P121" s="48">
        <f t="shared" si="13"/>
        <v>67500</v>
      </c>
      <c r="Q121" s="40">
        <f>+'[1]dend dn2'!Z250</f>
        <v>67500</v>
      </c>
      <c r="R121" s="40">
        <f t="shared" si="14"/>
        <v>0</v>
      </c>
    </row>
    <row r="122" spans="1:18">
      <c r="A122" s="194">
        <f t="shared" si="15"/>
        <v>118</v>
      </c>
      <c r="B122" s="54" t="s">
        <v>958</v>
      </c>
      <c r="C122" s="55" t="s">
        <v>959</v>
      </c>
      <c r="D122" s="63">
        <v>43079</v>
      </c>
      <c r="E122" s="199">
        <v>67500</v>
      </c>
      <c r="F122" s="196">
        <f t="shared" si="8"/>
        <v>67500</v>
      </c>
      <c r="G122" s="59">
        <f t="shared" si="9"/>
        <v>67500</v>
      </c>
      <c r="H122" s="57">
        <v>0</v>
      </c>
      <c r="I122" s="60">
        <v>1</v>
      </c>
      <c r="J122" s="60">
        <v>1</v>
      </c>
      <c r="K122" s="33">
        <f t="shared" si="10"/>
        <v>67500</v>
      </c>
      <c r="L122" s="33">
        <f t="shared" si="11"/>
        <v>67500</v>
      </c>
      <c r="M122" s="200">
        <f t="shared" si="12"/>
        <v>67500</v>
      </c>
      <c r="N122" s="126"/>
      <c r="O122" s="197" t="s">
        <v>1748</v>
      </c>
      <c r="P122" s="48">
        <f t="shared" si="13"/>
        <v>67500</v>
      </c>
      <c r="Q122" s="40">
        <f>+'[1]dend dn2'!Z251</f>
        <v>67500</v>
      </c>
      <c r="R122" s="40">
        <f t="shared" si="14"/>
        <v>0</v>
      </c>
    </row>
    <row r="123" spans="1:18">
      <c r="A123" s="194">
        <f t="shared" si="15"/>
        <v>119</v>
      </c>
      <c r="B123" s="54" t="s">
        <v>958</v>
      </c>
      <c r="C123" s="55" t="s">
        <v>959</v>
      </c>
      <c r="D123" s="63">
        <v>43079</v>
      </c>
      <c r="E123" s="199">
        <v>67500</v>
      </c>
      <c r="F123" s="196">
        <f t="shared" si="8"/>
        <v>67500</v>
      </c>
      <c r="G123" s="59">
        <f t="shared" si="9"/>
        <v>67500</v>
      </c>
      <c r="H123" s="57">
        <v>0</v>
      </c>
      <c r="I123" s="60">
        <v>1</v>
      </c>
      <c r="J123" s="60">
        <v>1</v>
      </c>
      <c r="K123" s="33">
        <f t="shared" si="10"/>
        <v>67500</v>
      </c>
      <c r="L123" s="33">
        <f t="shared" si="11"/>
        <v>67500</v>
      </c>
      <c r="M123" s="200">
        <f t="shared" si="12"/>
        <v>67500</v>
      </c>
      <c r="N123" s="126"/>
      <c r="O123" s="197" t="s">
        <v>1748</v>
      </c>
      <c r="P123" s="48">
        <f t="shared" si="13"/>
        <v>67500</v>
      </c>
      <c r="Q123" s="40">
        <f>+'[1]dend dn2'!Z252</f>
        <v>67500</v>
      </c>
      <c r="R123" s="40">
        <f t="shared" si="14"/>
        <v>0</v>
      </c>
    </row>
    <row r="124" spans="1:18">
      <c r="A124" s="194">
        <f t="shared" si="15"/>
        <v>120</v>
      </c>
      <c r="B124" s="54" t="s">
        <v>958</v>
      </c>
      <c r="C124" s="55" t="s">
        <v>959</v>
      </c>
      <c r="D124" s="63">
        <v>43110</v>
      </c>
      <c r="E124" s="195">
        <v>67500</v>
      </c>
      <c r="F124" s="196">
        <f t="shared" si="8"/>
        <v>67500</v>
      </c>
      <c r="G124" s="59">
        <f t="shared" si="9"/>
        <v>67500</v>
      </c>
      <c r="H124" s="57">
        <v>0</v>
      </c>
      <c r="I124" s="60">
        <v>1</v>
      </c>
      <c r="J124" s="60">
        <v>1</v>
      </c>
      <c r="K124" s="33">
        <f t="shared" si="10"/>
        <v>67500</v>
      </c>
      <c r="L124" s="33">
        <f t="shared" si="11"/>
        <v>67500</v>
      </c>
      <c r="M124" s="200">
        <f t="shared" si="12"/>
        <v>67500</v>
      </c>
      <c r="N124" s="126"/>
      <c r="O124" s="197" t="s">
        <v>1749</v>
      </c>
      <c r="P124" s="48">
        <f t="shared" si="13"/>
        <v>67500</v>
      </c>
      <c r="Q124" s="40">
        <f>+'[1]dend dn2'!Z253</f>
        <v>67500</v>
      </c>
      <c r="R124" s="40">
        <f t="shared" si="14"/>
        <v>0</v>
      </c>
    </row>
    <row r="125" spans="1:18">
      <c r="A125" s="194">
        <f t="shared" si="15"/>
        <v>121</v>
      </c>
      <c r="B125" s="54" t="s">
        <v>958</v>
      </c>
      <c r="C125" s="55" t="s">
        <v>959</v>
      </c>
      <c r="D125" s="63">
        <v>43110</v>
      </c>
      <c r="E125" s="195">
        <v>67500</v>
      </c>
      <c r="F125" s="196">
        <f t="shared" si="8"/>
        <v>67500</v>
      </c>
      <c r="G125" s="59">
        <f t="shared" si="9"/>
        <v>67500</v>
      </c>
      <c r="H125" s="57">
        <v>0</v>
      </c>
      <c r="I125" s="60">
        <v>1</v>
      </c>
      <c r="J125" s="60">
        <v>1</v>
      </c>
      <c r="K125" s="33">
        <f t="shared" si="10"/>
        <v>67500</v>
      </c>
      <c r="L125" s="33">
        <f t="shared" si="11"/>
        <v>67500</v>
      </c>
      <c r="M125" s="200">
        <f t="shared" si="12"/>
        <v>67500</v>
      </c>
      <c r="N125" s="126"/>
      <c r="O125" s="197" t="s">
        <v>1749</v>
      </c>
      <c r="P125" s="48">
        <f t="shared" si="13"/>
        <v>67500</v>
      </c>
      <c r="Q125" s="40">
        <f>+'[1]dend dn2'!Z254</f>
        <v>67500</v>
      </c>
      <c r="R125" s="40">
        <f t="shared" si="14"/>
        <v>0</v>
      </c>
    </row>
    <row r="126" spans="1:18">
      <c r="A126" s="194">
        <f t="shared" si="15"/>
        <v>122</v>
      </c>
      <c r="B126" s="54" t="s">
        <v>1162</v>
      </c>
      <c r="C126" s="55" t="s">
        <v>1163</v>
      </c>
      <c r="D126" s="63">
        <v>43110</v>
      </c>
      <c r="E126" s="195">
        <v>55000</v>
      </c>
      <c r="F126" s="196">
        <f t="shared" si="8"/>
        <v>55000</v>
      </c>
      <c r="G126" s="59">
        <f t="shared" si="9"/>
        <v>55000</v>
      </c>
      <c r="H126" s="57">
        <v>0</v>
      </c>
      <c r="I126" s="60">
        <v>1</v>
      </c>
      <c r="J126" s="60">
        <v>1</v>
      </c>
      <c r="K126" s="33">
        <f t="shared" si="10"/>
        <v>55000</v>
      </c>
      <c r="L126" s="33">
        <f t="shared" si="11"/>
        <v>55000</v>
      </c>
      <c r="M126" s="200">
        <f t="shared" si="12"/>
        <v>55000</v>
      </c>
      <c r="N126" s="126"/>
      <c r="O126" s="197" t="s">
        <v>1749</v>
      </c>
      <c r="P126" s="48">
        <f t="shared" si="13"/>
        <v>55000</v>
      </c>
      <c r="Q126" s="40">
        <f>+'[1]dend dn2'!Z255</f>
        <v>55000</v>
      </c>
      <c r="R126" s="40">
        <f t="shared" si="14"/>
        <v>0</v>
      </c>
    </row>
    <row r="127" spans="1:18">
      <c r="A127" s="194">
        <f t="shared" si="15"/>
        <v>123</v>
      </c>
      <c r="B127" s="54" t="s">
        <v>1162</v>
      </c>
      <c r="C127" s="55" t="s">
        <v>1163</v>
      </c>
      <c r="D127" s="63">
        <v>43110</v>
      </c>
      <c r="E127" s="195">
        <v>55000</v>
      </c>
      <c r="F127" s="196">
        <f t="shared" si="8"/>
        <v>55000</v>
      </c>
      <c r="G127" s="59">
        <f t="shared" si="9"/>
        <v>55000</v>
      </c>
      <c r="H127" s="57">
        <v>0</v>
      </c>
      <c r="I127" s="60">
        <v>1</v>
      </c>
      <c r="J127" s="60">
        <v>1</v>
      </c>
      <c r="K127" s="33">
        <f t="shared" si="10"/>
        <v>55000</v>
      </c>
      <c r="L127" s="33">
        <f t="shared" si="11"/>
        <v>55000</v>
      </c>
      <c r="M127" s="200">
        <f t="shared" si="12"/>
        <v>55000</v>
      </c>
      <c r="N127" s="126"/>
      <c r="O127" s="197" t="s">
        <v>1749</v>
      </c>
      <c r="P127" s="48">
        <f t="shared" si="13"/>
        <v>55000</v>
      </c>
      <c r="Q127" s="40">
        <f>+'[1]dend dn2'!Z256</f>
        <v>55000</v>
      </c>
      <c r="R127" s="40">
        <f t="shared" si="14"/>
        <v>0</v>
      </c>
    </row>
    <row r="128" spans="1:18">
      <c r="A128" s="194">
        <f t="shared" si="15"/>
        <v>124</v>
      </c>
      <c r="B128" s="54" t="s">
        <v>1205</v>
      </c>
      <c r="C128" s="55" t="s">
        <v>1206</v>
      </c>
      <c r="D128" s="63">
        <v>42865</v>
      </c>
      <c r="E128" s="195">
        <v>200000</v>
      </c>
      <c r="F128" s="196">
        <f t="shared" si="8"/>
        <v>200000</v>
      </c>
      <c r="G128" s="59">
        <f t="shared" si="9"/>
        <v>200000</v>
      </c>
      <c r="H128" s="57">
        <v>0</v>
      </c>
      <c r="I128" s="60">
        <v>1</v>
      </c>
      <c r="J128" s="60">
        <v>1</v>
      </c>
      <c r="K128" s="33">
        <f t="shared" si="10"/>
        <v>200000</v>
      </c>
      <c r="L128" s="33">
        <f t="shared" si="11"/>
        <v>200000</v>
      </c>
      <c r="M128" s="33">
        <f t="shared" si="12"/>
        <v>200000</v>
      </c>
      <c r="N128" s="126"/>
      <c r="O128" s="197" t="s">
        <v>1756</v>
      </c>
      <c r="P128" s="48">
        <f t="shared" si="13"/>
        <v>200000</v>
      </c>
      <c r="Q128" s="40">
        <f>+'[1]dend dn2'!Z257</f>
        <v>200000</v>
      </c>
      <c r="R128" s="40">
        <f t="shared" si="14"/>
        <v>0</v>
      </c>
    </row>
    <row r="129" spans="1:18">
      <c r="A129" s="194">
        <f t="shared" si="15"/>
        <v>125</v>
      </c>
      <c r="B129" s="54" t="s">
        <v>1205</v>
      </c>
      <c r="C129" s="55" t="s">
        <v>1206</v>
      </c>
      <c r="D129" s="63">
        <v>42896</v>
      </c>
      <c r="E129" s="195">
        <v>200000</v>
      </c>
      <c r="F129" s="196">
        <f t="shared" si="8"/>
        <v>200000</v>
      </c>
      <c r="G129" s="59">
        <f t="shared" si="9"/>
        <v>200000</v>
      </c>
      <c r="H129" s="57">
        <v>0</v>
      </c>
      <c r="I129" s="60">
        <v>1</v>
      </c>
      <c r="J129" s="60">
        <v>1</v>
      </c>
      <c r="K129" s="33">
        <f t="shared" si="10"/>
        <v>200000</v>
      </c>
      <c r="L129" s="33">
        <f t="shared" si="11"/>
        <v>200000</v>
      </c>
      <c r="M129" s="33">
        <f t="shared" si="12"/>
        <v>200000</v>
      </c>
      <c r="N129" s="126"/>
      <c r="O129" s="197" t="s">
        <v>1742</v>
      </c>
      <c r="P129" s="48">
        <f t="shared" si="13"/>
        <v>200000</v>
      </c>
      <c r="Q129" s="40">
        <f>+'[1]dend dn2'!Z258</f>
        <v>200000</v>
      </c>
      <c r="R129" s="40">
        <f t="shared" si="14"/>
        <v>0</v>
      </c>
    </row>
    <row r="130" spans="1:18">
      <c r="A130" s="194">
        <f t="shared" si="15"/>
        <v>126</v>
      </c>
      <c r="B130" s="54" t="s">
        <v>1205</v>
      </c>
      <c r="C130" s="55" t="s">
        <v>1206</v>
      </c>
      <c r="D130" s="63">
        <v>42926</v>
      </c>
      <c r="E130" s="195">
        <v>200000</v>
      </c>
      <c r="F130" s="196">
        <f t="shared" si="8"/>
        <v>200000</v>
      </c>
      <c r="G130" s="59">
        <f t="shared" si="9"/>
        <v>200000</v>
      </c>
      <c r="H130" s="57">
        <v>0</v>
      </c>
      <c r="I130" s="60">
        <v>1</v>
      </c>
      <c r="J130" s="60">
        <v>1</v>
      </c>
      <c r="K130" s="33">
        <f t="shared" si="10"/>
        <v>200000</v>
      </c>
      <c r="L130" s="33">
        <f t="shared" si="11"/>
        <v>200000</v>
      </c>
      <c r="M130" s="33">
        <f t="shared" si="12"/>
        <v>200000</v>
      </c>
      <c r="N130" s="126"/>
      <c r="O130" s="197" t="s">
        <v>1743</v>
      </c>
      <c r="P130" s="48">
        <f t="shared" si="13"/>
        <v>200000</v>
      </c>
      <c r="Q130" s="40">
        <f>+'[1]dend dn2'!Z259</f>
        <v>200000</v>
      </c>
      <c r="R130" s="40">
        <f t="shared" si="14"/>
        <v>0</v>
      </c>
    </row>
    <row r="131" spans="1:18">
      <c r="A131" s="194">
        <f t="shared" si="15"/>
        <v>127</v>
      </c>
      <c r="B131" s="54" t="s">
        <v>1205</v>
      </c>
      <c r="C131" s="55" t="s">
        <v>1206</v>
      </c>
      <c r="D131" s="63">
        <v>42957</v>
      </c>
      <c r="E131" s="195">
        <v>200000</v>
      </c>
      <c r="F131" s="196">
        <f t="shared" si="8"/>
        <v>200000</v>
      </c>
      <c r="G131" s="59">
        <f t="shared" si="9"/>
        <v>200000</v>
      </c>
      <c r="H131" s="57">
        <v>0</v>
      </c>
      <c r="I131" s="60">
        <v>1</v>
      </c>
      <c r="J131" s="60">
        <v>1</v>
      </c>
      <c r="K131" s="33">
        <f t="shared" si="10"/>
        <v>200000</v>
      </c>
      <c r="L131" s="33">
        <f t="shared" si="11"/>
        <v>200000</v>
      </c>
      <c r="M131" s="33">
        <f t="shared" si="12"/>
        <v>200000</v>
      </c>
      <c r="N131" s="126"/>
      <c r="O131" s="197" t="s">
        <v>1744</v>
      </c>
      <c r="P131" s="48">
        <f t="shared" si="13"/>
        <v>200000</v>
      </c>
      <c r="Q131" s="40">
        <f>+'[1]dend dn2'!Z260</f>
        <v>200000</v>
      </c>
      <c r="R131" s="40">
        <f t="shared" si="14"/>
        <v>0</v>
      </c>
    </row>
    <row r="132" spans="1:18">
      <c r="A132" s="194">
        <f t="shared" si="15"/>
        <v>128</v>
      </c>
      <c r="B132" s="54" t="s">
        <v>1205</v>
      </c>
      <c r="C132" s="55" t="s">
        <v>1206</v>
      </c>
      <c r="D132" s="63">
        <v>42988</v>
      </c>
      <c r="E132" s="199">
        <v>200000</v>
      </c>
      <c r="F132" s="196">
        <f t="shared" si="8"/>
        <v>200000</v>
      </c>
      <c r="G132" s="59">
        <f t="shared" si="9"/>
        <v>200000</v>
      </c>
      <c r="H132" s="57">
        <v>0</v>
      </c>
      <c r="I132" s="60">
        <v>1</v>
      </c>
      <c r="J132" s="60">
        <v>1</v>
      </c>
      <c r="K132" s="33">
        <f t="shared" si="10"/>
        <v>200000</v>
      </c>
      <c r="L132" s="33">
        <f t="shared" si="11"/>
        <v>200000</v>
      </c>
      <c r="M132" s="33">
        <f t="shared" si="12"/>
        <v>200000</v>
      </c>
      <c r="N132" s="126"/>
      <c r="O132" s="197" t="s">
        <v>1745</v>
      </c>
      <c r="P132" s="48">
        <f t="shared" si="13"/>
        <v>200000</v>
      </c>
      <c r="Q132" s="40">
        <f>+'[1]dend dn2'!Z261</f>
        <v>200000</v>
      </c>
      <c r="R132" s="40">
        <f t="shared" si="14"/>
        <v>0</v>
      </c>
    </row>
    <row r="133" spans="1:18">
      <c r="A133" s="194">
        <f t="shared" si="15"/>
        <v>129</v>
      </c>
      <c r="B133" s="54" t="s">
        <v>1205</v>
      </c>
      <c r="C133" s="55" t="s">
        <v>1206</v>
      </c>
      <c r="D133" s="63">
        <v>43018</v>
      </c>
      <c r="E133" s="199">
        <v>200000</v>
      </c>
      <c r="F133" s="196">
        <f t="shared" ref="F133:F173" si="16">+I133*K133</f>
        <v>200000</v>
      </c>
      <c r="G133" s="59">
        <f t="shared" ref="G133:G173" si="17">+E133/I133</f>
        <v>200000</v>
      </c>
      <c r="H133" s="57">
        <v>0</v>
      </c>
      <c r="I133" s="60">
        <v>1</v>
      </c>
      <c r="J133" s="60">
        <v>1</v>
      </c>
      <c r="K133" s="33">
        <f t="shared" ref="K133:K173" si="18">+G133+H133</f>
        <v>200000</v>
      </c>
      <c r="L133" s="33">
        <f t="shared" ref="L133:L173" si="19">+J133*K133</f>
        <v>200000</v>
      </c>
      <c r="M133" s="33">
        <f t="shared" ref="M133:M173" si="20">+G133*J133</f>
        <v>200000</v>
      </c>
      <c r="N133" s="126"/>
      <c r="O133" s="197" t="s">
        <v>1746</v>
      </c>
      <c r="P133" s="48">
        <f t="shared" ref="P133:P173" si="21">+M133</f>
        <v>200000</v>
      </c>
      <c r="Q133" s="40">
        <f>+'[1]dend dn2'!Z262</f>
        <v>200000</v>
      </c>
      <c r="R133" s="40">
        <f t="shared" ref="R133:R173" si="22">+P133-Q133</f>
        <v>0</v>
      </c>
    </row>
    <row r="134" spans="1:18">
      <c r="A134" s="194">
        <f t="shared" ref="A134:A173" si="23">+A133+1</f>
        <v>130</v>
      </c>
      <c r="B134" s="54" t="s">
        <v>1205</v>
      </c>
      <c r="C134" s="55" t="s">
        <v>1206</v>
      </c>
      <c r="D134" s="63">
        <v>43049</v>
      </c>
      <c r="E134" s="199">
        <v>200000</v>
      </c>
      <c r="F134" s="196">
        <f t="shared" si="16"/>
        <v>200000</v>
      </c>
      <c r="G134" s="59">
        <f t="shared" si="17"/>
        <v>200000</v>
      </c>
      <c r="H134" s="57">
        <v>0</v>
      </c>
      <c r="I134" s="60">
        <v>1</v>
      </c>
      <c r="J134" s="60">
        <v>1</v>
      </c>
      <c r="K134" s="33">
        <f t="shared" si="18"/>
        <v>200000</v>
      </c>
      <c r="L134" s="33">
        <f t="shared" si="19"/>
        <v>200000</v>
      </c>
      <c r="M134" s="200">
        <f t="shared" si="20"/>
        <v>200000</v>
      </c>
      <c r="N134" s="126"/>
      <c r="O134" s="197" t="s">
        <v>1747</v>
      </c>
      <c r="P134" s="48">
        <f t="shared" si="21"/>
        <v>200000</v>
      </c>
      <c r="Q134" s="40">
        <f>+'[1]dend dn2'!Z263</f>
        <v>200000</v>
      </c>
      <c r="R134" s="40">
        <f t="shared" si="22"/>
        <v>0</v>
      </c>
    </row>
    <row r="135" spans="1:18">
      <c r="A135" s="194">
        <f t="shared" si="23"/>
        <v>131</v>
      </c>
      <c r="B135" s="54" t="s">
        <v>1205</v>
      </c>
      <c r="C135" s="55" t="s">
        <v>1206</v>
      </c>
      <c r="D135" s="63">
        <v>43079</v>
      </c>
      <c r="E135" s="199">
        <v>200000</v>
      </c>
      <c r="F135" s="196">
        <f t="shared" si="16"/>
        <v>200000</v>
      </c>
      <c r="G135" s="59">
        <f t="shared" si="17"/>
        <v>200000</v>
      </c>
      <c r="H135" s="57">
        <v>0</v>
      </c>
      <c r="I135" s="60">
        <v>1</v>
      </c>
      <c r="J135" s="60">
        <v>1</v>
      </c>
      <c r="K135" s="33">
        <f t="shared" si="18"/>
        <v>200000</v>
      </c>
      <c r="L135" s="33">
        <f t="shared" si="19"/>
        <v>200000</v>
      </c>
      <c r="M135" s="200">
        <f t="shared" si="20"/>
        <v>200000</v>
      </c>
      <c r="N135" s="126"/>
      <c r="O135" s="197" t="s">
        <v>1748</v>
      </c>
      <c r="P135" s="48">
        <f t="shared" si="21"/>
        <v>200000</v>
      </c>
      <c r="Q135" s="40">
        <f>+'[1]dend dn2'!Z264</f>
        <v>200000</v>
      </c>
      <c r="R135" s="40">
        <f t="shared" si="22"/>
        <v>0</v>
      </c>
    </row>
    <row r="136" spans="1:18">
      <c r="A136" s="194">
        <f t="shared" si="23"/>
        <v>132</v>
      </c>
      <c r="B136" s="54" t="s">
        <v>1205</v>
      </c>
      <c r="C136" s="55" t="s">
        <v>1206</v>
      </c>
      <c r="D136" s="63">
        <v>43110</v>
      </c>
      <c r="E136" s="195">
        <v>200000</v>
      </c>
      <c r="F136" s="196">
        <f t="shared" si="16"/>
        <v>200000</v>
      </c>
      <c r="G136" s="59">
        <f t="shared" si="17"/>
        <v>200000</v>
      </c>
      <c r="H136" s="57">
        <v>0</v>
      </c>
      <c r="I136" s="60">
        <v>1</v>
      </c>
      <c r="J136" s="60">
        <v>1</v>
      </c>
      <c r="K136" s="33">
        <f t="shared" si="18"/>
        <v>200000</v>
      </c>
      <c r="L136" s="33">
        <f t="shared" si="19"/>
        <v>200000</v>
      </c>
      <c r="M136" s="200">
        <f t="shared" si="20"/>
        <v>200000</v>
      </c>
      <c r="N136" s="126"/>
      <c r="O136" s="197" t="s">
        <v>1749</v>
      </c>
      <c r="P136" s="48">
        <f t="shared" si="21"/>
        <v>200000</v>
      </c>
      <c r="Q136" s="40">
        <f>+'[1]dend dn2'!Z265</f>
        <v>200000</v>
      </c>
      <c r="R136" s="40">
        <f t="shared" si="22"/>
        <v>0</v>
      </c>
    </row>
    <row r="137" spans="1:18">
      <c r="A137" s="194">
        <f t="shared" si="23"/>
        <v>133</v>
      </c>
      <c r="B137" s="54" t="s">
        <v>1307</v>
      </c>
      <c r="C137" s="55" t="s">
        <v>1308</v>
      </c>
      <c r="D137" s="63">
        <v>42988</v>
      </c>
      <c r="E137" s="199">
        <v>129450</v>
      </c>
      <c r="F137" s="196">
        <f t="shared" si="16"/>
        <v>129450</v>
      </c>
      <c r="G137" s="59">
        <f t="shared" si="17"/>
        <v>129450</v>
      </c>
      <c r="H137" s="57">
        <v>0</v>
      </c>
      <c r="I137" s="60">
        <v>1</v>
      </c>
      <c r="J137" s="60">
        <v>1</v>
      </c>
      <c r="K137" s="33">
        <f t="shared" si="18"/>
        <v>129450</v>
      </c>
      <c r="L137" s="33">
        <f t="shared" si="19"/>
        <v>129450</v>
      </c>
      <c r="M137" s="33">
        <f t="shared" si="20"/>
        <v>129450</v>
      </c>
      <c r="N137" s="126"/>
      <c r="O137" s="197" t="s">
        <v>1745</v>
      </c>
      <c r="P137" s="48">
        <f t="shared" si="21"/>
        <v>129450</v>
      </c>
      <c r="Q137" s="40">
        <f>+'[1]dend dn2'!Z266</f>
        <v>129450</v>
      </c>
      <c r="R137" s="40">
        <f t="shared" si="22"/>
        <v>0</v>
      </c>
    </row>
    <row r="138" spans="1:18">
      <c r="A138" s="194">
        <f t="shared" si="23"/>
        <v>134</v>
      </c>
      <c r="B138" s="54" t="s">
        <v>1307</v>
      </c>
      <c r="C138" s="55" t="s">
        <v>1308</v>
      </c>
      <c r="D138" s="63">
        <v>43018</v>
      </c>
      <c r="E138" s="199">
        <v>129450</v>
      </c>
      <c r="F138" s="196">
        <f t="shared" si="16"/>
        <v>129450</v>
      </c>
      <c r="G138" s="59">
        <f t="shared" si="17"/>
        <v>129450</v>
      </c>
      <c r="H138" s="57">
        <v>0</v>
      </c>
      <c r="I138" s="60">
        <v>1</v>
      </c>
      <c r="J138" s="60">
        <v>1</v>
      </c>
      <c r="K138" s="33">
        <f t="shared" si="18"/>
        <v>129450</v>
      </c>
      <c r="L138" s="33">
        <f t="shared" si="19"/>
        <v>129450</v>
      </c>
      <c r="M138" s="33">
        <f t="shared" si="20"/>
        <v>129450</v>
      </c>
      <c r="N138" s="126"/>
      <c r="O138" s="197" t="s">
        <v>1746</v>
      </c>
      <c r="P138" s="48">
        <f t="shared" si="21"/>
        <v>129450</v>
      </c>
      <c r="Q138" s="40">
        <f>+'[1]dend dn2'!Z267</f>
        <v>129450</v>
      </c>
      <c r="R138" s="40">
        <f t="shared" si="22"/>
        <v>0</v>
      </c>
    </row>
    <row r="139" spans="1:18">
      <c r="A139" s="194">
        <f t="shared" si="23"/>
        <v>135</v>
      </c>
      <c r="B139" s="54" t="s">
        <v>1307</v>
      </c>
      <c r="C139" s="55" t="s">
        <v>1308</v>
      </c>
      <c r="D139" s="63">
        <v>43049</v>
      </c>
      <c r="E139" s="199">
        <v>129450</v>
      </c>
      <c r="F139" s="196">
        <f t="shared" si="16"/>
        <v>129450</v>
      </c>
      <c r="G139" s="59">
        <f t="shared" si="17"/>
        <v>129450</v>
      </c>
      <c r="H139" s="57">
        <v>0</v>
      </c>
      <c r="I139" s="60">
        <v>1</v>
      </c>
      <c r="J139" s="60">
        <v>1</v>
      </c>
      <c r="K139" s="33">
        <f t="shared" si="18"/>
        <v>129450</v>
      </c>
      <c r="L139" s="33">
        <f t="shared" si="19"/>
        <v>129450</v>
      </c>
      <c r="M139" s="200">
        <f t="shared" si="20"/>
        <v>129450</v>
      </c>
      <c r="N139" s="126"/>
      <c r="O139" s="197" t="s">
        <v>1747</v>
      </c>
      <c r="P139" s="48">
        <f t="shared" si="21"/>
        <v>129450</v>
      </c>
      <c r="Q139" s="40">
        <f>+'[1]dend dn2'!Z268</f>
        <v>129450</v>
      </c>
      <c r="R139" s="40">
        <f t="shared" si="22"/>
        <v>0</v>
      </c>
    </row>
    <row r="140" spans="1:18">
      <c r="A140" s="194">
        <f t="shared" si="23"/>
        <v>136</v>
      </c>
      <c r="B140" s="54" t="s">
        <v>1307</v>
      </c>
      <c r="C140" s="55" t="s">
        <v>1308</v>
      </c>
      <c r="D140" s="63">
        <v>43079</v>
      </c>
      <c r="E140" s="199">
        <v>129450</v>
      </c>
      <c r="F140" s="196">
        <f t="shared" si="16"/>
        <v>129450</v>
      </c>
      <c r="G140" s="59">
        <f t="shared" si="17"/>
        <v>129450</v>
      </c>
      <c r="H140" s="57">
        <v>0</v>
      </c>
      <c r="I140" s="60">
        <v>1</v>
      </c>
      <c r="J140" s="60">
        <v>1</v>
      </c>
      <c r="K140" s="33">
        <f t="shared" si="18"/>
        <v>129450</v>
      </c>
      <c r="L140" s="33">
        <f t="shared" si="19"/>
        <v>129450</v>
      </c>
      <c r="M140" s="200">
        <f t="shared" si="20"/>
        <v>129450</v>
      </c>
      <c r="N140" s="126"/>
      <c r="O140" s="197" t="s">
        <v>1748</v>
      </c>
      <c r="P140" s="48">
        <f t="shared" si="21"/>
        <v>129450</v>
      </c>
      <c r="Q140" s="40">
        <f>+'[1]dend dn2'!Z269</f>
        <v>129450</v>
      </c>
      <c r="R140" s="40">
        <f t="shared" si="22"/>
        <v>0</v>
      </c>
    </row>
    <row r="141" spans="1:18">
      <c r="A141" s="194">
        <f t="shared" si="23"/>
        <v>137</v>
      </c>
      <c r="B141" s="54" t="s">
        <v>1307</v>
      </c>
      <c r="C141" s="55" t="s">
        <v>1308</v>
      </c>
      <c r="D141" s="63">
        <v>43079</v>
      </c>
      <c r="E141" s="199">
        <v>129450</v>
      </c>
      <c r="F141" s="196">
        <f t="shared" si="16"/>
        <v>129450</v>
      </c>
      <c r="G141" s="59">
        <f t="shared" si="17"/>
        <v>129450</v>
      </c>
      <c r="H141" s="57">
        <v>0</v>
      </c>
      <c r="I141" s="60">
        <v>1</v>
      </c>
      <c r="J141" s="60">
        <v>1</v>
      </c>
      <c r="K141" s="33">
        <f t="shared" si="18"/>
        <v>129450</v>
      </c>
      <c r="L141" s="33">
        <f t="shared" si="19"/>
        <v>129450</v>
      </c>
      <c r="M141" s="200">
        <f t="shared" si="20"/>
        <v>129450</v>
      </c>
      <c r="N141" s="126"/>
      <c r="O141" s="197" t="s">
        <v>1748</v>
      </c>
      <c r="P141" s="48">
        <f t="shared" si="21"/>
        <v>129450</v>
      </c>
      <c r="Q141" s="40">
        <f>+'[1]dend dn2'!Z270</f>
        <v>129450</v>
      </c>
      <c r="R141" s="40">
        <f t="shared" si="22"/>
        <v>0</v>
      </c>
    </row>
    <row r="142" spans="1:18">
      <c r="A142" s="194">
        <f t="shared" si="23"/>
        <v>138</v>
      </c>
      <c r="B142" s="54" t="s">
        <v>1307</v>
      </c>
      <c r="C142" s="55" t="s">
        <v>1308</v>
      </c>
      <c r="D142" s="63">
        <v>43110</v>
      </c>
      <c r="E142" s="195">
        <v>129450</v>
      </c>
      <c r="F142" s="196">
        <f t="shared" si="16"/>
        <v>129450</v>
      </c>
      <c r="G142" s="59">
        <f t="shared" si="17"/>
        <v>129450</v>
      </c>
      <c r="H142" s="57">
        <v>0</v>
      </c>
      <c r="I142" s="60">
        <v>1</v>
      </c>
      <c r="J142" s="60">
        <v>1</v>
      </c>
      <c r="K142" s="33">
        <f t="shared" si="18"/>
        <v>129450</v>
      </c>
      <c r="L142" s="33">
        <f t="shared" si="19"/>
        <v>129450</v>
      </c>
      <c r="M142" s="200">
        <f t="shared" si="20"/>
        <v>129450</v>
      </c>
      <c r="N142" s="126"/>
      <c r="O142" s="197" t="s">
        <v>1749</v>
      </c>
      <c r="P142" s="48">
        <f t="shared" si="21"/>
        <v>129450</v>
      </c>
      <c r="Q142" s="40">
        <f>+'[1]dend dn2'!Z271</f>
        <v>129450</v>
      </c>
      <c r="R142" s="40">
        <f t="shared" si="22"/>
        <v>0</v>
      </c>
    </row>
    <row r="143" spans="1:18">
      <c r="A143" s="194">
        <f t="shared" si="23"/>
        <v>139</v>
      </c>
      <c r="B143" s="54" t="s">
        <v>1307</v>
      </c>
      <c r="C143" s="55" t="s">
        <v>1308</v>
      </c>
      <c r="D143" s="63">
        <v>43110</v>
      </c>
      <c r="E143" s="195">
        <v>129450</v>
      </c>
      <c r="F143" s="196">
        <f t="shared" si="16"/>
        <v>129450</v>
      </c>
      <c r="G143" s="59">
        <f t="shared" si="17"/>
        <v>129450</v>
      </c>
      <c r="H143" s="57">
        <v>0</v>
      </c>
      <c r="I143" s="60">
        <v>1</v>
      </c>
      <c r="J143" s="60">
        <v>1</v>
      </c>
      <c r="K143" s="33">
        <f t="shared" si="18"/>
        <v>129450</v>
      </c>
      <c r="L143" s="33">
        <f t="shared" si="19"/>
        <v>129450</v>
      </c>
      <c r="M143" s="200">
        <f t="shared" si="20"/>
        <v>129450</v>
      </c>
      <c r="N143" s="126"/>
      <c r="O143" s="197" t="s">
        <v>1749</v>
      </c>
      <c r="P143" s="48">
        <f t="shared" si="21"/>
        <v>129450</v>
      </c>
      <c r="Q143" s="40">
        <f>+'[1]dend dn2'!Z272</f>
        <v>129450</v>
      </c>
      <c r="R143" s="40">
        <f t="shared" si="22"/>
        <v>0</v>
      </c>
    </row>
    <row r="144" spans="1:18">
      <c r="A144" s="194">
        <f t="shared" si="23"/>
        <v>140</v>
      </c>
      <c r="B144" s="59" t="s">
        <v>1319</v>
      </c>
      <c r="C144" s="67" t="s">
        <v>1320</v>
      </c>
      <c r="D144" s="63">
        <v>42865</v>
      </c>
      <c r="E144" s="195">
        <v>170000</v>
      </c>
      <c r="F144" s="196">
        <f t="shared" si="16"/>
        <v>170000</v>
      </c>
      <c r="G144" s="59">
        <f t="shared" si="17"/>
        <v>170000</v>
      </c>
      <c r="H144" s="57">
        <v>0</v>
      </c>
      <c r="I144" s="60">
        <v>1</v>
      </c>
      <c r="J144" s="60">
        <v>1</v>
      </c>
      <c r="K144" s="33">
        <f t="shared" si="18"/>
        <v>170000</v>
      </c>
      <c r="L144" s="33">
        <f t="shared" si="19"/>
        <v>170000</v>
      </c>
      <c r="M144" s="33">
        <f t="shared" si="20"/>
        <v>170000</v>
      </c>
      <c r="N144" s="126"/>
      <c r="O144" s="197" t="s">
        <v>1756</v>
      </c>
      <c r="P144" s="48">
        <f t="shared" si="21"/>
        <v>170000</v>
      </c>
      <c r="Q144" s="40">
        <f>+'[1]dend dn2'!Z273</f>
        <v>170000</v>
      </c>
      <c r="R144" s="40">
        <f t="shared" si="22"/>
        <v>0</v>
      </c>
    </row>
    <row r="145" spans="1:18">
      <c r="A145" s="194">
        <f t="shared" si="23"/>
        <v>141</v>
      </c>
      <c r="B145" s="59" t="s">
        <v>1319</v>
      </c>
      <c r="C145" s="67" t="s">
        <v>1320</v>
      </c>
      <c r="D145" s="63">
        <v>42896</v>
      </c>
      <c r="E145" s="195">
        <v>170000</v>
      </c>
      <c r="F145" s="196">
        <f t="shared" si="16"/>
        <v>170000</v>
      </c>
      <c r="G145" s="59">
        <f t="shared" si="17"/>
        <v>170000</v>
      </c>
      <c r="H145" s="57">
        <v>0</v>
      </c>
      <c r="I145" s="60">
        <v>1</v>
      </c>
      <c r="J145" s="60">
        <v>1</v>
      </c>
      <c r="K145" s="33">
        <f t="shared" si="18"/>
        <v>170000</v>
      </c>
      <c r="L145" s="33">
        <f t="shared" si="19"/>
        <v>170000</v>
      </c>
      <c r="M145" s="33">
        <f t="shared" si="20"/>
        <v>170000</v>
      </c>
      <c r="N145" s="126"/>
      <c r="O145" s="197" t="s">
        <v>1742</v>
      </c>
      <c r="P145" s="48">
        <f t="shared" si="21"/>
        <v>170000</v>
      </c>
      <c r="Q145" s="40">
        <f>+'[1]dend dn2'!Z274</f>
        <v>170000</v>
      </c>
      <c r="R145" s="40">
        <f t="shared" si="22"/>
        <v>0</v>
      </c>
    </row>
    <row r="146" spans="1:18">
      <c r="A146" s="194">
        <f t="shared" si="23"/>
        <v>142</v>
      </c>
      <c r="B146" s="59" t="s">
        <v>1319</v>
      </c>
      <c r="C146" s="67" t="s">
        <v>1320</v>
      </c>
      <c r="D146" s="63">
        <v>42926</v>
      </c>
      <c r="E146" s="195">
        <v>170000</v>
      </c>
      <c r="F146" s="196">
        <f t="shared" si="16"/>
        <v>170000</v>
      </c>
      <c r="G146" s="59">
        <f t="shared" si="17"/>
        <v>170000</v>
      </c>
      <c r="H146" s="57">
        <v>0</v>
      </c>
      <c r="I146" s="60">
        <v>1</v>
      </c>
      <c r="J146" s="60">
        <v>1</v>
      </c>
      <c r="K146" s="33">
        <f t="shared" si="18"/>
        <v>170000</v>
      </c>
      <c r="L146" s="33">
        <f t="shared" si="19"/>
        <v>170000</v>
      </c>
      <c r="M146" s="33">
        <f t="shared" si="20"/>
        <v>170000</v>
      </c>
      <c r="N146" s="126"/>
      <c r="O146" s="197" t="s">
        <v>1743</v>
      </c>
      <c r="P146" s="48">
        <f t="shared" si="21"/>
        <v>170000</v>
      </c>
      <c r="Q146" s="40">
        <f>+'[1]dend dn2'!Z275</f>
        <v>170000</v>
      </c>
      <c r="R146" s="40">
        <f t="shared" si="22"/>
        <v>0</v>
      </c>
    </row>
    <row r="147" spans="1:18">
      <c r="A147" s="194">
        <f t="shared" si="23"/>
        <v>143</v>
      </c>
      <c r="B147" s="59" t="s">
        <v>1319</v>
      </c>
      <c r="C147" s="67" t="s">
        <v>1320</v>
      </c>
      <c r="D147" s="63">
        <v>42957</v>
      </c>
      <c r="E147" s="195">
        <v>170000</v>
      </c>
      <c r="F147" s="196">
        <f t="shared" si="16"/>
        <v>170000</v>
      </c>
      <c r="G147" s="59">
        <f t="shared" si="17"/>
        <v>170000</v>
      </c>
      <c r="H147" s="57">
        <v>0</v>
      </c>
      <c r="I147" s="60">
        <v>1</v>
      </c>
      <c r="J147" s="60">
        <v>1</v>
      </c>
      <c r="K147" s="33">
        <f t="shared" si="18"/>
        <v>170000</v>
      </c>
      <c r="L147" s="33">
        <f t="shared" si="19"/>
        <v>170000</v>
      </c>
      <c r="M147" s="33">
        <f t="shared" si="20"/>
        <v>170000</v>
      </c>
      <c r="N147" s="126"/>
      <c r="O147" s="197" t="s">
        <v>1744</v>
      </c>
      <c r="P147" s="48">
        <f t="shared" si="21"/>
        <v>170000</v>
      </c>
      <c r="Q147" s="40">
        <f>+'[1]dend dn2'!Z276</f>
        <v>170000</v>
      </c>
      <c r="R147" s="40">
        <f t="shared" si="22"/>
        <v>0</v>
      </c>
    </row>
    <row r="148" spans="1:18">
      <c r="A148" s="194">
        <f t="shared" si="23"/>
        <v>144</v>
      </c>
      <c r="B148" s="59" t="s">
        <v>1319</v>
      </c>
      <c r="C148" s="67" t="s">
        <v>1320</v>
      </c>
      <c r="D148" s="63">
        <v>42988</v>
      </c>
      <c r="E148" s="199">
        <v>170000</v>
      </c>
      <c r="F148" s="196">
        <f t="shared" si="16"/>
        <v>170000</v>
      </c>
      <c r="G148" s="59">
        <f t="shared" si="17"/>
        <v>170000</v>
      </c>
      <c r="H148" s="57">
        <v>0</v>
      </c>
      <c r="I148" s="60">
        <v>1</v>
      </c>
      <c r="J148" s="60">
        <v>1</v>
      </c>
      <c r="K148" s="33">
        <f t="shared" si="18"/>
        <v>170000</v>
      </c>
      <c r="L148" s="33">
        <f t="shared" si="19"/>
        <v>170000</v>
      </c>
      <c r="M148" s="33">
        <f t="shared" si="20"/>
        <v>170000</v>
      </c>
      <c r="N148" s="126"/>
      <c r="O148" s="197" t="s">
        <v>1745</v>
      </c>
      <c r="P148" s="48">
        <f t="shared" si="21"/>
        <v>170000</v>
      </c>
      <c r="Q148" s="40">
        <f>+'[1]dend dn2'!Z277</f>
        <v>170000</v>
      </c>
      <c r="R148" s="40">
        <f t="shared" si="22"/>
        <v>0</v>
      </c>
    </row>
    <row r="149" spans="1:18">
      <c r="A149" s="194">
        <f t="shared" si="23"/>
        <v>145</v>
      </c>
      <c r="B149" s="59" t="s">
        <v>1319</v>
      </c>
      <c r="C149" s="67" t="s">
        <v>1320</v>
      </c>
      <c r="D149" s="63">
        <v>43018</v>
      </c>
      <c r="E149" s="199">
        <v>170000</v>
      </c>
      <c r="F149" s="196">
        <f t="shared" si="16"/>
        <v>170000</v>
      </c>
      <c r="G149" s="59">
        <f t="shared" si="17"/>
        <v>170000</v>
      </c>
      <c r="H149" s="57">
        <v>0</v>
      </c>
      <c r="I149" s="60">
        <v>1</v>
      </c>
      <c r="J149" s="60">
        <v>1</v>
      </c>
      <c r="K149" s="33">
        <f t="shared" si="18"/>
        <v>170000</v>
      </c>
      <c r="L149" s="33">
        <f t="shared" si="19"/>
        <v>170000</v>
      </c>
      <c r="M149" s="33">
        <f t="shared" si="20"/>
        <v>170000</v>
      </c>
      <c r="N149" s="126"/>
      <c r="O149" s="197" t="s">
        <v>1746</v>
      </c>
      <c r="P149" s="48">
        <f t="shared" si="21"/>
        <v>170000</v>
      </c>
      <c r="Q149" s="40">
        <f>+'[1]dend dn2'!Z278</f>
        <v>170000</v>
      </c>
      <c r="R149" s="40">
        <f t="shared" si="22"/>
        <v>0</v>
      </c>
    </row>
    <row r="150" spans="1:18">
      <c r="A150" s="194">
        <f t="shared" si="23"/>
        <v>146</v>
      </c>
      <c r="B150" s="59" t="s">
        <v>1319</v>
      </c>
      <c r="C150" s="67" t="s">
        <v>1320</v>
      </c>
      <c r="D150" s="63">
        <v>43049</v>
      </c>
      <c r="E150" s="199">
        <v>170000</v>
      </c>
      <c r="F150" s="196">
        <f t="shared" si="16"/>
        <v>170000</v>
      </c>
      <c r="G150" s="59">
        <f t="shared" si="17"/>
        <v>170000</v>
      </c>
      <c r="H150" s="57">
        <v>0</v>
      </c>
      <c r="I150" s="60">
        <v>1</v>
      </c>
      <c r="J150" s="60">
        <v>1</v>
      </c>
      <c r="K150" s="33">
        <f t="shared" si="18"/>
        <v>170000</v>
      </c>
      <c r="L150" s="33">
        <f t="shared" si="19"/>
        <v>170000</v>
      </c>
      <c r="M150" s="200">
        <f t="shared" si="20"/>
        <v>170000</v>
      </c>
      <c r="N150" s="126"/>
      <c r="O150" s="197" t="s">
        <v>1747</v>
      </c>
      <c r="P150" s="48">
        <f t="shared" si="21"/>
        <v>170000</v>
      </c>
      <c r="Q150" s="40">
        <f>+'[1]dend dn2'!Z279</f>
        <v>170000</v>
      </c>
      <c r="R150" s="40">
        <f t="shared" si="22"/>
        <v>0</v>
      </c>
    </row>
    <row r="151" spans="1:18">
      <c r="A151" s="194">
        <f t="shared" si="23"/>
        <v>147</v>
      </c>
      <c r="B151" s="59" t="s">
        <v>1319</v>
      </c>
      <c r="C151" s="67" t="s">
        <v>1320</v>
      </c>
      <c r="D151" s="63">
        <v>43079</v>
      </c>
      <c r="E151" s="199">
        <v>170000</v>
      </c>
      <c r="F151" s="196">
        <f t="shared" si="16"/>
        <v>170000</v>
      </c>
      <c r="G151" s="59">
        <f t="shared" si="17"/>
        <v>170000</v>
      </c>
      <c r="H151" s="57">
        <v>0</v>
      </c>
      <c r="I151" s="60">
        <v>1</v>
      </c>
      <c r="J151" s="60">
        <v>1</v>
      </c>
      <c r="K151" s="33">
        <f t="shared" si="18"/>
        <v>170000</v>
      </c>
      <c r="L151" s="33">
        <f t="shared" si="19"/>
        <v>170000</v>
      </c>
      <c r="M151" s="200">
        <f t="shared" si="20"/>
        <v>170000</v>
      </c>
      <c r="N151" s="126"/>
      <c r="O151" s="197" t="s">
        <v>1748</v>
      </c>
      <c r="P151" s="48">
        <f t="shared" si="21"/>
        <v>170000</v>
      </c>
      <c r="Q151" s="40">
        <f>+'[1]dend dn2'!Z280</f>
        <v>170000</v>
      </c>
      <c r="R151" s="40">
        <f t="shared" si="22"/>
        <v>0</v>
      </c>
    </row>
    <row r="152" spans="1:18">
      <c r="A152" s="194">
        <f t="shared" si="23"/>
        <v>148</v>
      </c>
      <c r="B152" s="59" t="s">
        <v>1319</v>
      </c>
      <c r="C152" s="67" t="s">
        <v>1320</v>
      </c>
      <c r="D152" s="63">
        <v>43110</v>
      </c>
      <c r="E152" s="195">
        <v>170000</v>
      </c>
      <c r="F152" s="196">
        <f t="shared" si="16"/>
        <v>170000</v>
      </c>
      <c r="G152" s="59">
        <f t="shared" si="17"/>
        <v>170000</v>
      </c>
      <c r="H152" s="57">
        <v>0</v>
      </c>
      <c r="I152" s="60">
        <v>1</v>
      </c>
      <c r="J152" s="60">
        <v>1</v>
      </c>
      <c r="K152" s="33">
        <f t="shared" si="18"/>
        <v>170000</v>
      </c>
      <c r="L152" s="33">
        <f t="shared" si="19"/>
        <v>170000</v>
      </c>
      <c r="M152" s="200">
        <f t="shared" si="20"/>
        <v>170000</v>
      </c>
      <c r="N152" s="126"/>
      <c r="O152" s="197" t="s">
        <v>1749</v>
      </c>
      <c r="P152" s="48">
        <f t="shared" si="21"/>
        <v>170000</v>
      </c>
      <c r="Q152" s="40">
        <f>+'[1]dend dn2'!Z281</f>
        <v>170000</v>
      </c>
      <c r="R152" s="40">
        <f t="shared" si="22"/>
        <v>0</v>
      </c>
    </row>
    <row r="153" spans="1:18">
      <c r="A153" s="194">
        <f t="shared" si="23"/>
        <v>149</v>
      </c>
      <c r="B153" s="54" t="s">
        <v>118</v>
      </c>
      <c r="C153" s="55" t="s">
        <v>119</v>
      </c>
      <c r="D153" s="63">
        <v>43141</v>
      </c>
      <c r="E153" s="195">
        <v>100000</v>
      </c>
      <c r="F153" s="196">
        <f t="shared" si="16"/>
        <v>100000</v>
      </c>
      <c r="G153" s="59">
        <f t="shared" si="17"/>
        <v>100000</v>
      </c>
      <c r="H153" s="57">
        <v>0</v>
      </c>
      <c r="I153" s="60">
        <v>1</v>
      </c>
      <c r="J153" s="60">
        <v>1</v>
      </c>
      <c r="K153" s="33">
        <f t="shared" si="18"/>
        <v>100000</v>
      </c>
      <c r="L153" s="33">
        <f t="shared" si="19"/>
        <v>100000</v>
      </c>
      <c r="M153" s="200">
        <f t="shared" si="20"/>
        <v>100000</v>
      </c>
      <c r="N153" s="126"/>
      <c r="O153" s="197" t="s">
        <v>1749</v>
      </c>
      <c r="P153" s="48">
        <f t="shared" si="21"/>
        <v>100000</v>
      </c>
      <c r="Q153" s="40">
        <f>+'[1]dend dn2'!Z282</f>
        <v>100000</v>
      </c>
      <c r="R153" s="40">
        <f t="shared" si="22"/>
        <v>0</v>
      </c>
    </row>
    <row r="154" spans="1:18">
      <c r="A154" s="194">
        <f t="shared" si="23"/>
        <v>150</v>
      </c>
      <c r="B154" s="54" t="s">
        <v>118</v>
      </c>
      <c r="C154" s="55" t="s">
        <v>119</v>
      </c>
      <c r="D154" s="63">
        <v>43141</v>
      </c>
      <c r="E154" s="195">
        <v>100000</v>
      </c>
      <c r="F154" s="196">
        <f t="shared" si="16"/>
        <v>100000</v>
      </c>
      <c r="G154" s="59">
        <f t="shared" si="17"/>
        <v>100000</v>
      </c>
      <c r="H154" s="57">
        <v>0</v>
      </c>
      <c r="I154" s="60">
        <v>1</v>
      </c>
      <c r="J154" s="60">
        <v>1</v>
      </c>
      <c r="K154" s="33">
        <f t="shared" si="18"/>
        <v>100000</v>
      </c>
      <c r="L154" s="33">
        <f t="shared" si="19"/>
        <v>100000</v>
      </c>
      <c r="M154" s="200">
        <f t="shared" si="20"/>
        <v>100000</v>
      </c>
      <c r="N154" s="126"/>
      <c r="O154" s="197" t="s">
        <v>1749</v>
      </c>
      <c r="P154" s="48">
        <f t="shared" si="21"/>
        <v>100000</v>
      </c>
      <c r="Q154" s="40">
        <f>+'[1]dend dn2'!Z283</f>
        <v>100000</v>
      </c>
      <c r="R154" s="40">
        <f t="shared" si="22"/>
        <v>0</v>
      </c>
    </row>
    <row r="155" spans="1:18">
      <c r="A155" s="194">
        <f t="shared" si="23"/>
        <v>151</v>
      </c>
      <c r="B155" s="54" t="s">
        <v>118</v>
      </c>
      <c r="C155" s="55" t="s">
        <v>119</v>
      </c>
      <c r="D155" s="63">
        <v>43141</v>
      </c>
      <c r="E155" s="195">
        <v>33780</v>
      </c>
      <c r="F155" s="196">
        <f t="shared" si="16"/>
        <v>33780</v>
      </c>
      <c r="G155" s="59">
        <f t="shared" si="17"/>
        <v>33780</v>
      </c>
      <c r="H155" s="57">
        <v>0</v>
      </c>
      <c r="I155" s="60">
        <v>1</v>
      </c>
      <c r="J155" s="60">
        <v>1</v>
      </c>
      <c r="K155" s="33">
        <f t="shared" si="18"/>
        <v>33780</v>
      </c>
      <c r="L155" s="33">
        <f t="shared" si="19"/>
        <v>33780</v>
      </c>
      <c r="M155" s="200">
        <f t="shared" si="20"/>
        <v>33780</v>
      </c>
      <c r="N155" s="126"/>
      <c r="O155" s="197" t="s">
        <v>1749</v>
      </c>
      <c r="P155" s="48">
        <f t="shared" si="21"/>
        <v>33780</v>
      </c>
      <c r="Q155" s="40">
        <f>+'[1]dend dn2'!Z284</f>
        <v>33780</v>
      </c>
      <c r="R155" s="40">
        <f t="shared" si="22"/>
        <v>0</v>
      </c>
    </row>
    <row r="156" spans="1:18">
      <c r="A156" s="194">
        <f t="shared" si="23"/>
        <v>152</v>
      </c>
      <c r="B156" s="54" t="s">
        <v>302</v>
      </c>
      <c r="C156" s="55" t="s">
        <v>303</v>
      </c>
      <c r="D156" s="63">
        <v>43141</v>
      </c>
      <c r="E156" s="195">
        <v>112650</v>
      </c>
      <c r="F156" s="196">
        <f t="shared" si="16"/>
        <v>112650</v>
      </c>
      <c r="G156" s="59">
        <f t="shared" si="17"/>
        <v>112650</v>
      </c>
      <c r="H156" s="57">
        <v>0</v>
      </c>
      <c r="I156" s="60">
        <v>1</v>
      </c>
      <c r="J156" s="60">
        <v>1</v>
      </c>
      <c r="K156" s="33">
        <f t="shared" si="18"/>
        <v>112650</v>
      </c>
      <c r="L156" s="33">
        <f t="shared" si="19"/>
        <v>112650</v>
      </c>
      <c r="M156" s="200">
        <f t="shared" si="20"/>
        <v>112650</v>
      </c>
      <c r="N156" s="126"/>
      <c r="O156" s="197" t="s">
        <v>1749</v>
      </c>
      <c r="P156" s="48">
        <f t="shared" si="21"/>
        <v>112650</v>
      </c>
      <c r="Q156" s="40">
        <f>+'[1]dend dn2'!Z285</f>
        <v>112650</v>
      </c>
      <c r="R156" s="40">
        <f t="shared" si="22"/>
        <v>0</v>
      </c>
    </row>
    <row r="157" spans="1:18">
      <c r="A157" s="194">
        <f t="shared" si="23"/>
        <v>153</v>
      </c>
      <c r="B157" s="54" t="s">
        <v>400</v>
      </c>
      <c r="C157" s="55" t="s">
        <v>401</v>
      </c>
      <c r="D157" s="63">
        <v>43141</v>
      </c>
      <c r="E157" s="195">
        <v>187866</v>
      </c>
      <c r="F157" s="196">
        <f t="shared" si="16"/>
        <v>187866</v>
      </c>
      <c r="G157" s="59">
        <f t="shared" si="17"/>
        <v>187866</v>
      </c>
      <c r="H157" s="57">
        <v>0</v>
      </c>
      <c r="I157" s="60">
        <v>1</v>
      </c>
      <c r="J157" s="60">
        <v>1</v>
      </c>
      <c r="K157" s="33">
        <f t="shared" si="18"/>
        <v>187866</v>
      </c>
      <c r="L157" s="33">
        <f t="shared" si="19"/>
        <v>187866</v>
      </c>
      <c r="M157" s="200">
        <f t="shared" si="20"/>
        <v>187866</v>
      </c>
      <c r="N157" s="126"/>
      <c r="O157" s="197" t="s">
        <v>1749</v>
      </c>
      <c r="P157" s="48">
        <f t="shared" si="21"/>
        <v>187866</v>
      </c>
      <c r="Q157" s="40">
        <f>+'[1]dend dn2'!Z286</f>
        <v>187866</v>
      </c>
      <c r="R157" s="40">
        <f t="shared" si="22"/>
        <v>0</v>
      </c>
    </row>
    <row r="158" spans="1:18">
      <c r="A158" s="194">
        <f t="shared" si="23"/>
        <v>154</v>
      </c>
      <c r="B158" s="54" t="s">
        <v>400</v>
      </c>
      <c r="C158" s="55" t="s">
        <v>401</v>
      </c>
      <c r="D158" s="63">
        <v>43141</v>
      </c>
      <c r="E158" s="195">
        <v>62134</v>
      </c>
      <c r="F158" s="196">
        <f t="shared" si="16"/>
        <v>62134</v>
      </c>
      <c r="G158" s="59">
        <f t="shared" si="17"/>
        <v>62134</v>
      </c>
      <c r="H158" s="57">
        <v>0</v>
      </c>
      <c r="I158" s="60">
        <v>1</v>
      </c>
      <c r="J158" s="60">
        <v>1</v>
      </c>
      <c r="K158" s="33">
        <f t="shared" si="18"/>
        <v>62134</v>
      </c>
      <c r="L158" s="33">
        <f t="shared" si="19"/>
        <v>62134</v>
      </c>
      <c r="M158" s="200">
        <f t="shared" si="20"/>
        <v>62134</v>
      </c>
      <c r="N158" s="126"/>
      <c r="O158" s="197" t="s">
        <v>1749</v>
      </c>
      <c r="P158" s="48">
        <f t="shared" si="21"/>
        <v>62134</v>
      </c>
      <c r="Q158" s="40">
        <f>+'[1]dend dn2'!Z287</f>
        <v>62134</v>
      </c>
      <c r="R158" s="40">
        <f t="shared" si="22"/>
        <v>0</v>
      </c>
    </row>
    <row r="159" spans="1:18">
      <c r="A159" s="194">
        <f t="shared" si="23"/>
        <v>155</v>
      </c>
      <c r="B159" s="54" t="s">
        <v>458</v>
      </c>
      <c r="C159" s="55">
        <v>901781</v>
      </c>
      <c r="D159" s="63">
        <v>43141</v>
      </c>
      <c r="E159" s="195">
        <v>40000</v>
      </c>
      <c r="F159" s="196">
        <f t="shared" si="16"/>
        <v>40000</v>
      </c>
      <c r="G159" s="59">
        <f t="shared" si="17"/>
        <v>40000</v>
      </c>
      <c r="H159" s="57">
        <v>0</v>
      </c>
      <c r="I159" s="60">
        <v>1</v>
      </c>
      <c r="J159" s="60">
        <v>1</v>
      </c>
      <c r="K159" s="33">
        <f t="shared" si="18"/>
        <v>40000</v>
      </c>
      <c r="L159" s="33">
        <f t="shared" si="19"/>
        <v>40000</v>
      </c>
      <c r="M159" s="200">
        <f t="shared" si="20"/>
        <v>40000</v>
      </c>
      <c r="N159" s="126"/>
      <c r="O159" s="197" t="s">
        <v>1749</v>
      </c>
      <c r="P159" s="48">
        <f t="shared" si="21"/>
        <v>40000</v>
      </c>
      <c r="Q159" s="40">
        <f>+'[1]dend dn2'!Z288</f>
        <v>40000</v>
      </c>
      <c r="R159" s="40">
        <f t="shared" si="22"/>
        <v>0</v>
      </c>
    </row>
    <row r="160" spans="1:18">
      <c r="A160" s="194">
        <f t="shared" si="23"/>
        <v>156</v>
      </c>
      <c r="B160" s="54" t="s">
        <v>519</v>
      </c>
      <c r="C160" s="55" t="s">
        <v>520</v>
      </c>
      <c r="D160" s="63">
        <v>43141</v>
      </c>
      <c r="E160" s="195">
        <v>200000</v>
      </c>
      <c r="F160" s="196">
        <f t="shared" si="16"/>
        <v>200000</v>
      </c>
      <c r="G160" s="59">
        <f t="shared" si="17"/>
        <v>200000</v>
      </c>
      <c r="H160" s="57">
        <v>0</v>
      </c>
      <c r="I160" s="60">
        <v>1</v>
      </c>
      <c r="J160" s="60">
        <v>1</v>
      </c>
      <c r="K160" s="33">
        <f t="shared" si="18"/>
        <v>200000</v>
      </c>
      <c r="L160" s="33">
        <f t="shared" si="19"/>
        <v>200000</v>
      </c>
      <c r="M160" s="200">
        <f t="shared" si="20"/>
        <v>200000</v>
      </c>
      <c r="N160" s="126"/>
      <c r="O160" s="197" t="s">
        <v>1749</v>
      </c>
      <c r="P160" s="48">
        <f t="shared" si="21"/>
        <v>200000</v>
      </c>
      <c r="Q160" s="40">
        <f>+'[1]dend dn2'!Z289</f>
        <v>200000</v>
      </c>
      <c r="R160" s="40">
        <f t="shared" si="22"/>
        <v>0</v>
      </c>
    </row>
    <row r="161" spans="1:18">
      <c r="A161" s="194">
        <f t="shared" si="23"/>
        <v>157</v>
      </c>
      <c r="B161" s="54" t="s">
        <v>519</v>
      </c>
      <c r="C161" s="55" t="s">
        <v>520</v>
      </c>
      <c r="D161" s="63">
        <v>43141</v>
      </c>
      <c r="E161" s="195">
        <v>200000</v>
      </c>
      <c r="F161" s="196">
        <f t="shared" si="16"/>
        <v>200000</v>
      </c>
      <c r="G161" s="59">
        <f t="shared" si="17"/>
        <v>200000</v>
      </c>
      <c r="H161" s="57">
        <v>0</v>
      </c>
      <c r="I161" s="60">
        <v>1</v>
      </c>
      <c r="J161" s="60">
        <v>1</v>
      </c>
      <c r="K161" s="33">
        <f t="shared" si="18"/>
        <v>200000</v>
      </c>
      <c r="L161" s="33">
        <f t="shared" si="19"/>
        <v>200000</v>
      </c>
      <c r="M161" s="200">
        <f t="shared" si="20"/>
        <v>200000</v>
      </c>
      <c r="N161" s="126"/>
      <c r="O161" s="197" t="s">
        <v>1749</v>
      </c>
      <c r="P161" s="48">
        <f t="shared" si="21"/>
        <v>200000</v>
      </c>
      <c r="Q161" s="40">
        <f>+'[1]dend dn2'!Z290</f>
        <v>200000</v>
      </c>
      <c r="R161" s="40">
        <f t="shared" si="22"/>
        <v>0</v>
      </c>
    </row>
    <row r="162" spans="1:18">
      <c r="A162" s="194">
        <f t="shared" si="23"/>
        <v>158</v>
      </c>
      <c r="B162" s="54" t="s">
        <v>643</v>
      </c>
      <c r="C162" s="205" t="s">
        <v>644</v>
      </c>
      <c r="D162" s="63">
        <v>43141</v>
      </c>
      <c r="E162" s="195">
        <v>220000</v>
      </c>
      <c r="F162" s="196">
        <f t="shared" si="16"/>
        <v>220000</v>
      </c>
      <c r="G162" s="59">
        <f t="shared" si="17"/>
        <v>220000</v>
      </c>
      <c r="H162" s="57">
        <v>0</v>
      </c>
      <c r="I162" s="60">
        <v>1</v>
      </c>
      <c r="J162" s="60">
        <v>1</v>
      </c>
      <c r="K162" s="33">
        <f t="shared" si="18"/>
        <v>220000</v>
      </c>
      <c r="L162" s="33">
        <f t="shared" si="19"/>
        <v>220000</v>
      </c>
      <c r="M162" s="200">
        <f t="shared" si="20"/>
        <v>220000</v>
      </c>
      <c r="N162" s="126"/>
      <c r="O162" s="197" t="s">
        <v>1749</v>
      </c>
      <c r="P162" s="48">
        <f t="shared" si="21"/>
        <v>220000</v>
      </c>
      <c r="Q162" s="40">
        <f>+'[1]dend dn2'!Z291</f>
        <v>220000</v>
      </c>
      <c r="R162" s="40">
        <f t="shared" si="22"/>
        <v>0</v>
      </c>
    </row>
    <row r="163" spans="1:18">
      <c r="A163" s="194">
        <f t="shared" si="23"/>
        <v>159</v>
      </c>
      <c r="B163" s="54" t="s">
        <v>811</v>
      </c>
      <c r="C163" s="55" t="s">
        <v>812</v>
      </c>
      <c r="D163" s="63">
        <v>43141</v>
      </c>
      <c r="E163" s="195">
        <v>77800</v>
      </c>
      <c r="F163" s="196">
        <f t="shared" si="16"/>
        <v>77800</v>
      </c>
      <c r="G163" s="59">
        <f t="shared" si="17"/>
        <v>77800</v>
      </c>
      <c r="H163" s="57">
        <v>0</v>
      </c>
      <c r="I163" s="60">
        <v>1</v>
      </c>
      <c r="J163" s="60">
        <v>1</v>
      </c>
      <c r="K163" s="33">
        <f t="shared" si="18"/>
        <v>77800</v>
      </c>
      <c r="L163" s="33">
        <f t="shared" si="19"/>
        <v>77800</v>
      </c>
      <c r="M163" s="200">
        <f t="shared" si="20"/>
        <v>77800</v>
      </c>
      <c r="N163" s="126"/>
      <c r="O163" s="197" t="s">
        <v>1749</v>
      </c>
      <c r="P163" s="48">
        <f t="shared" si="21"/>
        <v>77800</v>
      </c>
      <c r="Q163" s="40">
        <f>+'[1]dend dn2'!Z292</f>
        <v>77800</v>
      </c>
      <c r="R163" s="40">
        <f t="shared" si="22"/>
        <v>0</v>
      </c>
    </row>
    <row r="164" spans="1:18">
      <c r="A164" s="194">
        <f t="shared" si="23"/>
        <v>160</v>
      </c>
      <c r="B164" s="54" t="s">
        <v>811</v>
      </c>
      <c r="C164" s="55" t="s">
        <v>812</v>
      </c>
      <c r="D164" s="63">
        <v>43141</v>
      </c>
      <c r="E164" s="195">
        <v>77800</v>
      </c>
      <c r="F164" s="196">
        <f t="shared" si="16"/>
        <v>77800</v>
      </c>
      <c r="G164" s="59">
        <f t="shared" si="17"/>
        <v>77800</v>
      </c>
      <c r="H164" s="57">
        <v>0</v>
      </c>
      <c r="I164" s="60">
        <v>1</v>
      </c>
      <c r="J164" s="60">
        <v>1</v>
      </c>
      <c r="K164" s="33">
        <f t="shared" si="18"/>
        <v>77800</v>
      </c>
      <c r="L164" s="33">
        <f t="shared" si="19"/>
        <v>77800</v>
      </c>
      <c r="M164" s="200">
        <f t="shared" si="20"/>
        <v>77800</v>
      </c>
      <c r="N164" s="126"/>
      <c r="O164" s="197" t="s">
        <v>1749</v>
      </c>
      <c r="P164" s="48">
        <f t="shared" si="21"/>
        <v>77800</v>
      </c>
      <c r="Q164" s="40">
        <f>+'[1]dend dn2'!Z293</f>
        <v>77800</v>
      </c>
      <c r="R164" s="40">
        <f t="shared" si="22"/>
        <v>0</v>
      </c>
    </row>
    <row r="165" spans="1:18">
      <c r="A165" s="194">
        <f t="shared" si="23"/>
        <v>161</v>
      </c>
      <c r="B165" s="54" t="s">
        <v>834</v>
      </c>
      <c r="C165" s="55">
        <v>921578</v>
      </c>
      <c r="D165" s="63">
        <v>43141</v>
      </c>
      <c r="E165" s="195">
        <v>65000</v>
      </c>
      <c r="F165" s="196">
        <f t="shared" si="16"/>
        <v>65000</v>
      </c>
      <c r="G165" s="59">
        <f t="shared" si="17"/>
        <v>65000</v>
      </c>
      <c r="H165" s="57">
        <v>0</v>
      </c>
      <c r="I165" s="60">
        <v>1</v>
      </c>
      <c r="J165" s="60">
        <v>1</v>
      </c>
      <c r="K165" s="33">
        <f t="shared" si="18"/>
        <v>65000</v>
      </c>
      <c r="L165" s="33">
        <f t="shared" si="19"/>
        <v>65000</v>
      </c>
      <c r="M165" s="200">
        <f t="shared" si="20"/>
        <v>65000</v>
      </c>
      <c r="N165" s="126"/>
      <c r="O165" s="197" t="s">
        <v>1749</v>
      </c>
      <c r="P165" s="48">
        <f t="shared" si="21"/>
        <v>65000</v>
      </c>
      <c r="Q165" s="40">
        <f>+'[1]dend dn2'!Z294</f>
        <v>65000</v>
      </c>
      <c r="R165" s="40">
        <f t="shared" si="22"/>
        <v>0</v>
      </c>
    </row>
    <row r="166" spans="1:18">
      <c r="A166" s="194">
        <f t="shared" si="23"/>
        <v>162</v>
      </c>
      <c r="B166" s="54" t="s">
        <v>958</v>
      </c>
      <c r="C166" s="55" t="s">
        <v>959</v>
      </c>
      <c r="D166" s="63">
        <v>43141</v>
      </c>
      <c r="E166" s="195">
        <v>67500</v>
      </c>
      <c r="F166" s="196">
        <f t="shared" si="16"/>
        <v>67500</v>
      </c>
      <c r="G166" s="59">
        <f t="shared" si="17"/>
        <v>67500</v>
      </c>
      <c r="H166" s="57">
        <v>0</v>
      </c>
      <c r="I166" s="60">
        <v>1</v>
      </c>
      <c r="J166" s="60">
        <v>1</v>
      </c>
      <c r="K166" s="33">
        <f t="shared" si="18"/>
        <v>67500</v>
      </c>
      <c r="L166" s="33">
        <f t="shared" si="19"/>
        <v>67500</v>
      </c>
      <c r="M166" s="200">
        <f t="shared" si="20"/>
        <v>67500</v>
      </c>
      <c r="N166" s="126"/>
      <c r="O166" s="197" t="s">
        <v>1749</v>
      </c>
      <c r="P166" s="48">
        <f t="shared" si="21"/>
        <v>67500</v>
      </c>
      <c r="Q166" s="40">
        <f>+'[1]dend dn2'!Z295</f>
        <v>67500</v>
      </c>
      <c r="R166" s="40">
        <f t="shared" si="22"/>
        <v>0</v>
      </c>
    </row>
    <row r="167" spans="1:18">
      <c r="A167" s="194">
        <f t="shared" si="23"/>
        <v>163</v>
      </c>
      <c r="B167" s="54" t="s">
        <v>958</v>
      </c>
      <c r="C167" s="55" t="s">
        <v>959</v>
      </c>
      <c r="D167" s="63">
        <v>43141</v>
      </c>
      <c r="E167" s="195">
        <v>67500</v>
      </c>
      <c r="F167" s="196">
        <f t="shared" si="16"/>
        <v>67500</v>
      </c>
      <c r="G167" s="59">
        <f t="shared" si="17"/>
        <v>67500</v>
      </c>
      <c r="H167" s="57">
        <v>0</v>
      </c>
      <c r="I167" s="60">
        <v>1</v>
      </c>
      <c r="J167" s="60">
        <v>1</v>
      </c>
      <c r="K167" s="33">
        <f t="shared" si="18"/>
        <v>67500</v>
      </c>
      <c r="L167" s="33">
        <f t="shared" si="19"/>
        <v>67500</v>
      </c>
      <c r="M167" s="200">
        <f t="shared" si="20"/>
        <v>67500</v>
      </c>
      <c r="N167" s="126"/>
      <c r="O167" s="197" t="s">
        <v>1749</v>
      </c>
      <c r="P167" s="48">
        <f t="shared" si="21"/>
        <v>67500</v>
      </c>
      <c r="Q167" s="40">
        <f>+'[1]dend dn2'!Z296</f>
        <v>67500</v>
      </c>
      <c r="R167" s="40">
        <f t="shared" si="22"/>
        <v>0</v>
      </c>
    </row>
    <row r="168" spans="1:18">
      <c r="A168" s="194">
        <f t="shared" si="23"/>
        <v>164</v>
      </c>
      <c r="B168" s="54" t="s">
        <v>1162</v>
      </c>
      <c r="C168" s="55" t="s">
        <v>1163</v>
      </c>
      <c r="D168" s="63">
        <v>43141</v>
      </c>
      <c r="E168" s="195">
        <v>55000</v>
      </c>
      <c r="F168" s="196">
        <f t="shared" si="16"/>
        <v>55000</v>
      </c>
      <c r="G168" s="59">
        <f t="shared" si="17"/>
        <v>55000</v>
      </c>
      <c r="H168" s="57">
        <v>0</v>
      </c>
      <c r="I168" s="60">
        <v>1</v>
      </c>
      <c r="J168" s="60">
        <v>1</v>
      </c>
      <c r="K168" s="33">
        <f t="shared" si="18"/>
        <v>55000</v>
      </c>
      <c r="L168" s="33">
        <f t="shared" si="19"/>
        <v>55000</v>
      </c>
      <c r="M168" s="200">
        <f t="shared" si="20"/>
        <v>55000</v>
      </c>
      <c r="N168" s="126"/>
      <c r="O168" s="197" t="s">
        <v>1749</v>
      </c>
      <c r="P168" s="48">
        <f t="shared" si="21"/>
        <v>55000</v>
      </c>
      <c r="Q168" s="40">
        <f>+'[1]dend dn2'!Z297</f>
        <v>55000</v>
      </c>
      <c r="R168" s="40">
        <f t="shared" si="22"/>
        <v>0</v>
      </c>
    </row>
    <row r="169" spans="1:18">
      <c r="A169" s="194">
        <f t="shared" si="23"/>
        <v>165</v>
      </c>
      <c r="B169" s="54" t="s">
        <v>1162</v>
      </c>
      <c r="C169" s="55" t="s">
        <v>1163</v>
      </c>
      <c r="D169" s="63">
        <v>43141</v>
      </c>
      <c r="E169" s="195">
        <v>55000</v>
      </c>
      <c r="F169" s="196">
        <f t="shared" si="16"/>
        <v>55000</v>
      </c>
      <c r="G169" s="59">
        <f t="shared" si="17"/>
        <v>55000</v>
      </c>
      <c r="H169" s="57">
        <v>0</v>
      </c>
      <c r="I169" s="60">
        <v>1</v>
      </c>
      <c r="J169" s="60">
        <v>1</v>
      </c>
      <c r="K169" s="33">
        <f t="shared" si="18"/>
        <v>55000</v>
      </c>
      <c r="L169" s="33">
        <f t="shared" si="19"/>
        <v>55000</v>
      </c>
      <c r="M169" s="200">
        <f t="shared" si="20"/>
        <v>55000</v>
      </c>
      <c r="N169" s="126"/>
      <c r="O169" s="197" t="s">
        <v>1749</v>
      </c>
      <c r="P169" s="48">
        <f t="shared" si="21"/>
        <v>55000</v>
      </c>
      <c r="Q169" s="40">
        <f>+'[1]dend dn2'!Z298</f>
        <v>55000</v>
      </c>
      <c r="R169" s="40">
        <f t="shared" si="22"/>
        <v>0</v>
      </c>
    </row>
    <row r="170" spans="1:18">
      <c r="A170" s="194">
        <f t="shared" si="23"/>
        <v>166</v>
      </c>
      <c r="B170" s="54" t="s">
        <v>1205</v>
      </c>
      <c r="C170" s="55" t="s">
        <v>1206</v>
      </c>
      <c r="D170" s="63">
        <v>43141</v>
      </c>
      <c r="E170" s="195">
        <v>200000</v>
      </c>
      <c r="F170" s="196">
        <f t="shared" si="16"/>
        <v>200000</v>
      </c>
      <c r="G170" s="59">
        <f t="shared" si="17"/>
        <v>200000</v>
      </c>
      <c r="H170" s="57">
        <v>0</v>
      </c>
      <c r="I170" s="60">
        <v>1</v>
      </c>
      <c r="J170" s="60">
        <v>1</v>
      </c>
      <c r="K170" s="33">
        <f t="shared" si="18"/>
        <v>200000</v>
      </c>
      <c r="L170" s="33">
        <f t="shared" si="19"/>
        <v>200000</v>
      </c>
      <c r="M170" s="200">
        <f t="shared" si="20"/>
        <v>200000</v>
      </c>
      <c r="N170" s="126"/>
      <c r="O170" s="197" t="s">
        <v>1749</v>
      </c>
      <c r="P170" s="48">
        <f t="shared" si="21"/>
        <v>200000</v>
      </c>
      <c r="Q170" s="40">
        <f>+'[1]dend dn2'!Z299</f>
        <v>200000</v>
      </c>
      <c r="R170" s="40">
        <f t="shared" si="22"/>
        <v>0</v>
      </c>
    </row>
    <row r="171" spans="1:18">
      <c r="A171" s="194">
        <f t="shared" si="23"/>
        <v>167</v>
      </c>
      <c r="B171" s="54" t="s">
        <v>1307</v>
      </c>
      <c r="C171" s="55" t="s">
        <v>1308</v>
      </c>
      <c r="D171" s="63">
        <v>43141</v>
      </c>
      <c r="E171" s="195">
        <v>129450</v>
      </c>
      <c r="F171" s="196">
        <f t="shared" si="16"/>
        <v>129450</v>
      </c>
      <c r="G171" s="59">
        <f t="shared" si="17"/>
        <v>129450</v>
      </c>
      <c r="H171" s="57">
        <v>0</v>
      </c>
      <c r="I171" s="60">
        <v>1</v>
      </c>
      <c r="J171" s="60">
        <v>1</v>
      </c>
      <c r="K171" s="33">
        <f t="shared" si="18"/>
        <v>129450</v>
      </c>
      <c r="L171" s="33">
        <f t="shared" si="19"/>
        <v>129450</v>
      </c>
      <c r="M171" s="200">
        <f t="shared" si="20"/>
        <v>129450</v>
      </c>
      <c r="N171" s="126"/>
      <c r="O171" s="197" t="s">
        <v>1749</v>
      </c>
      <c r="P171" s="48">
        <f t="shared" si="21"/>
        <v>129450</v>
      </c>
      <c r="Q171" s="40">
        <f>+'[1]dend dn2'!Z300</f>
        <v>129450</v>
      </c>
      <c r="R171" s="40">
        <f t="shared" si="22"/>
        <v>0</v>
      </c>
    </row>
    <row r="172" spans="1:18">
      <c r="A172" s="194">
        <f t="shared" si="23"/>
        <v>168</v>
      </c>
      <c r="B172" s="54" t="s">
        <v>1307</v>
      </c>
      <c r="C172" s="55" t="s">
        <v>1308</v>
      </c>
      <c r="D172" s="63">
        <v>43141</v>
      </c>
      <c r="E172" s="195">
        <v>129450</v>
      </c>
      <c r="F172" s="196">
        <f t="shared" si="16"/>
        <v>129450</v>
      </c>
      <c r="G172" s="59">
        <f t="shared" si="17"/>
        <v>129450</v>
      </c>
      <c r="H172" s="57">
        <v>0</v>
      </c>
      <c r="I172" s="60">
        <v>1</v>
      </c>
      <c r="J172" s="60">
        <v>1</v>
      </c>
      <c r="K172" s="33">
        <f t="shared" si="18"/>
        <v>129450</v>
      </c>
      <c r="L172" s="33">
        <f t="shared" si="19"/>
        <v>129450</v>
      </c>
      <c r="M172" s="200">
        <f t="shared" si="20"/>
        <v>129450</v>
      </c>
      <c r="N172" s="126"/>
      <c r="O172" s="197" t="s">
        <v>1749</v>
      </c>
      <c r="P172" s="48">
        <f t="shared" si="21"/>
        <v>129450</v>
      </c>
      <c r="Q172" s="40">
        <f>+'[1]dend dn2'!Z301</f>
        <v>129450</v>
      </c>
      <c r="R172" s="40">
        <f t="shared" si="22"/>
        <v>0</v>
      </c>
    </row>
    <row r="173" spans="1:18">
      <c r="A173" s="194">
        <f t="shared" si="23"/>
        <v>169</v>
      </c>
      <c r="B173" s="59" t="s">
        <v>1319</v>
      </c>
      <c r="C173" s="67" t="s">
        <v>1320</v>
      </c>
      <c r="D173" s="63">
        <v>43141</v>
      </c>
      <c r="E173" s="195">
        <v>170000</v>
      </c>
      <c r="F173" s="196">
        <f t="shared" si="16"/>
        <v>170000</v>
      </c>
      <c r="G173" s="59">
        <f t="shared" si="17"/>
        <v>170000</v>
      </c>
      <c r="H173" s="57">
        <v>0</v>
      </c>
      <c r="I173" s="60">
        <v>1</v>
      </c>
      <c r="J173" s="60">
        <v>1</v>
      </c>
      <c r="K173" s="33">
        <f t="shared" si="18"/>
        <v>170000</v>
      </c>
      <c r="L173" s="33">
        <f t="shared" si="19"/>
        <v>170000</v>
      </c>
      <c r="M173" s="200">
        <f t="shared" si="20"/>
        <v>170000</v>
      </c>
      <c r="N173" s="126"/>
      <c r="O173" s="197" t="s">
        <v>1749</v>
      </c>
      <c r="P173" s="48">
        <f t="shared" si="21"/>
        <v>170000</v>
      </c>
      <c r="Q173" s="40">
        <f>+'[1]dend dn2'!Z302</f>
        <v>170000</v>
      </c>
      <c r="R173" s="40">
        <f t="shared" si="22"/>
        <v>0</v>
      </c>
    </row>
    <row r="174" spans="1:18">
      <c r="A174" s="30"/>
      <c r="B174" s="30"/>
      <c r="C174" s="29"/>
      <c r="D174" s="88"/>
      <c r="E174" s="45"/>
      <c r="F174" s="89"/>
      <c r="G174" s="33"/>
      <c r="H174" s="45"/>
      <c r="I174" s="29"/>
      <c r="J174" s="29"/>
      <c r="K174" s="125"/>
      <c r="L174" s="125"/>
      <c r="M174" s="33"/>
      <c r="N174" s="126"/>
      <c r="O174" s="127"/>
      <c r="P174" s="30"/>
      <c r="Q174" s="40"/>
      <c r="R174" s="30"/>
    </row>
    <row r="175" spans="1:18">
      <c r="A175" s="30"/>
      <c r="B175" s="30" t="s">
        <v>7</v>
      </c>
      <c r="C175" s="29"/>
      <c r="D175" s="88"/>
      <c r="E175" s="45">
        <f>SUM(E5:E174)</f>
        <v>17761000</v>
      </c>
      <c r="F175" s="45">
        <f t="shared" ref="F175:M175" si="24">SUM(F5:F174)</f>
        <v>17761000</v>
      </c>
      <c r="G175" s="45">
        <f t="shared" si="24"/>
        <v>17761000</v>
      </c>
      <c r="H175" s="45">
        <f t="shared" si="24"/>
        <v>0</v>
      </c>
      <c r="I175" s="45">
        <f t="shared" si="24"/>
        <v>169</v>
      </c>
      <c r="J175" s="45">
        <f t="shared" si="24"/>
        <v>169</v>
      </c>
      <c r="K175" s="45">
        <f t="shared" si="24"/>
        <v>17761000</v>
      </c>
      <c r="L175" s="45">
        <f t="shared" si="24"/>
        <v>17761000</v>
      </c>
      <c r="M175" s="45">
        <f t="shared" si="24"/>
        <v>17761000</v>
      </c>
      <c r="N175" s="126"/>
      <c r="O175" s="127"/>
      <c r="P175" s="45">
        <f t="shared" ref="P175:R175" si="25">SUM(P5:P174)</f>
        <v>17761000</v>
      </c>
      <c r="Q175" s="45">
        <f t="shared" si="25"/>
        <v>17761000</v>
      </c>
      <c r="R175" s="45">
        <f t="shared" si="25"/>
        <v>0</v>
      </c>
    </row>
    <row r="177" spans="1:18">
      <c r="A177" s="29">
        <f t="shared" ref="A177:A178" si="26">+A176+1</f>
        <v>1</v>
      </c>
      <c r="B177" s="30" t="s">
        <v>1019</v>
      </c>
      <c r="C177" s="31" t="s">
        <v>1020</v>
      </c>
      <c r="D177" s="32">
        <v>43141</v>
      </c>
      <c r="E177" s="206">
        <v>194175</v>
      </c>
      <c r="F177" s="89">
        <f t="shared" ref="F177:F178" si="27">+I177*K177</f>
        <v>194175</v>
      </c>
      <c r="G177" s="33">
        <f t="shared" ref="G177:G178" si="28">+E177/I177</f>
        <v>194175</v>
      </c>
      <c r="H177" s="45">
        <v>0</v>
      </c>
      <c r="I177" s="29">
        <v>1</v>
      </c>
      <c r="J177" s="29">
        <v>1</v>
      </c>
      <c r="K177" s="33">
        <f t="shared" ref="K177:K178" si="29">+G177+H177</f>
        <v>194175</v>
      </c>
      <c r="L177" s="33">
        <f t="shared" ref="L177:L178" si="30">+J177*K177</f>
        <v>194175</v>
      </c>
      <c r="M177" s="200">
        <f t="shared" ref="M177:M178" si="31">+G177*J177</f>
        <v>194175</v>
      </c>
      <c r="N177" s="126"/>
      <c r="O177" s="197" t="s">
        <v>1749</v>
      </c>
      <c r="P177" s="48">
        <f t="shared" ref="P177:P178" si="32">+M177</f>
        <v>194175</v>
      </c>
      <c r="Q177" s="40">
        <f>+'[2]dend dn2'!Z308</f>
        <v>0</v>
      </c>
      <c r="R177" s="40">
        <f t="shared" ref="R177:R178" si="33">+P177-Q177</f>
        <v>194175</v>
      </c>
    </row>
    <row r="178" spans="1:18">
      <c r="A178" s="29">
        <f t="shared" si="26"/>
        <v>2</v>
      </c>
      <c r="B178" s="30" t="s">
        <v>828</v>
      </c>
      <c r="C178" s="31" t="s">
        <v>829</v>
      </c>
      <c r="D178" s="32">
        <v>43141</v>
      </c>
      <c r="E178" s="206">
        <v>74475</v>
      </c>
      <c r="F178" s="89">
        <f t="shared" si="27"/>
        <v>74475</v>
      </c>
      <c r="G178" s="33">
        <f t="shared" si="28"/>
        <v>74475</v>
      </c>
      <c r="H178" s="45">
        <v>0</v>
      </c>
      <c r="I178" s="29">
        <v>1</v>
      </c>
      <c r="J178" s="29">
        <v>1</v>
      </c>
      <c r="K178" s="33">
        <f t="shared" si="29"/>
        <v>74475</v>
      </c>
      <c r="L178" s="33">
        <f t="shared" si="30"/>
        <v>74475</v>
      </c>
      <c r="M178" s="200">
        <f t="shared" si="31"/>
        <v>74475</v>
      </c>
      <c r="N178" s="126"/>
      <c r="O178" s="197" t="s">
        <v>1749</v>
      </c>
      <c r="P178" s="48">
        <f t="shared" si="32"/>
        <v>74475</v>
      </c>
      <c r="Q178" s="40">
        <f>+'[2]dend dn2'!Z309</f>
        <v>0</v>
      </c>
      <c r="R178" s="40">
        <f t="shared" si="33"/>
        <v>74475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45"/>
  <sheetViews>
    <sheetView showGridLines="0" view="pageBreakPreview" zoomScaleSheetLayoutView="100" workbookViewId="0">
      <pane ySplit="4" topLeftCell="A5" activePane="bottomLeft" state="frozen"/>
      <selection pane="bottomLeft" activeCell="G9" sqref="G9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4" bestFit="1" customWidth="1"/>
    <col min="12" max="12" width="17.5703125" style="134" bestFit="1" customWidth="1"/>
    <col min="13" max="13" width="20.42578125" style="132" bestFit="1" customWidth="1"/>
    <col min="14" max="14" width="31.42578125" style="179" bestFit="1" customWidth="1"/>
    <col min="15" max="15" width="34.42578125" style="180" bestFit="1" customWidth="1"/>
    <col min="16" max="17" width="16.85546875" style="14" bestFit="1" customWidth="1"/>
    <col min="18" max="18" width="17.7109375" style="14" bestFit="1" customWidth="1"/>
    <col min="19" max="31" width="9.140625" style="14"/>
    <col min="32" max="32" width="10.140625" style="14" customWidth="1"/>
    <col min="33" max="16384" width="9.140625" style="14"/>
  </cols>
  <sheetData>
    <row r="1" spans="1:19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9" ht="20.25">
      <c r="A2" s="187" t="s">
        <v>1764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9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9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9">
      <c r="A5" s="194">
        <v>1</v>
      </c>
      <c r="B5" s="54" t="s">
        <v>118</v>
      </c>
      <c r="C5" s="55" t="s">
        <v>119</v>
      </c>
      <c r="D5" s="202">
        <v>42561</v>
      </c>
      <c r="E5" s="203">
        <f>670543-3942</f>
        <v>666601</v>
      </c>
      <c r="F5" s="196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1765</v>
      </c>
      <c r="P5" s="33">
        <f t="shared" ref="P5:P68" si="5">+M5</f>
        <v>666601</v>
      </c>
      <c r="Q5" s="33">
        <f>+'[1]bg dn2'!Z101</f>
        <v>666601</v>
      </c>
      <c r="R5" s="33">
        <f t="shared" ref="R5:R68" si="6">+P5-Q5</f>
        <v>0</v>
      </c>
      <c r="S5" s="132"/>
    </row>
    <row r="6" spans="1:19">
      <c r="A6" s="29">
        <f t="shared" ref="A6:A69" si="7">+A5+1</f>
        <v>2</v>
      </c>
      <c r="B6" s="54" t="s">
        <v>118</v>
      </c>
      <c r="C6" s="55" t="s">
        <v>119</v>
      </c>
      <c r="D6" s="202">
        <v>42592</v>
      </c>
      <c r="E6" s="203">
        <v>60000</v>
      </c>
      <c r="F6" s="196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1766</v>
      </c>
      <c r="P6" s="33">
        <f t="shared" si="5"/>
        <v>60000</v>
      </c>
      <c r="Q6" s="33">
        <f>+'[1]bg dn2'!Z102</f>
        <v>60000</v>
      </c>
      <c r="R6" s="33">
        <f t="shared" si="6"/>
        <v>0</v>
      </c>
      <c r="S6" s="132"/>
    </row>
    <row r="7" spans="1:19">
      <c r="A7" s="29">
        <f t="shared" si="7"/>
        <v>3</v>
      </c>
      <c r="B7" s="54" t="s">
        <v>118</v>
      </c>
      <c r="C7" s="55" t="s">
        <v>119</v>
      </c>
      <c r="D7" s="202">
        <v>42592</v>
      </c>
      <c r="E7" s="203">
        <v>670543</v>
      </c>
      <c r="F7" s="196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1766</v>
      </c>
      <c r="P7" s="33">
        <f t="shared" si="5"/>
        <v>670543</v>
      </c>
      <c r="Q7" s="33">
        <f>+'[1]bg dn2'!Z103</f>
        <v>670543</v>
      </c>
      <c r="R7" s="33">
        <f t="shared" si="6"/>
        <v>0</v>
      </c>
      <c r="S7" s="132"/>
    </row>
    <row r="8" spans="1:19">
      <c r="A8" s="29">
        <f t="shared" si="7"/>
        <v>4</v>
      </c>
      <c r="B8" s="54" t="s">
        <v>118</v>
      </c>
      <c r="C8" s="55" t="s">
        <v>119</v>
      </c>
      <c r="D8" s="202">
        <v>42592</v>
      </c>
      <c r="E8" s="203">
        <v>670543</v>
      </c>
      <c r="F8" s="196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1766</v>
      </c>
      <c r="P8" s="33">
        <f t="shared" si="5"/>
        <v>670543</v>
      </c>
      <c r="Q8" s="33">
        <f>+'[1]bg dn2'!Z104</f>
        <v>670543</v>
      </c>
      <c r="R8" s="33">
        <f t="shared" si="6"/>
        <v>0</v>
      </c>
      <c r="S8" s="132"/>
    </row>
    <row r="9" spans="1:19">
      <c r="A9" s="29">
        <f t="shared" si="7"/>
        <v>5</v>
      </c>
      <c r="B9" s="54" t="s">
        <v>118</v>
      </c>
      <c r="C9" s="55" t="s">
        <v>119</v>
      </c>
      <c r="D9" s="202">
        <v>42623</v>
      </c>
      <c r="E9" s="203">
        <v>60000</v>
      </c>
      <c r="F9" s="196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1767</v>
      </c>
      <c r="P9" s="33">
        <f t="shared" si="5"/>
        <v>60000</v>
      </c>
      <c r="Q9" s="33">
        <f>+'[1]bg dn2'!Z105</f>
        <v>60000</v>
      </c>
      <c r="R9" s="33">
        <f t="shared" si="6"/>
        <v>0</v>
      </c>
      <c r="S9" s="132"/>
    </row>
    <row r="10" spans="1:19">
      <c r="A10" s="29">
        <f t="shared" si="7"/>
        <v>6</v>
      </c>
      <c r="B10" s="54" t="s">
        <v>118</v>
      </c>
      <c r="C10" s="55" t="s">
        <v>119</v>
      </c>
      <c r="D10" s="202">
        <v>42623</v>
      </c>
      <c r="E10" s="203">
        <v>670543</v>
      </c>
      <c r="F10" s="196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1767</v>
      </c>
      <c r="P10" s="33">
        <f t="shared" si="5"/>
        <v>670543</v>
      </c>
      <c r="Q10" s="33">
        <f>+'[1]bg dn2'!Z106</f>
        <v>670543</v>
      </c>
      <c r="R10" s="33">
        <f t="shared" si="6"/>
        <v>0</v>
      </c>
      <c r="S10" s="132"/>
    </row>
    <row r="11" spans="1:19">
      <c r="A11" s="29">
        <f t="shared" si="7"/>
        <v>7</v>
      </c>
      <c r="B11" s="54" t="s">
        <v>118</v>
      </c>
      <c r="C11" s="55" t="s">
        <v>119</v>
      </c>
      <c r="D11" s="202">
        <v>42623</v>
      </c>
      <c r="E11" s="203">
        <v>670543</v>
      </c>
      <c r="F11" s="196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1767</v>
      </c>
      <c r="P11" s="33">
        <f t="shared" si="5"/>
        <v>670543</v>
      </c>
      <c r="Q11" s="33">
        <f>+'[1]bg dn2'!Z107</f>
        <v>670543</v>
      </c>
      <c r="R11" s="33">
        <f t="shared" si="6"/>
        <v>0</v>
      </c>
      <c r="S11" s="132"/>
    </row>
    <row r="12" spans="1:19">
      <c r="A12" s="29">
        <f t="shared" si="7"/>
        <v>8</v>
      </c>
      <c r="B12" s="54" t="s">
        <v>118</v>
      </c>
      <c r="C12" s="55" t="s">
        <v>119</v>
      </c>
      <c r="D12" s="202">
        <v>42653</v>
      </c>
      <c r="E12" s="203">
        <v>60000</v>
      </c>
      <c r="F12" s="196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1768</v>
      </c>
      <c r="P12" s="33">
        <f t="shared" si="5"/>
        <v>60000</v>
      </c>
      <c r="Q12" s="33">
        <f>+'[1]bg dn2'!Z108</f>
        <v>60000</v>
      </c>
      <c r="R12" s="33">
        <f t="shared" si="6"/>
        <v>0</v>
      </c>
      <c r="S12" s="132"/>
    </row>
    <row r="13" spans="1:19">
      <c r="A13" s="29">
        <f t="shared" si="7"/>
        <v>9</v>
      </c>
      <c r="B13" s="54" t="s">
        <v>118</v>
      </c>
      <c r="C13" s="55" t="s">
        <v>119</v>
      </c>
      <c r="D13" s="202">
        <v>42653</v>
      </c>
      <c r="E13" s="203">
        <v>670543</v>
      </c>
      <c r="F13" s="196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1768</v>
      </c>
      <c r="P13" s="33">
        <f t="shared" si="5"/>
        <v>670543</v>
      </c>
      <c r="Q13" s="33">
        <f>+'[1]bg dn2'!Z109</f>
        <v>670543</v>
      </c>
      <c r="R13" s="33">
        <f t="shared" si="6"/>
        <v>0</v>
      </c>
      <c r="S13" s="132"/>
    </row>
    <row r="14" spans="1:19">
      <c r="A14" s="29">
        <f t="shared" si="7"/>
        <v>10</v>
      </c>
      <c r="B14" s="54" t="s">
        <v>118</v>
      </c>
      <c r="C14" s="55" t="s">
        <v>119</v>
      </c>
      <c r="D14" s="202">
        <v>42653</v>
      </c>
      <c r="E14" s="203">
        <v>670543</v>
      </c>
      <c r="F14" s="196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1768</v>
      </c>
      <c r="P14" s="33">
        <f t="shared" si="5"/>
        <v>670543</v>
      </c>
      <c r="Q14" s="33">
        <f>+'[1]bg dn2'!Z110</f>
        <v>670543</v>
      </c>
      <c r="R14" s="33">
        <f t="shared" si="6"/>
        <v>0</v>
      </c>
      <c r="S14" s="132"/>
    </row>
    <row r="15" spans="1:19">
      <c r="A15" s="29">
        <f t="shared" si="7"/>
        <v>11</v>
      </c>
      <c r="B15" s="54" t="s">
        <v>118</v>
      </c>
      <c r="C15" s="55" t="s">
        <v>119</v>
      </c>
      <c r="D15" s="202">
        <v>42684</v>
      </c>
      <c r="E15" s="203">
        <v>60000</v>
      </c>
      <c r="F15" s="196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1769</v>
      </c>
      <c r="P15" s="33">
        <f t="shared" si="5"/>
        <v>60000</v>
      </c>
      <c r="Q15" s="33">
        <f>+'[1]bg dn2'!Z111</f>
        <v>60000</v>
      </c>
      <c r="R15" s="33">
        <f t="shared" si="6"/>
        <v>0</v>
      </c>
      <c r="S15" s="132"/>
    </row>
    <row r="16" spans="1:19">
      <c r="A16" s="29">
        <f t="shared" si="7"/>
        <v>12</v>
      </c>
      <c r="B16" s="54" t="s">
        <v>118</v>
      </c>
      <c r="C16" s="55" t="s">
        <v>119</v>
      </c>
      <c r="D16" s="202">
        <v>42684</v>
      </c>
      <c r="E16" s="203">
        <v>670543</v>
      </c>
      <c r="F16" s="196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1769</v>
      </c>
      <c r="P16" s="33">
        <f t="shared" si="5"/>
        <v>670543</v>
      </c>
      <c r="Q16" s="33">
        <f>+'[1]bg dn2'!Z112</f>
        <v>670543</v>
      </c>
      <c r="R16" s="33">
        <f t="shared" si="6"/>
        <v>0</v>
      </c>
      <c r="S16" s="132"/>
    </row>
    <row r="17" spans="1:19">
      <c r="A17" s="29">
        <f t="shared" si="7"/>
        <v>13</v>
      </c>
      <c r="B17" s="54" t="s">
        <v>118</v>
      </c>
      <c r="C17" s="55" t="s">
        <v>119</v>
      </c>
      <c r="D17" s="202">
        <v>42684</v>
      </c>
      <c r="E17" s="203">
        <v>670543</v>
      </c>
      <c r="F17" s="196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1769</v>
      </c>
      <c r="P17" s="33">
        <f t="shared" si="5"/>
        <v>670543</v>
      </c>
      <c r="Q17" s="33">
        <f>+'[1]bg dn2'!Z113</f>
        <v>670543</v>
      </c>
      <c r="R17" s="33">
        <f t="shared" si="6"/>
        <v>0</v>
      </c>
      <c r="S17" s="132"/>
    </row>
    <row r="18" spans="1:19">
      <c r="A18" s="29">
        <f t="shared" si="7"/>
        <v>14</v>
      </c>
      <c r="B18" s="54" t="s">
        <v>118</v>
      </c>
      <c r="C18" s="55" t="s">
        <v>119</v>
      </c>
      <c r="D18" s="63">
        <v>42714</v>
      </c>
      <c r="E18" s="203">
        <v>60000</v>
      </c>
      <c r="F18" s="196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1770</v>
      </c>
      <c r="P18" s="33">
        <f t="shared" si="5"/>
        <v>60000</v>
      </c>
      <c r="Q18" s="33">
        <f>+'[1]bg dn2'!Z114</f>
        <v>60000</v>
      </c>
      <c r="R18" s="33">
        <f t="shared" si="6"/>
        <v>0</v>
      </c>
      <c r="S18" s="132"/>
    </row>
    <row r="19" spans="1:19">
      <c r="A19" s="29">
        <f t="shared" si="7"/>
        <v>15</v>
      </c>
      <c r="B19" s="54" t="s">
        <v>118</v>
      </c>
      <c r="C19" s="55" t="s">
        <v>119</v>
      </c>
      <c r="D19" s="63">
        <v>42714</v>
      </c>
      <c r="E19" s="203">
        <v>670543</v>
      </c>
      <c r="F19" s="196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1770</v>
      </c>
      <c r="P19" s="33">
        <f t="shared" si="5"/>
        <v>670543</v>
      </c>
      <c r="Q19" s="33">
        <f>+'[1]bg dn2'!Z115</f>
        <v>670543</v>
      </c>
      <c r="R19" s="33">
        <f t="shared" si="6"/>
        <v>0</v>
      </c>
      <c r="S19" s="132"/>
    </row>
    <row r="20" spans="1:19">
      <c r="A20" s="29">
        <f t="shared" si="7"/>
        <v>16</v>
      </c>
      <c r="B20" s="54" t="s">
        <v>118</v>
      </c>
      <c r="C20" s="55" t="s">
        <v>119</v>
      </c>
      <c r="D20" s="63">
        <v>42714</v>
      </c>
      <c r="E20" s="203">
        <v>670543</v>
      </c>
      <c r="F20" s="196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1770</v>
      </c>
      <c r="P20" s="33">
        <f t="shared" si="5"/>
        <v>670543</v>
      </c>
      <c r="Q20" s="33">
        <f>+'[1]bg dn2'!Z116</f>
        <v>670543</v>
      </c>
      <c r="R20" s="33">
        <f t="shared" si="6"/>
        <v>0</v>
      </c>
      <c r="S20" s="132"/>
    </row>
    <row r="21" spans="1:19">
      <c r="A21" s="29">
        <f t="shared" si="7"/>
        <v>17</v>
      </c>
      <c r="B21" s="54" t="s">
        <v>118</v>
      </c>
      <c r="C21" s="55" t="s">
        <v>119</v>
      </c>
      <c r="D21" s="63">
        <v>42745</v>
      </c>
      <c r="E21" s="203">
        <v>60000</v>
      </c>
      <c r="F21" s="196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1771</v>
      </c>
      <c r="P21" s="33">
        <f t="shared" si="5"/>
        <v>60000</v>
      </c>
      <c r="Q21" s="33">
        <f>+'[1]bg dn2'!Z117</f>
        <v>60000</v>
      </c>
      <c r="R21" s="33">
        <f t="shared" si="6"/>
        <v>0</v>
      </c>
      <c r="S21" s="132"/>
    </row>
    <row r="22" spans="1:19">
      <c r="A22" s="29">
        <f t="shared" si="7"/>
        <v>18</v>
      </c>
      <c r="B22" s="54" t="s">
        <v>118</v>
      </c>
      <c r="C22" s="55" t="s">
        <v>119</v>
      </c>
      <c r="D22" s="63">
        <v>42745</v>
      </c>
      <c r="E22" s="203">
        <v>670543</v>
      </c>
      <c r="F22" s="196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1771</v>
      </c>
      <c r="P22" s="33">
        <f t="shared" si="5"/>
        <v>670543</v>
      </c>
      <c r="Q22" s="33">
        <f>+'[1]bg dn2'!Z118</f>
        <v>670543</v>
      </c>
      <c r="R22" s="33">
        <f t="shared" si="6"/>
        <v>0</v>
      </c>
      <c r="S22" s="132"/>
    </row>
    <row r="23" spans="1:19">
      <c r="A23" s="29">
        <f t="shared" si="7"/>
        <v>19</v>
      </c>
      <c r="B23" s="54" t="s">
        <v>118</v>
      </c>
      <c r="C23" s="55" t="s">
        <v>119</v>
      </c>
      <c r="D23" s="63">
        <v>42745</v>
      </c>
      <c r="E23" s="203">
        <v>670543</v>
      </c>
      <c r="F23" s="196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1771</v>
      </c>
      <c r="P23" s="33">
        <f t="shared" si="5"/>
        <v>670543</v>
      </c>
      <c r="Q23" s="33">
        <f>+'[1]bg dn2'!Z119</f>
        <v>670543</v>
      </c>
      <c r="R23" s="33">
        <f t="shared" si="6"/>
        <v>0</v>
      </c>
      <c r="S23" s="132"/>
    </row>
    <row r="24" spans="1:19">
      <c r="A24" s="29">
        <f t="shared" si="7"/>
        <v>20</v>
      </c>
      <c r="B24" s="54" t="s">
        <v>118</v>
      </c>
      <c r="C24" s="55" t="s">
        <v>119</v>
      </c>
      <c r="D24" s="63">
        <v>42776</v>
      </c>
      <c r="E24" s="203">
        <v>60000</v>
      </c>
      <c r="F24" s="196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1772</v>
      </c>
      <c r="P24" s="33">
        <f t="shared" si="5"/>
        <v>60000</v>
      </c>
      <c r="Q24" s="33">
        <f>+'[1]bg dn2'!Z120</f>
        <v>60000</v>
      </c>
      <c r="R24" s="33">
        <f t="shared" si="6"/>
        <v>0</v>
      </c>
      <c r="S24" s="132"/>
    </row>
    <row r="25" spans="1:19">
      <c r="A25" s="29">
        <f t="shared" si="7"/>
        <v>21</v>
      </c>
      <c r="B25" s="54" t="s">
        <v>118</v>
      </c>
      <c r="C25" s="55" t="s">
        <v>119</v>
      </c>
      <c r="D25" s="63">
        <v>42776</v>
      </c>
      <c r="E25" s="203">
        <v>670543</v>
      </c>
      <c r="F25" s="196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1772</v>
      </c>
      <c r="P25" s="33">
        <f t="shared" si="5"/>
        <v>670543</v>
      </c>
      <c r="Q25" s="33">
        <f>+'[1]bg dn2'!Z121</f>
        <v>670543</v>
      </c>
      <c r="R25" s="33">
        <f t="shared" si="6"/>
        <v>0</v>
      </c>
      <c r="S25" s="132"/>
    </row>
    <row r="26" spans="1:19">
      <c r="A26" s="29">
        <f t="shared" si="7"/>
        <v>22</v>
      </c>
      <c r="B26" s="54" t="s">
        <v>118</v>
      </c>
      <c r="C26" s="55" t="s">
        <v>119</v>
      </c>
      <c r="D26" s="63">
        <v>42776</v>
      </c>
      <c r="E26" s="203">
        <v>670543</v>
      </c>
      <c r="F26" s="196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1772</v>
      </c>
      <c r="P26" s="33">
        <f t="shared" si="5"/>
        <v>670543</v>
      </c>
      <c r="Q26" s="33">
        <f>+'[1]bg dn2'!Z122</f>
        <v>670543</v>
      </c>
      <c r="R26" s="33">
        <f t="shared" si="6"/>
        <v>0</v>
      </c>
      <c r="S26" s="132"/>
    </row>
    <row r="27" spans="1:19">
      <c r="A27" s="29">
        <f t="shared" si="7"/>
        <v>23</v>
      </c>
      <c r="B27" s="54" t="s">
        <v>118</v>
      </c>
      <c r="C27" s="55" t="s">
        <v>119</v>
      </c>
      <c r="D27" s="63">
        <v>42804</v>
      </c>
      <c r="E27" s="203">
        <v>60000</v>
      </c>
      <c r="F27" s="196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1773</v>
      </c>
      <c r="P27" s="33">
        <f t="shared" si="5"/>
        <v>60000</v>
      </c>
      <c r="Q27" s="33">
        <f>+'[1]bg dn2'!Z123</f>
        <v>60000</v>
      </c>
      <c r="R27" s="33">
        <f t="shared" si="6"/>
        <v>0</v>
      </c>
      <c r="S27" s="132"/>
    </row>
    <row r="28" spans="1:19">
      <c r="A28" s="29">
        <f t="shared" si="7"/>
        <v>24</v>
      </c>
      <c r="B28" s="54" t="s">
        <v>118</v>
      </c>
      <c r="C28" s="55" t="s">
        <v>119</v>
      </c>
      <c r="D28" s="63">
        <v>42804</v>
      </c>
      <c r="E28" s="203">
        <v>670543</v>
      </c>
      <c r="F28" s="196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1773</v>
      </c>
      <c r="P28" s="33">
        <f t="shared" si="5"/>
        <v>670543</v>
      </c>
      <c r="Q28" s="33">
        <f>+'[1]bg dn2'!Z124</f>
        <v>670543</v>
      </c>
      <c r="R28" s="33">
        <f t="shared" si="6"/>
        <v>0</v>
      </c>
      <c r="S28" s="132"/>
    </row>
    <row r="29" spans="1:19">
      <c r="A29" s="29">
        <f t="shared" si="7"/>
        <v>25</v>
      </c>
      <c r="B29" s="54" t="s">
        <v>118</v>
      </c>
      <c r="C29" s="55" t="s">
        <v>119</v>
      </c>
      <c r="D29" s="63">
        <v>42804</v>
      </c>
      <c r="E29" s="203">
        <v>670543</v>
      </c>
      <c r="F29" s="196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1773</v>
      </c>
      <c r="P29" s="33">
        <f t="shared" si="5"/>
        <v>670543</v>
      </c>
      <c r="Q29" s="33">
        <f>+'[1]bg dn2'!Z125</f>
        <v>670543</v>
      </c>
      <c r="R29" s="33">
        <f t="shared" si="6"/>
        <v>0</v>
      </c>
      <c r="S29" s="132"/>
    </row>
    <row r="30" spans="1:19">
      <c r="A30" s="29">
        <f t="shared" si="7"/>
        <v>26</v>
      </c>
      <c r="B30" s="54" t="s">
        <v>118</v>
      </c>
      <c r="C30" s="55" t="s">
        <v>119</v>
      </c>
      <c r="D30" s="63">
        <v>42835</v>
      </c>
      <c r="E30" s="203">
        <v>60000</v>
      </c>
      <c r="F30" s="196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1774</v>
      </c>
      <c r="P30" s="33">
        <f t="shared" si="5"/>
        <v>60000</v>
      </c>
      <c r="Q30" s="33">
        <f>+'[1]bg dn2'!Z126</f>
        <v>60000</v>
      </c>
      <c r="R30" s="33">
        <f t="shared" si="6"/>
        <v>0</v>
      </c>
      <c r="S30" s="132"/>
    </row>
    <row r="31" spans="1:19">
      <c r="A31" s="29">
        <f t="shared" si="7"/>
        <v>27</v>
      </c>
      <c r="B31" s="54" t="s">
        <v>118</v>
      </c>
      <c r="C31" s="55" t="s">
        <v>119</v>
      </c>
      <c r="D31" s="63">
        <v>42835</v>
      </c>
      <c r="E31" s="203">
        <v>670543</v>
      </c>
      <c r="F31" s="196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1774</v>
      </c>
      <c r="P31" s="33">
        <f t="shared" si="5"/>
        <v>670543</v>
      </c>
      <c r="Q31" s="33">
        <f>+'[1]bg dn2'!Z127</f>
        <v>670543</v>
      </c>
      <c r="R31" s="33">
        <f t="shared" si="6"/>
        <v>0</v>
      </c>
      <c r="S31" s="132"/>
    </row>
    <row r="32" spans="1:19">
      <c r="A32" s="29">
        <f t="shared" si="7"/>
        <v>28</v>
      </c>
      <c r="B32" s="54" t="s">
        <v>118</v>
      </c>
      <c r="C32" s="55" t="s">
        <v>119</v>
      </c>
      <c r="D32" s="63">
        <v>42835</v>
      </c>
      <c r="E32" s="203">
        <v>670543</v>
      </c>
      <c r="F32" s="196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1774</v>
      </c>
      <c r="P32" s="33">
        <f t="shared" si="5"/>
        <v>670543</v>
      </c>
      <c r="Q32" s="33">
        <f>+'[1]bg dn2'!Z128</f>
        <v>670543</v>
      </c>
      <c r="R32" s="33">
        <f t="shared" si="6"/>
        <v>0</v>
      </c>
      <c r="S32" s="132"/>
    </row>
    <row r="33" spans="1:19">
      <c r="A33" s="29">
        <f t="shared" si="7"/>
        <v>29</v>
      </c>
      <c r="B33" s="54" t="s">
        <v>118</v>
      </c>
      <c r="C33" s="55" t="s">
        <v>119</v>
      </c>
      <c r="D33" s="63">
        <v>42865</v>
      </c>
      <c r="E33" s="58">
        <v>60000</v>
      </c>
      <c r="F33" s="196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200">
        <f t="shared" si="4"/>
        <v>60000</v>
      </c>
      <c r="N33" s="126"/>
      <c r="O33" s="44" t="s">
        <v>1775</v>
      </c>
      <c r="P33" s="33">
        <f t="shared" si="5"/>
        <v>60000</v>
      </c>
      <c r="Q33" s="33">
        <f>+'[1]bg dn2'!Z129</f>
        <v>60000</v>
      </c>
      <c r="R33" s="33">
        <f t="shared" si="6"/>
        <v>0</v>
      </c>
      <c r="S33" s="132"/>
    </row>
    <row r="34" spans="1:19">
      <c r="A34" s="29">
        <f t="shared" si="7"/>
        <v>30</v>
      </c>
      <c r="B34" s="54" t="s">
        <v>118</v>
      </c>
      <c r="C34" s="55" t="s">
        <v>119</v>
      </c>
      <c r="D34" s="63">
        <v>42865</v>
      </c>
      <c r="E34" s="58">
        <v>670543</v>
      </c>
      <c r="F34" s="196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200">
        <f t="shared" si="4"/>
        <v>670543</v>
      </c>
      <c r="N34" s="126"/>
      <c r="O34" s="44" t="s">
        <v>1775</v>
      </c>
      <c r="P34" s="33">
        <f t="shared" si="5"/>
        <v>670543</v>
      </c>
      <c r="Q34" s="33">
        <f>+'[1]bg dn2'!Z130</f>
        <v>670543</v>
      </c>
      <c r="R34" s="33">
        <f t="shared" si="6"/>
        <v>0</v>
      </c>
      <c r="S34" s="132"/>
    </row>
    <row r="35" spans="1:19">
      <c r="A35" s="29">
        <f t="shared" si="7"/>
        <v>31</v>
      </c>
      <c r="B35" s="54" t="s">
        <v>118</v>
      </c>
      <c r="C35" s="55" t="s">
        <v>119</v>
      </c>
      <c r="D35" s="63">
        <v>42865</v>
      </c>
      <c r="E35" s="58">
        <v>670543</v>
      </c>
      <c r="F35" s="196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200">
        <f t="shared" si="4"/>
        <v>670543</v>
      </c>
      <c r="N35" s="126"/>
      <c r="O35" s="44" t="s">
        <v>1775</v>
      </c>
      <c r="P35" s="33">
        <f t="shared" si="5"/>
        <v>670543</v>
      </c>
      <c r="Q35" s="33">
        <f>+'[1]bg dn2'!Z131</f>
        <v>670543</v>
      </c>
      <c r="R35" s="33">
        <f t="shared" si="6"/>
        <v>0</v>
      </c>
      <c r="S35" s="132"/>
    </row>
    <row r="36" spans="1:19">
      <c r="A36" s="29">
        <f t="shared" si="7"/>
        <v>32</v>
      </c>
      <c r="B36" s="54" t="s">
        <v>118</v>
      </c>
      <c r="C36" s="55" t="s">
        <v>119</v>
      </c>
      <c r="D36" s="63">
        <v>42896</v>
      </c>
      <c r="E36" s="207">
        <v>60000</v>
      </c>
      <c r="F36" s="196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200">
        <f t="shared" si="4"/>
        <v>60000</v>
      </c>
      <c r="N36" s="126"/>
      <c r="O36" s="44" t="s">
        <v>1776</v>
      </c>
      <c r="P36" s="33">
        <f t="shared" si="5"/>
        <v>60000</v>
      </c>
      <c r="Q36" s="33">
        <f>+'[1]bg dn2'!Z132</f>
        <v>60000</v>
      </c>
      <c r="R36" s="33">
        <f t="shared" si="6"/>
        <v>0</v>
      </c>
      <c r="S36" s="132"/>
    </row>
    <row r="37" spans="1:19">
      <c r="A37" s="29">
        <f t="shared" si="7"/>
        <v>33</v>
      </c>
      <c r="B37" s="54" t="s">
        <v>118</v>
      </c>
      <c r="C37" s="55" t="s">
        <v>119</v>
      </c>
      <c r="D37" s="63">
        <v>42896</v>
      </c>
      <c r="E37" s="207">
        <v>670543</v>
      </c>
      <c r="F37" s="196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200">
        <f t="shared" si="4"/>
        <v>670543</v>
      </c>
      <c r="N37" s="126"/>
      <c r="O37" s="44" t="s">
        <v>1776</v>
      </c>
      <c r="P37" s="33">
        <f t="shared" si="5"/>
        <v>670543</v>
      </c>
      <c r="Q37" s="33">
        <f>+'[1]bg dn2'!Z133</f>
        <v>670543</v>
      </c>
      <c r="R37" s="33">
        <f t="shared" si="6"/>
        <v>0</v>
      </c>
      <c r="S37" s="132"/>
    </row>
    <row r="38" spans="1:19">
      <c r="A38" s="29">
        <f t="shared" si="7"/>
        <v>34</v>
      </c>
      <c r="B38" s="54" t="s">
        <v>118</v>
      </c>
      <c r="C38" s="55" t="s">
        <v>119</v>
      </c>
      <c r="D38" s="63">
        <v>42896</v>
      </c>
      <c r="E38" s="207">
        <v>670543</v>
      </c>
      <c r="F38" s="196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200">
        <f t="shared" si="4"/>
        <v>670543</v>
      </c>
      <c r="N38" s="126"/>
      <c r="O38" s="44" t="s">
        <v>1776</v>
      </c>
      <c r="P38" s="33">
        <f t="shared" si="5"/>
        <v>670543</v>
      </c>
      <c r="Q38" s="33">
        <f>+'[1]bg dn2'!Z134</f>
        <v>670543</v>
      </c>
      <c r="R38" s="33">
        <f t="shared" si="6"/>
        <v>0</v>
      </c>
      <c r="S38" s="132"/>
    </row>
    <row r="39" spans="1:19">
      <c r="A39" s="29">
        <f t="shared" si="7"/>
        <v>35</v>
      </c>
      <c r="B39" s="54" t="s">
        <v>118</v>
      </c>
      <c r="C39" s="55" t="s">
        <v>119</v>
      </c>
      <c r="D39" s="63">
        <v>42926</v>
      </c>
      <c r="E39" s="208">
        <v>60000</v>
      </c>
      <c r="F39" s="196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200">
        <f t="shared" si="4"/>
        <v>60000</v>
      </c>
      <c r="N39" s="126"/>
      <c r="O39" s="44" t="s">
        <v>1777</v>
      </c>
      <c r="P39" s="33">
        <f t="shared" si="5"/>
        <v>60000</v>
      </c>
      <c r="Q39" s="33">
        <f>+'[1]bg dn2'!Z135</f>
        <v>60000</v>
      </c>
      <c r="R39" s="33">
        <f t="shared" si="6"/>
        <v>0</v>
      </c>
      <c r="S39" s="132"/>
    </row>
    <row r="40" spans="1:19">
      <c r="A40" s="29">
        <f t="shared" si="7"/>
        <v>36</v>
      </c>
      <c r="B40" s="54" t="s">
        <v>118</v>
      </c>
      <c r="C40" s="55" t="s">
        <v>119</v>
      </c>
      <c r="D40" s="63">
        <v>42926</v>
      </c>
      <c r="E40" s="208">
        <v>670543</v>
      </c>
      <c r="F40" s="196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200">
        <f t="shared" si="4"/>
        <v>670543</v>
      </c>
      <c r="N40" s="126"/>
      <c r="O40" s="44" t="s">
        <v>1777</v>
      </c>
      <c r="P40" s="33">
        <f t="shared" si="5"/>
        <v>670543</v>
      </c>
      <c r="Q40" s="33">
        <f>+'[1]bg dn2'!Z136</f>
        <v>670543</v>
      </c>
      <c r="R40" s="33">
        <f t="shared" si="6"/>
        <v>0</v>
      </c>
      <c r="S40" s="132"/>
    </row>
    <row r="41" spans="1:19">
      <c r="A41" s="29">
        <f t="shared" si="7"/>
        <v>37</v>
      </c>
      <c r="B41" s="54" t="s">
        <v>118</v>
      </c>
      <c r="C41" s="55" t="s">
        <v>119</v>
      </c>
      <c r="D41" s="63">
        <v>42926</v>
      </c>
      <c r="E41" s="208">
        <v>670543</v>
      </c>
      <c r="F41" s="196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200">
        <f t="shared" si="4"/>
        <v>670543</v>
      </c>
      <c r="N41" s="126"/>
      <c r="O41" s="44" t="s">
        <v>1777</v>
      </c>
      <c r="P41" s="33">
        <f t="shared" si="5"/>
        <v>670543</v>
      </c>
      <c r="Q41" s="33">
        <f>+'[1]bg dn2'!Z137</f>
        <v>670543</v>
      </c>
      <c r="R41" s="33">
        <f t="shared" si="6"/>
        <v>0</v>
      </c>
      <c r="S41" s="132"/>
    </row>
    <row r="42" spans="1:19">
      <c r="A42" s="29">
        <f t="shared" si="7"/>
        <v>38</v>
      </c>
      <c r="B42" s="54" t="s">
        <v>118</v>
      </c>
      <c r="C42" s="55" t="s">
        <v>119</v>
      </c>
      <c r="D42" s="63">
        <v>42957</v>
      </c>
      <c r="E42" s="208">
        <v>670543</v>
      </c>
      <c r="F42" s="196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200">
        <f t="shared" si="4"/>
        <v>670543</v>
      </c>
      <c r="N42" s="126"/>
      <c r="O42" s="44" t="s">
        <v>1778</v>
      </c>
      <c r="P42" s="33">
        <f t="shared" si="5"/>
        <v>670543</v>
      </c>
      <c r="Q42" s="33">
        <f>+'[1]bg dn2'!Z138</f>
        <v>670543</v>
      </c>
      <c r="R42" s="33">
        <f t="shared" si="6"/>
        <v>0</v>
      </c>
      <c r="S42" s="132"/>
    </row>
    <row r="43" spans="1:19">
      <c r="A43" s="29">
        <f t="shared" si="7"/>
        <v>39</v>
      </c>
      <c r="B43" s="54" t="s">
        <v>118</v>
      </c>
      <c r="C43" s="55" t="s">
        <v>119</v>
      </c>
      <c r="D43" s="63">
        <v>42957</v>
      </c>
      <c r="E43" s="208">
        <v>670543</v>
      </c>
      <c r="F43" s="196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200">
        <f t="shared" si="4"/>
        <v>670543</v>
      </c>
      <c r="N43" s="126"/>
      <c r="O43" s="44" t="s">
        <v>1778</v>
      </c>
      <c r="P43" s="33">
        <f t="shared" si="5"/>
        <v>670543</v>
      </c>
      <c r="Q43" s="33">
        <f>+'[1]bg dn2'!Z139</f>
        <v>670543</v>
      </c>
      <c r="R43" s="33">
        <f t="shared" si="6"/>
        <v>0</v>
      </c>
      <c r="S43" s="132"/>
    </row>
    <row r="44" spans="1:19">
      <c r="A44" s="29">
        <f t="shared" si="7"/>
        <v>40</v>
      </c>
      <c r="B44" s="54" t="s">
        <v>118</v>
      </c>
      <c r="C44" s="55" t="s">
        <v>119</v>
      </c>
      <c r="D44" s="63">
        <v>42957</v>
      </c>
      <c r="E44" s="208">
        <v>60000</v>
      </c>
      <c r="F44" s="196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200">
        <f t="shared" si="4"/>
        <v>60000</v>
      </c>
      <c r="N44" s="126"/>
      <c r="O44" s="44" t="s">
        <v>1778</v>
      </c>
      <c r="P44" s="33">
        <f t="shared" si="5"/>
        <v>60000</v>
      </c>
      <c r="Q44" s="33">
        <f>+'[1]bg dn2'!Z140</f>
        <v>60000</v>
      </c>
      <c r="R44" s="33">
        <f t="shared" si="6"/>
        <v>0</v>
      </c>
      <c r="S44" s="132"/>
    </row>
    <row r="45" spans="1:19">
      <c r="A45" s="29">
        <f t="shared" si="7"/>
        <v>41</v>
      </c>
      <c r="B45" s="54" t="s">
        <v>118</v>
      </c>
      <c r="C45" s="55" t="s">
        <v>119</v>
      </c>
      <c r="D45" s="63">
        <v>42988</v>
      </c>
      <c r="E45" s="208">
        <v>670543</v>
      </c>
      <c r="F45" s="196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200">
        <f t="shared" si="4"/>
        <v>670543</v>
      </c>
      <c r="N45" s="209"/>
      <c r="O45" s="44" t="s">
        <v>1779</v>
      </c>
      <c r="P45" s="33">
        <f t="shared" si="5"/>
        <v>670543</v>
      </c>
      <c r="Q45" s="33">
        <f>+'[1]bg dn2'!Z141</f>
        <v>670543</v>
      </c>
      <c r="R45" s="33">
        <f t="shared" si="6"/>
        <v>0</v>
      </c>
      <c r="S45" s="132"/>
    </row>
    <row r="46" spans="1:19">
      <c r="A46" s="29">
        <f t="shared" si="7"/>
        <v>42</v>
      </c>
      <c r="B46" s="54" t="s">
        <v>118</v>
      </c>
      <c r="C46" s="55" t="s">
        <v>119</v>
      </c>
      <c r="D46" s="63">
        <v>42988</v>
      </c>
      <c r="E46" s="208">
        <v>670543</v>
      </c>
      <c r="F46" s="196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200">
        <f t="shared" si="4"/>
        <v>670543</v>
      </c>
      <c r="N46" s="209"/>
      <c r="O46" s="44" t="s">
        <v>1779</v>
      </c>
      <c r="P46" s="33">
        <f t="shared" si="5"/>
        <v>670543</v>
      </c>
      <c r="Q46" s="33">
        <f>+'[1]bg dn2'!Z142</f>
        <v>670543</v>
      </c>
      <c r="R46" s="33">
        <f t="shared" si="6"/>
        <v>0</v>
      </c>
    </row>
    <row r="47" spans="1:19">
      <c r="A47" s="29">
        <f t="shared" si="7"/>
        <v>43</v>
      </c>
      <c r="B47" s="54" t="s">
        <v>118</v>
      </c>
      <c r="C47" s="55" t="s">
        <v>119</v>
      </c>
      <c r="D47" s="63">
        <v>42988</v>
      </c>
      <c r="E47" s="208">
        <v>60000</v>
      </c>
      <c r="F47" s="196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200">
        <f t="shared" si="4"/>
        <v>60000</v>
      </c>
      <c r="N47" s="209"/>
      <c r="O47" s="44" t="s">
        <v>1779</v>
      </c>
      <c r="P47" s="33">
        <f t="shared" si="5"/>
        <v>60000</v>
      </c>
      <c r="Q47" s="33">
        <f>+'[1]bg dn2'!Z143</f>
        <v>60000</v>
      </c>
      <c r="R47" s="33">
        <f t="shared" si="6"/>
        <v>0</v>
      </c>
    </row>
    <row r="48" spans="1:19">
      <c r="A48" s="29">
        <f t="shared" si="7"/>
        <v>44</v>
      </c>
      <c r="B48" s="54" t="s">
        <v>118</v>
      </c>
      <c r="C48" s="55" t="s">
        <v>119</v>
      </c>
      <c r="D48" s="63">
        <v>43018</v>
      </c>
      <c r="E48" s="208">
        <v>670543</v>
      </c>
      <c r="F48" s="196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200">
        <f t="shared" si="4"/>
        <v>670543</v>
      </c>
      <c r="N48" s="126"/>
      <c r="O48" s="44" t="s">
        <v>1780</v>
      </c>
      <c r="P48" s="33">
        <f t="shared" si="5"/>
        <v>670543</v>
      </c>
      <c r="Q48" s="33">
        <f>+'[1]bg dn2'!Z144</f>
        <v>670543</v>
      </c>
      <c r="R48" s="33">
        <f t="shared" si="6"/>
        <v>0</v>
      </c>
    </row>
    <row r="49" spans="1:19">
      <c r="A49" s="29">
        <f t="shared" si="7"/>
        <v>45</v>
      </c>
      <c r="B49" s="54" t="s">
        <v>118</v>
      </c>
      <c r="C49" s="55" t="s">
        <v>119</v>
      </c>
      <c r="D49" s="63">
        <v>43018</v>
      </c>
      <c r="E49" s="208">
        <v>670543</v>
      </c>
      <c r="F49" s="196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200">
        <f t="shared" si="4"/>
        <v>670543</v>
      </c>
      <c r="N49" s="126"/>
      <c r="O49" s="44" t="s">
        <v>1780</v>
      </c>
      <c r="P49" s="33">
        <f t="shared" si="5"/>
        <v>670543</v>
      </c>
      <c r="Q49" s="33">
        <f>+'[1]bg dn2'!Z145</f>
        <v>670543</v>
      </c>
      <c r="R49" s="33">
        <f t="shared" si="6"/>
        <v>0</v>
      </c>
    </row>
    <row r="50" spans="1:19">
      <c r="A50" s="29">
        <f t="shared" si="7"/>
        <v>46</v>
      </c>
      <c r="B50" s="54" t="s">
        <v>118</v>
      </c>
      <c r="C50" s="55" t="s">
        <v>119</v>
      </c>
      <c r="D50" s="63">
        <v>43018</v>
      </c>
      <c r="E50" s="208">
        <v>60000</v>
      </c>
      <c r="F50" s="196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200">
        <f t="shared" si="4"/>
        <v>60000</v>
      </c>
      <c r="N50" s="126"/>
      <c r="O50" s="44" t="s">
        <v>1780</v>
      </c>
      <c r="P50" s="33">
        <f t="shared" si="5"/>
        <v>60000</v>
      </c>
      <c r="Q50" s="33">
        <f>+'[1]bg dn2'!Z146</f>
        <v>60000</v>
      </c>
      <c r="R50" s="33">
        <f t="shared" si="6"/>
        <v>0</v>
      </c>
      <c r="S50" s="132"/>
    </row>
    <row r="51" spans="1:19">
      <c r="A51" s="29">
        <f t="shared" si="7"/>
        <v>47</v>
      </c>
      <c r="B51" s="54" t="s">
        <v>118</v>
      </c>
      <c r="C51" s="55" t="s">
        <v>119</v>
      </c>
      <c r="D51" s="63">
        <v>43049</v>
      </c>
      <c r="E51" s="208">
        <v>670543</v>
      </c>
      <c r="F51" s="196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200">
        <f t="shared" si="4"/>
        <v>670543</v>
      </c>
      <c r="N51" s="126"/>
      <c r="O51" s="44" t="s">
        <v>1781</v>
      </c>
      <c r="P51" s="33">
        <f t="shared" si="5"/>
        <v>670543</v>
      </c>
      <c r="Q51" s="33">
        <f>+'[1]bg dn2'!Z147</f>
        <v>670543</v>
      </c>
      <c r="R51" s="33">
        <f t="shared" si="6"/>
        <v>0</v>
      </c>
      <c r="S51" s="132"/>
    </row>
    <row r="52" spans="1:19">
      <c r="A52" s="29">
        <f t="shared" si="7"/>
        <v>48</v>
      </c>
      <c r="B52" s="54" t="s">
        <v>118</v>
      </c>
      <c r="C52" s="55" t="s">
        <v>119</v>
      </c>
      <c r="D52" s="63">
        <v>43049</v>
      </c>
      <c r="E52" s="208">
        <v>670543</v>
      </c>
      <c r="F52" s="196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200">
        <f t="shared" si="4"/>
        <v>670543</v>
      </c>
      <c r="N52" s="126"/>
      <c r="O52" s="44" t="s">
        <v>1781</v>
      </c>
      <c r="P52" s="33">
        <f t="shared" si="5"/>
        <v>670543</v>
      </c>
      <c r="Q52" s="33">
        <f>+'[1]bg dn2'!Z148</f>
        <v>670543</v>
      </c>
      <c r="R52" s="33">
        <f t="shared" si="6"/>
        <v>0</v>
      </c>
      <c r="S52" s="132"/>
    </row>
    <row r="53" spans="1:19">
      <c r="A53" s="29">
        <f t="shared" si="7"/>
        <v>49</v>
      </c>
      <c r="B53" s="54" t="s">
        <v>118</v>
      </c>
      <c r="C53" s="55" t="s">
        <v>119</v>
      </c>
      <c r="D53" s="63">
        <v>43049</v>
      </c>
      <c r="E53" s="208">
        <v>60000</v>
      </c>
      <c r="F53" s="196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200">
        <f t="shared" si="4"/>
        <v>60000</v>
      </c>
      <c r="N53" s="126"/>
      <c r="O53" s="44" t="s">
        <v>1781</v>
      </c>
      <c r="P53" s="33">
        <f t="shared" si="5"/>
        <v>60000</v>
      </c>
      <c r="Q53" s="33">
        <f>+'[1]bg dn2'!Z149</f>
        <v>60000</v>
      </c>
      <c r="R53" s="33">
        <f t="shared" si="6"/>
        <v>0</v>
      </c>
    </row>
    <row r="54" spans="1:19">
      <c r="A54" s="29">
        <f t="shared" si="7"/>
        <v>50</v>
      </c>
      <c r="B54" s="54" t="s">
        <v>118</v>
      </c>
      <c r="C54" s="55" t="s">
        <v>119</v>
      </c>
      <c r="D54" s="63">
        <v>43079</v>
      </c>
      <c r="E54" s="195">
        <v>670543</v>
      </c>
      <c r="F54" s="196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200">
        <f t="shared" si="4"/>
        <v>670543</v>
      </c>
      <c r="N54" s="126"/>
      <c r="O54" s="197" t="s">
        <v>1748</v>
      </c>
      <c r="P54" s="33">
        <f t="shared" si="5"/>
        <v>670543</v>
      </c>
      <c r="Q54" s="33">
        <f>+'[1]bg dn2'!Z150</f>
        <v>670543</v>
      </c>
      <c r="R54" s="33">
        <f t="shared" si="6"/>
        <v>0</v>
      </c>
    </row>
    <row r="55" spans="1:19">
      <c r="A55" s="29">
        <f t="shared" si="7"/>
        <v>51</v>
      </c>
      <c r="B55" s="54" t="s">
        <v>118</v>
      </c>
      <c r="C55" s="55" t="s">
        <v>119</v>
      </c>
      <c r="D55" s="63">
        <v>43079</v>
      </c>
      <c r="E55" s="195">
        <v>670543</v>
      </c>
      <c r="F55" s="196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200">
        <f t="shared" si="4"/>
        <v>670543</v>
      </c>
      <c r="N55" s="126"/>
      <c r="O55" s="197" t="s">
        <v>1748</v>
      </c>
      <c r="P55" s="33">
        <f t="shared" si="5"/>
        <v>670543</v>
      </c>
      <c r="Q55" s="33">
        <f>+'[1]bg dn2'!Z151</f>
        <v>670543</v>
      </c>
      <c r="R55" s="33">
        <f t="shared" si="6"/>
        <v>0</v>
      </c>
    </row>
    <row r="56" spans="1:19">
      <c r="A56" s="29">
        <f t="shared" si="7"/>
        <v>52</v>
      </c>
      <c r="B56" s="54" t="s">
        <v>118</v>
      </c>
      <c r="C56" s="55" t="s">
        <v>119</v>
      </c>
      <c r="D56" s="63">
        <v>43079</v>
      </c>
      <c r="E56" s="195">
        <v>60000</v>
      </c>
      <c r="F56" s="196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200">
        <f t="shared" si="4"/>
        <v>60000</v>
      </c>
      <c r="N56" s="126"/>
      <c r="O56" s="197" t="s">
        <v>1748</v>
      </c>
      <c r="P56" s="33">
        <f t="shared" si="5"/>
        <v>60000</v>
      </c>
      <c r="Q56" s="33">
        <f>+'[1]bg dn2'!Z152</f>
        <v>60000</v>
      </c>
      <c r="R56" s="33">
        <f t="shared" si="6"/>
        <v>0</v>
      </c>
    </row>
    <row r="57" spans="1:19">
      <c r="A57" s="29">
        <f t="shared" si="7"/>
        <v>53</v>
      </c>
      <c r="B57" s="54" t="s">
        <v>118</v>
      </c>
      <c r="C57" s="55" t="s">
        <v>119</v>
      </c>
      <c r="D57" s="63">
        <v>43110</v>
      </c>
      <c r="E57" s="195">
        <v>670543</v>
      </c>
      <c r="F57" s="196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200">
        <f t="shared" si="4"/>
        <v>670543</v>
      </c>
      <c r="N57" s="126"/>
      <c r="O57" s="197" t="s">
        <v>1749</v>
      </c>
      <c r="P57" s="33">
        <f t="shared" si="5"/>
        <v>670543</v>
      </c>
      <c r="Q57" s="33">
        <f>+'[1]bg dn2'!Z153</f>
        <v>670543</v>
      </c>
      <c r="R57" s="33">
        <f t="shared" si="6"/>
        <v>0</v>
      </c>
      <c r="S57" s="132"/>
    </row>
    <row r="58" spans="1:19">
      <c r="A58" s="29">
        <f t="shared" si="7"/>
        <v>54</v>
      </c>
      <c r="B58" s="54" t="s">
        <v>118</v>
      </c>
      <c r="C58" s="55" t="s">
        <v>119</v>
      </c>
      <c r="D58" s="63">
        <v>43110</v>
      </c>
      <c r="E58" s="195">
        <v>670543</v>
      </c>
      <c r="F58" s="196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200">
        <f t="shared" si="4"/>
        <v>670543</v>
      </c>
      <c r="N58" s="126"/>
      <c r="O58" s="197" t="s">
        <v>1749</v>
      </c>
      <c r="P58" s="33">
        <f t="shared" si="5"/>
        <v>670543</v>
      </c>
      <c r="Q58" s="33">
        <f>+'[1]bg dn2'!Z154</f>
        <v>670543</v>
      </c>
      <c r="R58" s="33">
        <f t="shared" si="6"/>
        <v>0</v>
      </c>
      <c r="S58" s="132"/>
    </row>
    <row r="59" spans="1:19">
      <c r="A59" s="29">
        <f t="shared" si="7"/>
        <v>55</v>
      </c>
      <c r="B59" s="54" t="s">
        <v>118</v>
      </c>
      <c r="C59" s="55" t="s">
        <v>119</v>
      </c>
      <c r="D59" s="63">
        <v>43110</v>
      </c>
      <c r="E59" s="195">
        <v>60000</v>
      </c>
      <c r="F59" s="196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200">
        <f t="shared" si="4"/>
        <v>60000</v>
      </c>
      <c r="N59" s="126"/>
      <c r="O59" s="197" t="s">
        <v>1749</v>
      </c>
      <c r="P59" s="33">
        <f t="shared" si="5"/>
        <v>60000</v>
      </c>
      <c r="Q59" s="33">
        <f>+'[1]bg dn2'!Z155</f>
        <v>60000</v>
      </c>
      <c r="R59" s="33">
        <f t="shared" si="6"/>
        <v>0</v>
      </c>
      <c r="S59" s="132"/>
    </row>
    <row r="60" spans="1:19">
      <c r="A60" s="29">
        <f t="shared" si="7"/>
        <v>56</v>
      </c>
      <c r="B60" s="59" t="s">
        <v>146</v>
      </c>
      <c r="C60" s="67" t="s">
        <v>147</v>
      </c>
      <c r="D60" s="63">
        <v>43110</v>
      </c>
      <c r="E60" s="195">
        <v>360000</v>
      </c>
      <c r="F60" s="196">
        <f t="shared" si="0"/>
        <v>360000</v>
      </c>
      <c r="G60" s="59">
        <f t="shared" si="1"/>
        <v>360000</v>
      </c>
      <c r="H60" s="57">
        <v>0</v>
      </c>
      <c r="I60" s="60">
        <v>1</v>
      </c>
      <c r="J60" s="60">
        <v>1</v>
      </c>
      <c r="K60" s="33">
        <f t="shared" si="2"/>
        <v>360000</v>
      </c>
      <c r="L60" s="33">
        <f t="shared" si="3"/>
        <v>360000</v>
      </c>
      <c r="M60" s="200">
        <f t="shared" si="4"/>
        <v>360000</v>
      </c>
      <c r="N60" s="126"/>
      <c r="O60" s="197" t="s">
        <v>1749</v>
      </c>
      <c r="P60" s="33">
        <f t="shared" si="5"/>
        <v>360000</v>
      </c>
      <c r="Q60" s="33">
        <f>+'[1]bg dn2'!Z156</f>
        <v>360000</v>
      </c>
      <c r="R60" s="33">
        <f t="shared" si="6"/>
        <v>0</v>
      </c>
      <c r="S60" s="132"/>
    </row>
    <row r="61" spans="1:19">
      <c r="A61" s="29">
        <f t="shared" si="7"/>
        <v>57</v>
      </c>
      <c r="B61" s="54" t="s">
        <v>302</v>
      </c>
      <c r="C61" s="55" t="s">
        <v>303</v>
      </c>
      <c r="D61" s="63">
        <v>42988</v>
      </c>
      <c r="E61" s="210">
        <v>522000</v>
      </c>
      <c r="F61" s="196">
        <f t="shared" si="0"/>
        <v>522000</v>
      </c>
      <c r="G61" s="59">
        <f t="shared" si="1"/>
        <v>522000</v>
      </c>
      <c r="H61" s="57">
        <v>0</v>
      </c>
      <c r="I61" s="60">
        <v>1</v>
      </c>
      <c r="J61" s="60">
        <v>1</v>
      </c>
      <c r="K61" s="33">
        <f t="shared" si="2"/>
        <v>522000</v>
      </c>
      <c r="L61" s="33">
        <f t="shared" si="3"/>
        <v>522000</v>
      </c>
      <c r="M61" s="200">
        <f t="shared" si="4"/>
        <v>522000</v>
      </c>
      <c r="N61" s="209"/>
      <c r="O61" s="44" t="s">
        <v>1779</v>
      </c>
      <c r="P61" s="33">
        <f t="shared" si="5"/>
        <v>522000</v>
      </c>
      <c r="Q61" s="33">
        <f>+'[1]bg dn2'!Z157</f>
        <v>522000</v>
      </c>
      <c r="R61" s="33">
        <f t="shared" si="6"/>
        <v>0</v>
      </c>
      <c r="S61" s="132"/>
    </row>
    <row r="62" spans="1:19">
      <c r="A62" s="29">
        <f t="shared" si="7"/>
        <v>58</v>
      </c>
      <c r="B62" s="54" t="s">
        <v>302</v>
      </c>
      <c r="C62" s="55" t="s">
        <v>303</v>
      </c>
      <c r="D62" s="63">
        <v>43018</v>
      </c>
      <c r="E62" s="210">
        <v>522000</v>
      </c>
      <c r="F62" s="196">
        <f t="shared" si="0"/>
        <v>522000</v>
      </c>
      <c r="G62" s="59">
        <f t="shared" si="1"/>
        <v>522000</v>
      </c>
      <c r="H62" s="57">
        <v>0</v>
      </c>
      <c r="I62" s="60">
        <v>1</v>
      </c>
      <c r="J62" s="60">
        <v>1</v>
      </c>
      <c r="K62" s="33">
        <f t="shared" si="2"/>
        <v>522000</v>
      </c>
      <c r="L62" s="33">
        <f t="shared" si="3"/>
        <v>522000</v>
      </c>
      <c r="M62" s="200">
        <f t="shared" si="4"/>
        <v>522000</v>
      </c>
      <c r="N62" s="126"/>
      <c r="O62" s="44" t="s">
        <v>1780</v>
      </c>
      <c r="P62" s="33">
        <f t="shared" si="5"/>
        <v>522000</v>
      </c>
      <c r="Q62" s="33">
        <f>+'[1]bg dn2'!Z158</f>
        <v>522000</v>
      </c>
      <c r="R62" s="33">
        <f t="shared" si="6"/>
        <v>0</v>
      </c>
      <c r="S62" s="132"/>
    </row>
    <row r="63" spans="1:19">
      <c r="A63" s="29">
        <f t="shared" si="7"/>
        <v>59</v>
      </c>
      <c r="B63" s="54" t="s">
        <v>302</v>
      </c>
      <c r="C63" s="55" t="s">
        <v>303</v>
      </c>
      <c r="D63" s="63">
        <v>43049</v>
      </c>
      <c r="E63" s="210">
        <v>522000</v>
      </c>
      <c r="F63" s="196">
        <f t="shared" si="0"/>
        <v>522000</v>
      </c>
      <c r="G63" s="59">
        <f t="shared" si="1"/>
        <v>522000</v>
      </c>
      <c r="H63" s="57">
        <v>0</v>
      </c>
      <c r="I63" s="60">
        <v>1</v>
      </c>
      <c r="J63" s="60">
        <v>1</v>
      </c>
      <c r="K63" s="33">
        <f t="shared" si="2"/>
        <v>522000</v>
      </c>
      <c r="L63" s="33">
        <f t="shared" si="3"/>
        <v>522000</v>
      </c>
      <c r="M63" s="200">
        <f t="shared" si="4"/>
        <v>522000</v>
      </c>
      <c r="N63" s="126"/>
      <c r="O63" s="44" t="s">
        <v>1781</v>
      </c>
      <c r="P63" s="33">
        <f t="shared" si="5"/>
        <v>522000</v>
      </c>
      <c r="Q63" s="33">
        <f>+'[1]bg dn2'!Z159</f>
        <v>522000</v>
      </c>
      <c r="R63" s="33">
        <f t="shared" si="6"/>
        <v>0</v>
      </c>
      <c r="S63" s="132"/>
    </row>
    <row r="64" spans="1:19">
      <c r="A64" s="29">
        <f t="shared" si="7"/>
        <v>60</v>
      </c>
      <c r="B64" s="54" t="s">
        <v>302</v>
      </c>
      <c r="C64" s="55" t="s">
        <v>303</v>
      </c>
      <c r="D64" s="63">
        <v>43079</v>
      </c>
      <c r="E64" s="199">
        <v>522000</v>
      </c>
      <c r="F64" s="196">
        <f t="shared" si="0"/>
        <v>522000</v>
      </c>
      <c r="G64" s="59">
        <f t="shared" si="1"/>
        <v>522000</v>
      </c>
      <c r="H64" s="57">
        <v>0</v>
      </c>
      <c r="I64" s="60">
        <v>1</v>
      </c>
      <c r="J64" s="60">
        <v>1</v>
      </c>
      <c r="K64" s="33">
        <f t="shared" si="2"/>
        <v>522000</v>
      </c>
      <c r="L64" s="33">
        <f t="shared" si="3"/>
        <v>522000</v>
      </c>
      <c r="M64" s="200">
        <f t="shared" si="4"/>
        <v>522000</v>
      </c>
      <c r="N64" s="126"/>
      <c r="O64" s="197" t="s">
        <v>1748</v>
      </c>
      <c r="P64" s="33">
        <f t="shared" si="5"/>
        <v>522000</v>
      </c>
      <c r="Q64" s="33">
        <f>+'[1]bg dn2'!Z160</f>
        <v>522000</v>
      </c>
      <c r="R64" s="33">
        <f t="shared" si="6"/>
        <v>0</v>
      </c>
      <c r="S64" s="132"/>
    </row>
    <row r="65" spans="1:19">
      <c r="A65" s="29">
        <f t="shared" si="7"/>
        <v>61</v>
      </c>
      <c r="B65" s="54" t="s">
        <v>302</v>
      </c>
      <c r="C65" s="55" t="s">
        <v>303</v>
      </c>
      <c r="D65" s="63">
        <v>43110</v>
      </c>
      <c r="E65" s="199">
        <v>522000</v>
      </c>
      <c r="F65" s="196">
        <f t="shared" si="0"/>
        <v>522000</v>
      </c>
      <c r="G65" s="59">
        <f t="shared" si="1"/>
        <v>522000</v>
      </c>
      <c r="H65" s="57">
        <v>0</v>
      </c>
      <c r="I65" s="60">
        <v>1</v>
      </c>
      <c r="J65" s="60">
        <v>1</v>
      </c>
      <c r="K65" s="33">
        <f t="shared" si="2"/>
        <v>522000</v>
      </c>
      <c r="L65" s="33">
        <f t="shared" si="3"/>
        <v>522000</v>
      </c>
      <c r="M65" s="200">
        <f t="shared" si="4"/>
        <v>522000</v>
      </c>
      <c r="N65" s="126"/>
      <c r="O65" s="197" t="s">
        <v>1749</v>
      </c>
      <c r="P65" s="33">
        <f t="shared" si="5"/>
        <v>522000</v>
      </c>
      <c r="Q65" s="33">
        <f>+'[1]bg dn2'!Z161</f>
        <v>522000</v>
      </c>
      <c r="R65" s="33">
        <f t="shared" si="6"/>
        <v>0</v>
      </c>
      <c r="S65" s="132"/>
    </row>
    <row r="66" spans="1:19">
      <c r="A66" s="29">
        <f t="shared" si="7"/>
        <v>62</v>
      </c>
      <c r="B66" s="54" t="s">
        <v>354</v>
      </c>
      <c r="C66" s="55" t="s">
        <v>355</v>
      </c>
      <c r="D66" s="63">
        <v>43110</v>
      </c>
      <c r="E66" s="199">
        <v>2886575</v>
      </c>
      <c r="F66" s="196">
        <f t="shared" si="0"/>
        <v>2886575</v>
      </c>
      <c r="G66" s="59">
        <f t="shared" si="1"/>
        <v>2886575</v>
      </c>
      <c r="H66" s="57">
        <v>0</v>
      </c>
      <c r="I66" s="60">
        <v>1</v>
      </c>
      <c r="J66" s="60">
        <v>1</v>
      </c>
      <c r="K66" s="33">
        <f t="shared" si="2"/>
        <v>2886575</v>
      </c>
      <c r="L66" s="33">
        <f t="shared" si="3"/>
        <v>2886575</v>
      </c>
      <c r="M66" s="200">
        <f t="shared" si="4"/>
        <v>2886575</v>
      </c>
      <c r="N66" s="126"/>
      <c r="O66" s="197" t="s">
        <v>1749</v>
      </c>
      <c r="P66" s="33">
        <f t="shared" si="5"/>
        <v>2886575</v>
      </c>
      <c r="Q66" s="33">
        <f>+'[1]bg dn2'!Z162</f>
        <v>2886575</v>
      </c>
      <c r="R66" s="33">
        <f t="shared" si="6"/>
        <v>0</v>
      </c>
      <c r="S66" s="132"/>
    </row>
    <row r="67" spans="1:19">
      <c r="A67" s="29">
        <f t="shared" si="7"/>
        <v>63</v>
      </c>
      <c r="B67" s="54" t="s">
        <v>400</v>
      </c>
      <c r="C67" s="55" t="s">
        <v>401</v>
      </c>
      <c r="D67" s="63">
        <v>42165</v>
      </c>
      <c r="E67" s="59">
        <v>1605601</v>
      </c>
      <c r="F67" s="196">
        <f t="shared" si="0"/>
        <v>1605601</v>
      </c>
      <c r="G67" s="59">
        <f t="shared" si="1"/>
        <v>1605601</v>
      </c>
      <c r="H67" s="57">
        <v>0</v>
      </c>
      <c r="I67" s="60">
        <v>1</v>
      </c>
      <c r="J67" s="60">
        <v>1</v>
      </c>
      <c r="K67" s="33">
        <f t="shared" si="2"/>
        <v>1605601</v>
      </c>
      <c r="L67" s="33">
        <f t="shared" si="3"/>
        <v>1605601</v>
      </c>
      <c r="M67" s="33">
        <f t="shared" si="4"/>
        <v>1605601</v>
      </c>
      <c r="N67" s="30" t="s">
        <v>402</v>
      </c>
      <c r="O67" s="44" t="s">
        <v>1782</v>
      </c>
      <c r="P67" s="33">
        <f t="shared" si="5"/>
        <v>1605601</v>
      </c>
      <c r="Q67" s="33">
        <f>+'[1]bg dn2'!Z163</f>
        <v>1605601</v>
      </c>
      <c r="R67" s="33">
        <f t="shared" si="6"/>
        <v>0</v>
      </c>
      <c r="S67" s="132"/>
    </row>
    <row r="68" spans="1:19">
      <c r="A68" s="29">
        <f t="shared" si="7"/>
        <v>64</v>
      </c>
      <c r="B68" s="54" t="s">
        <v>400</v>
      </c>
      <c r="C68" s="55" t="s">
        <v>401</v>
      </c>
      <c r="D68" s="63">
        <v>42195</v>
      </c>
      <c r="E68" s="59">
        <v>1605601</v>
      </c>
      <c r="F68" s="196">
        <f t="shared" si="0"/>
        <v>1605601</v>
      </c>
      <c r="G68" s="59">
        <f t="shared" si="1"/>
        <v>1605601</v>
      </c>
      <c r="H68" s="57">
        <v>0</v>
      </c>
      <c r="I68" s="60">
        <v>1</v>
      </c>
      <c r="J68" s="60">
        <v>1</v>
      </c>
      <c r="K68" s="33">
        <f t="shared" si="2"/>
        <v>1605601</v>
      </c>
      <c r="L68" s="33">
        <f t="shared" si="3"/>
        <v>1605601</v>
      </c>
      <c r="M68" s="33">
        <f t="shared" si="4"/>
        <v>1605601</v>
      </c>
      <c r="N68" s="30" t="s">
        <v>402</v>
      </c>
      <c r="O68" s="44" t="s">
        <v>1783</v>
      </c>
      <c r="P68" s="33">
        <f t="shared" si="5"/>
        <v>1605601</v>
      </c>
      <c r="Q68" s="33">
        <f>+'[1]bg dn2'!Z164</f>
        <v>1605601</v>
      </c>
      <c r="R68" s="33">
        <f t="shared" si="6"/>
        <v>0</v>
      </c>
      <c r="S68" s="132"/>
    </row>
    <row r="69" spans="1:19">
      <c r="A69" s="29">
        <f t="shared" si="7"/>
        <v>65</v>
      </c>
      <c r="B69" s="54" t="s">
        <v>400</v>
      </c>
      <c r="C69" s="55" t="s">
        <v>401</v>
      </c>
      <c r="D69" s="63">
        <v>42226</v>
      </c>
      <c r="E69" s="59">
        <v>1605601</v>
      </c>
      <c r="F69" s="196">
        <f t="shared" ref="F69:F132" si="8">+I69*K69</f>
        <v>1605601</v>
      </c>
      <c r="G69" s="59">
        <f t="shared" ref="G69:G132" si="9">+E69/I69</f>
        <v>1605601</v>
      </c>
      <c r="H69" s="57">
        <v>0</v>
      </c>
      <c r="I69" s="60">
        <v>1</v>
      </c>
      <c r="J69" s="60">
        <v>1</v>
      </c>
      <c r="K69" s="33">
        <f t="shared" ref="K69:K132" si="10">+G69+H69</f>
        <v>1605601</v>
      </c>
      <c r="L69" s="33">
        <f t="shared" ref="L69:L132" si="11">+J69*K69</f>
        <v>1605601</v>
      </c>
      <c r="M69" s="33">
        <f t="shared" ref="M69:M132" si="12">+G69*J69</f>
        <v>1605601</v>
      </c>
      <c r="N69" s="30" t="s">
        <v>1784</v>
      </c>
      <c r="O69" s="44" t="s">
        <v>1785</v>
      </c>
      <c r="P69" s="33">
        <f t="shared" ref="P69:P132" si="13">+M69</f>
        <v>1605601</v>
      </c>
      <c r="Q69" s="33">
        <f>+'[1]bg dn2'!Z165</f>
        <v>1605601</v>
      </c>
      <c r="R69" s="33">
        <f t="shared" ref="R69:R132" si="14">+P69-Q69</f>
        <v>0</v>
      </c>
      <c r="S69" s="132"/>
    </row>
    <row r="70" spans="1:19">
      <c r="A70" s="29">
        <f t="shared" ref="A70:A133" si="15">+A69+1</f>
        <v>66</v>
      </c>
      <c r="B70" s="54" t="s">
        <v>400</v>
      </c>
      <c r="C70" s="55" t="s">
        <v>401</v>
      </c>
      <c r="D70" s="63">
        <v>42257</v>
      </c>
      <c r="E70" s="59">
        <v>1605601</v>
      </c>
      <c r="F70" s="196">
        <f t="shared" si="8"/>
        <v>1605601</v>
      </c>
      <c r="G70" s="59">
        <f t="shared" si="9"/>
        <v>1605601</v>
      </c>
      <c r="H70" s="57">
        <v>0</v>
      </c>
      <c r="I70" s="60">
        <v>1</v>
      </c>
      <c r="J70" s="60">
        <v>1</v>
      </c>
      <c r="K70" s="33">
        <f t="shared" si="10"/>
        <v>1605601</v>
      </c>
      <c r="L70" s="33">
        <f t="shared" si="11"/>
        <v>1605601</v>
      </c>
      <c r="M70" s="33">
        <f t="shared" si="12"/>
        <v>1605601</v>
      </c>
      <c r="N70" s="30"/>
      <c r="O70" s="44" t="s">
        <v>1786</v>
      </c>
      <c r="P70" s="33">
        <f t="shared" si="13"/>
        <v>1605601</v>
      </c>
      <c r="Q70" s="33">
        <f>+'[1]bg dn2'!Z166</f>
        <v>1605601</v>
      </c>
      <c r="R70" s="33">
        <f t="shared" si="14"/>
        <v>0</v>
      </c>
      <c r="S70" s="132"/>
    </row>
    <row r="71" spans="1:19">
      <c r="A71" s="29">
        <f t="shared" si="15"/>
        <v>67</v>
      </c>
      <c r="B71" s="54" t="s">
        <v>400</v>
      </c>
      <c r="C71" s="55" t="s">
        <v>401</v>
      </c>
      <c r="D71" s="63">
        <v>42287</v>
      </c>
      <c r="E71" s="59">
        <v>1605601</v>
      </c>
      <c r="F71" s="196">
        <f t="shared" si="8"/>
        <v>1605601</v>
      </c>
      <c r="G71" s="59">
        <f t="shared" si="9"/>
        <v>1605601</v>
      </c>
      <c r="H71" s="57">
        <v>0</v>
      </c>
      <c r="I71" s="60">
        <v>1</v>
      </c>
      <c r="J71" s="60">
        <v>1</v>
      </c>
      <c r="K71" s="33">
        <f t="shared" si="10"/>
        <v>1605601</v>
      </c>
      <c r="L71" s="33">
        <f t="shared" si="11"/>
        <v>1605601</v>
      </c>
      <c r="M71" s="33">
        <f t="shared" si="12"/>
        <v>1605601</v>
      </c>
      <c r="N71" s="126"/>
      <c r="O71" s="44" t="s">
        <v>1787</v>
      </c>
      <c r="P71" s="33">
        <f t="shared" si="13"/>
        <v>1605601</v>
      </c>
      <c r="Q71" s="33">
        <f>+'[1]bg dn2'!Z167</f>
        <v>1605601</v>
      </c>
      <c r="R71" s="33">
        <f t="shared" si="14"/>
        <v>0</v>
      </c>
      <c r="S71" s="132"/>
    </row>
    <row r="72" spans="1:19">
      <c r="A72" s="29">
        <f t="shared" si="15"/>
        <v>68</v>
      </c>
      <c r="B72" s="54" t="s">
        <v>400</v>
      </c>
      <c r="C72" s="55" t="s">
        <v>401</v>
      </c>
      <c r="D72" s="63">
        <v>42318</v>
      </c>
      <c r="E72" s="59">
        <v>1605601</v>
      </c>
      <c r="F72" s="196">
        <f t="shared" si="8"/>
        <v>1605601</v>
      </c>
      <c r="G72" s="59">
        <f t="shared" si="9"/>
        <v>1605601</v>
      </c>
      <c r="H72" s="57">
        <v>0</v>
      </c>
      <c r="I72" s="60">
        <v>1</v>
      </c>
      <c r="J72" s="60">
        <v>1</v>
      </c>
      <c r="K72" s="33">
        <f t="shared" si="10"/>
        <v>1605601</v>
      </c>
      <c r="L72" s="33">
        <f t="shared" si="11"/>
        <v>1605601</v>
      </c>
      <c r="M72" s="33">
        <f t="shared" si="12"/>
        <v>1605601</v>
      </c>
      <c r="N72" s="126"/>
      <c r="O72" s="44" t="s">
        <v>1788</v>
      </c>
      <c r="P72" s="33">
        <f t="shared" si="13"/>
        <v>1605601</v>
      </c>
      <c r="Q72" s="33">
        <f>+'[1]bg dn2'!Z168</f>
        <v>1605601</v>
      </c>
      <c r="R72" s="33">
        <f t="shared" si="14"/>
        <v>0</v>
      </c>
      <c r="S72" s="132"/>
    </row>
    <row r="73" spans="1:19">
      <c r="A73" s="29">
        <f t="shared" si="15"/>
        <v>69</v>
      </c>
      <c r="B73" s="54" t="s">
        <v>400</v>
      </c>
      <c r="C73" s="55" t="s">
        <v>401</v>
      </c>
      <c r="D73" s="63">
        <v>42318</v>
      </c>
      <c r="E73" s="59">
        <v>288000</v>
      </c>
      <c r="F73" s="196">
        <f t="shared" si="8"/>
        <v>288000</v>
      </c>
      <c r="G73" s="59">
        <f t="shared" si="9"/>
        <v>288000</v>
      </c>
      <c r="H73" s="57">
        <v>0</v>
      </c>
      <c r="I73" s="60">
        <v>1</v>
      </c>
      <c r="J73" s="60">
        <v>1</v>
      </c>
      <c r="K73" s="33">
        <f t="shared" si="10"/>
        <v>288000</v>
      </c>
      <c r="L73" s="33">
        <f t="shared" si="11"/>
        <v>288000</v>
      </c>
      <c r="M73" s="33">
        <f t="shared" si="12"/>
        <v>288000</v>
      </c>
      <c r="N73" s="30"/>
      <c r="O73" s="44" t="s">
        <v>1788</v>
      </c>
      <c r="P73" s="33">
        <f t="shared" si="13"/>
        <v>288000</v>
      </c>
      <c r="Q73" s="33">
        <f>+'[1]bg dn2'!Z169</f>
        <v>288000</v>
      </c>
      <c r="R73" s="33">
        <f t="shared" si="14"/>
        <v>0</v>
      </c>
      <c r="S73" s="132"/>
    </row>
    <row r="74" spans="1:19">
      <c r="A74" s="29">
        <f t="shared" si="15"/>
        <v>70</v>
      </c>
      <c r="B74" s="54" t="s">
        <v>400</v>
      </c>
      <c r="C74" s="55" t="s">
        <v>401</v>
      </c>
      <c r="D74" s="63">
        <v>42410</v>
      </c>
      <c r="E74" s="59">
        <v>1605601</v>
      </c>
      <c r="F74" s="196">
        <f t="shared" si="8"/>
        <v>1605601</v>
      </c>
      <c r="G74" s="59">
        <f t="shared" si="9"/>
        <v>1605601</v>
      </c>
      <c r="H74" s="57">
        <v>0</v>
      </c>
      <c r="I74" s="60">
        <v>1</v>
      </c>
      <c r="J74" s="60">
        <v>1</v>
      </c>
      <c r="K74" s="33">
        <f t="shared" si="10"/>
        <v>1605601</v>
      </c>
      <c r="L74" s="33">
        <f t="shared" si="11"/>
        <v>1605601</v>
      </c>
      <c r="M74" s="33">
        <f t="shared" si="12"/>
        <v>1605601</v>
      </c>
      <c r="N74" s="30"/>
      <c r="O74" s="44" t="s">
        <v>1789</v>
      </c>
      <c r="P74" s="33">
        <f t="shared" si="13"/>
        <v>1605601</v>
      </c>
      <c r="Q74" s="33">
        <f>+'[1]bg dn2'!Z170</f>
        <v>1605601</v>
      </c>
      <c r="R74" s="33">
        <f t="shared" si="14"/>
        <v>0</v>
      </c>
      <c r="S74" s="132"/>
    </row>
    <row r="75" spans="1:19">
      <c r="A75" s="29">
        <f t="shared" si="15"/>
        <v>71</v>
      </c>
      <c r="B75" s="54" t="s">
        <v>400</v>
      </c>
      <c r="C75" s="55" t="s">
        <v>401</v>
      </c>
      <c r="D75" s="63">
        <v>42410</v>
      </c>
      <c r="E75" s="59">
        <v>288000</v>
      </c>
      <c r="F75" s="196">
        <f t="shared" si="8"/>
        <v>288000</v>
      </c>
      <c r="G75" s="59">
        <f t="shared" si="9"/>
        <v>288000</v>
      </c>
      <c r="H75" s="57">
        <v>0</v>
      </c>
      <c r="I75" s="60">
        <v>1</v>
      </c>
      <c r="J75" s="60">
        <v>1</v>
      </c>
      <c r="K75" s="33">
        <f t="shared" si="10"/>
        <v>288000</v>
      </c>
      <c r="L75" s="33">
        <f t="shared" si="11"/>
        <v>288000</v>
      </c>
      <c r="M75" s="33">
        <f t="shared" si="12"/>
        <v>288000</v>
      </c>
      <c r="N75" s="30"/>
      <c r="O75" s="44" t="s">
        <v>1789</v>
      </c>
      <c r="P75" s="33">
        <f t="shared" si="13"/>
        <v>288000</v>
      </c>
      <c r="Q75" s="33">
        <f>+'[1]bg dn2'!Z171</f>
        <v>288000</v>
      </c>
      <c r="R75" s="33">
        <f t="shared" si="14"/>
        <v>0</v>
      </c>
      <c r="S75" s="132"/>
    </row>
    <row r="76" spans="1:19">
      <c r="A76" s="29">
        <f t="shared" si="15"/>
        <v>72</v>
      </c>
      <c r="B76" s="54" t="s">
        <v>400</v>
      </c>
      <c r="C76" s="55" t="s">
        <v>401</v>
      </c>
      <c r="D76" s="63">
        <v>42439</v>
      </c>
      <c r="E76" s="59">
        <v>1605601</v>
      </c>
      <c r="F76" s="196">
        <f t="shared" si="8"/>
        <v>1605601</v>
      </c>
      <c r="G76" s="59">
        <f t="shared" si="9"/>
        <v>1605601</v>
      </c>
      <c r="H76" s="57">
        <v>0</v>
      </c>
      <c r="I76" s="60">
        <v>1</v>
      </c>
      <c r="J76" s="60">
        <v>1</v>
      </c>
      <c r="K76" s="33">
        <f t="shared" si="10"/>
        <v>1605601</v>
      </c>
      <c r="L76" s="33">
        <f t="shared" si="11"/>
        <v>1605601</v>
      </c>
      <c r="M76" s="33">
        <f t="shared" si="12"/>
        <v>1605601</v>
      </c>
      <c r="N76" s="30"/>
      <c r="O76" s="44" t="s">
        <v>1790</v>
      </c>
      <c r="P76" s="33">
        <f t="shared" si="13"/>
        <v>1605601</v>
      </c>
      <c r="Q76" s="33">
        <f>+'[1]bg dn2'!Z172</f>
        <v>1605601</v>
      </c>
      <c r="R76" s="33">
        <f t="shared" si="14"/>
        <v>0</v>
      </c>
      <c r="S76" s="132"/>
    </row>
    <row r="77" spans="1:19">
      <c r="A77" s="29">
        <f t="shared" si="15"/>
        <v>73</v>
      </c>
      <c r="B77" s="54" t="s">
        <v>400</v>
      </c>
      <c r="C77" s="55" t="s">
        <v>401</v>
      </c>
      <c r="D77" s="63">
        <v>42439</v>
      </c>
      <c r="E77" s="59">
        <v>288000</v>
      </c>
      <c r="F77" s="196">
        <f t="shared" si="8"/>
        <v>288000</v>
      </c>
      <c r="G77" s="59">
        <f t="shared" si="9"/>
        <v>288000</v>
      </c>
      <c r="H77" s="57">
        <v>0</v>
      </c>
      <c r="I77" s="60">
        <v>1</v>
      </c>
      <c r="J77" s="60">
        <v>1</v>
      </c>
      <c r="K77" s="33">
        <f t="shared" si="10"/>
        <v>288000</v>
      </c>
      <c r="L77" s="33">
        <f t="shared" si="11"/>
        <v>288000</v>
      </c>
      <c r="M77" s="33">
        <f t="shared" si="12"/>
        <v>288000</v>
      </c>
      <c r="N77" s="30"/>
      <c r="O77" s="44" t="s">
        <v>1790</v>
      </c>
      <c r="P77" s="33">
        <f t="shared" si="13"/>
        <v>288000</v>
      </c>
      <c r="Q77" s="33">
        <f>+'[1]bg dn2'!Z173</f>
        <v>288000</v>
      </c>
      <c r="R77" s="33">
        <f t="shared" si="14"/>
        <v>0</v>
      </c>
      <c r="S77" s="132"/>
    </row>
    <row r="78" spans="1:19">
      <c r="A78" s="29">
        <f t="shared" si="15"/>
        <v>74</v>
      </c>
      <c r="B78" s="54" t="s">
        <v>400</v>
      </c>
      <c r="C78" s="55" t="s">
        <v>401</v>
      </c>
      <c r="D78" s="63">
        <v>42470</v>
      </c>
      <c r="E78" s="203">
        <v>1605601</v>
      </c>
      <c r="F78" s="196">
        <f t="shared" si="8"/>
        <v>1605601</v>
      </c>
      <c r="G78" s="59">
        <f t="shared" si="9"/>
        <v>1605601</v>
      </c>
      <c r="H78" s="57">
        <v>0</v>
      </c>
      <c r="I78" s="60">
        <v>1</v>
      </c>
      <c r="J78" s="60">
        <v>1</v>
      </c>
      <c r="K78" s="33">
        <f t="shared" si="10"/>
        <v>1605601</v>
      </c>
      <c r="L78" s="33">
        <f t="shared" si="11"/>
        <v>1605601</v>
      </c>
      <c r="M78" s="33">
        <f t="shared" si="12"/>
        <v>1605601</v>
      </c>
      <c r="N78" s="126"/>
      <c r="O78" s="44" t="s">
        <v>1791</v>
      </c>
      <c r="P78" s="33">
        <f t="shared" si="13"/>
        <v>1605601</v>
      </c>
      <c r="Q78" s="33">
        <f>+'[1]bg dn2'!Z174</f>
        <v>1605601</v>
      </c>
      <c r="R78" s="33">
        <f t="shared" si="14"/>
        <v>0</v>
      </c>
      <c r="S78" s="132"/>
    </row>
    <row r="79" spans="1:19">
      <c r="A79" s="29">
        <f t="shared" si="15"/>
        <v>75</v>
      </c>
      <c r="B79" s="54" t="s">
        <v>400</v>
      </c>
      <c r="C79" s="55" t="s">
        <v>401</v>
      </c>
      <c r="D79" s="63">
        <v>42470</v>
      </c>
      <c r="E79" s="203">
        <v>288000</v>
      </c>
      <c r="F79" s="196">
        <f t="shared" si="8"/>
        <v>288000</v>
      </c>
      <c r="G79" s="59">
        <f t="shared" si="9"/>
        <v>288000</v>
      </c>
      <c r="H79" s="57">
        <v>0</v>
      </c>
      <c r="I79" s="60">
        <v>1</v>
      </c>
      <c r="J79" s="60">
        <v>1</v>
      </c>
      <c r="K79" s="33">
        <f t="shared" si="10"/>
        <v>288000</v>
      </c>
      <c r="L79" s="33">
        <f t="shared" si="11"/>
        <v>288000</v>
      </c>
      <c r="M79" s="33">
        <f t="shared" si="12"/>
        <v>288000</v>
      </c>
      <c r="N79" s="126"/>
      <c r="O79" s="44" t="s">
        <v>1791</v>
      </c>
      <c r="P79" s="33">
        <f t="shared" si="13"/>
        <v>288000</v>
      </c>
      <c r="Q79" s="33">
        <f>+'[1]bg dn2'!Z175</f>
        <v>288000</v>
      </c>
      <c r="R79" s="33">
        <f t="shared" si="14"/>
        <v>0</v>
      </c>
      <c r="S79" s="132"/>
    </row>
    <row r="80" spans="1:19">
      <c r="A80" s="29">
        <f t="shared" si="15"/>
        <v>76</v>
      </c>
      <c r="B80" s="54" t="s">
        <v>400</v>
      </c>
      <c r="C80" s="55" t="s">
        <v>401</v>
      </c>
      <c r="D80" s="202">
        <v>42500</v>
      </c>
      <c r="E80" s="203">
        <v>1605601</v>
      </c>
      <c r="F80" s="196">
        <f t="shared" si="8"/>
        <v>1605601</v>
      </c>
      <c r="G80" s="59">
        <f t="shared" si="9"/>
        <v>1605601</v>
      </c>
      <c r="H80" s="57">
        <v>0</v>
      </c>
      <c r="I80" s="60">
        <v>1</v>
      </c>
      <c r="J80" s="60">
        <v>1</v>
      </c>
      <c r="K80" s="33">
        <f t="shared" si="10"/>
        <v>1605601</v>
      </c>
      <c r="L80" s="33">
        <f t="shared" si="11"/>
        <v>1605601</v>
      </c>
      <c r="M80" s="33">
        <f t="shared" si="12"/>
        <v>1605601</v>
      </c>
      <c r="N80" s="126"/>
      <c r="O80" s="44" t="s">
        <v>1792</v>
      </c>
      <c r="P80" s="33">
        <f t="shared" si="13"/>
        <v>1605601</v>
      </c>
      <c r="Q80" s="33">
        <f>+'[1]bg dn2'!Z176</f>
        <v>1605601</v>
      </c>
      <c r="R80" s="33">
        <f t="shared" si="14"/>
        <v>0</v>
      </c>
      <c r="S80" s="132"/>
    </row>
    <row r="81" spans="1:19">
      <c r="A81" s="29">
        <f t="shared" si="15"/>
        <v>77</v>
      </c>
      <c r="B81" s="54" t="s">
        <v>400</v>
      </c>
      <c r="C81" s="55" t="s">
        <v>401</v>
      </c>
      <c r="D81" s="202">
        <v>42500</v>
      </c>
      <c r="E81" s="203">
        <v>288000</v>
      </c>
      <c r="F81" s="196">
        <f t="shared" si="8"/>
        <v>288000</v>
      </c>
      <c r="G81" s="59">
        <f t="shared" si="9"/>
        <v>288000</v>
      </c>
      <c r="H81" s="57">
        <v>0</v>
      </c>
      <c r="I81" s="60">
        <v>1</v>
      </c>
      <c r="J81" s="60">
        <v>1</v>
      </c>
      <c r="K81" s="33">
        <f t="shared" si="10"/>
        <v>288000</v>
      </c>
      <c r="L81" s="33">
        <f t="shared" si="11"/>
        <v>288000</v>
      </c>
      <c r="M81" s="33">
        <f t="shared" si="12"/>
        <v>288000</v>
      </c>
      <c r="N81" s="126"/>
      <c r="O81" s="44" t="s">
        <v>1792</v>
      </c>
      <c r="P81" s="33">
        <f t="shared" si="13"/>
        <v>288000</v>
      </c>
      <c r="Q81" s="33">
        <f>+'[1]bg dn2'!Z177</f>
        <v>288000</v>
      </c>
      <c r="R81" s="33">
        <f t="shared" si="14"/>
        <v>0</v>
      </c>
      <c r="S81" s="132"/>
    </row>
    <row r="82" spans="1:19">
      <c r="A82" s="29">
        <f t="shared" si="15"/>
        <v>78</v>
      </c>
      <c r="B82" s="54" t="s">
        <v>400</v>
      </c>
      <c r="C82" s="55" t="s">
        <v>401</v>
      </c>
      <c r="D82" s="202">
        <v>42561</v>
      </c>
      <c r="E82" s="203">
        <v>1605601</v>
      </c>
      <c r="F82" s="196">
        <f t="shared" si="8"/>
        <v>1605601</v>
      </c>
      <c r="G82" s="59">
        <f t="shared" si="9"/>
        <v>1605601</v>
      </c>
      <c r="H82" s="57">
        <v>0</v>
      </c>
      <c r="I82" s="60">
        <v>1</v>
      </c>
      <c r="J82" s="60">
        <v>1</v>
      </c>
      <c r="K82" s="33">
        <f t="shared" si="10"/>
        <v>1605601</v>
      </c>
      <c r="L82" s="33">
        <f t="shared" si="11"/>
        <v>1605601</v>
      </c>
      <c r="M82" s="33">
        <f t="shared" si="12"/>
        <v>1605601</v>
      </c>
      <c r="N82" s="126"/>
      <c r="O82" s="44" t="s">
        <v>1765</v>
      </c>
      <c r="P82" s="33">
        <f t="shared" si="13"/>
        <v>1605601</v>
      </c>
      <c r="Q82" s="33">
        <f>+'[1]bg dn2'!Z178</f>
        <v>1605601</v>
      </c>
      <c r="R82" s="33">
        <f t="shared" si="14"/>
        <v>0</v>
      </c>
      <c r="S82" s="132"/>
    </row>
    <row r="83" spans="1:19">
      <c r="A83" s="29">
        <f t="shared" si="15"/>
        <v>79</v>
      </c>
      <c r="B83" s="54" t="s">
        <v>400</v>
      </c>
      <c r="C83" s="55" t="s">
        <v>401</v>
      </c>
      <c r="D83" s="202">
        <v>42561</v>
      </c>
      <c r="E83" s="203">
        <v>288000</v>
      </c>
      <c r="F83" s="196">
        <f t="shared" si="8"/>
        <v>288000</v>
      </c>
      <c r="G83" s="59">
        <f t="shared" si="9"/>
        <v>288000</v>
      </c>
      <c r="H83" s="57">
        <v>0</v>
      </c>
      <c r="I83" s="60">
        <v>1</v>
      </c>
      <c r="J83" s="60">
        <v>1</v>
      </c>
      <c r="K83" s="33">
        <f t="shared" si="10"/>
        <v>288000</v>
      </c>
      <c r="L83" s="33">
        <f t="shared" si="11"/>
        <v>288000</v>
      </c>
      <c r="M83" s="33">
        <f t="shared" si="12"/>
        <v>288000</v>
      </c>
      <c r="N83" s="126"/>
      <c r="O83" s="44" t="s">
        <v>1765</v>
      </c>
      <c r="P83" s="33">
        <f t="shared" si="13"/>
        <v>288000</v>
      </c>
      <c r="Q83" s="33">
        <f>+'[1]bg dn2'!Z179</f>
        <v>288000</v>
      </c>
      <c r="R83" s="33">
        <f t="shared" si="14"/>
        <v>0</v>
      </c>
      <c r="S83" s="132"/>
    </row>
    <row r="84" spans="1:19">
      <c r="A84" s="29">
        <f t="shared" si="15"/>
        <v>80</v>
      </c>
      <c r="B84" s="54" t="s">
        <v>400</v>
      </c>
      <c r="C84" s="55" t="s">
        <v>401</v>
      </c>
      <c r="D84" s="202">
        <v>42592</v>
      </c>
      <c r="E84" s="203">
        <v>1605601</v>
      </c>
      <c r="F84" s="196">
        <f t="shared" si="8"/>
        <v>1605601</v>
      </c>
      <c r="G84" s="59">
        <f t="shared" si="9"/>
        <v>1605601</v>
      </c>
      <c r="H84" s="57">
        <v>0</v>
      </c>
      <c r="I84" s="60">
        <v>1</v>
      </c>
      <c r="J84" s="60">
        <v>1</v>
      </c>
      <c r="K84" s="33">
        <f t="shared" si="10"/>
        <v>1605601</v>
      </c>
      <c r="L84" s="33">
        <f t="shared" si="11"/>
        <v>1605601</v>
      </c>
      <c r="M84" s="33">
        <f t="shared" si="12"/>
        <v>1605601</v>
      </c>
      <c r="N84" s="126"/>
      <c r="O84" s="44" t="s">
        <v>1766</v>
      </c>
      <c r="P84" s="33">
        <f t="shared" si="13"/>
        <v>1605601</v>
      </c>
      <c r="Q84" s="33">
        <f>+'[1]bg dn2'!Z180</f>
        <v>1605601</v>
      </c>
      <c r="R84" s="33">
        <f t="shared" si="14"/>
        <v>0</v>
      </c>
      <c r="S84" s="132"/>
    </row>
    <row r="85" spans="1:19">
      <c r="A85" s="29">
        <f t="shared" si="15"/>
        <v>81</v>
      </c>
      <c r="B85" s="54" t="s">
        <v>400</v>
      </c>
      <c r="C85" s="55" t="s">
        <v>401</v>
      </c>
      <c r="D85" s="202">
        <v>42592</v>
      </c>
      <c r="E85" s="203">
        <v>288000</v>
      </c>
      <c r="F85" s="196">
        <f t="shared" si="8"/>
        <v>288000</v>
      </c>
      <c r="G85" s="59">
        <f t="shared" si="9"/>
        <v>288000</v>
      </c>
      <c r="H85" s="57">
        <v>0</v>
      </c>
      <c r="I85" s="60">
        <v>1</v>
      </c>
      <c r="J85" s="60">
        <v>1</v>
      </c>
      <c r="K85" s="33">
        <f t="shared" si="10"/>
        <v>288000</v>
      </c>
      <c r="L85" s="33">
        <f t="shared" si="11"/>
        <v>288000</v>
      </c>
      <c r="M85" s="33">
        <f t="shared" si="12"/>
        <v>288000</v>
      </c>
      <c r="N85" s="126"/>
      <c r="O85" s="44" t="s">
        <v>1766</v>
      </c>
      <c r="P85" s="33">
        <f t="shared" si="13"/>
        <v>288000</v>
      </c>
      <c r="Q85" s="33">
        <f>+'[1]bg dn2'!Z181</f>
        <v>288000</v>
      </c>
      <c r="R85" s="33">
        <f t="shared" si="14"/>
        <v>0</v>
      </c>
      <c r="S85" s="132"/>
    </row>
    <row r="86" spans="1:19">
      <c r="A86" s="29">
        <f t="shared" si="15"/>
        <v>82</v>
      </c>
      <c r="B86" s="54" t="s">
        <v>400</v>
      </c>
      <c r="C86" s="55" t="s">
        <v>401</v>
      </c>
      <c r="D86" s="202">
        <v>42623</v>
      </c>
      <c r="E86" s="203">
        <v>1605601</v>
      </c>
      <c r="F86" s="196">
        <f t="shared" si="8"/>
        <v>1605601</v>
      </c>
      <c r="G86" s="59">
        <f t="shared" si="9"/>
        <v>1605601</v>
      </c>
      <c r="H86" s="57">
        <v>0</v>
      </c>
      <c r="I86" s="60">
        <v>1</v>
      </c>
      <c r="J86" s="60">
        <v>1</v>
      </c>
      <c r="K86" s="33">
        <f t="shared" si="10"/>
        <v>1605601</v>
      </c>
      <c r="L86" s="33">
        <f t="shared" si="11"/>
        <v>1605601</v>
      </c>
      <c r="M86" s="33">
        <f t="shared" si="12"/>
        <v>1605601</v>
      </c>
      <c r="N86" s="126"/>
      <c r="O86" s="44" t="s">
        <v>1767</v>
      </c>
      <c r="P86" s="33">
        <f t="shared" si="13"/>
        <v>1605601</v>
      </c>
      <c r="Q86" s="33">
        <f>+'[1]bg dn2'!Z182</f>
        <v>1605601</v>
      </c>
      <c r="R86" s="33">
        <f t="shared" si="14"/>
        <v>0</v>
      </c>
      <c r="S86" s="132"/>
    </row>
    <row r="87" spans="1:19">
      <c r="A87" s="29">
        <f t="shared" si="15"/>
        <v>83</v>
      </c>
      <c r="B87" s="54" t="s">
        <v>400</v>
      </c>
      <c r="C87" s="55" t="s">
        <v>401</v>
      </c>
      <c r="D87" s="202">
        <v>42623</v>
      </c>
      <c r="E87" s="203">
        <v>288000</v>
      </c>
      <c r="F87" s="196">
        <f t="shared" si="8"/>
        <v>288000</v>
      </c>
      <c r="G87" s="59">
        <f t="shared" si="9"/>
        <v>288000</v>
      </c>
      <c r="H87" s="57">
        <v>0</v>
      </c>
      <c r="I87" s="60">
        <v>1</v>
      </c>
      <c r="J87" s="60">
        <v>1</v>
      </c>
      <c r="K87" s="33">
        <f t="shared" si="10"/>
        <v>288000</v>
      </c>
      <c r="L87" s="33">
        <f t="shared" si="11"/>
        <v>288000</v>
      </c>
      <c r="M87" s="33">
        <f t="shared" si="12"/>
        <v>288000</v>
      </c>
      <c r="N87" s="126"/>
      <c r="O87" s="44" t="s">
        <v>1767</v>
      </c>
      <c r="P87" s="33">
        <f t="shared" si="13"/>
        <v>288000</v>
      </c>
      <c r="Q87" s="33">
        <f>+'[1]bg dn2'!Z183</f>
        <v>288000</v>
      </c>
      <c r="R87" s="33">
        <f t="shared" si="14"/>
        <v>0</v>
      </c>
      <c r="S87" s="132"/>
    </row>
    <row r="88" spans="1:19">
      <c r="A88" s="29">
        <f t="shared" si="15"/>
        <v>84</v>
      </c>
      <c r="B88" s="54" t="s">
        <v>400</v>
      </c>
      <c r="C88" s="55" t="s">
        <v>401</v>
      </c>
      <c r="D88" s="202">
        <v>42653</v>
      </c>
      <c r="E88" s="203">
        <v>1605601</v>
      </c>
      <c r="F88" s="196">
        <f t="shared" si="8"/>
        <v>1605601</v>
      </c>
      <c r="G88" s="59">
        <f t="shared" si="9"/>
        <v>1605601</v>
      </c>
      <c r="H88" s="57">
        <v>0</v>
      </c>
      <c r="I88" s="60">
        <v>1</v>
      </c>
      <c r="J88" s="60">
        <v>1</v>
      </c>
      <c r="K88" s="33">
        <f t="shared" si="10"/>
        <v>1605601</v>
      </c>
      <c r="L88" s="33">
        <f t="shared" si="11"/>
        <v>1605601</v>
      </c>
      <c r="M88" s="33">
        <f t="shared" si="12"/>
        <v>1605601</v>
      </c>
      <c r="N88" s="126"/>
      <c r="O88" s="44" t="s">
        <v>1768</v>
      </c>
      <c r="P88" s="33">
        <f t="shared" si="13"/>
        <v>1605601</v>
      </c>
      <c r="Q88" s="33">
        <f>+'[1]bg dn2'!Z184</f>
        <v>1605601</v>
      </c>
      <c r="R88" s="33">
        <f t="shared" si="14"/>
        <v>0</v>
      </c>
      <c r="S88" s="132"/>
    </row>
    <row r="89" spans="1:19">
      <c r="A89" s="29">
        <f t="shared" si="15"/>
        <v>85</v>
      </c>
      <c r="B89" s="54" t="s">
        <v>400</v>
      </c>
      <c r="C89" s="55" t="s">
        <v>401</v>
      </c>
      <c r="D89" s="202">
        <v>42653</v>
      </c>
      <c r="E89" s="203">
        <v>288000</v>
      </c>
      <c r="F89" s="196">
        <f t="shared" si="8"/>
        <v>288000</v>
      </c>
      <c r="G89" s="59">
        <f t="shared" si="9"/>
        <v>288000</v>
      </c>
      <c r="H89" s="57">
        <v>0</v>
      </c>
      <c r="I89" s="60">
        <v>1</v>
      </c>
      <c r="J89" s="60">
        <v>1</v>
      </c>
      <c r="K89" s="33">
        <f t="shared" si="10"/>
        <v>288000</v>
      </c>
      <c r="L89" s="33">
        <f t="shared" si="11"/>
        <v>288000</v>
      </c>
      <c r="M89" s="33">
        <f t="shared" si="12"/>
        <v>288000</v>
      </c>
      <c r="N89" s="126"/>
      <c r="O89" s="44" t="s">
        <v>1768</v>
      </c>
      <c r="P89" s="33">
        <f t="shared" si="13"/>
        <v>288000</v>
      </c>
      <c r="Q89" s="33">
        <f>+'[1]bg dn2'!Z185</f>
        <v>288000</v>
      </c>
      <c r="R89" s="33">
        <f t="shared" si="14"/>
        <v>0</v>
      </c>
      <c r="S89" s="132"/>
    </row>
    <row r="90" spans="1:19">
      <c r="A90" s="29">
        <f t="shared" si="15"/>
        <v>86</v>
      </c>
      <c r="B90" s="54" t="s">
        <v>400</v>
      </c>
      <c r="C90" s="55" t="s">
        <v>401</v>
      </c>
      <c r="D90" s="202">
        <v>42684</v>
      </c>
      <c r="E90" s="203">
        <v>1605601</v>
      </c>
      <c r="F90" s="196">
        <f t="shared" si="8"/>
        <v>1605601</v>
      </c>
      <c r="G90" s="59">
        <f t="shared" si="9"/>
        <v>1605601</v>
      </c>
      <c r="H90" s="57">
        <v>0</v>
      </c>
      <c r="I90" s="60">
        <v>1</v>
      </c>
      <c r="J90" s="60">
        <v>1</v>
      </c>
      <c r="K90" s="33">
        <f t="shared" si="10"/>
        <v>1605601</v>
      </c>
      <c r="L90" s="33">
        <f t="shared" si="11"/>
        <v>1605601</v>
      </c>
      <c r="M90" s="33">
        <f t="shared" si="12"/>
        <v>1605601</v>
      </c>
      <c r="N90" s="126"/>
      <c r="O90" s="44" t="s">
        <v>1769</v>
      </c>
      <c r="P90" s="33">
        <f t="shared" si="13"/>
        <v>1605601</v>
      </c>
      <c r="Q90" s="33">
        <f>+'[1]bg dn2'!Z186</f>
        <v>1605601</v>
      </c>
      <c r="R90" s="33">
        <f t="shared" si="14"/>
        <v>0</v>
      </c>
      <c r="S90" s="132"/>
    </row>
    <row r="91" spans="1:19">
      <c r="A91" s="29">
        <f t="shared" si="15"/>
        <v>87</v>
      </c>
      <c r="B91" s="54" t="s">
        <v>400</v>
      </c>
      <c r="C91" s="55" t="s">
        <v>401</v>
      </c>
      <c r="D91" s="202">
        <v>42684</v>
      </c>
      <c r="E91" s="203">
        <v>288000</v>
      </c>
      <c r="F91" s="196">
        <f t="shared" si="8"/>
        <v>288000</v>
      </c>
      <c r="G91" s="59">
        <f t="shared" si="9"/>
        <v>288000</v>
      </c>
      <c r="H91" s="57">
        <v>0</v>
      </c>
      <c r="I91" s="60">
        <v>1</v>
      </c>
      <c r="J91" s="60">
        <v>1</v>
      </c>
      <c r="K91" s="33">
        <f t="shared" si="10"/>
        <v>288000</v>
      </c>
      <c r="L91" s="33">
        <f t="shared" si="11"/>
        <v>288000</v>
      </c>
      <c r="M91" s="33">
        <f t="shared" si="12"/>
        <v>288000</v>
      </c>
      <c r="N91" s="126"/>
      <c r="O91" s="44" t="s">
        <v>1769</v>
      </c>
      <c r="P91" s="33">
        <f t="shared" si="13"/>
        <v>288000</v>
      </c>
      <c r="Q91" s="33">
        <f>+'[1]bg dn2'!Z187</f>
        <v>288000</v>
      </c>
      <c r="R91" s="33">
        <f t="shared" si="14"/>
        <v>0</v>
      </c>
      <c r="S91" s="132"/>
    </row>
    <row r="92" spans="1:19">
      <c r="A92" s="29">
        <f t="shared" si="15"/>
        <v>88</v>
      </c>
      <c r="B92" s="54" t="s">
        <v>400</v>
      </c>
      <c r="C92" s="55" t="s">
        <v>401</v>
      </c>
      <c r="D92" s="63">
        <v>42714</v>
      </c>
      <c r="E92" s="203">
        <v>1605601</v>
      </c>
      <c r="F92" s="196">
        <f t="shared" si="8"/>
        <v>1605601</v>
      </c>
      <c r="G92" s="59">
        <f t="shared" si="9"/>
        <v>1605601</v>
      </c>
      <c r="H92" s="57">
        <v>0</v>
      </c>
      <c r="I92" s="60">
        <v>1</v>
      </c>
      <c r="J92" s="60">
        <v>1</v>
      </c>
      <c r="K92" s="33">
        <f t="shared" si="10"/>
        <v>1605601</v>
      </c>
      <c r="L92" s="33">
        <f t="shared" si="11"/>
        <v>1605601</v>
      </c>
      <c r="M92" s="33">
        <f t="shared" si="12"/>
        <v>1605601</v>
      </c>
      <c r="N92" s="126"/>
      <c r="O92" s="44" t="s">
        <v>1770</v>
      </c>
      <c r="P92" s="33">
        <f t="shared" si="13"/>
        <v>1605601</v>
      </c>
      <c r="Q92" s="33">
        <f>+'[1]bg dn2'!Z188</f>
        <v>1605601</v>
      </c>
      <c r="R92" s="33">
        <f t="shared" si="14"/>
        <v>0</v>
      </c>
      <c r="S92" s="132"/>
    </row>
    <row r="93" spans="1:19">
      <c r="A93" s="29">
        <f t="shared" si="15"/>
        <v>89</v>
      </c>
      <c r="B93" s="54" t="s">
        <v>400</v>
      </c>
      <c r="C93" s="55" t="s">
        <v>401</v>
      </c>
      <c r="D93" s="63">
        <v>42714</v>
      </c>
      <c r="E93" s="203">
        <v>288000</v>
      </c>
      <c r="F93" s="196">
        <f t="shared" si="8"/>
        <v>288000</v>
      </c>
      <c r="G93" s="59">
        <f t="shared" si="9"/>
        <v>288000</v>
      </c>
      <c r="H93" s="57">
        <v>0</v>
      </c>
      <c r="I93" s="60">
        <v>1</v>
      </c>
      <c r="J93" s="60">
        <v>1</v>
      </c>
      <c r="K93" s="33">
        <f t="shared" si="10"/>
        <v>288000</v>
      </c>
      <c r="L93" s="33">
        <f t="shared" si="11"/>
        <v>288000</v>
      </c>
      <c r="M93" s="33">
        <f t="shared" si="12"/>
        <v>288000</v>
      </c>
      <c r="N93" s="126"/>
      <c r="O93" s="44" t="s">
        <v>1770</v>
      </c>
      <c r="P93" s="33">
        <f t="shared" si="13"/>
        <v>288000</v>
      </c>
      <c r="Q93" s="33">
        <f>+'[1]bg dn2'!Z189</f>
        <v>288000</v>
      </c>
      <c r="R93" s="33">
        <f t="shared" si="14"/>
        <v>0</v>
      </c>
      <c r="S93" s="132"/>
    </row>
    <row r="94" spans="1:19">
      <c r="A94" s="29">
        <f t="shared" si="15"/>
        <v>90</v>
      </c>
      <c r="B94" s="54" t="s">
        <v>400</v>
      </c>
      <c r="C94" s="55" t="s">
        <v>401</v>
      </c>
      <c r="D94" s="63">
        <v>42745</v>
      </c>
      <c r="E94" s="203">
        <v>1605601</v>
      </c>
      <c r="F94" s="196">
        <f t="shared" si="8"/>
        <v>1605601</v>
      </c>
      <c r="G94" s="59">
        <f t="shared" si="9"/>
        <v>1605601</v>
      </c>
      <c r="H94" s="57">
        <v>0</v>
      </c>
      <c r="I94" s="60">
        <v>1</v>
      </c>
      <c r="J94" s="60">
        <v>1</v>
      </c>
      <c r="K94" s="33">
        <f t="shared" si="10"/>
        <v>1605601</v>
      </c>
      <c r="L94" s="33">
        <f t="shared" si="11"/>
        <v>1605601</v>
      </c>
      <c r="M94" s="33">
        <f t="shared" si="12"/>
        <v>1605601</v>
      </c>
      <c r="N94" s="126"/>
      <c r="O94" s="44" t="s">
        <v>1771</v>
      </c>
      <c r="P94" s="33">
        <f t="shared" si="13"/>
        <v>1605601</v>
      </c>
      <c r="Q94" s="33">
        <f>+'[1]bg dn2'!Z190</f>
        <v>1605601</v>
      </c>
      <c r="R94" s="33">
        <f t="shared" si="14"/>
        <v>0</v>
      </c>
      <c r="S94" s="132"/>
    </row>
    <row r="95" spans="1:19">
      <c r="A95" s="29">
        <f t="shared" si="15"/>
        <v>91</v>
      </c>
      <c r="B95" s="54" t="s">
        <v>400</v>
      </c>
      <c r="C95" s="55" t="s">
        <v>401</v>
      </c>
      <c r="D95" s="63">
        <v>42745</v>
      </c>
      <c r="E95" s="203">
        <v>288000</v>
      </c>
      <c r="F95" s="196">
        <f t="shared" si="8"/>
        <v>288000</v>
      </c>
      <c r="G95" s="59">
        <f t="shared" si="9"/>
        <v>288000</v>
      </c>
      <c r="H95" s="57">
        <v>0</v>
      </c>
      <c r="I95" s="60">
        <v>1</v>
      </c>
      <c r="J95" s="60">
        <v>1</v>
      </c>
      <c r="K95" s="33">
        <f t="shared" si="10"/>
        <v>288000</v>
      </c>
      <c r="L95" s="33">
        <f t="shared" si="11"/>
        <v>288000</v>
      </c>
      <c r="M95" s="33">
        <f t="shared" si="12"/>
        <v>288000</v>
      </c>
      <c r="N95" s="126"/>
      <c r="O95" s="44" t="s">
        <v>1771</v>
      </c>
      <c r="P95" s="33">
        <f t="shared" si="13"/>
        <v>288000</v>
      </c>
      <c r="Q95" s="33">
        <f>+'[1]bg dn2'!Z191</f>
        <v>288000</v>
      </c>
      <c r="R95" s="33">
        <f t="shared" si="14"/>
        <v>0</v>
      </c>
      <c r="S95" s="132"/>
    </row>
    <row r="96" spans="1:19">
      <c r="A96" s="29">
        <f t="shared" si="15"/>
        <v>92</v>
      </c>
      <c r="B96" s="54" t="s">
        <v>400</v>
      </c>
      <c r="C96" s="55" t="s">
        <v>401</v>
      </c>
      <c r="D96" s="63">
        <v>42776</v>
      </c>
      <c r="E96" s="203">
        <v>1605601</v>
      </c>
      <c r="F96" s="196">
        <f t="shared" si="8"/>
        <v>1605601</v>
      </c>
      <c r="G96" s="59">
        <f t="shared" si="9"/>
        <v>1605601</v>
      </c>
      <c r="H96" s="57">
        <v>0</v>
      </c>
      <c r="I96" s="60">
        <v>1</v>
      </c>
      <c r="J96" s="60">
        <v>1</v>
      </c>
      <c r="K96" s="33">
        <f t="shared" si="10"/>
        <v>1605601</v>
      </c>
      <c r="L96" s="33">
        <f t="shared" si="11"/>
        <v>1605601</v>
      </c>
      <c r="M96" s="33">
        <f t="shared" si="12"/>
        <v>1605601</v>
      </c>
      <c r="N96" s="126"/>
      <c r="O96" s="44" t="s">
        <v>1772</v>
      </c>
      <c r="P96" s="33">
        <f t="shared" si="13"/>
        <v>1605601</v>
      </c>
      <c r="Q96" s="33">
        <f>+'[1]bg dn2'!Z192</f>
        <v>1605601</v>
      </c>
      <c r="R96" s="33">
        <f t="shared" si="14"/>
        <v>0</v>
      </c>
      <c r="S96" s="132"/>
    </row>
    <row r="97" spans="1:19">
      <c r="A97" s="29">
        <f t="shared" si="15"/>
        <v>93</v>
      </c>
      <c r="B97" s="54" t="s">
        <v>400</v>
      </c>
      <c r="C97" s="55" t="s">
        <v>401</v>
      </c>
      <c r="D97" s="63">
        <v>42776</v>
      </c>
      <c r="E97" s="203">
        <v>288000</v>
      </c>
      <c r="F97" s="196">
        <f t="shared" si="8"/>
        <v>288000</v>
      </c>
      <c r="G97" s="59">
        <f t="shared" si="9"/>
        <v>288000</v>
      </c>
      <c r="H97" s="57">
        <v>0</v>
      </c>
      <c r="I97" s="60">
        <v>1</v>
      </c>
      <c r="J97" s="60">
        <v>1</v>
      </c>
      <c r="K97" s="33">
        <f t="shared" si="10"/>
        <v>288000</v>
      </c>
      <c r="L97" s="33">
        <f t="shared" si="11"/>
        <v>288000</v>
      </c>
      <c r="M97" s="33">
        <f t="shared" si="12"/>
        <v>288000</v>
      </c>
      <c r="N97" s="126"/>
      <c r="O97" s="44" t="s">
        <v>1772</v>
      </c>
      <c r="P97" s="33">
        <f t="shared" si="13"/>
        <v>288000</v>
      </c>
      <c r="Q97" s="33">
        <f>+'[1]bg dn2'!Z193</f>
        <v>288000</v>
      </c>
      <c r="R97" s="33">
        <f t="shared" si="14"/>
        <v>0</v>
      </c>
      <c r="S97" s="132"/>
    </row>
    <row r="98" spans="1:19">
      <c r="A98" s="29">
        <f t="shared" si="15"/>
        <v>94</v>
      </c>
      <c r="B98" s="54" t="s">
        <v>400</v>
      </c>
      <c r="C98" s="55" t="s">
        <v>401</v>
      </c>
      <c r="D98" s="63">
        <v>42804</v>
      </c>
      <c r="E98" s="203">
        <v>1605601</v>
      </c>
      <c r="F98" s="196">
        <f t="shared" si="8"/>
        <v>1605601</v>
      </c>
      <c r="G98" s="59">
        <f t="shared" si="9"/>
        <v>1605601</v>
      </c>
      <c r="H98" s="57">
        <v>0</v>
      </c>
      <c r="I98" s="60">
        <v>1</v>
      </c>
      <c r="J98" s="60">
        <v>1</v>
      </c>
      <c r="K98" s="33">
        <f t="shared" si="10"/>
        <v>1605601</v>
      </c>
      <c r="L98" s="33">
        <f t="shared" si="11"/>
        <v>1605601</v>
      </c>
      <c r="M98" s="33">
        <f t="shared" si="12"/>
        <v>1605601</v>
      </c>
      <c r="N98" s="126"/>
      <c r="O98" s="44" t="s">
        <v>1773</v>
      </c>
      <c r="P98" s="33">
        <f t="shared" si="13"/>
        <v>1605601</v>
      </c>
      <c r="Q98" s="33">
        <f>+'[1]bg dn2'!Z194</f>
        <v>1605601</v>
      </c>
      <c r="R98" s="33">
        <f t="shared" si="14"/>
        <v>0</v>
      </c>
      <c r="S98" s="132"/>
    </row>
    <row r="99" spans="1:19">
      <c r="A99" s="29">
        <f t="shared" si="15"/>
        <v>95</v>
      </c>
      <c r="B99" s="54" t="s">
        <v>400</v>
      </c>
      <c r="C99" s="55" t="s">
        <v>401</v>
      </c>
      <c r="D99" s="63">
        <v>42804</v>
      </c>
      <c r="E99" s="203">
        <v>288000</v>
      </c>
      <c r="F99" s="196">
        <f t="shared" si="8"/>
        <v>288000</v>
      </c>
      <c r="G99" s="59">
        <f t="shared" si="9"/>
        <v>288000</v>
      </c>
      <c r="H99" s="57">
        <v>0</v>
      </c>
      <c r="I99" s="60">
        <v>1</v>
      </c>
      <c r="J99" s="60">
        <v>1</v>
      </c>
      <c r="K99" s="33">
        <f t="shared" si="10"/>
        <v>288000</v>
      </c>
      <c r="L99" s="33">
        <f t="shared" si="11"/>
        <v>288000</v>
      </c>
      <c r="M99" s="33">
        <f t="shared" si="12"/>
        <v>288000</v>
      </c>
      <c r="N99" s="126"/>
      <c r="O99" s="44" t="s">
        <v>1773</v>
      </c>
      <c r="P99" s="33">
        <f t="shared" si="13"/>
        <v>288000</v>
      </c>
      <c r="Q99" s="33">
        <f>+'[1]bg dn2'!Z195</f>
        <v>288000</v>
      </c>
      <c r="R99" s="33">
        <f t="shared" si="14"/>
        <v>0</v>
      </c>
      <c r="S99" s="132"/>
    </row>
    <row r="100" spans="1:19">
      <c r="A100" s="29">
        <f t="shared" si="15"/>
        <v>96</v>
      </c>
      <c r="B100" s="54" t="s">
        <v>400</v>
      </c>
      <c r="C100" s="55" t="s">
        <v>401</v>
      </c>
      <c r="D100" s="63">
        <v>42835</v>
      </c>
      <c r="E100" s="203">
        <v>1605601</v>
      </c>
      <c r="F100" s="196">
        <f t="shared" si="8"/>
        <v>1605601</v>
      </c>
      <c r="G100" s="59">
        <f t="shared" si="9"/>
        <v>1605601</v>
      </c>
      <c r="H100" s="57">
        <v>0</v>
      </c>
      <c r="I100" s="60">
        <v>1</v>
      </c>
      <c r="J100" s="60">
        <v>1</v>
      </c>
      <c r="K100" s="33">
        <f t="shared" si="10"/>
        <v>1605601</v>
      </c>
      <c r="L100" s="33">
        <f t="shared" si="11"/>
        <v>1605601</v>
      </c>
      <c r="M100" s="33">
        <f t="shared" si="12"/>
        <v>1605601</v>
      </c>
      <c r="N100" s="126"/>
      <c r="O100" s="44" t="s">
        <v>1774</v>
      </c>
      <c r="P100" s="33">
        <f t="shared" si="13"/>
        <v>1605601</v>
      </c>
      <c r="Q100" s="33">
        <f>+'[1]bg dn2'!Z196</f>
        <v>1605601</v>
      </c>
      <c r="R100" s="33">
        <f t="shared" si="14"/>
        <v>0</v>
      </c>
      <c r="S100" s="132"/>
    </row>
    <row r="101" spans="1:19">
      <c r="A101" s="29">
        <f t="shared" si="15"/>
        <v>97</v>
      </c>
      <c r="B101" s="54" t="s">
        <v>400</v>
      </c>
      <c r="C101" s="55" t="s">
        <v>401</v>
      </c>
      <c r="D101" s="63">
        <v>42835</v>
      </c>
      <c r="E101" s="203">
        <v>288000</v>
      </c>
      <c r="F101" s="196">
        <f t="shared" si="8"/>
        <v>288000</v>
      </c>
      <c r="G101" s="59">
        <f t="shared" si="9"/>
        <v>288000</v>
      </c>
      <c r="H101" s="57">
        <v>0</v>
      </c>
      <c r="I101" s="60">
        <v>1</v>
      </c>
      <c r="J101" s="60">
        <v>1</v>
      </c>
      <c r="K101" s="33">
        <f t="shared" si="10"/>
        <v>288000</v>
      </c>
      <c r="L101" s="33">
        <f t="shared" si="11"/>
        <v>288000</v>
      </c>
      <c r="M101" s="33">
        <f t="shared" si="12"/>
        <v>288000</v>
      </c>
      <c r="N101" s="126"/>
      <c r="O101" s="44" t="s">
        <v>1774</v>
      </c>
      <c r="P101" s="33">
        <f t="shared" si="13"/>
        <v>288000</v>
      </c>
      <c r="Q101" s="33">
        <f>+'[1]bg dn2'!Z197</f>
        <v>288000</v>
      </c>
      <c r="R101" s="33">
        <f t="shared" si="14"/>
        <v>0</v>
      </c>
      <c r="S101" s="132"/>
    </row>
    <row r="102" spans="1:19">
      <c r="A102" s="29">
        <f t="shared" si="15"/>
        <v>98</v>
      </c>
      <c r="B102" s="54" t="s">
        <v>400</v>
      </c>
      <c r="C102" s="55" t="s">
        <v>401</v>
      </c>
      <c r="D102" s="63">
        <v>42865</v>
      </c>
      <c r="E102" s="58">
        <v>288000</v>
      </c>
      <c r="F102" s="196">
        <f t="shared" si="8"/>
        <v>288000</v>
      </c>
      <c r="G102" s="59">
        <f t="shared" si="9"/>
        <v>288000</v>
      </c>
      <c r="H102" s="57">
        <v>0</v>
      </c>
      <c r="I102" s="60">
        <v>1</v>
      </c>
      <c r="J102" s="60">
        <v>1</v>
      </c>
      <c r="K102" s="33">
        <f t="shared" si="10"/>
        <v>288000</v>
      </c>
      <c r="L102" s="33">
        <f t="shared" si="11"/>
        <v>288000</v>
      </c>
      <c r="M102" s="200">
        <f t="shared" si="12"/>
        <v>288000</v>
      </c>
      <c r="N102" s="126"/>
      <c r="O102" s="44" t="s">
        <v>1775</v>
      </c>
      <c r="P102" s="33">
        <f t="shared" si="13"/>
        <v>288000</v>
      </c>
      <c r="Q102" s="33">
        <f>+'[1]bg dn2'!Z198</f>
        <v>288000</v>
      </c>
      <c r="R102" s="33">
        <f t="shared" si="14"/>
        <v>0</v>
      </c>
      <c r="S102" s="132"/>
    </row>
    <row r="103" spans="1:19">
      <c r="A103" s="29">
        <f t="shared" si="15"/>
        <v>99</v>
      </c>
      <c r="B103" s="54" t="s">
        <v>400</v>
      </c>
      <c r="C103" s="55" t="s">
        <v>401</v>
      </c>
      <c r="D103" s="63">
        <v>42865</v>
      </c>
      <c r="E103" s="58">
        <v>1605601</v>
      </c>
      <c r="F103" s="196">
        <f t="shared" si="8"/>
        <v>1605601</v>
      </c>
      <c r="G103" s="59">
        <f t="shared" si="9"/>
        <v>1605601</v>
      </c>
      <c r="H103" s="57">
        <v>0</v>
      </c>
      <c r="I103" s="60">
        <v>1</v>
      </c>
      <c r="J103" s="60">
        <v>1</v>
      </c>
      <c r="K103" s="33">
        <f t="shared" si="10"/>
        <v>1605601</v>
      </c>
      <c r="L103" s="33">
        <f t="shared" si="11"/>
        <v>1605601</v>
      </c>
      <c r="M103" s="200">
        <f t="shared" si="12"/>
        <v>1605601</v>
      </c>
      <c r="N103" s="126"/>
      <c r="O103" s="44" t="s">
        <v>1775</v>
      </c>
      <c r="P103" s="33">
        <f t="shared" si="13"/>
        <v>1605601</v>
      </c>
      <c r="Q103" s="33">
        <f>+'[1]bg dn2'!Z199</f>
        <v>1605601</v>
      </c>
      <c r="R103" s="33">
        <f t="shared" si="14"/>
        <v>0</v>
      </c>
      <c r="S103" s="132"/>
    </row>
    <row r="104" spans="1:19">
      <c r="A104" s="29">
        <f t="shared" si="15"/>
        <v>100</v>
      </c>
      <c r="B104" s="54" t="s">
        <v>400</v>
      </c>
      <c r="C104" s="55" t="s">
        <v>401</v>
      </c>
      <c r="D104" s="63">
        <v>42896</v>
      </c>
      <c r="E104" s="207">
        <v>288000</v>
      </c>
      <c r="F104" s="196">
        <f t="shared" si="8"/>
        <v>288000</v>
      </c>
      <c r="G104" s="59">
        <f t="shared" si="9"/>
        <v>288000</v>
      </c>
      <c r="H104" s="57">
        <v>0</v>
      </c>
      <c r="I104" s="60">
        <v>1</v>
      </c>
      <c r="J104" s="60">
        <v>1</v>
      </c>
      <c r="K104" s="33">
        <f t="shared" si="10"/>
        <v>288000</v>
      </c>
      <c r="L104" s="33">
        <f t="shared" si="11"/>
        <v>288000</v>
      </c>
      <c r="M104" s="200">
        <f t="shared" si="12"/>
        <v>288000</v>
      </c>
      <c r="N104" s="126"/>
      <c r="O104" s="44" t="s">
        <v>1776</v>
      </c>
      <c r="P104" s="33">
        <f t="shared" si="13"/>
        <v>288000</v>
      </c>
      <c r="Q104" s="33">
        <f>+'[1]bg dn2'!Z200</f>
        <v>288000</v>
      </c>
      <c r="R104" s="33">
        <f t="shared" si="14"/>
        <v>0</v>
      </c>
      <c r="S104" s="132"/>
    </row>
    <row r="105" spans="1:19">
      <c r="A105" s="29">
        <f t="shared" si="15"/>
        <v>101</v>
      </c>
      <c r="B105" s="54" t="s">
        <v>400</v>
      </c>
      <c r="C105" s="55" t="s">
        <v>401</v>
      </c>
      <c r="D105" s="63">
        <v>42896</v>
      </c>
      <c r="E105" s="207">
        <v>1605601</v>
      </c>
      <c r="F105" s="196">
        <f t="shared" si="8"/>
        <v>1605601</v>
      </c>
      <c r="G105" s="59">
        <f t="shared" si="9"/>
        <v>1605601</v>
      </c>
      <c r="H105" s="57">
        <v>0</v>
      </c>
      <c r="I105" s="60">
        <v>1</v>
      </c>
      <c r="J105" s="60">
        <v>1</v>
      </c>
      <c r="K105" s="33">
        <f t="shared" si="10"/>
        <v>1605601</v>
      </c>
      <c r="L105" s="33">
        <f t="shared" si="11"/>
        <v>1605601</v>
      </c>
      <c r="M105" s="200">
        <f t="shared" si="12"/>
        <v>1605601</v>
      </c>
      <c r="N105" s="126"/>
      <c r="O105" s="44" t="s">
        <v>1776</v>
      </c>
      <c r="P105" s="33">
        <f t="shared" si="13"/>
        <v>1605601</v>
      </c>
      <c r="Q105" s="33">
        <f>+'[1]bg dn2'!Z201</f>
        <v>1605601</v>
      </c>
      <c r="R105" s="33">
        <f t="shared" si="14"/>
        <v>0</v>
      </c>
      <c r="S105" s="132"/>
    </row>
    <row r="106" spans="1:19">
      <c r="A106" s="29">
        <f t="shared" si="15"/>
        <v>102</v>
      </c>
      <c r="B106" s="54" t="s">
        <v>400</v>
      </c>
      <c r="C106" s="55" t="s">
        <v>401</v>
      </c>
      <c r="D106" s="63">
        <v>42926</v>
      </c>
      <c r="E106" s="208">
        <v>288000</v>
      </c>
      <c r="F106" s="196">
        <f t="shared" si="8"/>
        <v>288000</v>
      </c>
      <c r="G106" s="59">
        <f t="shared" si="9"/>
        <v>288000</v>
      </c>
      <c r="H106" s="57">
        <v>0</v>
      </c>
      <c r="I106" s="60">
        <v>1</v>
      </c>
      <c r="J106" s="60">
        <v>1</v>
      </c>
      <c r="K106" s="33">
        <f t="shared" si="10"/>
        <v>288000</v>
      </c>
      <c r="L106" s="33">
        <f t="shared" si="11"/>
        <v>288000</v>
      </c>
      <c r="M106" s="200">
        <f t="shared" si="12"/>
        <v>288000</v>
      </c>
      <c r="N106" s="126"/>
      <c r="O106" s="44" t="s">
        <v>1777</v>
      </c>
      <c r="P106" s="33">
        <f t="shared" si="13"/>
        <v>288000</v>
      </c>
      <c r="Q106" s="33">
        <f>+'[1]bg dn2'!Z202</f>
        <v>288000</v>
      </c>
      <c r="R106" s="33">
        <f t="shared" si="14"/>
        <v>0</v>
      </c>
      <c r="S106" s="132"/>
    </row>
    <row r="107" spans="1:19">
      <c r="A107" s="29">
        <f t="shared" si="15"/>
        <v>103</v>
      </c>
      <c r="B107" s="54" t="s">
        <v>400</v>
      </c>
      <c r="C107" s="55" t="s">
        <v>401</v>
      </c>
      <c r="D107" s="63">
        <v>42926</v>
      </c>
      <c r="E107" s="208">
        <v>1605601</v>
      </c>
      <c r="F107" s="196">
        <f t="shared" si="8"/>
        <v>1605601</v>
      </c>
      <c r="G107" s="59">
        <f t="shared" si="9"/>
        <v>1605601</v>
      </c>
      <c r="H107" s="57">
        <v>0</v>
      </c>
      <c r="I107" s="60">
        <v>1</v>
      </c>
      <c r="J107" s="60">
        <v>1</v>
      </c>
      <c r="K107" s="33">
        <f t="shared" si="10"/>
        <v>1605601</v>
      </c>
      <c r="L107" s="33">
        <f t="shared" si="11"/>
        <v>1605601</v>
      </c>
      <c r="M107" s="200">
        <f t="shared" si="12"/>
        <v>1605601</v>
      </c>
      <c r="N107" s="126"/>
      <c r="O107" s="44" t="s">
        <v>1777</v>
      </c>
      <c r="P107" s="33">
        <f t="shared" si="13"/>
        <v>1605601</v>
      </c>
      <c r="Q107" s="33">
        <f>+'[1]bg dn2'!Z203</f>
        <v>1605601</v>
      </c>
      <c r="R107" s="33">
        <f t="shared" si="14"/>
        <v>0</v>
      </c>
      <c r="S107" s="132"/>
    </row>
    <row r="108" spans="1:19">
      <c r="A108" s="29">
        <f t="shared" si="15"/>
        <v>104</v>
      </c>
      <c r="B108" s="54" t="s">
        <v>400</v>
      </c>
      <c r="C108" s="55" t="s">
        <v>401</v>
      </c>
      <c r="D108" s="63">
        <v>42957</v>
      </c>
      <c r="E108" s="208">
        <v>1605601</v>
      </c>
      <c r="F108" s="196">
        <f t="shared" si="8"/>
        <v>1605601</v>
      </c>
      <c r="G108" s="59">
        <f t="shared" si="9"/>
        <v>1605601</v>
      </c>
      <c r="H108" s="57">
        <v>0</v>
      </c>
      <c r="I108" s="60">
        <v>1</v>
      </c>
      <c r="J108" s="60">
        <v>1</v>
      </c>
      <c r="K108" s="33">
        <f t="shared" si="10"/>
        <v>1605601</v>
      </c>
      <c r="L108" s="33">
        <f t="shared" si="11"/>
        <v>1605601</v>
      </c>
      <c r="M108" s="200">
        <f t="shared" si="12"/>
        <v>1605601</v>
      </c>
      <c r="N108" s="126"/>
      <c r="O108" s="44" t="s">
        <v>1778</v>
      </c>
      <c r="P108" s="33">
        <f t="shared" si="13"/>
        <v>1605601</v>
      </c>
      <c r="Q108" s="33">
        <f>+'[1]bg dn2'!Z204</f>
        <v>1605601</v>
      </c>
      <c r="R108" s="33">
        <f t="shared" si="14"/>
        <v>0</v>
      </c>
      <c r="S108" s="132"/>
    </row>
    <row r="109" spans="1:19">
      <c r="A109" s="29">
        <f t="shared" si="15"/>
        <v>105</v>
      </c>
      <c r="B109" s="54" t="s">
        <v>400</v>
      </c>
      <c r="C109" s="55" t="s">
        <v>401</v>
      </c>
      <c r="D109" s="63">
        <v>42957</v>
      </c>
      <c r="E109" s="208">
        <v>288000</v>
      </c>
      <c r="F109" s="196">
        <f t="shared" si="8"/>
        <v>288000</v>
      </c>
      <c r="G109" s="59">
        <f t="shared" si="9"/>
        <v>288000</v>
      </c>
      <c r="H109" s="57">
        <v>0</v>
      </c>
      <c r="I109" s="60">
        <v>1</v>
      </c>
      <c r="J109" s="60">
        <v>1</v>
      </c>
      <c r="K109" s="33">
        <f t="shared" si="10"/>
        <v>288000</v>
      </c>
      <c r="L109" s="33">
        <f t="shared" si="11"/>
        <v>288000</v>
      </c>
      <c r="M109" s="200">
        <f t="shared" si="12"/>
        <v>288000</v>
      </c>
      <c r="N109" s="126"/>
      <c r="O109" s="44" t="s">
        <v>1778</v>
      </c>
      <c r="P109" s="33">
        <f t="shared" si="13"/>
        <v>288000</v>
      </c>
      <c r="Q109" s="33">
        <f>+'[1]bg dn2'!Z205</f>
        <v>288000</v>
      </c>
      <c r="R109" s="33">
        <f t="shared" si="14"/>
        <v>0</v>
      </c>
      <c r="S109" s="132"/>
    </row>
    <row r="110" spans="1:19">
      <c r="A110" s="29">
        <f t="shared" si="15"/>
        <v>106</v>
      </c>
      <c r="B110" s="54" t="s">
        <v>400</v>
      </c>
      <c r="C110" s="55" t="s">
        <v>401</v>
      </c>
      <c r="D110" s="63">
        <v>42988</v>
      </c>
      <c r="E110" s="208">
        <v>1605601</v>
      </c>
      <c r="F110" s="196">
        <f t="shared" si="8"/>
        <v>1605601</v>
      </c>
      <c r="G110" s="59">
        <f t="shared" si="9"/>
        <v>1605601</v>
      </c>
      <c r="H110" s="57">
        <v>0</v>
      </c>
      <c r="I110" s="60">
        <v>1</v>
      </c>
      <c r="J110" s="60">
        <v>1</v>
      </c>
      <c r="K110" s="33">
        <f t="shared" si="10"/>
        <v>1605601</v>
      </c>
      <c r="L110" s="33">
        <f t="shared" si="11"/>
        <v>1605601</v>
      </c>
      <c r="M110" s="200">
        <f t="shared" si="12"/>
        <v>1605601</v>
      </c>
      <c r="N110" s="209"/>
      <c r="O110" s="44" t="s">
        <v>1779</v>
      </c>
      <c r="P110" s="33">
        <f t="shared" si="13"/>
        <v>1605601</v>
      </c>
      <c r="Q110" s="33">
        <f>+'[1]bg dn2'!Z206</f>
        <v>1605601</v>
      </c>
      <c r="R110" s="33">
        <f t="shared" si="14"/>
        <v>0</v>
      </c>
      <c r="S110" s="132"/>
    </row>
    <row r="111" spans="1:19">
      <c r="A111" s="29">
        <f t="shared" si="15"/>
        <v>107</v>
      </c>
      <c r="B111" s="54" t="s">
        <v>400</v>
      </c>
      <c r="C111" s="55" t="s">
        <v>401</v>
      </c>
      <c r="D111" s="63">
        <v>42988</v>
      </c>
      <c r="E111" s="208">
        <v>288000</v>
      </c>
      <c r="F111" s="196">
        <f t="shared" si="8"/>
        <v>288000</v>
      </c>
      <c r="G111" s="59">
        <f t="shared" si="9"/>
        <v>288000</v>
      </c>
      <c r="H111" s="57">
        <v>0</v>
      </c>
      <c r="I111" s="60">
        <v>1</v>
      </c>
      <c r="J111" s="60">
        <v>1</v>
      </c>
      <c r="K111" s="33">
        <f t="shared" si="10"/>
        <v>288000</v>
      </c>
      <c r="L111" s="33">
        <f t="shared" si="11"/>
        <v>288000</v>
      </c>
      <c r="M111" s="200">
        <f t="shared" si="12"/>
        <v>288000</v>
      </c>
      <c r="N111" s="209"/>
      <c r="O111" s="44" t="s">
        <v>1779</v>
      </c>
      <c r="P111" s="33">
        <f t="shared" si="13"/>
        <v>288000</v>
      </c>
      <c r="Q111" s="33">
        <f>+'[1]bg dn2'!Z207</f>
        <v>288000</v>
      </c>
      <c r="R111" s="33">
        <f t="shared" si="14"/>
        <v>0</v>
      </c>
      <c r="S111" s="132"/>
    </row>
    <row r="112" spans="1:19">
      <c r="A112" s="29">
        <f t="shared" si="15"/>
        <v>108</v>
      </c>
      <c r="B112" s="54" t="s">
        <v>400</v>
      </c>
      <c r="C112" s="55" t="s">
        <v>401</v>
      </c>
      <c r="D112" s="63">
        <v>43018</v>
      </c>
      <c r="E112" s="208">
        <v>1605601</v>
      </c>
      <c r="F112" s="196">
        <f t="shared" si="8"/>
        <v>1605601</v>
      </c>
      <c r="G112" s="59">
        <f t="shared" si="9"/>
        <v>1605601</v>
      </c>
      <c r="H112" s="57">
        <v>0</v>
      </c>
      <c r="I112" s="60">
        <v>1</v>
      </c>
      <c r="J112" s="60">
        <v>1</v>
      </c>
      <c r="K112" s="33">
        <f t="shared" si="10"/>
        <v>1605601</v>
      </c>
      <c r="L112" s="33">
        <f t="shared" si="11"/>
        <v>1605601</v>
      </c>
      <c r="M112" s="200">
        <f t="shared" si="12"/>
        <v>1605601</v>
      </c>
      <c r="N112" s="126"/>
      <c r="O112" s="44" t="s">
        <v>1780</v>
      </c>
      <c r="P112" s="33">
        <f t="shared" si="13"/>
        <v>1605601</v>
      </c>
      <c r="Q112" s="33">
        <f>+'[1]bg dn2'!Z208</f>
        <v>1605601</v>
      </c>
      <c r="R112" s="33">
        <f t="shared" si="14"/>
        <v>0</v>
      </c>
      <c r="S112" s="132"/>
    </row>
    <row r="113" spans="1:19">
      <c r="A113" s="29">
        <f t="shared" si="15"/>
        <v>109</v>
      </c>
      <c r="B113" s="54" t="s">
        <v>400</v>
      </c>
      <c r="C113" s="55" t="s">
        <v>401</v>
      </c>
      <c r="D113" s="63">
        <v>43018</v>
      </c>
      <c r="E113" s="208">
        <v>288000</v>
      </c>
      <c r="F113" s="196">
        <f t="shared" si="8"/>
        <v>288000</v>
      </c>
      <c r="G113" s="59">
        <f t="shared" si="9"/>
        <v>288000</v>
      </c>
      <c r="H113" s="57">
        <v>0</v>
      </c>
      <c r="I113" s="60">
        <v>1</v>
      </c>
      <c r="J113" s="60">
        <v>1</v>
      </c>
      <c r="K113" s="33">
        <f t="shared" si="10"/>
        <v>288000</v>
      </c>
      <c r="L113" s="33">
        <f t="shared" si="11"/>
        <v>288000</v>
      </c>
      <c r="M113" s="200">
        <f t="shared" si="12"/>
        <v>288000</v>
      </c>
      <c r="N113" s="126"/>
      <c r="O113" s="44" t="s">
        <v>1780</v>
      </c>
      <c r="P113" s="33">
        <f t="shared" si="13"/>
        <v>288000</v>
      </c>
      <c r="Q113" s="33">
        <f>+'[1]bg dn2'!Z209</f>
        <v>288000</v>
      </c>
      <c r="R113" s="33">
        <f t="shared" si="14"/>
        <v>0</v>
      </c>
      <c r="S113" s="132"/>
    </row>
    <row r="114" spans="1:19">
      <c r="A114" s="29">
        <f t="shared" si="15"/>
        <v>110</v>
      </c>
      <c r="B114" s="54" t="s">
        <v>400</v>
      </c>
      <c r="C114" s="55" t="s">
        <v>401</v>
      </c>
      <c r="D114" s="63">
        <v>43049</v>
      </c>
      <c r="E114" s="208">
        <v>1605601</v>
      </c>
      <c r="F114" s="196">
        <f t="shared" si="8"/>
        <v>1605601</v>
      </c>
      <c r="G114" s="59">
        <f t="shared" si="9"/>
        <v>1605601</v>
      </c>
      <c r="H114" s="57">
        <v>0</v>
      </c>
      <c r="I114" s="60">
        <v>1</v>
      </c>
      <c r="J114" s="60">
        <v>1</v>
      </c>
      <c r="K114" s="33">
        <f t="shared" si="10"/>
        <v>1605601</v>
      </c>
      <c r="L114" s="33">
        <f t="shared" si="11"/>
        <v>1605601</v>
      </c>
      <c r="M114" s="200">
        <f t="shared" si="12"/>
        <v>1605601</v>
      </c>
      <c r="N114" s="126"/>
      <c r="O114" s="44" t="s">
        <v>1781</v>
      </c>
      <c r="P114" s="33">
        <f t="shared" si="13"/>
        <v>1605601</v>
      </c>
      <c r="Q114" s="33">
        <f>+'[1]bg dn2'!Z210</f>
        <v>1605601</v>
      </c>
      <c r="R114" s="33">
        <f t="shared" si="14"/>
        <v>0</v>
      </c>
      <c r="S114" s="132"/>
    </row>
    <row r="115" spans="1:19">
      <c r="A115" s="29">
        <f t="shared" si="15"/>
        <v>111</v>
      </c>
      <c r="B115" s="54" t="s">
        <v>400</v>
      </c>
      <c r="C115" s="55" t="s">
        <v>401</v>
      </c>
      <c r="D115" s="63">
        <v>43049</v>
      </c>
      <c r="E115" s="208">
        <v>288000</v>
      </c>
      <c r="F115" s="196">
        <f t="shared" si="8"/>
        <v>288000</v>
      </c>
      <c r="G115" s="59">
        <f t="shared" si="9"/>
        <v>288000</v>
      </c>
      <c r="H115" s="57">
        <v>0</v>
      </c>
      <c r="I115" s="60">
        <v>1</v>
      </c>
      <c r="J115" s="60">
        <v>1</v>
      </c>
      <c r="K115" s="33">
        <f t="shared" si="10"/>
        <v>288000</v>
      </c>
      <c r="L115" s="33">
        <f t="shared" si="11"/>
        <v>288000</v>
      </c>
      <c r="M115" s="200">
        <f t="shared" si="12"/>
        <v>288000</v>
      </c>
      <c r="N115" s="126"/>
      <c r="O115" s="44" t="s">
        <v>1781</v>
      </c>
      <c r="P115" s="33">
        <f t="shared" si="13"/>
        <v>288000</v>
      </c>
      <c r="Q115" s="33">
        <f>+'[1]bg dn2'!Z211</f>
        <v>288000</v>
      </c>
      <c r="R115" s="33">
        <f t="shared" si="14"/>
        <v>0</v>
      </c>
      <c r="S115" s="132"/>
    </row>
    <row r="116" spans="1:19">
      <c r="A116" s="29">
        <f t="shared" si="15"/>
        <v>112</v>
      </c>
      <c r="B116" s="54" t="s">
        <v>400</v>
      </c>
      <c r="C116" s="55" t="s">
        <v>401</v>
      </c>
      <c r="D116" s="63">
        <v>43079</v>
      </c>
      <c r="E116" s="195">
        <v>1605601</v>
      </c>
      <c r="F116" s="196">
        <f t="shared" si="8"/>
        <v>1605601</v>
      </c>
      <c r="G116" s="59">
        <f t="shared" si="9"/>
        <v>1605601</v>
      </c>
      <c r="H116" s="57">
        <v>0</v>
      </c>
      <c r="I116" s="60">
        <v>1</v>
      </c>
      <c r="J116" s="60">
        <v>1</v>
      </c>
      <c r="K116" s="33">
        <f t="shared" si="10"/>
        <v>1605601</v>
      </c>
      <c r="L116" s="33">
        <f t="shared" si="11"/>
        <v>1605601</v>
      </c>
      <c r="M116" s="200">
        <f t="shared" si="12"/>
        <v>1605601</v>
      </c>
      <c r="N116" s="126"/>
      <c r="O116" s="197" t="s">
        <v>1748</v>
      </c>
      <c r="P116" s="33">
        <f t="shared" si="13"/>
        <v>1605601</v>
      </c>
      <c r="Q116" s="33">
        <f>+'[1]bg dn2'!Z212</f>
        <v>1605601</v>
      </c>
      <c r="R116" s="33">
        <f t="shared" si="14"/>
        <v>0</v>
      </c>
      <c r="S116" s="132"/>
    </row>
    <row r="117" spans="1:19">
      <c r="A117" s="29">
        <f t="shared" si="15"/>
        <v>113</v>
      </c>
      <c r="B117" s="54" t="s">
        <v>400</v>
      </c>
      <c r="C117" s="55" t="s">
        <v>401</v>
      </c>
      <c r="D117" s="63">
        <v>43079</v>
      </c>
      <c r="E117" s="195">
        <v>288000</v>
      </c>
      <c r="F117" s="196">
        <f t="shared" si="8"/>
        <v>288000</v>
      </c>
      <c r="G117" s="59">
        <f t="shared" si="9"/>
        <v>288000</v>
      </c>
      <c r="H117" s="57">
        <v>0</v>
      </c>
      <c r="I117" s="60">
        <v>1</v>
      </c>
      <c r="J117" s="60">
        <v>1</v>
      </c>
      <c r="K117" s="33">
        <f t="shared" si="10"/>
        <v>288000</v>
      </c>
      <c r="L117" s="33">
        <f t="shared" si="11"/>
        <v>288000</v>
      </c>
      <c r="M117" s="200">
        <f t="shared" si="12"/>
        <v>288000</v>
      </c>
      <c r="N117" s="126"/>
      <c r="O117" s="197" t="s">
        <v>1748</v>
      </c>
      <c r="P117" s="33">
        <f t="shared" si="13"/>
        <v>288000</v>
      </c>
      <c r="Q117" s="33">
        <f>+'[1]bg dn2'!Z213</f>
        <v>288000</v>
      </c>
      <c r="R117" s="33">
        <f t="shared" si="14"/>
        <v>0</v>
      </c>
      <c r="S117" s="132"/>
    </row>
    <row r="118" spans="1:19">
      <c r="A118" s="29">
        <f t="shared" si="15"/>
        <v>114</v>
      </c>
      <c r="B118" s="54" t="s">
        <v>400</v>
      </c>
      <c r="C118" s="55" t="s">
        <v>401</v>
      </c>
      <c r="D118" s="63">
        <v>43110</v>
      </c>
      <c r="E118" s="195">
        <v>1605601</v>
      </c>
      <c r="F118" s="196">
        <f t="shared" si="8"/>
        <v>1605601</v>
      </c>
      <c r="G118" s="59">
        <f t="shared" si="9"/>
        <v>1605601</v>
      </c>
      <c r="H118" s="57">
        <v>0</v>
      </c>
      <c r="I118" s="60">
        <v>1</v>
      </c>
      <c r="J118" s="60">
        <v>1</v>
      </c>
      <c r="K118" s="33">
        <f t="shared" si="10"/>
        <v>1605601</v>
      </c>
      <c r="L118" s="33">
        <f t="shared" si="11"/>
        <v>1605601</v>
      </c>
      <c r="M118" s="200">
        <f t="shared" si="12"/>
        <v>1605601</v>
      </c>
      <c r="N118" s="126"/>
      <c r="O118" s="197" t="s">
        <v>1749</v>
      </c>
      <c r="P118" s="33">
        <f t="shared" si="13"/>
        <v>1605601</v>
      </c>
      <c r="Q118" s="33">
        <f>+'[1]bg dn2'!Z214</f>
        <v>1605601</v>
      </c>
      <c r="R118" s="33">
        <f t="shared" si="14"/>
        <v>0</v>
      </c>
      <c r="S118" s="132"/>
    </row>
    <row r="119" spans="1:19">
      <c r="A119" s="29">
        <f t="shared" si="15"/>
        <v>115</v>
      </c>
      <c r="B119" s="54" t="s">
        <v>400</v>
      </c>
      <c r="C119" s="55" t="s">
        <v>401</v>
      </c>
      <c r="D119" s="63">
        <v>43110</v>
      </c>
      <c r="E119" s="195">
        <v>288000</v>
      </c>
      <c r="F119" s="196">
        <f t="shared" si="8"/>
        <v>288000</v>
      </c>
      <c r="G119" s="59">
        <f t="shared" si="9"/>
        <v>288000</v>
      </c>
      <c r="H119" s="57">
        <v>0</v>
      </c>
      <c r="I119" s="60">
        <v>1</v>
      </c>
      <c r="J119" s="60">
        <v>1</v>
      </c>
      <c r="K119" s="33">
        <f t="shared" si="10"/>
        <v>288000</v>
      </c>
      <c r="L119" s="33">
        <f t="shared" si="11"/>
        <v>288000</v>
      </c>
      <c r="M119" s="200">
        <f t="shared" si="12"/>
        <v>288000</v>
      </c>
      <c r="N119" s="126"/>
      <c r="O119" s="197" t="s">
        <v>1749</v>
      </c>
      <c r="P119" s="33">
        <f t="shared" si="13"/>
        <v>288000</v>
      </c>
      <c r="Q119" s="33">
        <f>+'[1]bg dn2'!Z215</f>
        <v>288000</v>
      </c>
      <c r="R119" s="33">
        <f t="shared" si="14"/>
        <v>0</v>
      </c>
      <c r="S119" s="132"/>
    </row>
    <row r="120" spans="1:19">
      <c r="A120" s="29">
        <f t="shared" si="15"/>
        <v>116</v>
      </c>
      <c r="B120" s="54" t="s">
        <v>458</v>
      </c>
      <c r="C120" s="55">
        <v>901781</v>
      </c>
      <c r="D120" s="63">
        <v>42410</v>
      </c>
      <c r="E120" s="59">
        <v>267998</v>
      </c>
      <c r="F120" s="196">
        <f t="shared" si="8"/>
        <v>267998</v>
      </c>
      <c r="G120" s="59">
        <f t="shared" si="9"/>
        <v>267998</v>
      </c>
      <c r="H120" s="57">
        <v>0</v>
      </c>
      <c r="I120" s="60">
        <v>1</v>
      </c>
      <c r="J120" s="60">
        <v>1</v>
      </c>
      <c r="K120" s="33">
        <f t="shared" si="10"/>
        <v>267998</v>
      </c>
      <c r="L120" s="33">
        <f t="shared" si="11"/>
        <v>267998</v>
      </c>
      <c r="M120" s="33">
        <f t="shared" si="12"/>
        <v>267998</v>
      </c>
      <c r="N120" s="30"/>
      <c r="O120" s="44" t="s">
        <v>1789</v>
      </c>
      <c r="P120" s="33">
        <f t="shared" si="13"/>
        <v>267998</v>
      </c>
      <c r="Q120" s="33">
        <f>+'[1]bg dn2'!Z216</f>
        <v>267998</v>
      </c>
      <c r="R120" s="33">
        <f t="shared" si="14"/>
        <v>0</v>
      </c>
      <c r="S120" s="132"/>
    </row>
    <row r="121" spans="1:19">
      <c r="A121" s="29">
        <f t="shared" si="15"/>
        <v>117</v>
      </c>
      <c r="B121" s="54" t="s">
        <v>458</v>
      </c>
      <c r="C121" s="55">
        <v>901781</v>
      </c>
      <c r="D121" s="63">
        <v>42439</v>
      </c>
      <c r="E121" s="59">
        <v>267998</v>
      </c>
      <c r="F121" s="196">
        <f t="shared" si="8"/>
        <v>267998</v>
      </c>
      <c r="G121" s="59">
        <f t="shared" si="9"/>
        <v>267998</v>
      </c>
      <c r="H121" s="57">
        <v>0</v>
      </c>
      <c r="I121" s="60">
        <v>1</v>
      </c>
      <c r="J121" s="60">
        <v>1</v>
      </c>
      <c r="K121" s="33">
        <f t="shared" si="10"/>
        <v>267998</v>
      </c>
      <c r="L121" s="33">
        <f t="shared" si="11"/>
        <v>267998</v>
      </c>
      <c r="M121" s="33">
        <f t="shared" si="12"/>
        <v>267998</v>
      </c>
      <c r="N121" s="30"/>
      <c r="O121" s="44" t="s">
        <v>1790</v>
      </c>
      <c r="P121" s="33">
        <f t="shared" si="13"/>
        <v>267998</v>
      </c>
      <c r="Q121" s="33">
        <f>+'[1]bg dn2'!Z217</f>
        <v>267998</v>
      </c>
      <c r="R121" s="33">
        <f t="shared" si="14"/>
        <v>0</v>
      </c>
      <c r="S121" s="132"/>
    </row>
    <row r="122" spans="1:19">
      <c r="A122" s="29">
        <f t="shared" si="15"/>
        <v>118</v>
      </c>
      <c r="B122" s="54" t="s">
        <v>458</v>
      </c>
      <c r="C122" s="55">
        <v>901781</v>
      </c>
      <c r="D122" s="63">
        <v>42470</v>
      </c>
      <c r="E122" s="203">
        <v>267998</v>
      </c>
      <c r="F122" s="196">
        <f t="shared" si="8"/>
        <v>267998</v>
      </c>
      <c r="G122" s="59">
        <f t="shared" si="9"/>
        <v>267998</v>
      </c>
      <c r="H122" s="57">
        <v>0</v>
      </c>
      <c r="I122" s="60">
        <v>1</v>
      </c>
      <c r="J122" s="60">
        <v>1</v>
      </c>
      <c r="K122" s="33">
        <f t="shared" si="10"/>
        <v>267998</v>
      </c>
      <c r="L122" s="33">
        <f t="shared" si="11"/>
        <v>267998</v>
      </c>
      <c r="M122" s="33">
        <f t="shared" si="12"/>
        <v>267998</v>
      </c>
      <c r="N122" s="126"/>
      <c r="O122" s="44" t="s">
        <v>1791</v>
      </c>
      <c r="P122" s="33">
        <f t="shared" si="13"/>
        <v>267998</v>
      </c>
      <c r="Q122" s="33">
        <f>+'[1]bg dn2'!Z218</f>
        <v>267998</v>
      </c>
      <c r="R122" s="33">
        <f t="shared" si="14"/>
        <v>0</v>
      </c>
      <c r="S122" s="132"/>
    </row>
    <row r="123" spans="1:19">
      <c r="A123" s="29">
        <f t="shared" si="15"/>
        <v>119</v>
      </c>
      <c r="B123" s="54" t="s">
        <v>458</v>
      </c>
      <c r="C123" s="55">
        <v>901781</v>
      </c>
      <c r="D123" s="202">
        <v>42531</v>
      </c>
      <c r="E123" s="203">
        <v>267998</v>
      </c>
      <c r="F123" s="196">
        <f t="shared" si="8"/>
        <v>267998</v>
      </c>
      <c r="G123" s="59">
        <f t="shared" si="9"/>
        <v>267998</v>
      </c>
      <c r="H123" s="57">
        <v>0</v>
      </c>
      <c r="I123" s="60">
        <v>1</v>
      </c>
      <c r="J123" s="60">
        <v>1</v>
      </c>
      <c r="K123" s="33">
        <f t="shared" si="10"/>
        <v>267998</v>
      </c>
      <c r="L123" s="33">
        <f t="shared" si="11"/>
        <v>267998</v>
      </c>
      <c r="M123" s="33">
        <f t="shared" si="12"/>
        <v>267998</v>
      </c>
      <c r="N123" s="126"/>
      <c r="O123" s="44" t="s">
        <v>1793</v>
      </c>
      <c r="P123" s="33">
        <f t="shared" si="13"/>
        <v>267998</v>
      </c>
      <c r="Q123" s="33">
        <f>+'[1]bg dn2'!Z219</f>
        <v>267998</v>
      </c>
      <c r="R123" s="33">
        <f t="shared" si="14"/>
        <v>0</v>
      </c>
      <c r="S123" s="132"/>
    </row>
    <row r="124" spans="1:19">
      <c r="A124" s="29">
        <f t="shared" si="15"/>
        <v>120</v>
      </c>
      <c r="B124" s="54" t="s">
        <v>458</v>
      </c>
      <c r="C124" s="55">
        <v>901781</v>
      </c>
      <c r="D124" s="202">
        <v>42561</v>
      </c>
      <c r="E124" s="203">
        <v>267998</v>
      </c>
      <c r="F124" s="196">
        <f t="shared" si="8"/>
        <v>267998</v>
      </c>
      <c r="G124" s="59">
        <f t="shared" si="9"/>
        <v>267998</v>
      </c>
      <c r="H124" s="57">
        <v>0</v>
      </c>
      <c r="I124" s="60">
        <v>1</v>
      </c>
      <c r="J124" s="60">
        <v>1</v>
      </c>
      <c r="K124" s="33">
        <f t="shared" si="10"/>
        <v>267998</v>
      </c>
      <c r="L124" s="33">
        <f t="shared" si="11"/>
        <v>267998</v>
      </c>
      <c r="M124" s="33">
        <f t="shared" si="12"/>
        <v>267998</v>
      </c>
      <c r="N124" s="126"/>
      <c r="O124" s="44" t="s">
        <v>1765</v>
      </c>
      <c r="P124" s="33">
        <f t="shared" si="13"/>
        <v>267998</v>
      </c>
      <c r="Q124" s="33">
        <f>+'[1]bg dn2'!Z220</f>
        <v>267998</v>
      </c>
      <c r="R124" s="33">
        <f t="shared" si="14"/>
        <v>0</v>
      </c>
      <c r="S124" s="132"/>
    </row>
    <row r="125" spans="1:19">
      <c r="A125" s="29">
        <f t="shared" si="15"/>
        <v>121</v>
      </c>
      <c r="B125" s="54" t="s">
        <v>458</v>
      </c>
      <c r="C125" s="55">
        <v>901781</v>
      </c>
      <c r="D125" s="202">
        <v>42592</v>
      </c>
      <c r="E125" s="203">
        <v>267998</v>
      </c>
      <c r="F125" s="196">
        <f t="shared" si="8"/>
        <v>267998</v>
      </c>
      <c r="G125" s="59">
        <f t="shared" si="9"/>
        <v>267998</v>
      </c>
      <c r="H125" s="57">
        <v>0</v>
      </c>
      <c r="I125" s="60">
        <v>1</v>
      </c>
      <c r="J125" s="60">
        <v>1</v>
      </c>
      <c r="K125" s="33">
        <f t="shared" si="10"/>
        <v>267998</v>
      </c>
      <c r="L125" s="33">
        <f t="shared" si="11"/>
        <v>267998</v>
      </c>
      <c r="M125" s="33">
        <f t="shared" si="12"/>
        <v>267998</v>
      </c>
      <c r="N125" s="126"/>
      <c r="O125" s="44" t="s">
        <v>1766</v>
      </c>
      <c r="P125" s="33">
        <f t="shared" si="13"/>
        <v>267998</v>
      </c>
      <c r="Q125" s="33">
        <f>+'[1]bg dn2'!Z221</f>
        <v>267998</v>
      </c>
      <c r="R125" s="33">
        <f t="shared" si="14"/>
        <v>0</v>
      </c>
      <c r="S125" s="132"/>
    </row>
    <row r="126" spans="1:19">
      <c r="A126" s="29">
        <f t="shared" si="15"/>
        <v>122</v>
      </c>
      <c r="B126" s="54" t="s">
        <v>458</v>
      </c>
      <c r="C126" s="55">
        <v>901781</v>
      </c>
      <c r="D126" s="202">
        <v>42623</v>
      </c>
      <c r="E126" s="203">
        <v>267998</v>
      </c>
      <c r="F126" s="196">
        <f t="shared" si="8"/>
        <v>267998</v>
      </c>
      <c r="G126" s="59">
        <f t="shared" si="9"/>
        <v>267998</v>
      </c>
      <c r="H126" s="57">
        <v>0</v>
      </c>
      <c r="I126" s="60">
        <v>1</v>
      </c>
      <c r="J126" s="60">
        <v>1</v>
      </c>
      <c r="K126" s="33">
        <f t="shared" si="10"/>
        <v>267998</v>
      </c>
      <c r="L126" s="33">
        <f t="shared" si="11"/>
        <v>267998</v>
      </c>
      <c r="M126" s="33">
        <f t="shared" si="12"/>
        <v>267998</v>
      </c>
      <c r="N126" s="126"/>
      <c r="O126" s="44" t="s">
        <v>1767</v>
      </c>
      <c r="P126" s="33">
        <f t="shared" si="13"/>
        <v>267998</v>
      </c>
      <c r="Q126" s="33">
        <f>+'[1]bg dn2'!Z222</f>
        <v>267998</v>
      </c>
      <c r="R126" s="33">
        <f t="shared" si="14"/>
        <v>0</v>
      </c>
      <c r="S126" s="132"/>
    </row>
    <row r="127" spans="1:19">
      <c r="A127" s="29">
        <f t="shared" si="15"/>
        <v>123</v>
      </c>
      <c r="B127" s="54" t="s">
        <v>458</v>
      </c>
      <c r="C127" s="55">
        <v>901781</v>
      </c>
      <c r="D127" s="202">
        <v>42653</v>
      </c>
      <c r="E127" s="203">
        <v>267998</v>
      </c>
      <c r="F127" s="196">
        <f t="shared" si="8"/>
        <v>267998</v>
      </c>
      <c r="G127" s="59">
        <f t="shared" si="9"/>
        <v>267998</v>
      </c>
      <c r="H127" s="57">
        <v>0</v>
      </c>
      <c r="I127" s="60">
        <v>1</v>
      </c>
      <c r="J127" s="60">
        <v>1</v>
      </c>
      <c r="K127" s="33">
        <f t="shared" si="10"/>
        <v>267998</v>
      </c>
      <c r="L127" s="33">
        <f t="shared" si="11"/>
        <v>267998</v>
      </c>
      <c r="M127" s="33">
        <f t="shared" si="12"/>
        <v>267998</v>
      </c>
      <c r="N127" s="126"/>
      <c r="O127" s="44" t="s">
        <v>1768</v>
      </c>
      <c r="P127" s="33">
        <f t="shared" si="13"/>
        <v>267998</v>
      </c>
      <c r="Q127" s="33">
        <f>+'[1]bg dn2'!Z223</f>
        <v>267998</v>
      </c>
      <c r="R127" s="33">
        <f t="shared" si="14"/>
        <v>0</v>
      </c>
      <c r="S127" s="132"/>
    </row>
    <row r="128" spans="1:19">
      <c r="A128" s="29">
        <f t="shared" si="15"/>
        <v>124</v>
      </c>
      <c r="B128" s="54" t="s">
        <v>458</v>
      </c>
      <c r="C128" s="55">
        <v>901781</v>
      </c>
      <c r="D128" s="202">
        <v>42684</v>
      </c>
      <c r="E128" s="203">
        <v>267998</v>
      </c>
      <c r="F128" s="196">
        <f t="shared" si="8"/>
        <v>267998</v>
      </c>
      <c r="G128" s="59">
        <f t="shared" si="9"/>
        <v>267998</v>
      </c>
      <c r="H128" s="57">
        <v>0</v>
      </c>
      <c r="I128" s="60">
        <v>1</v>
      </c>
      <c r="J128" s="60">
        <v>1</v>
      </c>
      <c r="K128" s="33">
        <f t="shared" si="10"/>
        <v>267998</v>
      </c>
      <c r="L128" s="33">
        <f t="shared" si="11"/>
        <v>267998</v>
      </c>
      <c r="M128" s="33">
        <f t="shared" si="12"/>
        <v>267998</v>
      </c>
      <c r="N128" s="126"/>
      <c r="O128" s="44" t="s">
        <v>1769</v>
      </c>
      <c r="P128" s="33">
        <f t="shared" si="13"/>
        <v>267998</v>
      </c>
      <c r="Q128" s="33">
        <f>+'[1]bg dn2'!Z224</f>
        <v>267998</v>
      </c>
      <c r="R128" s="33">
        <f t="shared" si="14"/>
        <v>0</v>
      </c>
      <c r="S128" s="132"/>
    </row>
    <row r="129" spans="1:18" s="211" customFormat="1">
      <c r="A129" s="29">
        <f t="shared" si="15"/>
        <v>125</v>
      </c>
      <c r="B129" s="54" t="s">
        <v>458</v>
      </c>
      <c r="C129" s="55">
        <v>901781</v>
      </c>
      <c r="D129" s="63">
        <v>42714</v>
      </c>
      <c r="E129" s="203">
        <v>267998</v>
      </c>
      <c r="F129" s="196">
        <f t="shared" si="8"/>
        <v>267998</v>
      </c>
      <c r="G129" s="59">
        <f t="shared" si="9"/>
        <v>267998</v>
      </c>
      <c r="H129" s="57">
        <v>0</v>
      </c>
      <c r="I129" s="60">
        <v>1</v>
      </c>
      <c r="J129" s="60">
        <v>1</v>
      </c>
      <c r="K129" s="33">
        <f t="shared" si="10"/>
        <v>267998</v>
      </c>
      <c r="L129" s="33">
        <f t="shared" si="11"/>
        <v>267998</v>
      </c>
      <c r="M129" s="33">
        <f t="shared" si="12"/>
        <v>267998</v>
      </c>
      <c r="N129" s="126"/>
      <c r="O129" s="44" t="s">
        <v>1770</v>
      </c>
      <c r="P129" s="33">
        <f t="shared" si="13"/>
        <v>267998</v>
      </c>
      <c r="Q129" s="33">
        <f>+'[1]bg dn2'!Z225</f>
        <v>267998</v>
      </c>
      <c r="R129" s="33">
        <f t="shared" si="14"/>
        <v>0</v>
      </c>
    </row>
    <row r="130" spans="1:18" s="211" customFormat="1">
      <c r="A130" s="29">
        <f t="shared" si="15"/>
        <v>126</v>
      </c>
      <c r="B130" s="54" t="s">
        <v>458</v>
      </c>
      <c r="C130" s="55">
        <v>901781</v>
      </c>
      <c r="D130" s="63">
        <v>42745</v>
      </c>
      <c r="E130" s="203">
        <v>267998</v>
      </c>
      <c r="F130" s="196">
        <f t="shared" si="8"/>
        <v>267998</v>
      </c>
      <c r="G130" s="59">
        <f t="shared" si="9"/>
        <v>267998</v>
      </c>
      <c r="H130" s="57">
        <v>0</v>
      </c>
      <c r="I130" s="60">
        <v>1</v>
      </c>
      <c r="J130" s="60">
        <v>1</v>
      </c>
      <c r="K130" s="33">
        <f t="shared" si="10"/>
        <v>267998</v>
      </c>
      <c r="L130" s="33">
        <f t="shared" si="11"/>
        <v>267998</v>
      </c>
      <c r="M130" s="33">
        <f t="shared" si="12"/>
        <v>267998</v>
      </c>
      <c r="N130" s="126"/>
      <c r="O130" s="44" t="s">
        <v>1771</v>
      </c>
      <c r="P130" s="33">
        <f t="shared" si="13"/>
        <v>267998</v>
      </c>
      <c r="Q130" s="33">
        <f>+'[1]bg dn2'!Z226</f>
        <v>267998</v>
      </c>
      <c r="R130" s="33">
        <f t="shared" si="14"/>
        <v>0</v>
      </c>
    </row>
    <row r="131" spans="1:18" s="211" customFormat="1">
      <c r="A131" s="29">
        <f t="shared" si="15"/>
        <v>127</v>
      </c>
      <c r="B131" s="54" t="s">
        <v>458</v>
      </c>
      <c r="C131" s="55">
        <v>901781</v>
      </c>
      <c r="D131" s="63">
        <v>42776</v>
      </c>
      <c r="E131" s="203">
        <v>267998</v>
      </c>
      <c r="F131" s="196">
        <f t="shared" si="8"/>
        <v>267998</v>
      </c>
      <c r="G131" s="59">
        <f t="shared" si="9"/>
        <v>267998</v>
      </c>
      <c r="H131" s="57">
        <v>0</v>
      </c>
      <c r="I131" s="60">
        <v>1</v>
      </c>
      <c r="J131" s="60">
        <v>1</v>
      </c>
      <c r="K131" s="33">
        <f t="shared" si="10"/>
        <v>267998</v>
      </c>
      <c r="L131" s="33">
        <f t="shared" si="11"/>
        <v>267998</v>
      </c>
      <c r="M131" s="33">
        <f t="shared" si="12"/>
        <v>267998</v>
      </c>
      <c r="N131" s="126"/>
      <c r="O131" s="44" t="s">
        <v>1772</v>
      </c>
      <c r="P131" s="33">
        <f t="shared" si="13"/>
        <v>267998</v>
      </c>
      <c r="Q131" s="33">
        <f>+'[1]bg dn2'!Z227</f>
        <v>267998</v>
      </c>
      <c r="R131" s="33">
        <f t="shared" si="14"/>
        <v>0</v>
      </c>
    </row>
    <row r="132" spans="1:18" s="211" customFormat="1">
      <c r="A132" s="29">
        <f t="shared" si="15"/>
        <v>128</v>
      </c>
      <c r="B132" s="54" t="s">
        <v>458</v>
      </c>
      <c r="C132" s="55">
        <v>901781</v>
      </c>
      <c r="D132" s="63">
        <v>42804</v>
      </c>
      <c r="E132" s="203">
        <v>267998</v>
      </c>
      <c r="F132" s="196">
        <f t="shared" si="8"/>
        <v>267998</v>
      </c>
      <c r="G132" s="59">
        <f t="shared" si="9"/>
        <v>267998</v>
      </c>
      <c r="H132" s="57">
        <v>0</v>
      </c>
      <c r="I132" s="60">
        <v>1</v>
      </c>
      <c r="J132" s="60">
        <v>1</v>
      </c>
      <c r="K132" s="33">
        <f t="shared" si="10"/>
        <v>267998</v>
      </c>
      <c r="L132" s="33">
        <f t="shared" si="11"/>
        <v>267998</v>
      </c>
      <c r="M132" s="33">
        <f t="shared" si="12"/>
        <v>267998</v>
      </c>
      <c r="N132" s="126"/>
      <c r="O132" s="44" t="s">
        <v>1773</v>
      </c>
      <c r="P132" s="33">
        <f t="shared" si="13"/>
        <v>267998</v>
      </c>
      <c r="Q132" s="33">
        <f>+'[1]bg dn2'!Z228</f>
        <v>267998</v>
      </c>
      <c r="R132" s="33">
        <f t="shared" si="14"/>
        <v>0</v>
      </c>
    </row>
    <row r="133" spans="1:18" s="211" customFormat="1">
      <c r="A133" s="29">
        <f t="shared" si="15"/>
        <v>129</v>
      </c>
      <c r="B133" s="54" t="s">
        <v>458</v>
      </c>
      <c r="C133" s="55">
        <v>901781</v>
      </c>
      <c r="D133" s="63">
        <v>42835</v>
      </c>
      <c r="E133" s="203">
        <v>267998</v>
      </c>
      <c r="F133" s="196">
        <f t="shared" ref="F133:F196" si="16">+I133*K133</f>
        <v>267998</v>
      </c>
      <c r="G133" s="59">
        <f t="shared" ref="G133:G196" si="17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8">+G133+H133</f>
        <v>267998</v>
      </c>
      <c r="L133" s="33">
        <f t="shared" ref="L133:L196" si="19">+J133*K133</f>
        <v>267998</v>
      </c>
      <c r="M133" s="33">
        <f t="shared" ref="M133:M196" si="20">+G133*J133</f>
        <v>267998</v>
      </c>
      <c r="N133" s="126"/>
      <c r="O133" s="44" t="s">
        <v>1774</v>
      </c>
      <c r="P133" s="33">
        <f t="shared" ref="P133:P196" si="21">+M133</f>
        <v>267998</v>
      </c>
      <c r="Q133" s="33">
        <f>+'[1]bg dn2'!Z229</f>
        <v>267998</v>
      </c>
      <c r="R133" s="33">
        <f t="shared" ref="R133:R196" si="22">+P133-Q133</f>
        <v>0</v>
      </c>
    </row>
    <row r="134" spans="1:18" s="211" customFormat="1">
      <c r="A134" s="29">
        <f t="shared" ref="A134:A197" si="23">+A133+1</f>
        <v>130</v>
      </c>
      <c r="B134" s="54" t="s">
        <v>458</v>
      </c>
      <c r="C134" s="55">
        <v>901781</v>
      </c>
      <c r="D134" s="63">
        <v>42865</v>
      </c>
      <c r="E134" s="58">
        <v>267998</v>
      </c>
      <c r="F134" s="196">
        <f t="shared" si="16"/>
        <v>267998</v>
      </c>
      <c r="G134" s="59">
        <f t="shared" si="17"/>
        <v>267998</v>
      </c>
      <c r="H134" s="57">
        <v>0</v>
      </c>
      <c r="I134" s="60">
        <v>1</v>
      </c>
      <c r="J134" s="60">
        <v>1</v>
      </c>
      <c r="K134" s="33">
        <f t="shared" si="18"/>
        <v>267998</v>
      </c>
      <c r="L134" s="33">
        <f t="shared" si="19"/>
        <v>267998</v>
      </c>
      <c r="M134" s="200">
        <f t="shared" si="20"/>
        <v>267998</v>
      </c>
      <c r="N134" s="126"/>
      <c r="O134" s="44" t="s">
        <v>1775</v>
      </c>
      <c r="P134" s="33">
        <f t="shared" si="21"/>
        <v>267998</v>
      </c>
      <c r="Q134" s="33">
        <f>+'[1]bg dn2'!Z230</f>
        <v>267998</v>
      </c>
      <c r="R134" s="33">
        <f t="shared" si="22"/>
        <v>0</v>
      </c>
    </row>
    <row r="135" spans="1:18" s="211" customFormat="1">
      <c r="A135" s="29">
        <f t="shared" si="23"/>
        <v>131</v>
      </c>
      <c r="B135" s="54" t="s">
        <v>458</v>
      </c>
      <c r="C135" s="55">
        <v>901781</v>
      </c>
      <c r="D135" s="63">
        <v>42896</v>
      </c>
      <c r="E135" s="207">
        <v>267998</v>
      </c>
      <c r="F135" s="196">
        <f t="shared" si="16"/>
        <v>267998</v>
      </c>
      <c r="G135" s="59">
        <f t="shared" si="17"/>
        <v>267998</v>
      </c>
      <c r="H135" s="57">
        <v>0</v>
      </c>
      <c r="I135" s="60">
        <v>1</v>
      </c>
      <c r="J135" s="60">
        <v>1</v>
      </c>
      <c r="K135" s="33">
        <f t="shared" si="18"/>
        <v>267998</v>
      </c>
      <c r="L135" s="33">
        <f t="shared" si="19"/>
        <v>267998</v>
      </c>
      <c r="M135" s="200">
        <f t="shared" si="20"/>
        <v>267998</v>
      </c>
      <c r="N135" s="126"/>
      <c r="O135" s="44" t="s">
        <v>1776</v>
      </c>
      <c r="P135" s="33">
        <f t="shared" si="21"/>
        <v>267998</v>
      </c>
      <c r="Q135" s="33">
        <f>+'[1]bg dn2'!Z231</f>
        <v>267998</v>
      </c>
      <c r="R135" s="33">
        <f t="shared" si="22"/>
        <v>0</v>
      </c>
    </row>
    <row r="136" spans="1:18" s="211" customFormat="1">
      <c r="A136" s="29">
        <f t="shared" si="23"/>
        <v>132</v>
      </c>
      <c r="B136" s="54" t="s">
        <v>458</v>
      </c>
      <c r="C136" s="55">
        <v>901781</v>
      </c>
      <c r="D136" s="63">
        <v>42926</v>
      </c>
      <c r="E136" s="208">
        <v>267998</v>
      </c>
      <c r="F136" s="196">
        <f t="shared" si="16"/>
        <v>267998</v>
      </c>
      <c r="G136" s="59">
        <f t="shared" si="17"/>
        <v>267998</v>
      </c>
      <c r="H136" s="57">
        <v>0</v>
      </c>
      <c r="I136" s="60">
        <v>1</v>
      </c>
      <c r="J136" s="60">
        <v>1</v>
      </c>
      <c r="K136" s="33">
        <f t="shared" si="18"/>
        <v>267998</v>
      </c>
      <c r="L136" s="33">
        <f t="shared" si="19"/>
        <v>267998</v>
      </c>
      <c r="M136" s="200">
        <f t="shared" si="20"/>
        <v>267998</v>
      </c>
      <c r="N136" s="126"/>
      <c r="O136" s="44" t="s">
        <v>1777</v>
      </c>
      <c r="P136" s="33">
        <f t="shared" si="21"/>
        <v>267998</v>
      </c>
      <c r="Q136" s="33">
        <f>+'[1]bg dn2'!Z232</f>
        <v>267998</v>
      </c>
      <c r="R136" s="33">
        <f t="shared" si="22"/>
        <v>0</v>
      </c>
    </row>
    <row r="137" spans="1:18" s="211" customFormat="1">
      <c r="A137" s="29">
        <f t="shared" si="23"/>
        <v>133</v>
      </c>
      <c r="B137" s="54" t="s">
        <v>458</v>
      </c>
      <c r="C137" s="55">
        <v>901781</v>
      </c>
      <c r="D137" s="63">
        <v>42957</v>
      </c>
      <c r="E137" s="208">
        <v>267998</v>
      </c>
      <c r="F137" s="196">
        <f t="shared" si="16"/>
        <v>267998</v>
      </c>
      <c r="G137" s="59">
        <f t="shared" si="17"/>
        <v>267998</v>
      </c>
      <c r="H137" s="57">
        <v>0</v>
      </c>
      <c r="I137" s="60">
        <v>1</v>
      </c>
      <c r="J137" s="60">
        <v>1</v>
      </c>
      <c r="K137" s="33">
        <f t="shared" si="18"/>
        <v>267998</v>
      </c>
      <c r="L137" s="33">
        <f t="shared" si="19"/>
        <v>267998</v>
      </c>
      <c r="M137" s="200">
        <f t="shared" si="20"/>
        <v>267998</v>
      </c>
      <c r="N137" s="126"/>
      <c r="O137" s="44" t="s">
        <v>1778</v>
      </c>
      <c r="P137" s="33">
        <f t="shared" si="21"/>
        <v>267998</v>
      </c>
      <c r="Q137" s="33">
        <f>+'[1]bg dn2'!Z233</f>
        <v>267998</v>
      </c>
      <c r="R137" s="33">
        <f t="shared" si="22"/>
        <v>0</v>
      </c>
    </row>
    <row r="138" spans="1:18" s="211" customFormat="1">
      <c r="A138" s="29">
        <f t="shared" si="23"/>
        <v>134</v>
      </c>
      <c r="B138" s="54" t="s">
        <v>458</v>
      </c>
      <c r="C138" s="55">
        <v>901781</v>
      </c>
      <c r="D138" s="63">
        <v>42988</v>
      </c>
      <c r="E138" s="208">
        <v>267998</v>
      </c>
      <c r="F138" s="196">
        <f t="shared" si="16"/>
        <v>267998</v>
      </c>
      <c r="G138" s="59">
        <f t="shared" si="17"/>
        <v>267998</v>
      </c>
      <c r="H138" s="57">
        <v>0</v>
      </c>
      <c r="I138" s="60">
        <v>1</v>
      </c>
      <c r="J138" s="60">
        <v>1</v>
      </c>
      <c r="K138" s="33">
        <f t="shared" si="18"/>
        <v>267998</v>
      </c>
      <c r="L138" s="33">
        <f t="shared" si="19"/>
        <v>267998</v>
      </c>
      <c r="M138" s="200">
        <f t="shared" si="20"/>
        <v>267998</v>
      </c>
      <c r="N138" s="209"/>
      <c r="O138" s="44" t="s">
        <v>1779</v>
      </c>
      <c r="P138" s="33">
        <f t="shared" si="21"/>
        <v>267998</v>
      </c>
      <c r="Q138" s="33">
        <f>+'[1]bg dn2'!Z234</f>
        <v>267998</v>
      </c>
      <c r="R138" s="33">
        <f t="shared" si="22"/>
        <v>0</v>
      </c>
    </row>
    <row r="139" spans="1:18" s="211" customFormat="1">
      <c r="A139" s="29">
        <f t="shared" si="23"/>
        <v>135</v>
      </c>
      <c r="B139" s="54" t="s">
        <v>458</v>
      </c>
      <c r="C139" s="55">
        <v>901781</v>
      </c>
      <c r="D139" s="63">
        <v>43018</v>
      </c>
      <c r="E139" s="208">
        <v>267998</v>
      </c>
      <c r="F139" s="196">
        <f t="shared" si="16"/>
        <v>267998</v>
      </c>
      <c r="G139" s="59">
        <f t="shared" si="17"/>
        <v>267998</v>
      </c>
      <c r="H139" s="57">
        <v>0</v>
      </c>
      <c r="I139" s="60">
        <v>1</v>
      </c>
      <c r="J139" s="60">
        <v>1</v>
      </c>
      <c r="K139" s="33">
        <f t="shared" si="18"/>
        <v>267998</v>
      </c>
      <c r="L139" s="33">
        <f t="shared" si="19"/>
        <v>267998</v>
      </c>
      <c r="M139" s="200">
        <f t="shared" si="20"/>
        <v>267998</v>
      </c>
      <c r="N139" s="126"/>
      <c r="O139" s="44" t="s">
        <v>1780</v>
      </c>
      <c r="P139" s="33">
        <f t="shared" si="21"/>
        <v>267998</v>
      </c>
      <c r="Q139" s="33">
        <f>+'[1]bg dn2'!Z235</f>
        <v>267998</v>
      </c>
      <c r="R139" s="33">
        <f t="shared" si="22"/>
        <v>0</v>
      </c>
    </row>
    <row r="140" spans="1:18" s="211" customFormat="1">
      <c r="A140" s="29">
        <f t="shared" si="23"/>
        <v>136</v>
      </c>
      <c r="B140" s="54" t="s">
        <v>458</v>
      </c>
      <c r="C140" s="55">
        <v>901781</v>
      </c>
      <c r="D140" s="63">
        <v>43049</v>
      </c>
      <c r="E140" s="208">
        <v>267998</v>
      </c>
      <c r="F140" s="196">
        <f t="shared" si="16"/>
        <v>267998</v>
      </c>
      <c r="G140" s="59">
        <f t="shared" si="17"/>
        <v>267998</v>
      </c>
      <c r="H140" s="57">
        <v>0</v>
      </c>
      <c r="I140" s="60">
        <v>1</v>
      </c>
      <c r="J140" s="60">
        <v>1</v>
      </c>
      <c r="K140" s="33">
        <f t="shared" si="18"/>
        <v>267998</v>
      </c>
      <c r="L140" s="33">
        <f t="shared" si="19"/>
        <v>267998</v>
      </c>
      <c r="M140" s="200">
        <f t="shared" si="20"/>
        <v>267998</v>
      </c>
      <c r="N140" s="126"/>
      <c r="O140" s="44" t="s">
        <v>1781</v>
      </c>
      <c r="P140" s="33">
        <f t="shared" si="21"/>
        <v>267998</v>
      </c>
      <c r="Q140" s="33">
        <f>+'[1]bg dn2'!Z236</f>
        <v>267998</v>
      </c>
      <c r="R140" s="33">
        <f t="shared" si="22"/>
        <v>0</v>
      </c>
    </row>
    <row r="141" spans="1:18" s="211" customFormat="1">
      <c r="A141" s="29">
        <f t="shared" si="23"/>
        <v>137</v>
      </c>
      <c r="B141" s="54" t="s">
        <v>458</v>
      </c>
      <c r="C141" s="55">
        <v>901781</v>
      </c>
      <c r="D141" s="63">
        <v>43079</v>
      </c>
      <c r="E141" s="195">
        <v>267998</v>
      </c>
      <c r="F141" s="196">
        <f t="shared" si="16"/>
        <v>267998</v>
      </c>
      <c r="G141" s="59">
        <f t="shared" si="17"/>
        <v>267998</v>
      </c>
      <c r="H141" s="57">
        <v>0</v>
      </c>
      <c r="I141" s="60">
        <v>1</v>
      </c>
      <c r="J141" s="60">
        <v>1</v>
      </c>
      <c r="K141" s="33">
        <f t="shared" si="18"/>
        <v>267998</v>
      </c>
      <c r="L141" s="33">
        <f t="shared" si="19"/>
        <v>267998</v>
      </c>
      <c r="M141" s="200">
        <f t="shared" si="20"/>
        <v>267998</v>
      </c>
      <c r="N141" s="126"/>
      <c r="O141" s="197" t="s">
        <v>1748</v>
      </c>
      <c r="P141" s="33">
        <f t="shared" si="21"/>
        <v>267998</v>
      </c>
      <c r="Q141" s="33">
        <f>+'[1]bg dn2'!Z237</f>
        <v>267998</v>
      </c>
      <c r="R141" s="33">
        <f t="shared" si="22"/>
        <v>0</v>
      </c>
    </row>
    <row r="142" spans="1:18" s="211" customFormat="1">
      <c r="A142" s="29">
        <f t="shared" si="23"/>
        <v>138</v>
      </c>
      <c r="B142" s="54" t="s">
        <v>458</v>
      </c>
      <c r="C142" s="55">
        <v>901781</v>
      </c>
      <c r="D142" s="63">
        <v>43110</v>
      </c>
      <c r="E142" s="195">
        <v>267998</v>
      </c>
      <c r="F142" s="196">
        <f t="shared" si="16"/>
        <v>267998</v>
      </c>
      <c r="G142" s="59">
        <f t="shared" si="17"/>
        <v>267998</v>
      </c>
      <c r="H142" s="57">
        <v>0</v>
      </c>
      <c r="I142" s="60">
        <v>1</v>
      </c>
      <c r="J142" s="60">
        <v>1</v>
      </c>
      <c r="K142" s="33">
        <f t="shared" si="18"/>
        <v>267998</v>
      </c>
      <c r="L142" s="33">
        <f t="shared" si="19"/>
        <v>267998</v>
      </c>
      <c r="M142" s="200">
        <f t="shared" si="20"/>
        <v>267998</v>
      </c>
      <c r="N142" s="126"/>
      <c r="O142" s="197" t="s">
        <v>1749</v>
      </c>
      <c r="P142" s="33">
        <f t="shared" si="21"/>
        <v>267998</v>
      </c>
      <c r="Q142" s="33">
        <f>+'[1]bg dn2'!Z238</f>
        <v>267998</v>
      </c>
      <c r="R142" s="33">
        <f t="shared" si="22"/>
        <v>0</v>
      </c>
    </row>
    <row r="143" spans="1:18" s="211" customFormat="1">
      <c r="A143" s="29">
        <f t="shared" si="23"/>
        <v>139</v>
      </c>
      <c r="B143" s="54" t="s">
        <v>495</v>
      </c>
      <c r="C143" s="55" t="s">
        <v>496</v>
      </c>
      <c r="D143" s="63">
        <v>42804</v>
      </c>
      <c r="E143" s="203">
        <v>537126</v>
      </c>
      <c r="F143" s="196">
        <f t="shared" si="16"/>
        <v>537126</v>
      </c>
      <c r="G143" s="59">
        <f t="shared" si="17"/>
        <v>537126</v>
      </c>
      <c r="H143" s="57">
        <v>0</v>
      </c>
      <c r="I143" s="60">
        <v>1</v>
      </c>
      <c r="J143" s="60">
        <v>1</v>
      </c>
      <c r="K143" s="33">
        <f t="shared" si="18"/>
        <v>537126</v>
      </c>
      <c r="L143" s="33">
        <f t="shared" si="19"/>
        <v>537126</v>
      </c>
      <c r="M143" s="33">
        <f t="shared" si="20"/>
        <v>537126</v>
      </c>
      <c r="N143" s="126"/>
      <c r="O143" s="44" t="s">
        <v>1773</v>
      </c>
      <c r="P143" s="33">
        <f t="shared" si="21"/>
        <v>537126</v>
      </c>
      <c r="Q143" s="33">
        <f>+'[1]bg dn2'!Z239</f>
        <v>537126</v>
      </c>
      <c r="R143" s="33">
        <f t="shared" si="22"/>
        <v>0</v>
      </c>
    </row>
    <row r="144" spans="1:18" s="211" customFormat="1">
      <c r="A144" s="29">
        <f t="shared" si="23"/>
        <v>140</v>
      </c>
      <c r="B144" s="54" t="s">
        <v>495</v>
      </c>
      <c r="C144" s="55" t="s">
        <v>496</v>
      </c>
      <c r="D144" s="63">
        <v>42804</v>
      </c>
      <c r="E144" s="203">
        <v>61215</v>
      </c>
      <c r="F144" s="196">
        <f t="shared" si="16"/>
        <v>61215</v>
      </c>
      <c r="G144" s="59">
        <f t="shared" si="17"/>
        <v>61215</v>
      </c>
      <c r="H144" s="57">
        <v>0</v>
      </c>
      <c r="I144" s="60">
        <v>1</v>
      </c>
      <c r="J144" s="60">
        <v>1</v>
      </c>
      <c r="K144" s="33">
        <f t="shared" si="18"/>
        <v>61215</v>
      </c>
      <c r="L144" s="33">
        <f t="shared" si="19"/>
        <v>61215</v>
      </c>
      <c r="M144" s="33">
        <f t="shared" si="20"/>
        <v>61215</v>
      </c>
      <c r="N144" s="126"/>
      <c r="O144" s="44" t="s">
        <v>1773</v>
      </c>
      <c r="P144" s="33">
        <f t="shared" si="21"/>
        <v>61215</v>
      </c>
      <c r="Q144" s="33">
        <f>+'[1]bg dn2'!Z240</f>
        <v>61215</v>
      </c>
      <c r="R144" s="33">
        <f t="shared" si="22"/>
        <v>0</v>
      </c>
    </row>
    <row r="145" spans="1:18" s="211" customFormat="1">
      <c r="A145" s="29">
        <f t="shared" si="23"/>
        <v>141</v>
      </c>
      <c r="B145" s="54" t="s">
        <v>495</v>
      </c>
      <c r="C145" s="55" t="s">
        <v>496</v>
      </c>
      <c r="D145" s="63">
        <v>42835</v>
      </c>
      <c r="E145" s="203">
        <v>537126</v>
      </c>
      <c r="F145" s="196">
        <f t="shared" si="16"/>
        <v>537126</v>
      </c>
      <c r="G145" s="59">
        <f t="shared" si="17"/>
        <v>537126</v>
      </c>
      <c r="H145" s="57">
        <v>0</v>
      </c>
      <c r="I145" s="60">
        <v>1</v>
      </c>
      <c r="J145" s="60">
        <v>1</v>
      </c>
      <c r="K145" s="33">
        <f t="shared" si="18"/>
        <v>537126</v>
      </c>
      <c r="L145" s="33">
        <f t="shared" si="19"/>
        <v>537126</v>
      </c>
      <c r="M145" s="33">
        <f t="shared" si="20"/>
        <v>537126</v>
      </c>
      <c r="N145" s="126"/>
      <c r="O145" s="44" t="s">
        <v>1774</v>
      </c>
      <c r="P145" s="33">
        <f t="shared" si="21"/>
        <v>537126</v>
      </c>
      <c r="Q145" s="33">
        <f>+'[1]bg dn2'!Z241</f>
        <v>537126</v>
      </c>
      <c r="R145" s="33">
        <f t="shared" si="22"/>
        <v>0</v>
      </c>
    </row>
    <row r="146" spans="1:18" s="211" customFormat="1">
      <c r="A146" s="29">
        <f t="shared" si="23"/>
        <v>142</v>
      </c>
      <c r="B146" s="54" t="s">
        <v>495</v>
      </c>
      <c r="C146" s="55" t="s">
        <v>496</v>
      </c>
      <c r="D146" s="63">
        <v>42835</v>
      </c>
      <c r="E146" s="203">
        <v>537127</v>
      </c>
      <c r="F146" s="196">
        <f t="shared" si="16"/>
        <v>537127</v>
      </c>
      <c r="G146" s="59">
        <f t="shared" si="17"/>
        <v>537127</v>
      </c>
      <c r="H146" s="57">
        <v>0</v>
      </c>
      <c r="I146" s="60">
        <v>1</v>
      </c>
      <c r="J146" s="60">
        <v>1</v>
      </c>
      <c r="K146" s="33">
        <f t="shared" si="18"/>
        <v>537127</v>
      </c>
      <c r="L146" s="33">
        <f t="shared" si="19"/>
        <v>537127</v>
      </c>
      <c r="M146" s="33">
        <f t="shared" si="20"/>
        <v>537127</v>
      </c>
      <c r="N146" s="126"/>
      <c r="O146" s="44" t="s">
        <v>1774</v>
      </c>
      <c r="P146" s="33">
        <f t="shared" si="21"/>
        <v>537127</v>
      </c>
      <c r="Q146" s="33">
        <f>+'[1]bg dn2'!Z242</f>
        <v>537127</v>
      </c>
      <c r="R146" s="33">
        <f t="shared" si="22"/>
        <v>0</v>
      </c>
    </row>
    <row r="147" spans="1:18" s="211" customFormat="1">
      <c r="A147" s="29">
        <f t="shared" si="23"/>
        <v>143</v>
      </c>
      <c r="B147" s="54" t="s">
        <v>495</v>
      </c>
      <c r="C147" s="205" t="s">
        <v>496</v>
      </c>
      <c r="D147" s="63">
        <v>42896</v>
      </c>
      <c r="E147" s="207">
        <v>17088</v>
      </c>
      <c r="F147" s="196">
        <f t="shared" si="16"/>
        <v>17088</v>
      </c>
      <c r="G147" s="59">
        <f t="shared" si="17"/>
        <v>17088</v>
      </c>
      <c r="H147" s="57">
        <v>0</v>
      </c>
      <c r="I147" s="60">
        <v>1</v>
      </c>
      <c r="J147" s="60">
        <v>1</v>
      </c>
      <c r="K147" s="33">
        <f t="shared" si="18"/>
        <v>17088</v>
      </c>
      <c r="L147" s="33">
        <f t="shared" si="19"/>
        <v>17088</v>
      </c>
      <c r="M147" s="200">
        <f t="shared" si="20"/>
        <v>17088</v>
      </c>
      <c r="N147" s="126"/>
      <c r="O147" s="44" t="s">
        <v>1776</v>
      </c>
      <c r="P147" s="33">
        <f t="shared" si="21"/>
        <v>17088</v>
      </c>
      <c r="Q147" s="33">
        <f>+'[1]bg dn2'!Z243</f>
        <v>17088</v>
      </c>
      <c r="R147" s="33">
        <f t="shared" si="22"/>
        <v>0</v>
      </c>
    </row>
    <row r="148" spans="1:18" s="211" customFormat="1">
      <c r="A148" s="29">
        <f t="shared" si="23"/>
        <v>144</v>
      </c>
      <c r="B148" s="54" t="s">
        <v>495</v>
      </c>
      <c r="C148" s="55" t="s">
        <v>496</v>
      </c>
      <c r="D148" s="63">
        <v>42896</v>
      </c>
      <c r="E148" s="207">
        <v>537127</v>
      </c>
      <c r="F148" s="196">
        <f t="shared" si="16"/>
        <v>537127</v>
      </c>
      <c r="G148" s="59">
        <f t="shared" si="17"/>
        <v>537127</v>
      </c>
      <c r="H148" s="57">
        <v>0</v>
      </c>
      <c r="I148" s="60">
        <v>1</v>
      </c>
      <c r="J148" s="60">
        <v>1</v>
      </c>
      <c r="K148" s="33">
        <f t="shared" si="18"/>
        <v>537127</v>
      </c>
      <c r="L148" s="33">
        <f t="shared" si="19"/>
        <v>537127</v>
      </c>
      <c r="M148" s="200">
        <f t="shared" si="20"/>
        <v>537127</v>
      </c>
      <c r="N148" s="126"/>
      <c r="O148" s="44" t="s">
        <v>1776</v>
      </c>
      <c r="P148" s="33">
        <f t="shared" si="21"/>
        <v>537127</v>
      </c>
      <c r="Q148" s="33">
        <f>+'[1]bg dn2'!Z244</f>
        <v>537127</v>
      </c>
      <c r="R148" s="33">
        <f t="shared" si="22"/>
        <v>0</v>
      </c>
    </row>
    <row r="149" spans="1:18" s="211" customFormat="1">
      <c r="A149" s="29">
        <f t="shared" si="23"/>
        <v>145</v>
      </c>
      <c r="B149" s="54" t="s">
        <v>495</v>
      </c>
      <c r="C149" s="55" t="s">
        <v>496</v>
      </c>
      <c r="D149" s="63">
        <v>42896</v>
      </c>
      <c r="E149" s="207">
        <v>537126</v>
      </c>
      <c r="F149" s="196">
        <f t="shared" si="16"/>
        <v>537126</v>
      </c>
      <c r="G149" s="59">
        <f t="shared" si="17"/>
        <v>537126</v>
      </c>
      <c r="H149" s="57">
        <v>0</v>
      </c>
      <c r="I149" s="60">
        <v>1</v>
      </c>
      <c r="J149" s="60">
        <v>1</v>
      </c>
      <c r="K149" s="33">
        <f t="shared" si="18"/>
        <v>537126</v>
      </c>
      <c r="L149" s="33">
        <f t="shared" si="19"/>
        <v>537126</v>
      </c>
      <c r="M149" s="200">
        <f t="shared" si="20"/>
        <v>537126</v>
      </c>
      <c r="N149" s="126"/>
      <c r="O149" s="44" t="s">
        <v>1776</v>
      </c>
      <c r="P149" s="33">
        <f t="shared" si="21"/>
        <v>537126</v>
      </c>
      <c r="Q149" s="33">
        <f>+'[1]bg dn2'!Z245</f>
        <v>537126</v>
      </c>
      <c r="R149" s="33">
        <f t="shared" si="22"/>
        <v>0</v>
      </c>
    </row>
    <row r="150" spans="1:18" s="211" customFormat="1">
      <c r="A150" s="29">
        <f t="shared" si="23"/>
        <v>146</v>
      </c>
      <c r="B150" s="54" t="s">
        <v>495</v>
      </c>
      <c r="C150" s="55" t="s">
        <v>496</v>
      </c>
      <c r="D150" s="63">
        <v>42926</v>
      </c>
      <c r="E150" s="208">
        <v>17088</v>
      </c>
      <c r="F150" s="196">
        <f t="shared" si="16"/>
        <v>17088</v>
      </c>
      <c r="G150" s="59">
        <f t="shared" si="17"/>
        <v>17088</v>
      </c>
      <c r="H150" s="57">
        <v>0</v>
      </c>
      <c r="I150" s="60">
        <v>1</v>
      </c>
      <c r="J150" s="60">
        <v>1</v>
      </c>
      <c r="K150" s="33">
        <f t="shared" si="18"/>
        <v>17088</v>
      </c>
      <c r="L150" s="33">
        <f t="shared" si="19"/>
        <v>17088</v>
      </c>
      <c r="M150" s="200">
        <f t="shared" si="20"/>
        <v>17088</v>
      </c>
      <c r="N150" s="126"/>
      <c r="O150" s="44" t="s">
        <v>1777</v>
      </c>
      <c r="P150" s="33">
        <f t="shared" si="21"/>
        <v>17088</v>
      </c>
      <c r="Q150" s="33">
        <f>+'[1]bg dn2'!Z246</f>
        <v>17088</v>
      </c>
      <c r="R150" s="33">
        <f t="shared" si="22"/>
        <v>0</v>
      </c>
    </row>
    <row r="151" spans="1:18" s="211" customFormat="1">
      <c r="A151" s="29">
        <f t="shared" si="23"/>
        <v>147</v>
      </c>
      <c r="B151" s="54" t="s">
        <v>495</v>
      </c>
      <c r="C151" s="55" t="s">
        <v>496</v>
      </c>
      <c r="D151" s="63">
        <v>42926</v>
      </c>
      <c r="E151" s="208">
        <v>537127</v>
      </c>
      <c r="F151" s="196">
        <f t="shared" si="16"/>
        <v>537127</v>
      </c>
      <c r="G151" s="59">
        <f t="shared" si="17"/>
        <v>537127</v>
      </c>
      <c r="H151" s="57">
        <v>0</v>
      </c>
      <c r="I151" s="60">
        <v>1</v>
      </c>
      <c r="J151" s="60">
        <v>1</v>
      </c>
      <c r="K151" s="33">
        <f t="shared" si="18"/>
        <v>537127</v>
      </c>
      <c r="L151" s="33">
        <f t="shared" si="19"/>
        <v>537127</v>
      </c>
      <c r="M151" s="200">
        <f t="shared" si="20"/>
        <v>537127</v>
      </c>
      <c r="N151" s="126"/>
      <c r="O151" s="44" t="s">
        <v>1777</v>
      </c>
      <c r="P151" s="33">
        <f t="shared" si="21"/>
        <v>537127</v>
      </c>
      <c r="Q151" s="33">
        <f>+'[1]bg dn2'!Z247</f>
        <v>537127</v>
      </c>
      <c r="R151" s="33">
        <f t="shared" si="22"/>
        <v>0</v>
      </c>
    </row>
    <row r="152" spans="1:18" s="211" customFormat="1">
      <c r="A152" s="29">
        <f t="shared" si="23"/>
        <v>148</v>
      </c>
      <c r="B152" s="54" t="s">
        <v>495</v>
      </c>
      <c r="C152" s="55" t="s">
        <v>496</v>
      </c>
      <c r="D152" s="63">
        <v>42926</v>
      </c>
      <c r="E152" s="208">
        <v>537126</v>
      </c>
      <c r="F152" s="196">
        <f t="shared" si="16"/>
        <v>537126</v>
      </c>
      <c r="G152" s="59">
        <f t="shared" si="17"/>
        <v>537126</v>
      </c>
      <c r="H152" s="57">
        <v>0</v>
      </c>
      <c r="I152" s="60">
        <v>1</v>
      </c>
      <c r="J152" s="60">
        <v>1</v>
      </c>
      <c r="K152" s="33">
        <f t="shared" si="18"/>
        <v>537126</v>
      </c>
      <c r="L152" s="33">
        <f t="shared" si="19"/>
        <v>537126</v>
      </c>
      <c r="M152" s="200">
        <f t="shared" si="20"/>
        <v>537126</v>
      </c>
      <c r="N152" s="126"/>
      <c r="O152" s="44" t="s">
        <v>1777</v>
      </c>
      <c r="P152" s="33">
        <f t="shared" si="21"/>
        <v>537126</v>
      </c>
      <c r="Q152" s="33">
        <f>+'[1]bg dn2'!Z248</f>
        <v>537126</v>
      </c>
      <c r="R152" s="33">
        <f t="shared" si="22"/>
        <v>0</v>
      </c>
    </row>
    <row r="153" spans="1:18" s="211" customFormat="1">
      <c r="A153" s="29">
        <f t="shared" si="23"/>
        <v>149</v>
      </c>
      <c r="B153" s="54" t="s">
        <v>495</v>
      </c>
      <c r="C153" s="55" t="s">
        <v>496</v>
      </c>
      <c r="D153" s="63">
        <v>42957</v>
      </c>
      <c r="E153" s="208">
        <v>537127</v>
      </c>
      <c r="F153" s="196">
        <f t="shared" si="16"/>
        <v>537127</v>
      </c>
      <c r="G153" s="59">
        <f t="shared" si="17"/>
        <v>537127</v>
      </c>
      <c r="H153" s="57">
        <v>0</v>
      </c>
      <c r="I153" s="60">
        <v>1</v>
      </c>
      <c r="J153" s="60">
        <v>1</v>
      </c>
      <c r="K153" s="33">
        <f t="shared" si="18"/>
        <v>537127</v>
      </c>
      <c r="L153" s="33">
        <f t="shared" si="19"/>
        <v>537127</v>
      </c>
      <c r="M153" s="200">
        <f t="shared" si="20"/>
        <v>537127</v>
      </c>
      <c r="N153" s="126"/>
      <c r="O153" s="44" t="s">
        <v>1778</v>
      </c>
      <c r="P153" s="33">
        <f t="shared" si="21"/>
        <v>537127</v>
      </c>
      <c r="Q153" s="33">
        <f>+'[1]bg dn2'!Z249</f>
        <v>537127</v>
      </c>
      <c r="R153" s="33">
        <f t="shared" si="22"/>
        <v>0</v>
      </c>
    </row>
    <row r="154" spans="1:18" s="211" customFormat="1">
      <c r="A154" s="29">
        <f t="shared" si="23"/>
        <v>150</v>
      </c>
      <c r="B154" s="54" t="s">
        <v>495</v>
      </c>
      <c r="C154" s="55" t="s">
        <v>496</v>
      </c>
      <c r="D154" s="63">
        <v>42957</v>
      </c>
      <c r="E154" s="208">
        <v>537126</v>
      </c>
      <c r="F154" s="196">
        <f t="shared" si="16"/>
        <v>537126</v>
      </c>
      <c r="G154" s="59">
        <f t="shared" si="17"/>
        <v>537126</v>
      </c>
      <c r="H154" s="57">
        <v>0</v>
      </c>
      <c r="I154" s="60">
        <v>1</v>
      </c>
      <c r="J154" s="60">
        <v>1</v>
      </c>
      <c r="K154" s="33">
        <f t="shared" si="18"/>
        <v>537126</v>
      </c>
      <c r="L154" s="33">
        <f t="shared" si="19"/>
        <v>537126</v>
      </c>
      <c r="M154" s="200">
        <f t="shared" si="20"/>
        <v>537126</v>
      </c>
      <c r="N154" s="126"/>
      <c r="O154" s="44" t="s">
        <v>1778</v>
      </c>
      <c r="P154" s="33">
        <f t="shared" si="21"/>
        <v>537126</v>
      </c>
      <c r="Q154" s="33">
        <f>+'[1]bg dn2'!Z250</f>
        <v>537126</v>
      </c>
      <c r="R154" s="33">
        <f t="shared" si="22"/>
        <v>0</v>
      </c>
    </row>
    <row r="155" spans="1:18" s="211" customFormat="1">
      <c r="A155" s="29">
        <f t="shared" si="23"/>
        <v>151</v>
      </c>
      <c r="B155" s="54" t="s">
        <v>495</v>
      </c>
      <c r="C155" s="55" t="s">
        <v>496</v>
      </c>
      <c r="D155" s="63">
        <v>42957</v>
      </c>
      <c r="E155" s="208">
        <v>17088</v>
      </c>
      <c r="F155" s="196">
        <f t="shared" si="16"/>
        <v>17088</v>
      </c>
      <c r="G155" s="59">
        <f t="shared" si="17"/>
        <v>17088</v>
      </c>
      <c r="H155" s="57">
        <v>0</v>
      </c>
      <c r="I155" s="60">
        <v>1</v>
      </c>
      <c r="J155" s="60">
        <v>1</v>
      </c>
      <c r="K155" s="33">
        <f t="shared" si="18"/>
        <v>17088</v>
      </c>
      <c r="L155" s="33">
        <f t="shared" si="19"/>
        <v>17088</v>
      </c>
      <c r="M155" s="200">
        <f t="shared" si="20"/>
        <v>17088</v>
      </c>
      <c r="N155" s="126"/>
      <c r="O155" s="44" t="s">
        <v>1778</v>
      </c>
      <c r="P155" s="33">
        <f t="shared" si="21"/>
        <v>17088</v>
      </c>
      <c r="Q155" s="33">
        <f>+'[1]bg dn2'!Z251</f>
        <v>17088</v>
      </c>
      <c r="R155" s="33">
        <f t="shared" si="22"/>
        <v>0</v>
      </c>
    </row>
    <row r="156" spans="1:18" s="211" customFormat="1">
      <c r="A156" s="29">
        <f t="shared" si="23"/>
        <v>152</v>
      </c>
      <c r="B156" s="54" t="s">
        <v>495</v>
      </c>
      <c r="C156" s="55" t="s">
        <v>496</v>
      </c>
      <c r="D156" s="63">
        <v>42988</v>
      </c>
      <c r="E156" s="208">
        <v>537127</v>
      </c>
      <c r="F156" s="196">
        <f t="shared" si="16"/>
        <v>537127</v>
      </c>
      <c r="G156" s="59">
        <f t="shared" si="17"/>
        <v>537127</v>
      </c>
      <c r="H156" s="57">
        <v>0</v>
      </c>
      <c r="I156" s="60">
        <v>1</v>
      </c>
      <c r="J156" s="60">
        <v>1</v>
      </c>
      <c r="K156" s="33">
        <f t="shared" si="18"/>
        <v>537127</v>
      </c>
      <c r="L156" s="33">
        <f t="shared" si="19"/>
        <v>537127</v>
      </c>
      <c r="M156" s="200">
        <f t="shared" si="20"/>
        <v>537127</v>
      </c>
      <c r="N156" s="209"/>
      <c r="O156" s="44" t="s">
        <v>1779</v>
      </c>
      <c r="P156" s="33">
        <f t="shared" si="21"/>
        <v>537127</v>
      </c>
      <c r="Q156" s="33">
        <f>+'[1]bg dn2'!Z252</f>
        <v>537127</v>
      </c>
      <c r="R156" s="33">
        <f t="shared" si="22"/>
        <v>0</v>
      </c>
    </row>
    <row r="157" spans="1:18" s="211" customFormat="1">
      <c r="A157" s="29">
        <f t="shared" si="23"/>
        <v>153</v>
      </c>
      <c r="B157" s="54" t="s">
        <v>495</v>
      </c>
      <c r="C157" s="55" t="s">
        <v>496</v>
      </c>
      <c r="D157" s="63">
        <v>42988</v>
      </c>
      <c r="E157" s="208">
        <v>537126</v>
      </c>
      <c r="F157" s="196">
        <f t="shared" si="16"/>
        <v>537126</v>
      </c>
      <c r="G157" s="59">
        <f t="shared" si="17"/>
        <v>537126</v>
      </c>
      <c r="H157" s="57">
        <v>0</v>
      </c>
      <c r="I157" s="60">
        <v>1</v>
      </c>
      <c r="J157" s="60">
        <v>1</v>
      </c>
      <c r="K157" s="33">
        <f t="shared" si="18"/>
        <v>537126</v>
      </c>
      <c r="L157" s="33">
        <f t="shared" si="19"/>
        <v>537126</v>
      </c>
      <c r="M157" s="200">
        <f t="shared" si="20"/>
        <v>537126</v>
      </c>
      <c r="N157" s="209"/>
      <c r="O157" s="44" t="s">
        <v>1779</v>
      </c>
      <c r="P157" s="33">
        <f t="shared" si="21"/>
        <v>537126</v>
      </c>
      <c r="Q157" s="33">
        <f>+'[1]bg dn2'!Z253</f>
        <v>537126</v>
      </c>
      <c r="R157" s="33">
        <f t="shared" si="22"/>
        <v>0</v>
      </c>
    </row>
    <row r="158" spans="1:18" s="211" customFormat="1">
      <c r="A158" s="29">
        <f t="shared" si="23"/>
        <v>154</v>
      </c>
      <c r="B158" s="54" t="s">
        <v>495</v>
      </c>
      <c r="C158" s="55" t="s">
        <v>496</v>
      </c>
      <c r="D158" s="63">
        <v>42988</v>
      </c>
      <c r="E158" s="208">
        <v>17088</v>
      </c>
      <c r="F158" s="196">
        <f t="shared" si="16"/>
        <v>17088</v>
      </c>
      <c r="G158" s="59">
        <f t="shared" si="17"/>
        <v>17088</v>
      </c>
      <c r="H158" s="57">
        <v>0</v>
      </c>
      <c r="I158" s="60">
        <v>1</v>
      </c>
      <c r="J158" s="60">
        <v>1</v>
      </c>
      <c r="K158" s="33">
        <f t="shared" si="18"/>
        <v>17088</v>
      </c>
      <c r="L158" s="33">
        <f t="shared" si="19"/>
        <v>17088</v>
      </c>
      <c r="M158" s="200">
        <f t="shared" si="20"/>
        <v>17088</v>
      </c>
      <c r="N158" s="209"/>
      <c r="O158" s="44" t="s">
        <v>1779</v>
      </c>
      <c r="P158" s="33">
        <f t="shared" si="21"/>
        <v>17088</v>
      </c>
      <c r="Q158" s="33">
        <f>+'[1]bg dn2'!Z254</f>
        <v>17088</v>
      </c>
      <c r="R158" s="33">
        <f t="shared" si="22"/>
        <v>0</v>
      </c>
    </row>
    <row r="159" spans="1:18" s="211" customFormat="1">
      <c r="A159" s="29">
        <f t="shared" si="23"/>
        <v>155</v>
      </c>
      <c r="B159" s="54" t="s">
        <v>495</v>
      </c>
      <c r="C159" s="55" t="s">
        <v>496</v>
      </c>
      <c r="D159" s="63">
        <v>43018</v>
      </c>
      <c r="E159" s="208">
        <v>537127</v>
      </c>
      <c r="F159" s="196">
        <f t="shared" si="16"/>
        <v>537127</v>
      </c>
      <c r="G159" s="59">
        <f t="shared" si="17"/>
        <v>537127</v>
      </c>
      <c r="H159" s="57">
        <v>0</v>
      </c>
      <c r="I159" s="60">
        <v>1</v>
      </c>
      <c r="J159" s="60">
        <v>1</v>
      </c>
      <c r="K159" s="33">
        <f t="shared" si="18"/>
        <v>537127</v>
      </c>
      <c r="L159" s="33">
        <f t="shared" si="19"/>
        <v>537127</v>
      </c>
      <c r="M159" s="200">
        <f t="shared" si="20"/>
        <v>537127</v>
      </c>
      <c r="N159" s="126"/>
      <c r="O159" s="44" t="s">
        <v>1780</v>
      </c>
      <c r="P159" s="33">
        <f t="shared" si="21"/>
        <v>537127</v>
      </c>
      <c r="Q159" s="33">
        <f>+'[1]bg dn2'!Z255</f>
        <v>537127</v>
      </c>
      <c r="R159" s="33">
        <f t="shared" si="22"/>
        <v>0</v>
      </c>
    </row>
    <row r="160" spans="1:18" s="211" customFormat="1">
      <c r="A160" s="29">
        <f t="shared" si="23"/>
        <v>156</v>
      </c>
      <c r="B160" s="54" t="s">
        <v>495</v>
      </c>
      <c r="C160" s="55" t="s">
        <v>496</v>
      </c>
      <c r="D160" s="63">
        <v>43018</v>
      </c>
      <c r="E160" s="208">
        <v>537126</v>
      </c>
      <c r="F160" s="196">
        <f t="shared" si="16"/>
        <v>537126</v>
      </c>
      <c r="G160" s="59">
        <f t="shared" si="17"/>
        <v>537126</v>
      </c>
      <c r="H160" s="57">
        <v>0</v>
      </c>
      <c r="I160" s="60">
        <v>1</v>
      </c>
      <c r="J160" s="60">
        <v>1</v>
      </c>
      <c r="K160" s="33">
        <f t="shared" si="18"/>
        <v>537126</v>
      </c>
      <c r="L160" s="33">
        <f t="shared" si="19"/>
        <v>537126</v>
      </c>
      <c r="M160" s="200">
        <f t="shared" si="20"/>
        <v>537126</v>
      </c>
      <c r="N160" s="126"/>
      <c r="O160" s="44" t="s">
        <v>1780</v>
      </c>
      <c r="P160" s="33">
        <f t="shared" si="21"/>
        <v>537126</v>
      </c>
      <c r="Q160" s="33">
        <f>+'[1]bg dn2'!Z256</f>
        <v>537126</v>
      </c>
      <c r="R160" s="33">
        <f t="shared" si="22"/>
        <v>0</v>
      </c>
    </row>
    <row r="161" spans="1:19" s="211" customFormat="1">
      <c r="A161" s="29">
        <f t="shared" si="23"/>
        <v>157</v>
      </c>
      <c r="B161" s="54" t="s">
        <v>495</v>
      </c>
      <c r="C161" s="55" t="s">
        <v>496</v>
      </c>
      <c r="D161" s="63">
        <v>43018</v>
      </c>
      <c r="E161" s="208">
        <v>17088</v>
      </c>
      <c r="F161" s="196">
        <f t="shared" si="16"/>
        <v>17088</v>
      </c>
      <c r="G161" s="59">
        <f t="shared" si="17"/>
        <v>17088</v>
      </c>
      <c r="H161" s="57">
        <v>0</v>
      </c>
      <c r="I161" s="60">
        <v>1</v>
      </c>
      <c r="J161" s="60">
        <v>1</v>
      </c>
      <c r="K161" s="33">
        <f t="shared" si="18"/>
        <v>17088</v>
      </c>
      <c r="L161" s="33">
        <f t="shared" si="19"/>
        <v>17088</v>
      </c>
      <c r="M161" s="200">
        <f t="shared" si="20"/>
        <v>17088</v>
      </c>
      <c r="N161" s="126"/>
      <c r="O161" s="44" t="s">
        <v>1780</v>
      </c>
      <c r="P161" s="33">
        <f t="shared" si="21"/>
        <v>17088</v>
      </c>
      <c r="Q161" s="33">
        <f>+'[1]bg dn2'!Z257</f>
        <v>17088</v>
      </c>
      <c r="R161" s="33">
        <f t="shared" si="22"/>
        <v>0</v>
      </c>
    </row>
    <row r="162" spans="1:19" s="211" customFormat="1">
      <c r="A162" s="29">
        <f t="shared" si="23"/>
        <v>158</v>
      </c>
      <c r="B162" s="54" t="s">
        <v>495</v>
      </c>
      <c r="C162" s="55" t="s">
        <v>496</v>
      </c>
      <c r="D162" s="63">
        <v>43049</v>
      </c>
      <c r="E162" s="208">
        <v>537127</v>
      </c>
      <c r="F162" s="196">
        <f t="shared" si="16"/>
        <v>537127</v>
      </c>
      <c r="G162" s="59">
        <f t="shared" si="17"/>
        <v>537127</v>
      </c>
      <c r="H162" s="57">
        <v>0</v>
      </c>
      <c r="I162" s="60">
        <v>1</v>
      </c>
      <c r="J162" s="60">
        <v>1</v>
      </c>
      <c r="K162" s="33">
        <f t="shared" si="18"/>
        <v>537127</v>
      </c>
      <c r="L162" s="33">
        <f t="shared" si="19"/>
        <v>537127</v>
      </c>
      <c r="M162" s="200">
        <f t="shared" si="20"/>
        <v>537127</v>
      </c>
      <c r="N162" s="126"/>
      <c r="O162" s="44" t="s">
        <v>1781</v>
      </c>
      <c r="P162" s="33">
        <f t="shared" si="21"/>
        <v>537127</v>
      </c>
      <c r="Q162" s="33">
        <f>+'[1]bg dn2'!Z258</f>
        <v>537127</v>
      </c>
      <c r="R162" s="33">
        <f t="shared" si="22"/>
        <v>0</v>
      </c>
    </row>
    <row r="163" spans="1:19">
      <c r="A163" s="29">
        <f t="shared" si="23"/>
        <v>159</v>
      </c>
      <c r="B163" s="54" t="s">
        <v>495</v>
      </c>
      <c r="C163" s="55" t="s">
        <v>496</v>
      </c>
      <c r="D163" s="63">
        <v>43049</v>
      </c>
      <c r="E163" s="208">
        <v>537126</v>
      </c>
      <c r="F163" s="196">
        <f t="shared" si="16"/>
        <v>537126</v>
      </c>
      <c r="G163" s="59">
        <f t="shared" si="17"/>
        <v>537126</v>
      </c>
      <c r="H163" s="57">
        <v>0</v>
      </c>
      <c r="I163" s="60">
        <v>1</v>
      </c>
      <c r="J163" s="60">
        <v>1</v>
      </c>
      <c r="K163" s="33">
        <f t="shared" si="18"/>
        <v>537126</v>
      </c>
      <c r="L163" s="33">
        <f t="shared" si="19"/>
        <v>537126</v>
      </c>
      <c r="M163" s="200">
        <f t="shared" si="20"/>
        <v>537126</v>
      </c>
      <c r="N163" s="126"/>
      <c r="O163" s="44" t="s">
        <v>1781</v>
      </c>
      <c r="P163" s="33">
        <f t="shared" si="21"/>
        <v>537126</v>
      </c>
      <c r="Q163" s="33">
        <f>+'[1]bg dn2'!Z259</f>
        <v>537126</v>
      </c>
      <c r="R163" s="33">
        <f t="shared" si="22"/>
        <v>0</v>
      </c>
      <c r="S163" s="132"/>
    </row>
    <row r="164" spans="1:19">
      <c r="A164" s="29">
        <f t="shared" si="23"/>
        <v>160</v>
      </c>
      <c r="B164" s="54" t="s">
        <v>495</v>
      </c>
      <c r="C164" s="55" t="s">
        <v>496</v>
      </c>
      <c r="D164" s="63">
        <v>43049</v>
      </c>
      <c r="E164" s="208">
        <v>17088</v>
      </c>
      <c r="F164" s="196">
        <f t="shared" si="16"/>
        <v>17088</v>
      </c>
      <c r="G164" s="59">
        <f t="shared" si="17"/>
        <v>17088</v>
      </c>
      <c r="H164" s="57">
        <v>0</v>
      </c>
      <c r="I164" s="60">
        <v>1</v>
      </c>
      <c r="J164" s="60">
        <v>1</v>
      </c>
      <c r="K164" s="33">
        <f t="shared" si="18"/>
        <v>17088</v>
      </c>
      <c r="L164" s="33">
        <f t="shared" si="19"/>
        <v>17088</v>
      </c>
      <c r="M164" s="200">
        <f t="shared" si="20"/>
        <v>17088</v>
      </c>
      <c r="N164" s="126"/>
      <c r="O164" s="44" t="s">
        <v>1781</v>
      </c>
      <c r="P164" s="33">
        <f t="shared" si="21"/>
        <v>17088</v>
      </c>
      <c r="Q164" s="33">
        <f>+'[1]bg dn2'!Z260</f>
        <v>17088</v>
      </c>
      <c r="R164" s="33">
        <f t="shared" si="22"/>
        <v>0</v>
      </c>
      <c r="S164" s="132"/>
    </row>
    <row r="165" spans="1:19">
      <c r="A165" s="29">
        <f t="shared" si="23"/>
        <v>161</v>
      </c>
      <c r="B165" s="54" t="s">
        <v>495</v>
      </c>
      <c r="C165" s="55" t="s">
        <v>496</v>
      </c>
      <c r="D165" s="63">
        <v>43079</v>
      </c>
      <c r="E165" s="195">
        <v>537127</v>
      </c>
      <c r="F165" s="196">
        <f t="shared" si="16"/>
        <v>537127</v>
      </c>
      <c r="G165" s="59">
        <f t="shared" si="17"/>
        <v>537127</v>
      </c>
      <c r="H165" s="57">
        <v>0</v>
      </c>
      <c r="I165" s="60">
        <v>1</v>
      </c>
      <c r="J165" s="60">
        <v>1</v>
      </c>
      <c r="K165" s="33">
        <f t="shared" si="18"/>
        <v>537127</v>
      </c>
      <c r="L165" s="33">
        <f t="shared" si="19"/>
        <v>537127</v>
      </c>
      <c r="M165" s="200">
        <f t="shared" si="20"/>
        <v>537127</v>
      </c>
      <c r="N165" s="126"/>
      <c r="O165" s="197" t="s">
        <v>1748</v>
      </c>
      <c r="P165" s="33">
        <f t="shared" si="21"/>
        <v>537127</v>
      </c>
      <c r="Q165" s="33">
        <f>+'[1]bg dn2'!Z261</f>
        <v>537127</v>
      </c>
      <c r="R165" s="33">
        <f t="shared" si="22"/>
        <v>0</v>
      </c>
      <c r="S165" s="132"/>
    </row>
    <row r="166" spans="1:19">
      <c r="A166" s="29">
        <f t="shared" si="23"/>
        <v>162</v>
      </c>
      <c r="B166" s="54" t="s">
        <v>495</v>
      </c>
      <c r="C166" s="55" t="s">
        <v>496</v>
      </c>
      <c r="D166" s="63">
        <v>43079</v>
      </c>
      <c r="E166" s="195">
        <v>537126</v>
      </c>
      <c r="F166" s="196">
        <f t="shared" si="16"/>
        <v>537126</v>
      </c>
      <c r="G166" s="59">
        <f t="shared" si="17"/>
        <v>537126</v>
      </c>
      <c r="H166" s="57">
        <v>0</v>
      </c>
      <c r="I166" s="60">
        <v>1</v>
      </c>
      <c r="J166" s="60">
        <v>1</v>
      </c>
      <c r="K166" s="33">
        <f t="shared" si="18"/>
        <v>537126</v>
      </c>
      <c r="L166" s="33">
        <f t="shared" si="19"/>
        <v>537126</v>
      </c>
      <c r="M166" s="200">
        <f t="shared" si="20"/>
        <v>537126</v>
      </c>
      <c r="N166" s="126"/>
      <c r="O166" s="197" t="s">
        <v>1748</v>
      </c>
      <c r="P166" s="33">
        <f t="shared" si="21"/>
        <v>537126</v>
      </c>
      <c r="Q166" s="33">
        <f>+'[1]bg dn2'!Z262</f>
        <v>537126</v>
      </c>
      <c r="R166" s="33">
        <f t="shared" si="22"/>
        <v>0</v>
      </c>
      <c r="S166" s="132"/>
    </row>
    <row r="167" spans="1:19">
      <c r="A167" s="29">
        <f t="shared" si="23"/>
        <v>163</v>
      </c>
      <c r="B167" s="54" t="s">
        <v>495</v>
      </c>
      <c r="C167" s="55" t="s">
        <v>496</v>
      </c>
      <c r="D167" s="63">
        <v>43079</v>
      </c>
      <c r="E167" s="195">
        <v>17088</v>
      </c>
      <c r="F167" s="196">
        <f t="shared" si="16"/>
        <v>17088</v>
      </c>
      <c r="G167" s="59">
        <f t="shared" si="17"/>
        <v>17088</v>
      </c>
      <c r="H167" s="57">
        <v>0</v>
      </c>
      <c r="I167" s="60">
        <v>1</v>
      </c>
      <c r="J167" s="60">
        <v>1</v>
      </c>
      <c r="K167" s="33">
        <f t="shared" si="18"/>
        <v>17088</v>
      </c>
      <c r="L167" s="33">
        <f t="shared" si="19"/>
        <v>17088</v>
      </c>
      <c r="M167" s="200">
        <f t="shared" si="20"/>
        <v>17088</v>
      </c>
      <c r="N167" s="126"/>
      <c r="O167" s="197" t="s">
        <v>1748</v>
      </c>
      <c r="P167" s="33">
        <f t="shared" si="21"/>
        <v>17088</v>
      </c>
      <c r="Q167" s="33">
        <f>+'[1]bg dn2'!Z263</f>
        <v>17088</v>
      </c>
      <c r="R167" s="33">
        <f t="shared" si="22"/>
        <v>0</v>
      </c>
      <c r="S167" s="132"/>
    </row>
    <row r="168" spans="1:19">
      <c r="A168" s="29">
        <f t="shared" si="23"/>
        <v>164</v>
      </c>
      <c r="B168" s="54" t="s">
        <v>495</v>
      </c>
      <c r="C168" s="55" t="s">
        <v>496</v>
      </c>
      <c r="D168" s="63">
        <v>43110</v>
      </c>
      <c r="E168" s="195">
        <v>537127</v>
      </c>
      <c r="F168" s="196">
        <f t="shared" si="16"/>
        <v>537127</v>
      </c>
      <c r="G168" s="59">
        <f t="shared" si="17"/>
        <v>537127</v>
      </c>
      <c r="H168" s="57">
        <v>0</v>
      </c>
      <c r="I168" s="60">
        <v>1</v>
      </c>
      <c r="J168" s="60">
        <v>1</v>
      </c>
      <c r="K168" s="33">
        <f t="shared" si="18"/>
        <v>537127</v>
      </c>
      <c r="L168" s="33">
        <f t="shared" si="19"/>
        <v>537127</v>
      </c>
      <c r="M168" s="200">
        <f t="shared" si="20"/>
        <v>537127</v>
      </c>
      <c r="N168" s="126"/>
      <c r="O168" s="197" t="s">
        <v>1749</v>
      </c>
      <c r="P168" s="33">
        <f t="shared" si="21"/>
        <v>537127</v>
      </c>
      <c r="Q168" s="33">
        <f>+'[1]bg dn2'!Z264</f>
        <v>537127</v>
      </c>
      <c r="R168" s="33">
        <f t="shared" si="22"/>
        <v>0</v>
      </c>
      <c r="S168" s="132"/>
    </row>
    <row r="169" spans="1:19">
      <c r="A169" s="29">
        <f t="shared" si="23"/>
        <v>165</v>
      </c>
      <c r="B169" s="54" t="s">
        <v>495</v>
      </c>
      <c r="C169" s="55" t="s">
        <v>496</v>
      </c>
      <c r="D169" s="63">
        <v>43110</v>
      </c>
      <c r="E169" s="195">
        <v>537126</v>
      </c>
      <c r="F169" s="196">
        <f t="shared" si="16"/>
        <v>537126</v>
      </c>
      <c r="G169" s="59">
        <f t="shared" si="17"/>
        <v>537126</v>
      </c>
      <c r="H169" s="57">
        <v>0</v>
      </c>
      <c r="I169" s="60">
        <v>1</v>
      </c>
      <c r="J169" s="60">
        <v>1</v>
      </c>
      <c r="K169" s="33">
        <f t="shared" si="18"/>
        <v>537126</v>
      </c>
      <c r="L169" s="33">
        <f t="shared" si="19"/>
        <v>537126</v>
      </c>
      <c r="M169" s="200">
        <f t="shared" si="20"/>
        <v>537126</v>
      </c>
      <c r="N169" s="126"/>
      <c r="O169" s="197" t="s">
        <v>1749</v>
      </c>
      <c r="P169" s="33">
        <f t="shared" si="21"/>
        <v>537126</v>
      </c>
      <c r="Q169" s="33">
        <f>+'[1]bg dn2'!Z265</f>
        <v>537126</v>
      </c>
      <c r="R169" s="33">
        <f t="shared" si="22"/>
        <v>0</v>
      </c>
      <c r="S169" s="132"/>
    </row>
    <row r="170" spans="1:19">
      <c r="A170" s="29">
        <f t="shared" si="23"/>
        <v>166</v>
      </c>
      <c r="B170" s="54" t="s">
        <v>495</v>
      </c>
      <c r="C170" s="55" t="s">
        <v>496</v>
      </c>
      <c r="D170" s="63">
        <v>43110</v>
      </c>
      <c r="E170" s="195">
        <v>17088</v>
      </c>
      <c r="F170" s="196">
        <f t="shared" si="16"/>
        <v>17088</v>
      </c>
      <c r="G170" s="59">
        <f t="shared" si="17"/>
        <v>17088</v>
      </c>
      <c r="H170" s="57">
        <v>0</v>
      </c>
      <c r="I170" s="60">
        <v>1</v>
      </c>
      <c r="J170" s="60">
        <v>1</v>
      </c>
      <c r="K170" s="33">
        <f t="shared" si="18"/>
        <v>17088</v>
      </c>
      <c r="L170" s="33">
        <f t="shared" si="19"/>
        <v>17088</v>
      </c>
      <c r="M170" s="200">
        <f t="shared" si="20"/>
        <v>17088</v>
      </c>
      <c r="N170" s="126"/>
      <c r="O170" s="197" t="s">
        <v>1749</v>
      </c>
      <c r="P170" s="33">
        <f t="shared" si="21"/>
        <v>17088</v>
      </c>
      <c r="Q170" s="33">
        <f>+'[1]bg dn2'!Z266</f>
        <v>17088</v>
      </c>
      <c r="R170" s="33">
        <f t="shared" si="22"/>
        <v>0</v>
      </c>
      <c r="S170" s="132"/>
    </row>
    <row r="171" spans="1:19">
      <c r="A171" s="29">
        <f t="shared" si="23"/>
        <v>167</v>
      </c>
      <c r="B171" s="54" t="s">
        <v>519</v>
      </c>
      <c r="C171" s="55" t="s">
        <v>520</v>
      </c>
      <c r="D171" s="63">
        <v>42745</v>
      </c>
      <c r="E171" s="203">
        <f>1500000-26643</f>
        <v>1473357</v>
      </c>
      <c r="F171" s="196">
        <f t="shared" si="16"/>
        <v>1473357</v>
      </c>
      <c r="G171" s="59">
        <f t="shared" si="17"/>
        <v>1473357</v>
      </c>
      <c r="H171" s="57">
        <v>0</v>
      </c>
      <c r="I171" s="60">
        <v>1</v>
      </c>
      <c r="J171" s="60">
        <v>1</v>
      </c>
      <c r="K171" s="33">
        <f t="shared" si="18"/>
        <v>1473357</v>
      </c>
      <c r="L171" s="33">
        <f t="shared" si="19"/>
        <v>1473357</v>
      </c>
      <c r="M171" s="33">
        <f t="shared" si="20"/>
        <v>1473357</v>
      </c>
      <c r="N171" s="126"/>
      <c r="O171" s="44" t="s">
        <v>1771</v>
      </c>
      <c r="P171" s="33">
        <f t="shared" si="21"/>
        <v>1473357</v>
      </c>
      <c r="Q171" s="33">
        <f>+'[1]bg dn2'!Z267</f>
        <v>1473357</v>
      </c>
      <c r="R171" s="33">
        <f t="shared" si="22"/>
        <v>0</v>
      </c>
      <c r="S171" s="132"/>
    </row>
    <row r="172" spans="1:19">
      <c r="A172" s="29">
        <f t="shared" si="23"/>
        <v>168</v>
      </c>
      <c r="B172" s="54" t="s">
        <v>519</v>
      </c>
      <c r="C172" s="55" t="s">
        <v>520</v>
      </c>
      <c r="D172" s="63">
        <v>42926</v>
      </c>
      <c r="E172" s="210">
        <v>1500000</v>
      </c>
      <c r="F172" s="196">
        <f t="shared" si="16"/>
        <v>1500000</v>
      </c>
      <c r="G172" s="59">
        <f t="shared" si="17"/>
        <v>1500000</v>
      </c>
      <c r="H172" s="57">
        <v>0</v>
      </c>
      <c r="I172" s="60">
        <v>1</v>
      </c>
      <c r="J172" s="60">
        <v>1</v>
      </c>
      <c r="K172" s="33">
        <f t="shared" si="18"/>
        <v>1500000</v>
      </c>
      <c r="L172" s="33">
        <f t="shared" si="19"/>
        <v>1500000</v>
      </c>
      <c r="M172" s="200">
        <f t="shared" si="20"/>
        <v>1500000</v>
      </c>
      <c r="N172" s="126"/>
      <c r="O172" s="44" t="s">
        <v>1777</v>
      </c>
      <c r="P172" s="33">
        <f t="shared" si="21"/>
        <v>1500000</v>
      </c>
      <c r="Q172" s="33">
        <f>+'[1]bg dn2'!Z268</f>
        <v>1500000</v>
      </c>
      <c r="R172" s="33">
        <f t="shared" si="22"/>
        <v>0</v>
      </c>
      <c r="S172" s="132"/>
    </row>
    <row r="173" spans="1:19">
      <c r="A173" s="29">
        <f t="shared" si="23"/>
        <v>169</v>
      </c>
      <c r="B173" s="54" t="s">
        <v>519</v>
      </c>
      <c r="C173" s="55" t="s">
        <v>520</v>
      </c>
      <c r="D173" s="63">
        <v>42957</v>
      </c>
      <c r="E173" s="208">
        <v>1500000</v>
      </c>
      <c r="F173" s="196">
        <f t="shared" si="16"/>
        <v>1500000</v>
      </c>
      <c r="G173" s="59">
        <f t="shared" si="17"/>
        <v>1500000</v>
      </c>
      <c r="H173" s="57">
        <v>0</v>
      </c>
      <c r="I173" s="60">
        <v>1</v>
      </c>
      <c r="J173" s="60">
        <v>1</v>
      </c>
      <c r="K173" s="33">
        <f t="shared" si="18"/>
        <v>1500000</v>
      </c>
      <c r="L173" s="33">
        <f t="shared" si="19"/>
        <v>1500000</v>
      </c>
      <c r="M173" s="200">
        <f t="shared" si="20"/>
        <v>1500000</v>
      </c>
      <c r="N173" s="126"/>
      <c r="O173" s="44" t="s">
        <v>1778</v>
      </c>
      <c r="P173" s="33">
        <f t="shared" si="21"/>
        <v>1500000</v>
      </c>
      <c r="Q173" s="33">
        <f>+'[1]bg dn2'!Z269</f>
        <v>1500000</v>
      </c>
      <c r="R173" s="33">
        <f t="shared" si="22"/>
        <v>0</v>
      </c>
      <c r="S173" s="132"/>
    </row>
    <row r="174" spans="1:19">
      <c r="A174" s="29">
        <f t="shared" si="23"/>
        <v>170</v>
      </c>
      <c r="B174" s="54" t="s">
        <v>519</v>
      </c>
      <c r="C174" s="55" t="s">
        <v>520</v>
      </c>
      <c r="D174" s="63">
        <v>42988</v>
      </c>
      <c r="E174" s="210">
        <v>1500000</v>
      </c>
      <c r="F174" s="196">
        <f t="shared" si="16"/>
        <v>1500000</v>
      </c>
      <c r="G174" s="59">
        <f t="shared" si="17"/>
        <v>1500000</v>
      </c>
      <c r="H174" s="57">
        <v>0</v>
      </c>
      <c r="I174" s="60">
        <v>1</v>
      </c>
      <c r="J174" s="60">
        <v>1</v>
      </c>
      <c r="K174" s="33">
        <f t="shared" si="18"/>
        <v>1500000</v>
      </c>
      <c r="L174" s="33">
        <f t="shared" si="19"/>
        <v>1500000</v>
      </c>
      <c r="M174" s="200">
        <f t="shared" si="20"/>
        <v>1500000</v>
      </c>
      <c r="N174" s="209"/>
      <c r="O174" s="44" t="s">
        <v>1779</v>
      </c>
      <c r="P174" s="33">
        <f t="shared" si="21"/>
        <v>1500000</v>
      </c>
      <c r="Q174" s="33">
        <f>+'[1]bg dn2'!Z270</f>
        <v>1500000</v>
      </c>
      <c r="R174" s="33">
        <f t="shared" si="22"/>
        <v>0</v>
      </c>
      <c r="S174" s="132"/>
    </row>
    <row r="175" spans="1:19">
      <c r="A175" s="29">
        <f t="shared" si="23"/>
        <v>171</v>
      </c>
      <c r="B175" s="54" t="s">
        <v>519</v>
      </c>
      <c r="C175" s="55" t="s">
        <v>520</v>
      </c>
      <c r="D175" s="63">
        <v>43018</v>
      </c>
      <c r="E175" s="208">
        <v>1500000</v>
      </c>
      <c r="F175" s="196">
        <f t="shared" si="16"/>
        <v>1500000</v>
      </c>
      <c r="G175" s="59">
        <f t="shared" si="17"/>
        <v>1500000</v>
      </c>
      <c r="H175" s="57">
        <v>0</v>
      </c>
      <c r="I175" s="60">
        <v>1</v>
      </c>
      <c r="J175" s="60">
        <v>1</v>
      </c>
      <c r="K175" s="33">
        <f t="shared" si="18"/>
        <v>1500000</v>
      </c>
      <c r="L175" s="33">
        <f t="shared" si="19"/>
        <v>1500000</v>
      </c>
      <c r="M175" s="200">
        <f t="shared" si="20"/>
        <v>1500000</v>
      </c>
      <c r="N175" s="126"/>
      <c r="O175" s="44" t="s">
        <v>1780</v>
      </c>
      <c r="P175" s="33">
        <f t="shared" si="21"/>
        <v>1500000</v>
      </c>
      <c r="Q175" s="33">
        <f>+'[1]bg dn2'!Z271</f>
        <v>1500000</v>
      </c>
      <c r="R175" s="33">
        <f t="shared" si="22"/>
        <v>0</v>
      </c>
      <c r="S175" s="132"/>
    </row>
    <row r="176" spans="1:19">
      <c r="A176" s="29">
        <f t="shared" si="23"/>
        <v>172</v>
      </c>
      <c r="B176" s="54" t="s">
        <v>519</v>
      </c>
      <c r="C176" s="55" t="s">
        <v>520</v>
      </c>
      <c r="D176" s="63">
        <v>43018</v>
      </c>
      <c r="E176" s="210">
        <v>1500000</v>
      </c>
      <c r="F176" s="196">
        <f t="shared" si="16"/>
        <v>1500000</v>
      </c>
      <c r="G176" s="59">
        <f t="shared" si="17"/>
        <v>1500000</v>
      </c>
      <c r="H176" s="57">
        <v>0</v>
      </c>
      <c r="I176" s="60">
        <v>1</v>
      </c>
      <c r="J176" s="60">
        <v>1</v>
      </c>
      <c r="K176" s="33">
        <f t="shared" si="18"/>
        <v>1500000</v>
      </c>
      <c r="L176" s="33">
        <f t="shared" si="19"/>
        <v>1500000</v>
      </c>
      <c r="M176" s="200">
        <f t="shared" si="20"/>
        <v>1500000</v>
      </c>
      <c r="N176" s="126"/>
      <c r="O176" s="44" t="s">
        <v>1780</v>
      </c>
      <c r="P176" s="33">
        <f t="shared" si="21"/>
        <v>1500000</v>
      </c>
      <c r="Q176" s="33">
        <f>+'[1]bg dn2'!Z272</f>
        <v>1500000</v>
      </c>
      <c r="R176" s="33">
        <f t="shared" si="22"/>
        <v>0</v>
      </c>
      <c r="S176" s="132"/>
    </row>
    <row r="177" spans="1:19">
      <c r="A177" s="29">
        <f t="shared" si="23"/>
        <v>173</v>
      </c>
      <c r="B177" s="54" t="s">
        <v>519</v>
      </c>
      <c r="C177" s="55" t="s">
        <v>520</v>
      </c>
      <c r="D177" s="63">
        <v>43049</v>
      </c>
      <c r="E177" s="208">
        <v>1500000</v>
      </c>
      <c r="F177" s="196">
        <f t="shared" si="16"/>
        <v>1500000</v>
      </c>
      <c r="G177" s="59">
        <f t="shared" si="17"/>
        <v>1500000</v>
      </c>
      <c r="H177" s="57">
        <v>0</v>
      </c>
      <c r="I177" s="60">
        <v>1</v>
      </c>
      <c r="J177" s="60">
        <v>1</v>
      </c>
      <c r="K177" s="33">
        <f t="shared" si="18"/>
        <v>1500000</v>
      </c>
      <c r="L177" s="33">
        <f t="shared" si="19"/>
        <v>1500000</v>
      </c>
      <c r="M177" s="200">
        <f t="shared" si="20"/>
        <v>1500000</v>
      </c>
      <c r="N177" s="126"/>
      <c r="O177" s="44" t="s">
        <v>1781</v>
      </c>
      <c r="P177" s="33">
        <f t="shared" si="21"/>
        <v>1500000</v>
      </c>
      <c r="Q177" s="33">
        <f>+'[1]bg dn2'!Z273</f>
        <v>1500000</v>
      </c>
      <c r="R177" s="33">
        <f t="shared" si="22"/>
        <v>0</v>
      </c>
      <c r="S177" s="132"/>
    </row>
    <row r="178" spans="1:19">
      <c r="A178" s="29">
        <f t="shared" si="23"/>
        <v>174</v>
      </c>
      <c r="B178" s="54" t="s">
        <v>519</v>
      </c>
      <c r="C178" s="55" t="s">
        <v>520</v>
      </c>
      <c r="D178" s="63">
        <v>43049</v>
      </c>
      <c r="E178" s="210">
        <v>1500000</v>
      </c>
      <c r="F178" s="196">
        <f t="shared" si="16"/>
        <v>1500000</v>
      </c>
      <c r="G178" s="59">
        <f t="shared" si="17"/>
        <v>1500000</v>
      </c>
      <c r="H178" s="57">
        <v>0</v>
      </c>
      <c r="I178" s="60">
        <v>1</v>
      </c>
      <c r="J178" s="60">
        <v>1</v>
      </c>
      <c r="K178" s="33">
        <f t="shared" si="18"/>
        <v>1500000</v>
      </c>
      <c r="L178" s="33">
        <f t="shared" si="19"/>
        <v>1500000</v>
      </c>
      <c r="M178" s="200">
        <f t="shared" si="20"/>
        <v>1500000</v>
      </c>
      <c r="N178" s="126"/>
      <c r="O178" s="44" t="s">
        <v>1781</v>
      </c>
      <c r="P178" s="33">
        <f t="shared" si="21"/>
        <v>1500000</v>
      </c>
      <c r="Q178" s="33">
        <f>+'[1]bg dn2'!Z274</f>
        <v>1500000</v>
      </c>
      <c r="R178" s="33">
        <f t="shared" si="22"/>
        <v>0</v>
      </c>
      <c r="S178" s="132"/>
    </row>
    <row r="179" spans="1:19">
      <c r="A179" s="29">
        <f t="shared" si="23"/>
        <v>175</v>
      </c>
      <c r="B179" s="54" t="s">
        <v>519</v>
      </c>
      <c r="C179" s="55" t="s">
        <v>520</v>
      </c>
      <c r="D179" s="63">
        <v>43079</v>
      </c>
      <c r="E179" s="195">
        <v>1500000</v>
      </c>
      <c r="F179" s="196">
        <f t="shared" si="16"/>
        <v>1500000</v>
      </c>
      <c r="G179" s="59">
        <f t="shared" si="17"/>
        <v>1500000</v>
      </c>
      <c r="H179" s="57">
        <v>0</v>
      </c>
      <c r="I179" s="60">
        <v>1</v>
      </c>
      <c r="J179" s="60">
        <v>1</v>
      </c>
      <c r="K179" s="33">
        <f t="shared" si="18"/>
        <v>1500000</v>
      </c>
      <c r="L179" s="33">
        <f t="shared" si="19"/>
        <v>1500000</v>
      </c>
      <c r="M179" s="200">
        <f t="shared" si="20"/>
        <v>1500000</v>
      </c>
      <c r="N179" s="126"/>
      <c r="O179" s="197" t="s">
        <v>1748</v>
      </c>
      <c r="P179" s="33">
        <f t="shared" si="21"/>
        <v>1500000</v>
      </c>
      <c r="Q179" s="33">
        <f>+'[1]bg dn2'!Z275</f>
        <v>1500000</v>
      </c>
      <c r="R179" s="33">
        <f t="shared" si="22"/>
        <v>0</v>
      </c>
      <c r="S179" s="132"/>
    </row>
    <row r="180" spans="1:19">
      <c r="A180" s="29">
        <f t="shared" si="23"/>
        <v>176</v>
      </c>
      <c r="B180" s="54" t="s">
        <v>519</v>
      </c>
      <c r="C180" s="55" t="s">
        <v>520</v>
      </c>
      <c r="D180" s="63">
        <v>43079</v>
      </c>
      <c r="E180" s="199">
        <v>1500000</v>
      </c>
      <c r="F180" s="196">
        <f t="shared" si="16"/>
        <v>1500000</v>
      </c>
      <c r="G180" s="59">
        <f t="shared" si="17"/>
        <v>1500000</v>
      </c>
      <c r="H180" s="57">
        <v>0</v>
      </c>
      <c r="I180" s="60">
        <v>1</v>
      </c>
      <c r="J180" s="60">
        <v>1</v>
      </c>
      <c r="K180" s="33">
        <f t="shared" si="18"/>
        <v>1500000</v>
      </c>
      <c r="L180" s="33">
        <f t="shared" si="19"/>
        <v>1500000</v>
      </c>
      <c r="M180" s="200">
        <f t="shared" si="20"/>
        <v>1500000</v>
      </c>
      <c r="N180" s="126"/>
      <c r="O180" s="197" t="s">
        <v>1748</v>
      </c>
      <c r="P180" s="33">
        <f t="shared" si="21"/>
        <v>1500000</v>
      </c>
      <c r="Q180" s="33">
        <f>+'[1]bg dn2'!Z276</f>
        <v>1500000</v>
      </c>
      <c r="R180" s="33">
        <f t="shared" si="22"/>
        <v>0</v>
      </c>
      <c r="S180" s="132"/>
    </row>
    <row r="181" spans="1:19">
      <c r="A181" s="29">
        <f t="shared" si="23"/>
        <v>177</v>
      </c>
      <c r="B181" s="54" t="s">
        <v>519</v>
      </c>
      <c r="C181" s="55" t="s">
        <v>520</v>
      </c>
      <c r="D181" s="63">
        <v>43079</v>
      </c>
      <c r="E181" s="195">
        <v>36000</v>
      </c>
      <c r="F181" s="196">
        <f t="shared" si="16"/>
        <v>36000</v>
      </c>
      <c r="G181" s="59">
        <f t="shared" si="17"/>
        <v>36000</v>
      </c>
      <c r="H181" s="57">
        <v>0</v>
      </c>
      <c r="I181" s="60">
        <v>1</v>
      </c>
      <c r="J181" s="60">
        <v>1</v>
      </c>
      <c r="K181" s="33">
        <f t="shared" si="18"/>
        <v>36000</v>
      </c>
      <c r="L181" s="33">
        <f t="shared" si="19"/>
        <v>36000</v>
      </c>
      <c r="M181" s="200">
        <f t="shared" si="20"/>
        <v>36000</v>
      </c>
      <c r="N181" s="126"/>
      <c r="O181" s="197" t="s">
        <v>1748</v>
      </c>
      <c r="P181" s="33">
        <f t="shared" si="21"/>
        <v>36000</v>
      </c>
      <c r="Q181" s="33">
        <f>+'[1]bg dn2'!Z277</f>
        <v>36000</v>
      </c>
      <c r="R181" s="33">
        <f t="shared" si="22"/>
        <v>0</v>
      </c>
      <c r="S181" s="132"/>
    </row>
    <row r="182" spans="1:19">
      <c r="A182" s="29">
        <f t="shared" si="23"/>
        <v>178</v>
      </c>
      <c r="B182" s="54" t="s">
        <v>519</v>
      </c>
      <c r="C182" s="55" t="s">
        <v>520</v>
      </c>
      <c r="D182" s="63">
        <v>43110</v>
      </c>
      <c r="E182" s="195">
        <v>1500000</v>
      </c>
      <c r="F182" s="196">
        <f t="shared" si="16"/>
        <v>1500000</v>
      </c>
      <c r="G182" s="59">
        <f t="shared" si="17"/>
        <v>1500000</v>
      </c>
      <c r="H182" s="57">
        <v>0</v>
      </c>
      <c r="I182" s="60">
        <v>1</v>
      </c>
      <c r="J182" s="60">
        <v>1</v>
      </c>
      <c r="K182" s="33">
        <f t="shared" si="18"/>
        <v>1500000</v>
      </c>
      <c r="L182" s="33">
        <f t="shared" si="19"/>
        <v>1500000</v>
      </c>
      <c r="M182" s="200">
        <f t="shared" si="20"/>
        <v>1500000</v>
      </c>
      <c r="N182" s="126"/>
      <c r="O182" s="197" t="s">
        <v>1749</v>
      </c>
      <c r="P182" s="33">
        <f t="shared" si="21"/>
        <v>1500000</v>
      </c>
      <c r="Q182" s="33">
        <f>+'[1]bg dn2'!Z278</f>
        <v>1500000</v>
      </c>
      <c r="R182" s="33">
        <f t="shared" si="22"/>
        <v>0</v>
      </c>
      <c r="S182" s="132"/>
    </row>
    <row r="183" spans="1:19">
      <c r="A183" s="29">
        <f t="shared" si="23"/>
        <v>179</v>
      </c>
      <c r="B183" s="54" t="s">
        <v>519</v>
      </c>
      <c r="C183" s="55" t="s">
        <v>520</v>
      </c>
      <c r="D183" s="63">
        <v>43110</v>
      </c>
      <c r="E183" s="199">
        <v>1500000</v>
      </c>
      <c r="F183" s="196">
        <f t="shared" si="16"/>
        <v>1500000</v>
      </c>
      <c r="G183" s="59">
        <f t="shared" si="17"/>
        <v>1500000</v>
      </c>
      <c r="H183" s="57">
        <v>0</v>
      </c>
      <c r="I183" s="60">
        <v>1</v>
      </c>
      <c r="J183" s="60">
        <v>1</v>
      </c>
      <c r="K183" s="33">
        <f t="shared" si="18"/>
        <v>1500000</v>
      </c>
      <c r="L183" s="33">
        <f t="shared" si="19"/>
        <v>1500000</v>
      </c>
      <c r="M183" s="200">
        <f t="shared" si="20"/>
        <v>1500000</v>
      </c>
      <c r="N183" s="126"/>
      <c r="O183" s="197" t="s">
        <v>1749</v>
      </c>
      <c r="P183" s="33">
        <f t="shared" si="21"/>
        <v>1500000</v>
      </c>
      <c r="Q183" s="33">
        <f>+'[1]bg dn2'!Z279</f>
        <v>1500000</v>
      </c>
      <c r="R183" s="33">
        <f t="shared" si="22"/>
        <v>0</v>
      </c>
      <c r="S183" s="132"/>
    </row>
    <row r="184" spans="1:19">
      <c r="A184" s="29">
        <f t="shared" si="23"/>
        <v>180</v>
      </c>
      <c r="B184" s="54" t="s">
        <v>519</v>
      </c>
      <c r="C184" s="55" t="s">
        <v>520</v>
      </c>
      <c r="D184" s="63">
        <v>43110</v>
      </c>
      <c r="E184" s="195">
        <v>36000</v>
      </c>
      <c r="F184" s="196">
        <f t="shared" si="16"/>
        <v>36000</v>
      </c>
      <c r="G184" s="59">
        <f t="shared" si="17"/>
        <v>36000</v>
      </c>
      <c r="H184" s="57">
        <v>0</v>
      </c>
      <c r="I184" s="60">
        <v>1</v>
      </c>
      <c r="J184" s="60">
        <v>1</v>
      </c>
      <c r="K184" s="33">
        <f t="shared" si="18"/>
        <v>36000</v>
      </c>
      <c r="L184" s="33">
        <f t="shared" si="19"/>
        <v>36000</v>
      </c>
      <c r="M184" s="200">
        <f t="shared" si="20"/>
        <v>36000</v>
      </c>
      <c r="N184" s="126"/>
      <c r="O184" s="197" t="s">
        <v>1749</v>
      </c>
      <c r="P184" s="33">
        <f t="shared" si="21"/>
        <v>36000</v>
      </c>
      <c r="Q184" s="33">
        <f>+'[1]bg dn2'!Z280</f>
        <v>36000</v>
      </c>
      <c r="R184" s="33">
        <f t="shared" si="22"/>
        <v>0</v>
      </c>
      <c r="S184" s="132"/>
    </row>
    <row r="185" spans="1:19">
      <c r="A185" s="29">
        <f t="shared" si="23"/>
        <v>181</v>
      </c>
      <c r="B185" s="54" t="s">
        <v>588</v>
      </c>
      <c r="C185" s="55" t="s">
        <v>589</v>
      </c>
      <c r="D185" s="202">
        <v>42623</v>
      </c>
      <c r="E185" s="203">
        <v>839255</v>
      </c>
      <c r="F185" s="196">
        <f t="shared" si="16"/>
        <v>839255</v>
      </c>
      <c r="G185" s="59">
        <f t="shared" si="17"/>
        <v>839255</v>
      </c>
      <c r="H185" s="57">
        <v>0</v>
      </c>
      <c r="I185" s="60">
        <v>1</v>
      </c>
      <c r="J185" s="60">
        <v>1</v>
      </c>
      <c r="K185" s="33">
        <f t="shared" si="18"/>
        <v>839255</v>
      </c>
      <c r="L185" s="33">
        <f t="shared" si="19"/>
        <v>839255</v>
      </c>
      <c r="M185" s="33">
        <f t="shared" si="20"/>
        <v>839255</v>
      </c>
      <c r="N185" s="126"/>
      <c r="O185" s="44" t="s">
        <v>1767</v>
      </c>
      <c r="P185" s="33">
        <f t="shared" si="21"/>
        <v>839255</v>
      </c>
      <c r="Q185" s="33">
        <f>+'[1]bg dn2'!Z281</f>
        <v>839255</v>
      </c>
      <c r="R185" s="33">
        <f t="shared" si="22"/>
        <v>0</v>
      </c>
      <c r="S185" s="132"/>
    </row>
    <row r="186" spans="1:19">
      <c r="A186" s="29">
        <f t="shared" si="23"/>
        <v>182</v>
      </c>
      <c r="B186" s="54" t="s">
        <v>588</v>
      </c>
      <c r="C186" s="55" t="s">
        <v>589</v>
      </c>
      <c r="D186" s="202">
        <v>42623</v>
      </c>
      <c r="E186" s="203">
        <v>839256</v>
      </c>
      <c r="F186" s="196">
        <f t="shared" si="16"/>
        <v>839256</v>
      </c>
      <c r="G186" s="59">
        <f t="shared" si="17"/>
        <v>839256</v>
      </c>
      <c r="H186" s="57">
        <v>0</v>
      </c>
      <c r="I186" s="60">
        <v>1</v>
      </c>
      <c r="J186" s="60">
        <v>1</v>
      </c>
      <c r="K186" s="33">
        <f t="shared" si="18"/>
        <v>839256</v>
      </c>
      <c r="L186" s="33">
        <f t="shared" si="19"/>
        <v>839256</v>
      </c>
      <c r="M186" s="33">
        <f t="shared" si="20"/>
        <v>839256</v>
      </c>
      <c r="N186" s="126"/>
      <c r="O186" s="44" t="s">
        <v>1767</v>
      </c>
      <c r="P186" s="33">
        <f t="shared" si="21"/>
        <v>839256</v>
      </c>
      <c r="Q186" s="33">
        <f>+'[1]bg dn2'!Z282</f>
        <v>839256</v>
      </c>
      <c r="R186" s="33">
        <f t="shared" si="22"/>
        <v>0</v>
      </c>
      <c r="S186" s="132"/>
    </row>
    <row r="187" spans="1:19">
      <c r="A187" s="29">
        <f t="shared" si="23"/>
        <v>183</v>
      </c>
      <c r="B187" s="54" t="s">
        <v>588</v>
      </c>
      <c r="C187" s="55" t="s">
        <v>589</v>
      </c>
      <c r="D187" s="202">
        <v>42653</v>
      </c>
      <c r="E187" s="203">
        <v>839255</v>
      </c>
      <c r="F187" s="196">
        <f t="shared" si="16"/>
        <v>839255</v>
      </c>
      <c r="G187" s="59">
        <f t="shared" si="17"/>
        <v>839255</v>
      </c>
      <c r="H187" s="57">
        <v>0</v>
      </c>
      <c r="I187" s="60">
        <v>1</v>
      </c>
      <c r="J187" s="60">
        <v>1</v>
      </c>
      <c r="K187" s="33">
        <f t="shared" si="18"/>
        <v>839255</v>
      </c>
      <c r="L187" s="33">
        <f t="shared" si="19"/>
        <v>839255</v>
      </c>
      <c r="M187" s="33">
        <f t="shared" si="20"/>
        <v>839255</v>
      </c>
      <c r="N187" s="126"/>
      <c r="O187" s="44" t="s">
        <v>1768</v>
      </c>
      <c r="P187" s="33">
        <f t="shared" si="21"/>
        <v>839255</v>
      </c>
      <c r="Q187" s="33">
        <f>+'[1]bg dn2'!Z283</f>
        <v>839255</v>
      </c>
      <c r="R187" s="33">
        <f t="shared" si="22"/>
        <v>0</v>
      </c>
      <c r="S187" s="132"/>
    </row>
    <row r="188" spans="1:19">
      <c r="A188" s="29">
        <f t="shared" si="23"/>
        <v>184</v>
      </c>
      <c r="B188" s="54" t="s">
        <v>588</v>
      </c>
      <c r="C188" s="55" t="s">
        <v>589</v>
      </c>
      <c r="D188" s="202">
        <v>42653</v>
      </c>
      <c r="E188" s="203">
        <v>839256</v>
      </c>
      <c r="F188" s="196">
        <f t="shared" si="16"/>
        <v>839256</v>
      </c>
      <c r="G188" s="59">
        <f t="shared" si="17"/>
        <v>839256</v>
      </c>
      <c r="H188" s="57">
        <v>0</v>
      </c>
      <c r="I188" s="60">
        <v>1</v>
      </c>
      <c r="J188" s="60">
        <v>1</v>
      </c>
      <c r="K188" s="33">
        <f t="shared" si="18"/>
        <v>839256</v>
      </c>
      <c r="L188" s="33">
        <f t="shared" si="19"/>
        <v>839256</v>
      </c>
      <c r="M188" s="33">
        <f t="shared" si="20"/>
        <v>839256</v>
      </c>
      <c r="N188" s="126"/>
      <c r="O188" s="44" t="s">
        <v>1768</v>
      </c>
      <c r="P188" s="33">
        <f t="shared" si="21"/>
        <v>839256</v>
      </c>
      <c r="Q188" s="33">
        <f>+'[1]bg dn2'!Z284</f>
        <v>839256</v>
      </c>
      <c r="R188" s="33">
        <f t="shared" si="22"/>
        <v>0</v>
      </c>
      <c r="S188" s="132"/>
    </row>
    <row r="189" spans="1:19">
      <c r="A189" s="29">
        <f t="shared" si="23"/>
        <v>185</v>
      </c>
      <c r="B189" s="54" t="s">
        <v>588</v>
      </c>
      <c r="C189" s="55" t="s">
        <v>589</v>
      </c>
      <c r="D189" s="202">
        <v>42684</v>
      </c>
      <c r="E189" s="203">
        <v>839255</v>
      </c>
      <c r="F189" s="196">
        <f t="shared" si="16"/>
        <v>839255</v>
      </c>
      <c r="G189" s="59">
        <f t="shared" si="17"/>
        <v>839255</v>
      </c>
      <c r="H189" s="57">
        <v>0</v>
      </c>
      <c r="I189" s="60">
        <v>1</v>
      </c>
      <c r="J189" s="60">
        <v>1</v>
      </c>
      <c r="K189" s="33">
        <f t="shared" si="18"/>
        <v>839255</v>
      </c>
      <c r="L189" s="33">
        <f t="shared" si="19"/>
        <v>839255</v>
      </c>
      <c r="M189" s="33">
        <f t="shared" si="20"/>
        <v>839255</v>
      </c>
      <c r="N189" s="126"/>
      <c r="O189" s="44" t="s">
        <v>1769</v>
      </c>
      <c r="P189" s="33">
        <f t="shared" si="21"/>
        <v>839255</v>
      </c>
      <c r="Q189" s="33">
        <f>+'[1]bg dn2'!Z285</f>
        <v>839255</v>
      </c>
      <c r="R189" s="33">
        <f t="shared" si="22"/>
        <v>0</v>
      </c>
      <c r="S189" s="132"/>
    </row>
    <row r="190" spans="1:19">
      <c r="A190" s="29">
        <f t="shared" si="23"/>
        <v>186</v>
      </c>
      <c r="B190" s="54" t="s">
        <v>588</v>
      </c>
      <c r="C190" s="55" t="s">
        <v>589</v>
      </c>
      <c r="D190" s="202">
        <v>42684</v>
      </c>
      <c r="E190" s="203">
        <v>839256</v>
      </c>
      <c r="F190" s="196">
        <f t="shared" si="16"/>
        <v>839256</v>
      </c>
      <c r="G190" s="59">
        <f t="shared" si="17"/>
        <v>839256</v>
      </c>
      <c r="H190" s="57">
        <v>0</v>
      </c>
      <c r="I190" s="60">
        <v>1</v>
      </c>
      <c r="J190" s="60">
        <v>1</v>
      </c>
      <c r="K190" s="33">
        <f t="shared" si="18"/>
        <v>839256</v>
      </c>
      <c r="L190" s="33">
        <f t="shared" si="19"/>
        <v>839256</v>
      </c>
      <c r="M190" s="33">
        <f t="shared" si="20"/>
        <v>839256</v>
      </c>
      <c r="N190" s="126"/>
      <c r="O190" s="44" t="s">
        <v>1769</v>
      </c>
      <c r="P190" s="33">
        <f t="shared" si="21"/>
        <v>839256</v>
      </c>
      <c r="Q190" s="33">
        <f>+'[1]bg dn2'!Z286</f>
        <v>839256</v>
      </c>
      <c r="R190" s="33">
        <f t="shared" si="22"/>
        <v>0</v>
      </c>
      <c r="S190" s="132"/>
    </row>
    <row r="191" spans="1:19">
      <c r="A191" s="29">
        <f t="shared" si="23"/>
        <v>187</v>
      </c>
      <c r="B191" s="54" t="s">
        <v>588</v>
      </c>
      <c r="C191" s="55" t="s">
        <v>589</v>
      </c>
      <c r="D191" s="63">
        <v>42714</v>
      </c>
      <c r="E191" s="203">
        <v>839255</v>
      </c>
      <c r="F191" s="196">
        <f t="shared" si="16"/>
        <v>839255</v>
      </c>
      <c r="G191" s="59">
        <f t="shared" si="17"/>
        <v>839255</v>
      </c>
      <c r="H191" s="57">
        <v>0</v>
      </c>
      <c r="I191" s="60">
        <v>1</v>
      </c>
      <c r="J191" s="60">
        <v>1</v>
      </c>
      <c r="K191" s="33">
        <f t="shared" si="18"/>
        <v>839255</v>
      </c>
      <c r="L191" s="33">
        <f t="shared" si="19"/>
        <v>839255</v>
      </c>
      <c r="M191" s="33">
        <f t="shared" si="20"/>
        <v>839255</v>
      </c>
      <c r="N191" s="126"/>
      <c r="O191" s="44" t="s">
        <v>1770</v>
      </c>
      <c r="P191" s="33">
        <f t="shared" si="21"/>
        <v>839255</v>
      </c>
      <c r="Q191" s="33">
        <f>+'[1]bg dn2'!Z287</f>
        <v>839255</v>
      </c>
      <c r="R191" s="33">
        <f t="shared" si="22"/>
        <v>0</v>
      </c>
      <c r="S191" s="132"/>
    </row>
    <row r="192" spans="1:19">
      <c r="A192" s="29">
        <f t="shared" si="23"/>
        <v>188</v>
      </c>
      <c r="B192" s="54" t="s">
        <v>588</v>
      </c>
      <c r="C192" s="55" t="s">
        <v>589</v>
      </c>
      <c r="D192" s="63">
        <v>42714</v>
      </c>
      <c r="E192" s="203">
        <v>839256</v>
      </c>
      <c r="F192" s="196">
        <f t="shared" si="16"/>
        <v>839256</v>
      </c>
      <c r="G192" s="59">
        <f t="shared" si="17"/>
        <v>839256</v>
      </c>
      <c r="H192" s="57">
        <v>0</v>
      </c>
      <c r="I192" s="60">
        <v>1</v>
      </c>
      <c r="J192" s="60">
        <v>1</v>
      </c>
      <c r="K192" s="33">
        <f t="shared" si="18"/>
        <v>839256</v>
      </c>
      <c r="L192" s="33">
        <f t="shared" si="19"/>
        <v>839256</v>
      </c>
      <c r="M192" s="33">
        <f t="shared" si="20"/>
        <v>839256</v>
      </c>
      <c r="N192" s="126"/>
      <c r="O192" s="44" t="s">
        <v>1770</v>
      </c>
      <c r="P192" s="33">
        <f t="shared" si="21"/>
        <v>839256</v>
      </c>
      <c r="Q192" s="33">
        <f>+'[1]bg dn2'!Z288</f>
        <v>839256</v>
      </c>
      <c r="R192" s="33">
        <f t="shared" si="22"/>
        <v>0</v>
      </c>
      <c r="S192" s="132"/>
    </row>
    <row r="193" spans="1:19">
      <c r="A193" s="29">
        <f t="shared" si="23"/>
        <v>189</v>
      </c>
      <c r="B193" s="54" t="s">
        <v>588</v>
      </c>
      <c r="C193" s="55" t="s">
        <v>589</v>
      </c>
      <c r="D193" s="63">
        <v>42745</v>
      </c>
      <c r="E193" s="203">
        <v>839255</v>
      </c>
      <c r="F193" s="196">
        <f t="shared" si="16"/>
        <v>839255</v>
      </c>
      <c r="G193" s="59">
        <f t="shared" si="17"/>
        <v>839255</v>
      </c>
      <c r="H193" s="57">
        <v>0</v>
      </c>
      <c r="I193" s="60">
        <v>1</v>
      </c>
      <c r="J193" s="60">
        <v>1</v>
      </c>
      <c r="K193" s="33">
        <f t="shared" si="18"/>
        <v>839255</v>
      </c>
      <c r="L193" s="33">
        <f t="shared" si="19"/>
        <v>839255</v>
      </c>
      <c r="M193" s="33">
        <f t="shared" si="20"/>
        <v>839255</v>
      </c>
      <c r="N193" s="126"/>
      <c r="O193" s="44" t="s">
        <v>1771</v>
      </c>
      <c r="P193" s="33">
        <f t="shared" si="21"/>
        <v>839255</v>
      </c>
      <c r="Q193" s="33">
        <f>+'[1]bg dn2'!Z289</f>
        <v>839255</v>
      </c>
      <c r="R193" s="33">
        <f t="shared" si="22"/>
        <v>0</v>
      </c>
      <c r="S193" s="132"/>
    </row>
    <row r="194" spans="1:19">
      <c r="A194" s="29">
        <f t="shared" si="23"/>
        <v>190</v>
      </c>
      <c r="B194" s="54" t="s">
        <v>588</v>
      </c>
      <c r="C194" s="55" t="s">
        <v>589</v>
      </c>
      <c r="D194" s="63">
        <v>42745</v>
      </c>
      <c r="E194" s="203">
        <v>839256</v>
      </c>
      <c r="F194" s="196">
        <f t="shared" si="16"/>
        <v>839256</v>
      </c>
      <c r="G194" s="59">
        <f t="shared" si="17"/>
        <v>839256</v>
      </c>
      <c r="H194" s="57">
        <v>0</v>
      </c>
      <c r="I194" s="60">
        <v>1</v>
      </c>
      <c r="J194" s="60">
        <v>1</v>
      </c>
      <c r="K194" s="33">
        <f t="shared" si="18"/>
        <v>839256</v>
      </c>
      <c r="L194" s="33">
        <f t="shared" si="19"/>
        <v>839256</v>
      </c>
      <c r="M194" s="33">
        <f t="shared" si="20"/>
        <v>839256</v>
      </c>
      <c r="N194" s="126"/>
      <c r="O194" s="44" t="s">
        <v>1771</v>
      </c>
      <c r="P194" s="33">
        <f t="shared" si="21"/>
        <v>839256</v>
      </c>
      <c r="Q194" s="33">
        <f>+'[1]bg dn2'!Z290</f>
        <v>839256</v>
      </c>
      <c r="R194" s="33">
        <f t="shared" si="22"/>
        <v>0</v>
      </c>
      <c r="S194" s="132"/>
    </row>
    <row r="195" spans="1:19">
      <c r="A195" s="29">
        <f t="shared" si="23"/>
        <v>191</v>
      </c>
      <c r="B195" s="54" t="s">
        <v>588</v>
      </c>
      <c r="C195" s="55" t="s">
        <v>589</v>
      </c>
      <c r="D195" s="63">
        <v>42776</v>
      </c>
      <c r="E195" s="203">
        <v>839255</v>
      </c>
      <c r="F195" s="196">
        <f t="shared" si="16"/>
        <v>839255</v>
      </c>
      <c r="G195" s="59">
        <f t="shared" si="17"/>
        <v>839255</v>
      </c>
      <c r="H195" s="57">
        <v>0</v>
      </c>
      <c r="I195" s="60">
        <v>1</v>
      </c>
      <c r="J195" s="60">
        <v>1</v>
      </c>
      <c r="K195" s="33">
        <f t="shared" si="18"/>
        <v>839255</v>
      </c>
      <c r="L195" s="33">
        <f t="shared" si="19"/>
        <v>839255</v>
      </c>
      <c r="M195" s="33">
        <f t="shared" si="20"/>
        <v>839255</v>
      </c>
      <c r="N195" s="126"/>
      <c r="O195" s="44" t="s">
        <v>1772</v>
      </c>
      <c r="P195" s="33">
        <f t="shared" si="21"/>
        <v>839255</v>
      </c>
      <c r="Q195" s="33">
        <f>+'[1]bg dn2'!Z291</f>
        <v>839255</v>
      </c>
      <c r="R195" s="33">
        <f t="shared" si="22"/>
        <v>0</v>
      </c>
      <c r="S195" s="132"/>
    </row>
    <row r="196" spans="1:19">
      <c r="A196" s="29">
        <f t="shared" si="23"/>
        <v>192</v>
      </c>
      <c r="B196" s="54" t="s">
        <v>588</v>
      </c>
      <c r="C196" s="55" t="s">
        <v>589</v>
      </c>
      <c r="D196" s="63">
        <v>42776</v>
      </c>
      <c r="E196" s="203">
        <v>839256</v>
      </c>
      <c r="F196" s="196">
        <f t="shared" si="16"/>
        <v>839256</v>
      </c>
      <c r="G196" s="59">
        <f t="shared" si="17"/>
        <v>839256</v>
      </c>
      <c r="H196" s="57">
        <v>0</v>
      </c>
      <c r="I196" s="60">
        <v>1</v>
      </c>
      <c r="J196" s="60">
        <v>1</v>
      </c>
      <c r="K196" s="33">
        <f t="shared" si="18"/>
        <v>839256</v>
      </c>
      <c r="L196" s="33">
        <f t="shared" si="19"/>
        <v>839256</v>
      </c>
      <c r="M196" s="33">
        <f t="shared" si="20"/>
        <v>839256</v>
      </c>
      <c r="N196" s="126"/>
      <c r="O196" s="44" t="s">
        <v>1772</v>
      </c>
      <c r="P196" s="33">
        <f t="shared" si="21"/>
        <v>839256</v>
      </c>
      <c r="Q196" s="33">
        <f>+'[1]bg dn2'!Z292</f>
        <v>839256</v>
      </c>
      <c r="R196" s="33">
        <f t="shared" si="22"/>
        <v>0</v>
      </c>
      <c r="S196" s="132"/>
    </row>
    <row r="197" spans="1:19">
      <c r="A197" s="29">
        <f t="shared" si="23"/>
        <v>193</v>
      </c>
      <c r="B197" s="54" t="s">
        <v>588</v>
      </c>
      <c r="C197" s="55" t="s">
        <v>589</v>
      </c>
      <c r="D197" s="63">
        <v>42804</v>
      </c>
      <c r="E197" s="203">
        <v>839255</v>
      </c>
      <c r="F197" s="196">
        <f t="shared" ref="F197:F260" si="24">+I197*K197</f>
        <v>839255</v>
      </c>
      <c r="G197" s="59">
        <f t="shared" ref="G197:G260" si="25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6">+G197+H197</f>
        <v>839255</v>
      </c>
      <c r="L197" s="33">
        <f t="shared" ref="L197:L260" si="27">+J197*K197</f>
        <v>839255</v>
      </c>
      <c r="M197" s="33">
        <f t="shared" ref="M197:M260" si="28">+G197*J197</f>
        <v>839255</v>
      </c>
      <c r="N197" s="126"/>
      <c r="O197" s="44" t="s">
        <v>1773</v>
      </c>
      <c r="P197" s="33">
        <f t="shared" ref="P197:P260" si="29">+M197</f>
        <v>839255</v>
      </c>
      <c r="Q197" s="33">
        <f>+'[1]bg dn2'!Z293</f>
        <v>839255</v>
      </c>
      <c r="R197" s="33">
        <f t="shared" ref="R197:R260" si="30">+P197-Q197</f>
        <v>0</v>
      </c>
      <c r="S197" s="132"/>
    </row>
    <row r="198" spans="1:19">
      <c r="A198" s="29">
        <f t="shared" ref="A198:A261" si="31">+A197+1</f>
        <v>194</v>
      </c>
      <c r="B198" s="54" t="s">
        <v>588</v>
      </c>
      <c r="C198" s="55" t="s">
        <v>589</v>
      </c>
      <c r="D198" s="63">
        <v>42804</v>
      </c>
      <c r="E198" s="203">
        <v>839256</v>
      </c>
      <c r="F198" s="196">
        <f t="shared" si="24"/>
        <v>839256</v>
      </c>
      <c r="G198" s="59">
        <f t="shared" si="25"/>
        <v>839256</v>
      </c>
      <c r="H198" s="57">
        <v>0</v>
      </c>
      <c r="I198" s="60">
        <v>1</v>
      </c>
      <c r="J198" s="60">
        <v>1</v>
      </c>
      <c r="K198" s="33">
        <f t="shared" si="26"/>
        <v>839256</v>
      </c>
      <c r="L198" s="33">
        <f t="shared" si="27"/>
        <v>839256</v>
      </c>
      <c r="M198" s="33">
        <f t="shared" si="28"/>
        <v>839256</v>
      </c>
      <c r="N198" s="126"/>
      <c r="O198" s="44" t="s">
        <v>1773</v>
      </c>
      <c r="P198" s="33">
        <f t="shared" si="29"/>
        <v>839256</v>
      </c>
      <c r="Q198" s="33">
        <f>+'[1]bg dn2'!Z294</f>
        <v>839256</v>
      </c>
      <c r="R198" s="33">
        <f t="shared" si="30"/>
        <v>0</v>
      </c>
      <c r="S198" s="132"/>
    </row>
    <row r="199" spans="1:19">
      <c r="A199" s="29">
        <f t="shared" si="31"/>
        <v>195</v>
      </c>
      <c r="B199" s="54" t="s">
        <v>588</v>
      </c>
      <c r="C199" s="55" t="s">
        <v>589</v>
      </c>
      <c r="D199" s="63">
        <v>42835</v>
      </c>
      <c r="E199" s="203">
        <v>839255</v>
      </c>
      <c r="F199" s="196">
        <f t="shared" si="24"/>
        <v>839255</v>
      </c>
      <c r="G199" s="59">
        <f t="shared" si="25"/>
        <v>839255</v>
      </c>
      <c r="H199" s="57">
        <v>0</v>
      </c>
      <c r="I199" s="60">
        <v>1</v>
      </c>
      <c r="J199" s="60">
        <v>1</v>
      </c>
      <c r="K199" s="33">
        <f t="shared" si="26"/>
        <v>839255</v>
      </c>
      <c r="L199" s="33">
        <f t="shared" si="27"/>
        <v>839255</v>
      </c>
      <c r="M199" s="33">
        <f t="shared" si="28"/>
        <v>839255</v>
      </c>
      <c r="N199" s="126"/>
      <c r="O199" s="44" t="s">
        <v>1774</v>
      </c>
      <c r="P199" s="33">
        <f t="shared" si="29"/>
        <v>839255</v>
      </c>
      <c r="Q199" s="33">
        <f>+'[1]bg dn2'!Z295</f>
        <v>839255</v>
      </c>
      <c r="R199" s="33">
        <f t="shared" si="30"/>
        <v>0</v>
      </c>
      <c r="S199" s="132"/>
    </row>
    <row r="200" spans="1:19">
      <c r="A200" s="29">
        <f t="shared" si="31"/>
        <v>196</v>
      </c>
      <c r="B200" s="54" t="s">
        <v>588</v>
      </c>
      <c r="C200" s="55" t="s">
        <v>589</v>
      </c>
      <c r="D200" s="63">
        <v>42835</v>
      </c>
      <c r="E200" s="203">
        <v>839256</v>
      </c>
      <c r="F200" s="196">
        <f t="shared" si="24"/>
        <v>839256</v>
      </c>
      <c r="G200" s="59">
        <f t="shared" si="25"/>
        <v>839256</v>
      </c>
      <c r="H200" s="57">
        <v>0</v>
      </c>
      <c r="I200" s="60">
        <v>1</v>
      </c>
      <c r="J200" s="60">
        <v>1</v>
      </c>
      <c r="K200" s="33">
        <f t="shared" si="26"/>
        <v>839256</v>
      </c>
      <c r="L200" s="33">
        <f t="shared" si="27"/>
        <v>839256</v>
      </c>
      <c r="M200" s="33">
        <f t="shared" si="28"/>
        <v>839256</v>
      </c>
      <c r="N200" s="126"/>
      <c r="O200" s="44" t="s">
        <v>1774</v>
      </c>
      <c r="P200" s="33">
        <f t="shared" si="29"/>
        <v>839256</v>
      </c>
      <c r="Q200" s="33">
        <f>+'[1]bg dn2'!Z296</f>
        <v>839256</v>
      </c>
      <c r="R200" s="33">
        <f t="shared" si="30"/>
        <v>0</v>
      </c>
      <c r="S200" s="132"/>
    </row>
    <row r="201" spans="1:19">
      <c r="A201" s="29">
        <f t="shared" si="31"/>
        <v>197</v>
      </c>
      <c r="B201" s="54" t="s">
        <v>588</v>
      </c>
      <c r="C201" s="55" t="s">
        <v>589</v>
      </c>
      <c r="D201" s="63">
        <v>42865</v>
      </c>
      <c r="E201" s="59">
        <v>839256</v>
      </c>
      <c r="F201" s="196">
        <f t="shared" si="24"/>
        <v>839256</v>
      </c>
      <c r="G201" s="59">
        <f t="shared" si="25"/>
        <v>839256</v>
      </c>
      <c r="H201" s="57">
        <v>0</v>
      </c>
      <c r="I201" s="60">
        <v>1</v>
      </c>
      <c r="J201" s="60">
        <v>1</v>
      </c>
      <c r="K201" s="33">
        <f t="shared" si="26"/>
        <v>839256</v>
      </c>
      <c r="L201" s="33">
        <f t="shared" si="27"/>
        <v>839256</v>
      </c>
      <c r="M201" s="200">
        <f t="shared" si="28"/>
        <v>839256</v>
      </c>
      <c r="N201" s="126"/>
      <c r="O201" s="44" t="s">
        <v>1775</v>
      </c>
      <c r="P201" s="33">
        <f t="shared" si="29"/>
        <v>839256</v>
      </c>
      <c r="Q201" s="33">
        <f>+'[1]bg dn2'!Z297</f>
        <v>839256</v>
      </c>
      <c r="R201" s="33">
        <f t="shared" si="30"/>
        <v>0</v>
      </c>
      <c r="S201" s="132"/>
    </row>
    <row r="202" spans="1:19">
      <c r="A202" s="29">
        <f t="shared" si="31"/>
        <v>198</v>
      </c>
      <c r="B202" s="54" t="s">
        <v>588</v>
      </c>
      <c r="C202" s="55" t="s">
        <v>589</v>
      </c>
      <c r="D202" s="63">
        <v>42865</v>
      </c>
      <c r="E202" s="58">
        <v>839255</v>
      </c>
      <c r="F202" s="196">
        <f t="shared" si="24"/>
        <v>839255</v>
      </c>
      <c r="G202" s="59">
        <f t="shared" si="25"/>
        <v>839255</v>
      </c>
      <c r="H202" s="57">
        <v>0</v>
      </c>
      <c r="I202" s="60">
        <v>1</v>
      </c>
      <c r="J202" s="60">
        <v>1</v>
      </c>
      <c r="K202" s="33">
        <f t="shared" si="26"/>
        <v>839255</v>
      </c>
      <c r="L202" s="33">
        <f t="shared" si="27"/>
        <v>839255</v>
      </c>
      <c r="M202" s="200">
        <f t="shared" si="28"/>
        <v>839255</v>
      </c>
      <c r="N202" s="126"/>
      <c r="O202" s="44" t="s">
        <v>1775</v>
      </c>
      <c r="P202" s="33">
        <f t="shared" si="29"/>
        <v>839255</v>
      </c>
      <c r="Q202" s="33">
        <f>+'[1]bg dn2'!Z298</f>
        <v>839255</v>
      </c>
      <c r="R202" s="33">
        <f t="shared" si="30"/>
        <v>0</v>
      </c>
      <c r="S202" s="132"/>
    </row>
    <row r="203" spans="1:19">
      <c r="A203" s="29">
        <f t="shared" si="31"/>
        <v>199</v>
      </c>
      <c r="B203" s="54" t="s">
        <v>588</v>
      </c>
      <c r="C203" s="55" t="s">
        <v>589</v>
      </c>
      <c r="D203" s="63">
        <v>42896</v>
      </c>
      <c r="E203" s="207">
        <v>839256</v>
      </c>
      <c r="F203" s="196">
        <f t="shared" si="24"/>
        <v>839256</v>
      </c>
      <c r="G203" s="59">
        <f t="shared" si="25"/>
        <v>839256</v>
      </c>
      <c r="H203" s="57">
        <v>0</v>
      </c>
      <c r="I203" s="60">
        <v>1</v>
      </c>
      <c r="J203" s="60">
        <v>1</v>
      </c>
      <c r="K203" s="33">
        <f t="shared" si="26"/>
        <v>839256</v>
      </c>
      <c r="L203" s="33">
        <f t="shared" si="27"/>
        <v>839256</v>
      </c>
      <c r="M203" s="200">
        <f t="shared" si="28"/>
        <v>839256</v>
      </c>
      <c r="N203" s="126"/>
      <c r="O203" s="44" t="s">
        <v>1776</v>
      </c>
      <c r="P203" s="33">
        <f t="shared" si="29"/>
        <v>839256</v>
      </c>
      <c r="Q203" s="33">
        <f>+'[1]bg dn2'!Z299</f>
        <v>839256</v>
      </c>
      <c r="R203" s="33">
        <f t="shared" si="30"/>
        <v>0</v>
      </c>
      <c r="S203" s="132"/>
    </row>
    <row r="204" spans="1:19">
      <c r="A204" s="29">
        <f t="shared" si="31"/>
        <v>200</v>
      </c>
      <c r="B204" s="54" t="s">
        <v>588</v>
      </c>
      <c r="C204" s="55" t="s">
        <v>589</v>
      </c>
      <c r="D204" s="63">
        <v>42896</v>
      </c>
      <c r="E204" s="207">
        <v>839255</v>
      </c>
      <c r="F204" s="196">
        <f t="shared" si="24"/>
        <v>839255</v>
      </c>
      <c r="G204" s="59">
        <f t="shared" si="25"/>
        <v>839255</v>
      </c>
      <c r="H204" s="57">
        <v>0</v>
      </c>
      <c r="I204" s="60">
        <v>1</v>
      </c>
      <c r="J204" s="60">
        <v>1</v>
      </c>
      <c r="K204" s="33">
        <f t="shared" si="26"/>
        <v>839255</v>
      </c>
      <c r="L204" s="33">
        <f t="shared" si="27"/>
        <v>839255</v>
      </c>
      <c r="M204" s="200">
        <f t="shared" si="28"/>
        <v>839255</v>
      </c>
      <c r="N204" s="126"/>
      <c r="O204" s="44" t="s">
        <v>1776</v>
      </c>
      <c r="P204" s="33">
        <f t="shared" si="29"/>
        <v>839255</v>
      </c>
      <c r="Q204" s="33">
        <f>+'[1]bg dn2'!Z300</f>
        <v>839255</v>
      </c>
      <c r="R204" s="33">
        <f t="shared" si="30"/>
        <v>0</v>
      </c>
      <c r="S204" s="132"/>
    </row>
    <row r="205" spans="1:19">
      <c r="A205" s="29">
        <f t="shared" si="31"/>
        <v>201</v>
      </c>
      <c r="B205" s="54" t="s">
        <v>588</v>
      </c>
      <c r="C205" s="55" t="s">
        <v>589</v>
      </c>
      <c r="D205" s="63">
        <v>42926</v>
      </c>
      <c r="E205" s="208">
        <v>839256</v>
      </c>
      <c r="F205" s="196">
        <f t="shared" si="24"/>
        <v>839256</v>
      </c>
      <c r="G205" s="59">
        <f t="shared" si="25"/>
        <v>839256</v>
      </c>
      <c r="H205" s="57">
        <v>0</v>
      </c>
      <c r="I205" s="60">
        <v>1</v>
      </c>
      <c r="J205" s="60">
        <v>1</v>
      </c>
      <c r="K205" s="33">
        <f t="shared" si="26"/>
        <v>839256</v>
      </c>
      <c r="L205" s="33">
        <f t="shared" si="27"/>
        <v>839256</v>
      </c>
      <c r="M205" s="200">
        <f t="shared" si="28"/>
        <v>839256</v>
      </c>
      <c r="N205" s="126"/>
      <c r="O205" s="44" t="s">
        <v>1777</v>
      </c>
      <c r="P205" s="33">
        <f t="shared" si="29"/>
        <v>839256</v>
      </c>
      <c r="Q205" s="33">
        <f>+'[1]bg dn2'!Z301</f>
        <v>839256</v>
      </c>
      <c r="R205" s="33">
        <f t="shared" si="30"/>
        <v>0</v>
      </c>
      <c r="S205" s="132"/>
    </row>
    <row r="206" spans="1:19">
      <c r="A206" s="29">
        <f t="shared" si="31"/>
        <v>202</v>
      </c>
      <c r="B206" s="54" t="s">
        <v>588</v>
      </c>
      <c r="C206" s="55" t="s">
        <v>589</v>
      </c>
      <c r="D206" s="63">
        <v>42926</v>
      </c>
      <c r="E206" s="208">
        <v>839255</v>
      </c>
      <c r="F206" s="196">
        <f t="shared" si="24"/>
        <v>839255</v>
      </c>
      <c r="G206" s="59">
        <f t="shared" si="25"/>
        <v>839255</v>
      </c>
      <c r="H206" s="57">
        <v>0</v>
      </c>
      <c r="I206" s="60">
        <v>1</v>
      </c>
      <c r="J206" s="60">
        <v>1</v>
      </c>
      <c r="K206" s="33">
        <f t="shared" si="26"/>
        <v>839255</v>
      </c>
      <c r="L206" s="33">
        <f t="shared" si="27"/>
        <v>839255</v>
      </c>
      <c r="M206" s="200">
        <f t="shared" si="28"/>
        <v>839255</v>
      </c>
      <c r="N206" s="126"/>
      <c r="O206" s="44" t="s">
        <v>1777</v>
      </c>
      <c r="P206" s="33">
        <f t="shared" si="29"/>
        <v>839255</v>
      </c>
      <c r="Q206" s="33">
        <f>+'[1]bg dn2'!Z302</f>
        <v>839255</v>
      </c>
      <c r="R206" s="33">
        <f t="shared" si="30"/>
        <v>0</v>
      </c>
      <c r="S206" s="132"/>
    </row>
    <row r="207" spans="1:19">
      <c r="A207" s="29">
        <f t="shared" si="31"/>
        <v>203</v>
      </c>
      <c r="B207" s="54" t="s">
        <v>588</v>
      </c>
      <c r="C207" s="55" t="s">
        <v>589</v>
      </c>
      <c r="D207" s="63">
        <v>42957</v>
      </c>
      <c r="E207" s="208">
        <v>839256</v>
      </c>
      <c r="F207" s="196">
        <f t="shared" si="24"/>
        <v>839256</v>
      </c>
      <c r="G207" s="59">
        <f t="shared" si="25"/>
        <v>839256</v>
      </c>
      <c r="H207" s="57">
        <v>0</v>
      </c>
      <c r="I207" s="60">
        <v>1</v>
      </c>
      <c r="J207" s="60">
        <v>1</v>
      </c>
      <c r="K207" s="33">
        <f t="shared" si="26"/>
        <v>839256</v>
      </c>
      <c r="L207" s="33">
        <f t="shared" si="27"/>
        <v>839256</v>
      </c>
      <c r="M207" s="200">
        <f t="shared" si="28"/>
        <v>839256</v>
      </c>
      <c r="N207" s="126"/>
      <c r="O207" s="44" t="s">
        <v>1778</v>
      </c>
      <c r="P207" s="33">
        <f t="shared" si="29"/>
        <v>839256</v>
      </c>
      <c r="Q207" s="33">
        <f>+'[1]bg dn2'!Z303</f>
        <v>839256</v>
      </c>
      <c r="R207" s="33">
        <f t="shared" si="30"/>
        <v>0</v>
      </c>
      <c r="S207" s="132"/>
    </row>
    <row r="208" spans="1:19">
      <c r="A208" s="29">
        <f t="shared" si="31"/>
        <v>204</v>
      </c>
      <c r="B208" s="54" t="s">
        <v>588</v>
      </c>
      <c r="C208" s="55" t="s">
        <v>589</v>
      </c>
      <c r="D208" s="63">
        <v>42957</v>
      </c>
      <c r="E208" s="208">
        <v>839255</v>
      </c>
      <c r="F208" s="196">
        <f t="shared" si="24"/>
        <v>839255</v>
      </c>
      <c r="G208" s="59">
        <f t="shared" si="25"/>
        <v>839255</v>
      </c>
      <c r="H208" s="57">
        <v>0</v>
      </c>
      <c r="I208" s="60">
        <v>1</v>
      </c>
      <c r="J208" s="60">
        <v>1</v>
      </c>
      <c r="K208" s="33">
        <f t="shared" si="26"/>
        <v>839255</v>
      </c>
      <c r="L208" s="33">
        <f t="shared" si="27"/>
        <v>839255</v>
      </c>
      <c r="M208" s="200">
        <f t="shared" si="28"/>
        <v>839255</v>
      </c>
      <c r="N208" s="126"/>
      <c r="O208" s="44" t="s">
        <v>1778</v>
      </c>
      <c r="P208" s="33">
        <f t="shared" si="29"/>
        <v>839255</v>
      </c>
      <c r="Q208" s="33">
        <f>+'[1]bg dn2'!Z304</f>
        <v>839255</v>
      </c>
      <c r="R208" s="33">
        <f t="shared" si="30"/>
        <v>0</v>
      </c>
      <c r="S208" s="132"/>
    </row>
    <row r="209" spans="1:19">
      <c r="A209" s="29">
        <f t="shared" si="31"/>
        <v>205</v>
      </c>
      <c r="B209" s="54" t="s">
        <v>588</v>
      </c>
      <c r="C209" s="55" t="s">
        <v>589</v>
      </c>
      <c r="D209" s="63">
        <v>42988</v>
      </c>
      <c r="E209" s="208">
        <v>839256</v>
      </c>
      <c r="F209" s="196">
        <f t="shared" si="24"/>
        <v>839256</v>
      </c>
      <c r="G209" s="59">
        <f t="shared" si="25"/>
        <v>839256</v>
      </c>
      <c r="H209" s="57">
        <v>0</v>
      </c>
      <c r="I209" s="60">
        <v>1</v>
      </c>
      <c r="J209" s="60">
        <v>1</v>
      </c>
      <c r="K209" s="33">
        <f t="shared" si="26"/>
        <v>839256</v>
      </c>
      <c r="L209" s="33">
        <f t="shared" si="27"/>
        <v>839256</v>
      </c>
      <c r="M209" s="200">
        <f t="shared" si="28"/>
        <v>839256</v>
      </c>
      <c r="N209" s="209"/>
      <c r="O209" s="44" t="s">
        <v>1779</v>
      </c>
      <c r="P209" s="33">
        <f t="shared" si="29"/>
        <v>839256</v>
      </c>
      <c r="Q209" s="33">
        <f>+'[1]bg dn2'!Z305</f>
        <v>839256</v>
      </c>
      <c r="R209" s="33">
        <f t="shared" si="30"/>
        <v>0</v>
      </c>
      <c r="S209" s="132"/>
    </row>
    <row r="210" spans="1:19">
      <c r="A210" s="29">
        <f t="shared" si="31"/>
        <v>206</v>
      </c>
      <c r="B210" s="54" t="s">
        <v>588</v>
      </c>
      <c r="C210" s="55" t="s">
        <v>589</v>
      </c>
      <c r="D210" s="63">
        <v>42988</v>
      </c>
      <c r="E210" s="208">
        <v>839255</v>
      </c>
      <c r="F210" s="196">
        <f t="shared" si="24"/>
        <v>839255</v>
      </c>
      <c r="G210" s="59">
        <f t="shared" si="25"/>
        <v>839255</v>
      </c>
      <c r="H210" s="57">
        <v>0</v>
      </c>
      <c r="I210" s="60">
        <v>1</v>
      </c>
      <c r="J210" s="60">
        <v>1</v>
      </c>
      <c r="K210" s="33">
        <f t="shared" si="26"/>
        <v>839255</v>
      </c>
      <c r="L210" s="33">
        <f t="shared" si="27"/>
        <v>839255</v>
      </c>
      <c r="M210" s="200">
        <f t="shared" si="28"/>
        <v>839255</v>
      </c>
      <c r="N210" s="209"/>
      <c r="O210" s="44" t="s">
        <v>1779</v>
      </c>
      <c r="P210" s="33">
        <f t="shared" si="29"/>
        <v>839255</v>
      </c>
      <c r="Q210" s="33">
        <f>+'[1]bg dn2'!Z306</f>
        <v>839255</v>
      </c>
      <c r="R210" s="33">
        <f t="shared" si="30"/>
        <v>0</v>
      </c>
      <c r="S210" s="132"/>
    </row>
    <row r="211" spans="1:19">
      <c r="A211" s="29">
        <f t="shared" si="31"/>
        <v>207</v>
      </c>
      <c r="B211" s="54" t="s">
        <v>588</v>
      </c>
      <c r="C211" s="55" t="s">
        <v>589</v>
      </c>
      <c r="D211" s="63">
        <v>43018</v>
      </c>
      <c r="E211" s="208">
        <v>839256</v>
      </c>
      <c r="F211" s="196">
        <f t="shared" si="24"/>
        <v>839256</v>
      </c>
      <c r="G211" s="59">
        <f t="shared" si="25"/>
        <v>839256</v>
      </c>
      <c r="H211" s="57">
        <v>0</v>
      </c>
      <c r="I211" s="60">
        <v>1</v>
      </c>
      <c r="J211" s="60">
        <v>1</v>
      </c>
      <c r="K211" s="33">
        <f t="shared" si="26"/>
        <v>839256</v>
      </c>
      <c r="L211" s="33">
        <f t="shared" si="27"/>
        <v>839256</v>
      </c>
      <c r="M211" s="200">
        <f t="shared" si="28"/>
        <v>839256</v>
      </c>
      <c r="N211" s="126"/>
      <c r="O211" s="44" t="s">
        <v>1780</v>
      </c>
      <c r="P211" s="33">
        <f t="shared" si="29"/>
        <v>839256</v>
      </c>
      <c r="Q211" s="33">
        <f>+'[1]bg dn2'!Z307</f>
        <v>839256</v>
      </c>
      <c r="R211" s="33">
        <f t="shared" si="30"/>
        <v>0</v>
      </c>
      <c r="S211" s="132"/>
    </row>
    <row r="212" spans="1:19">
      <c r="A212" s="29">
        <f t="shared" si="31"/>
        <v>208</v>
      </c>
      <c r="B212" s="54" t="s">
        <v>588</v>
      </c>
      <c r="C212" s="55" t="s">
        <v>589</v>
      </c>
      <c r="D212" s="63">
        <v>43018</v>
      </c>
      <c r="E212" s="208">
        <v>839255</v>
      </c>
      <c r="F212" s="196">
        <f t="shared" si="24"/>
        <v>839255</v>
      </c>
      <c r="G212" s="59">
        <f t="shared" si="25"/>
        <v>839255</v>
      </c>
      <c r="H212" s="57">
        <v>0</v>
      </c>
      <c r="I212" s="60">
        <v>1</v>
      </c>
      <c r="J212" s="60">
        <v>1</v>
      </c>
      <c r="K212" s="33">
        <f t="shared" si="26"/>
        <v>839255</v>
      </c>
      <c r="L212" s="33">
        <f t="shared" si="27"/>
        <v>839255</v>
      </c>
      <c r="M212" s="200">
        <f t="shared" si="28"/>
        <v>839255</v>
      </c>
      <c r="N212" s="126"/>
      <c r="O212" s="44" t="s">
        <v>1780</v>
      </c>
      <c r="P212" s="33">
        <f t="shared" si="29"/>
        <v>839255</v>
      </c>
      <c r="Q212" s="33">
        <f>+'[1]bg dn2'!Z308</f>
        <v>839255</v>
      </c>
      <c r="R212" s="33">
        <f t="shared" si="30"/>
        <v>0</v>
      </c>
      <c r="S212" s="132"/>
    </row>
    <row r="213" spans="1:19">
      <c r="A213" s="29">
        <f t="shared" si="31"/>
        <v>209</v>
      </c>
      <c r="B213" s="54" t="s">
        <v>588</v>
      </c>
      <c r="C213" s="55" t="s">
        <v>589</v>
      </c>
      <c r="D213" s="63">
        <v>43049</v>
      </c>
      <c r="E213" s="208">
        <v>839256</v>
      </c>
      <c r="F213" s="196">
        <f t="shared" si="24"/>
        <v>839256</v>
      </c>
      <c r="G213" s="59">
        <f t="shared" si="25"/>
        <v>839256</v>
      </c>
      <c r="H213" s="57">
        <v>0</v>
      </c>
      <c r="I213" s="60">
        <v>1</v>
      </c>
      <c r="J213" s="60">
        <v>1</v>
      </c>
      <c r="K213" s="33">
        <f t="shared" si="26"/>
        <v>839256</v>
      </c>
      <c r="L213" s="33">
        <f t="shared" si="27"/>
        <v>839256</v>
      </c>
      <c r="M213" s="200">
        <f t="shared" si="28"/>
        <v>839256</v>
      </c>
      <c r="N213" s="126"/>
      <c r="O213" s="44" t="s">
        <v>1781</v>
      </c>
      <c r="P213" s="33">
        <f t="shared" si="29"/>
        <v>839256</v>
      </c>
      <c r="Q213" s="33">
        <f>+'[1]bg dn2'!Z309</f>
        <v>839256</v>
      </c>
      <c r="R213" s="33">
        <f t="shared" si="30"/>
        <v>0</v>
      </c>
      <c r="S213" s="132"/>
    </row>
    <row r="214" spans="1:19">
      <c r="A214" s="29">
        <f t="shared" si="31"/>
        <v>210</v>
      </c>
      <c r="B214" s="54" t="s">
        <v>588</v>
      </c>
      <c r="C214" s="55" t="s">
        <v>589</v>
      </c>
      <c r="D214" s="63">
        <v>43049</v>
      </c>
      <c r="E214" s="208">
        <v>839255</v>
      </c>
      <c r="F214" s="196">
        <f t="shared" si="24"/>
        <v>839255</v>
      </c>
      <c r="G214" s="59">
        <f t="shared" si="25"/>
        <v>839255</v>
      </c>
      <c r="H214" s="57">
        <v>0</v>
      </c>
      <c r="I214" s="60">
        <v>1</v>
      </c>
      <c r="J214" s="60">
        <v>1</v>
      </c>
      <c r="K214" s="33">
        <f t="shared" si="26"/>
        <v>839255</v>
      </c>
      <c r="L214" s="33">
        <f t="shared" si="27"/>
        <v>839255</v>
      </c>
      <c r="M214" s="200">
        <f t="shared" si="28"/>
        <v>839255</v>
      </c>
      <c r="N214" s="126"/>
      <c r="O214" s="44" t="s">
        <v>1781</v>
      </c>
      <c r="P214" s="33">
        <f t="shared" si="29"/>
        <v>839255</v>
      </c>
      <c r="Q214" s="33">
        <f>+'[1]bg dn2'!Z310</f>
        <v>839255</v>
      </c>
      <c r="R214" s="33">
        <f t="shared" si="30"/>
        <v>0</v>
      </c>
      <c r="S214" s="132"/>
    </row>
    <row r="215" spans="1:19">
      <c r="A215" s="29">
        <f t="shared" si="31"/>
        <v>211</v>
      </c>
      <c r="B215" s="54" t="s">
        <v>588</v>
      </c>
      <c r="C215" s="55" t="s">
        <v>589</v>
      </c>
      <c r="D215" s="63">
        <v>43079</v>
      </c>
      <c r="E215" s="195">
        <v>839256</v>
      </c>
      <c r="F215" s="196">
        <f t="shared" si="24"/>
        <v>839256</v>
      </c>
      <c r="G215" s="59">
        <f t="shared" si="25"/>
        <v>839256</v>
      </c>
      <c r="H215" s="57">
        <v>0</v>
      </c>
      <c r="I215" s="60">
        <v>1</v>
      </c>
      <c r="J215" s="60">
        <v>1</v>
      </c>
      <c r="K215" s="33">
        <f t="shared" si="26"/>
        <v>839256</v>
      </c>
      <c r="L215" s="33">
        <f t="shared" si="27"/>
        <v>839256</v>
      </c>
      <c r="M215" s="200">
        <f t="shared" si="28"/>
        <v>839256</v>
      </c>
      <c r="N215" s="126"/>
      <c r="O215" s="197" t="s">
        <v>1748</v>
      </c>
      <c r="P215" s="33">
        <f t="shared" si="29"/>
        <v>839256</v>
      </c>
      <c r="Q215" s="33">
        <f>+'[1]bg dn2'!Z311</f>
        <v>839256</v>
      </c>
      <c r="R215" s="33">
        <f t="shared" si="30"/>
        <v>0</v>
      </c>
      <c r="S215" s="132"/>
    </row>
    <row r="216" spans="1:19">
      <c r="A216" s="29">
        <f t="shared" si="31"/>
        <v>212</v>
      </c>
      <c r="B216" s="54" t="s">
        <v>588</v>
      </c>
      <c r="C216" s="55" t="s">
        <v>589</v>
      </c>
      <c r="D216" s="63">
        <v>43079</v>
      </c>
      <c r="E216" s="195">
        <v>839255</v>
      </c>
      <c r="F216" s="196">
        <f t="shared" si="24"/>
        <v>839255</v>
      </c>
      <c r="G216" s="59">
        <f t="shared" si="25"/>
        <v>839255</v>
      </c>
      <c r="H216" s="57">
        <v>0</v>
      </c>
      <c r="I216" s="60">
        <v>1</v>
      </c>
      <c r="J216" s="60">
        <v>1</v>
      </c>
      <c r="K216" s="33">
        <f t="shared" si="26"/>
        <v>839255</v>
      </c>
      <c r="L216" s="33">
        <f t="shared" si="27"/>
        <v>839255</v>
      </c>
      <c r="M216" s="200">
        <f t="shared" si="28"/>
        <v>839255</v>
      </c>
      <c r="N216" s="126"/>
      <c r="O216" s="197" t="s">
        <v>1748</v>
      </c>
      <c r="P216" s="33">
        <f t="shared" si="29"/>
        <v>839255</v>
      </c>
      <c r="Q216" s="33">
        <f>+'[1]bg dn2'!Z312</f>
        <v>839255</v>
      </c>
      <c r="R216" s="33">
        <f t="shared" si="30"/>
        <v>0</v>
      </c>
      <c r="S216" s="132"/>
    </row>
    <row r="217" spans="1:19">
      <c r="A217" s="29">
        <f t="shared" si="31"/>
        <v>213</v>
      </c>
      <c r="B217" s="54" t="s">
        <v>648</v>
      </c>
      <c r="C217" s="55" t="s">
        <v>649</v>
      </c>
      <c r="D217" s="63">
        <v>43110</v>
      </c>
      <c r="E217" s="195">
        <v>450808</v>
      </c>
      <c r="F217" s="196">
        <f t="shared" si="24"/>
        <v>450808</v>
      </c>
      <c r="G217" s="59">
        <f t="shared" si="25"/>
        <v>450808</v>
      </c>
      <c r="H217" s="57">
        <v>0</v>
      </c>
      <c r="I217" s="60">
        <v>1</v>
      </c>
      <c r="J217" s="60">
        <v>1</v>
      </c>
      <c r="K217" s="33">
        <f t="shared" si="26"/>
        <v>450808</v>
      </c>
      <c r="L217" s="33">
        <f t="shared" si="27"/>
        <v>450808</v>
      </c>
      <c r="M217" s="200">
        <f t="shared" si="28"/>
        <v>450808</v>
      </c>
      <c r="N217" s="126"/>
      <c r="O217" s="197" t="s">
        <v>1749</v>
      </c>
      <c r="P217" s="33">
        <f t="shared" si="29"/>
        <v>450808</v>
      </c>
      <c r="Q217" s="33">
        <f>+'[1]bg dn2'!Z313</f>
        <v>450808</v>
      </c>
      <c r="R217" s="33">
        <f t="shared" si="30"/>
        <v>0</v>
      </c>
      <c r="S217" s="132"/>
    </row>
    <row r="218" spans="1:19" s="211" customFormat="1">
      <c r="A218" s="29">
        <f t="shared" si="31"/>
        <v>214</v>
      </c>
      <c r="B218" s="54" t="s">
        <v>792</v>
      </c>
      <c r="C218" s="55" t="s">
        <v>793</v>
      </c>
      <c r="D218" s="63">
        <v>43110</v>
      </c>
      <c r="E218" s="195">
        <v>600000</v>
      </c>
      <c r="F218" s="196">
        <f t="shared" si="24"/>
        <v>600000</v>
      </c>
      <c r="G218" s="59">
        <f t="shared" si="25"/>
        <v>600000</v>
      </c>
      <c r="H218" s="57">
        <v>0</v>
      </c>
      <c r="I218" s="60">
        <v>1</v>
      </c>
      <c r="J218" s="60">
        <v>1</v>
      </c>
      <c r="K218" s="33">
        <f t="shared" si="26"/>
        <v>600000</v>
      </c>
      <c r="L218" s="33">
        <f t="shared" si="27"/>
        <v>600000</v>
      </c>
      <c r="M218" s="200">
        <f t="shared" si="28"/>
        <v>600000</v>
      </c>
      <c r="N218" s="126"/>
      <c r="O218" s="197" t="s">
        <v>1749</v>
      </c>
      <c r="P218" s="33">
        <f t="shared" si="29"/>
        <v>600000</v>
      </c>
      <c r="Q218" s="33">
        <f>+'[1]bg dn2'!Z314</f>
        <v>600000</v>
      </c>
      <c r="R218" s="33">
        <f t="shared" si="30"/>
        <v>0</v>
      </c>
    </row>
    <row r="219" spans="1:19" s="211" customFormat="1">
      <c r="A219" s="29">
        <f t="shared" si="31"/>
        <v>215</v>
      </c>
      <c r="B219" s="54" t="s">
        <v>811</v>
      </c>
      <c r="C219" s="55" t="s">
        <v>812</v>
      </c>
      <c r="D219" s="63">
        <v>42926</v>
      </c>
      <c r="E219" s="208">
        <v>364423</v>
      </c>
      <c r="F219" s="196">
        <f t="shared" si="24"/>
        <v>364423</v>
      </c>
      <c r="G219" s="59">
        <f t="shared" si="25"/>
        <v>364423</v>
      </c>
      <c r="H219" s="57">
        <v>0</v>
      </c>
      <c r="I219" s="60">
        <v>1</v>
      </c>
      <c r="J219" s="60">
        <v>1</v>
      </c>
      <c r="K219" s="33">
        <f t="shared" si="26"/>
        <v>364423</v>
      </c>
      <c r="L219" s="33">
        <f t="shared" si="27"/>
        <v>364423</v>
      </c>
      <c r="M219" s="200">
        <f t="shared" si="28"/>
        <v>364423</v>
      </c>
      <c r="N219" s="126"/>
      <c r="O219" s="44" t="s">
        <v>1777</v>
      </c>
      <c r="P219" s="33">
        <f t="shared" si="29"/>
        <v>364423</v>
      </c>
      <c r="Q219" s="33">
        <f>+'[1]bg dn2'!Z315</f>
        <v>364423</v>
      </c>
      <c r="R219" s="33">
        <f t="shared" si="30"/>
        <v>0</v>
      </c>
    </row>
    <row r="220" spans="1:19" s="211" customFormat="1">
      <c r="A220" s="29">
        <f t="shared" si="31"/>
        <v>216</v>
      </c>
      <c r="B220" s="54" t="s">
        <v>811</v>
      </c>
      <c r="C220" s="55" t="s">
        <v>812</v>
      </c>
      <c r="D220" s="63">
        <v>42926</v>
      </c>
      <c r="E220" s="208">
        <v>364422</v>
      </c>
      <c r="F220" s="196">
        <f t="shared" si="24"/>
        <v>364422</v>
      </c>
      <c r="G220" s="59">
        <f t="shared" si="25"/>
        <v>364422</v>
      </c>
      <c r="H220" s="57">
        <v>0</v>
      </c>
      <c r="I220" s="60">
        <v>1</v>
      </c>
      <c r="J220" s="60">
        <v>1</v>
      </c>
      <c r="K220" s="33">
        <f t="shared" si="26"/>
        <v>364422</v>
      </c>
      <c r="L220" s="33">
        <f t="shared" si="27"/>
        <v>364422</v>
      </c>
      <c r="M220" s="200">
        <f t="shared" si="28"/>
        <v>364422</v>
      </c>
      <c r="N220" s="126"/>
      <c r="O220" s="44" t="s">
        <v>1777</v>
      </c>
      <c r="P220" s="33">
        <f t="shared" si="29"/>
        <v>364422</v>
      </c>
      <c r="Q220" s="33">
        <f>+'[1]bg dn2'!Z316</f>
        <v>364422</v>
      </c>
      <c r="R220" s="33">
        <f t="shared" si="30"/>
        <v>0</v>
      </c>
    </row>
    <row r="221" spans="1:19" s="211" customFormat="1">
      <c r="A221" s="29">
        <f t="shared" si="31"/>
        <v>217</v>
      </c>
      <c r="B221" s="54" t="s">
        <v>811</v>
      </c>
      <c r="C221" s="55" t="s">
        <v>812</v>
      </c>
      <c r="D221" s="63">
        <v>42957</v>
      </c>
      <c r="E221" s="208">
        <v>364423</v>
      </c>
      <c r="F221" s="196">
        <f t="shared" si="24"/>
        <v>364423</v>
      </c>
      <c r="G221" s="59">
        <f t="shared" si="25"/>
        <v>364423</v>
      </c>
      <c r="H221" s="57">
        <v>0</v>
      </c>
      <c r="I221" s="60">
        <v>1</v>
      </c>
      <c r="J221" s="60">
        <v>1</v>
      </c>
      <c r="K221" s="33">
        <f t="shared" si="26"/>
        <v>364423</v>
      </c>
      <c r="L221" s="33">
        <f t="shared" si="27"/>
        <v>364423</v>
      </c>
      <c r="M221" s="200">
        <f t="shared" si="28"/>
        <v>364423</v>
      </c>
      <c r="N221" s="126"/>
      <c r="O221" s="44" t="s">
        <v>1778</v>
      </c>
      <c r="P221" s="33">
        <f t="shared" si="29"/>
        <v>364423</v>
      </c>
      <c r="Q221" s="33">
        <f>+'[1]bg dn2'!Z317</f>
        <v>364423</v>
      </c>
      <c r="R221" s="33">
        <f t="shared" si="30"/>
        <v>0</v>
      </c>
    </row>
    <row r="222" spans="1:19" s="211" customFormat="1">
      <c r="A222" s="29">
        <f t="shared" si="31"/>
        <v>218</v>
      </c>
      <c r="B222" s="54" t="s">
        <v>811</v>
      </c>
      <c r="C222" s="55" t="s">
        <v>812</v>
      </c>
      <c r="D222" s="63">
        <v>42957</v>
      </c>
      <c r="E222" s="208">
        <v>364422</v>
      </c>
      <c r="F222" s="196">
        <f t="shared" si="24"/>
        <v>364422</v>
      </c>
      <c r="G222" s="59">
        <f t="shared" si="25"/>
        <v>364422</v>
      </c>
      <c r="H222" s="57">
        <v>0</v>
      </c>
      <c r="I222" s="60">
        <v>1</v>
      </c>
      <c r="J222" s="60">
        <v>1</v>
      </c>
      <c r="K222" s="33">
        <f t="shared" si="26"/>
        <v>364422</v>
      </c>
      <c r="L222" s="33">
        <f t="shared" si="27"/>
        <v>364422</v>
      </c>
      <c r="M222" s="200">
        <f t="shared" si="28"/>
        <v>364422</v>
      </c>
      <c r="N222" s="126"/>
      <c r="O222" s="44" t="s">
        <v>1778</v>
      </c>
      <c r="P222" s="33">
        <f t="shared" si="29"/>
        <v>364422</v>
      </c>
      <c r="Q222" s="33">
        <f>+'[1]bg dn2'!Z318</f>
        <v>364422</v>
      </c>
      <c r="R222" s="33">
        <f t="shared" si="30"/>
        <v>0</v>
      </c>
    </row>
    <row r="223" spans="1:19" s="211" customFormat="1">
      <c r="A223" s="29">
        <f t="shared" si="31"/>
        <v>219</v>
      </c>
      <c r="B223" s="54" t="s">
        <v>811</v>
      </c>
      <c r="C223" s="55" t="s">
        <v>812</v>
      </c>
      <c r="D223" s="63">
        <v>42988</v>
      </c>
      <c r="E223" s="208">
        <v>364423</v>
      </c>
      <c r="F223" s="196">
        <f t="shared" si="24"/>
        <v>364423</v>
      </c>
      <c r="G223" s="59">
        <f t="shared" si="25"/>
        <v>364423</v>
      </c>
      <c r="H223" s="57">
        <v>0</v>
      </c>
      <c r="I223" s="60">
        <v>1</v>
      </c>
      <c r="J223" s="60">
        <v>1</v>
      </c>
      <c r="K223" s="33">
        <f t="shared" si="26"/>
        <v>364423</v>
      </c>
      <c r="L223" s="33">
        <f t="shared" si="27"/>
        <v>364423</v>
      </c>
      <c r="M223" s="200">
        <f t="shared" si="28"/>
        <v>364423</v>
      </c>
      <c r="N223" s="209"/>
      <c r="O223" s="44" t="s">
        <v>1779</v>
      </c>
      <c r="P223" s="33">
        <f t="shared" si="29"/>
        <v>364423</v>
      </c>
      <c r="Q223" s="33">
        <f>+'[1]bg dn2'!Z319</f>
        <v>364423</v>
      </c>
      <c r="R223" s="33">
        <f t="shared" si="30"/>
        <v>0</v>
      </c>
    </row>
    <row r="224" spans="1:19" s="211" customFormat="1">
      <c r="A224" s="29">
        <f t="shared" si="31"/>
        <v>220</v>
      </c>
      <c r="B224" s="54" t="s">
        <v>811</v>
      </c>
      <c r="C224" s="55" t="s">
        <v>812</v>
      </c>
      <c r="D224" s="63">
        <v>43018</v>
      </c>
      <c r="E224" s="208">
        <v>364423</v>
      </c>
      <c r="F224" s="196">
        <f t="shared" si="24"/>
        <v>364423</v>
      </c>
      <c r="G224" s="59">
        <f t="shared" si="25"/>
        <v>364423</v>
      </c>
      <c r="H224" s="57">
        <v>0</v>
      </c>
      <c r="I224" s="60">
        <v>1</v>
      </c>
      <c r="J224" s="60">
        <v>1</v>
      </c>
      <c r="K224" s="33">
        <f t="shared" si="26"/>
        <v>364423</v>
      </c>
      <c r="L224" s="33">
        <f t="shared" si="27"/>
        <v>364423</v>
      </c>
      <c r="M224" s="200">
        <f t="shared" si="28"/>
        <v>364423</v>
      </c>
      <c r="N224" s="126"/>
      <c r="O224" s="44" t="s">
        <v>1780</v>
      </c>
      <c r="P224" s="33">
        <f t="shared" si="29"/>
        <v>364423</v>
      </c>
      <c r="Q224" s="33">
        <f>+'[1]bg dn2'!Z320</f>
        <v>364423</v>
      </c>
      <c r="R224" s="33">
        <f t="shared" si="30"/>
        <v>0</v>
      </c>
    </row>
    <row r="225" spans="1:18" s="211" customFormat="1">
      <c r="A225" s="29">
        <f t="shared" si="31"/>
        <v>221</v>
      </c>
      <c r="B225" s="54" t="s">
        <v>811</v>
      </c>
      <c r="C225" s="55" t="s">
        <v>812</v>
      </c>
      <c r="D225" s="63">
        <v>43018</v>
      </c>
      <c r="E225" s="208">
        <v>364422</v>
      </c>
      <c r="F225" s="196">
        <f t="shared" si="24"/>
        <v>364422</v>
      </c>
      <c r="G225" s="59">
        <f t="shared" si="25"/>
        <v>364422</v>
      </c>
      <c r="H225" s="57">
        <v>0</v>
      </c>
      <c r="I225" s="60">
        <v>1</v>
      </c>
      <c r="J225" s="60">
        <v>1</v>
      </c>
      <c r="K225" s="33">
        <f t="shared" si="26"/>
        <v>364422</v>
      </c>
      <c r="L225" s="33">
        <f t="shared" si="27"/>
        <v>364422</v>
      </c>
      <c r="M225" s="200">
        <f t="shared" si="28"/>
        <v>364422</v>
      </c>
      <c r="N225" s="126"/>
      <c r="O225" s="44" t="s">
        <v>1780</v>
      </c>
      <c r="P225" s="33">
        <f t="shared" si="29"/>
        <v>364422</v>
      </c>
      <c r="Q225" s="33">
        <f>+'[1]bg dn2'!Z321</f>
        <v>364422</v>
      </c>
      <c r="R225" s="33">
        <f t="shared" si="30"/>
        <v>0</v>
      </c>
    </row>
    <row r="226" spans="1:18" s="211" customFormat="1">
      <c r="A226" s="29">
        <f t="shared" si="31"/>
        <v>222</v>
      </c>
      <c r="B226" s="54" t="s">
        <v>811</v>
      </c>
      <c r="C226" s="55" t="s">
        <v>812</v>
      </c>
      <c r="D226" s="63">
        <v>43049</v>
      </c>
      <c r="E226" s="208">
        <v>364423</v>
      </c>
      <c r="F226" s="196">
        <f t="shared" si="24"/>
        <v>364423</v>
      </c>
      <c r="G226" s="59">
        <f t="shared" si="25"/>
        <v>364423</v>
      </c>
      <c r="H226" s="57">
        <v>0</v>
      </c>
      <c r="I226" s="60">
        <v>1</v>
      </c>
      <c r="J226" s="60">
        <v>1</v>
      </c>
      <c r="K226" s="33">
        <f t="shared" si="26"/>
        <v>364423</v>
      </c>
      <c r="L226" s="33">
        <f t="shared" si="27"/>
        <v>364423</v>
      </c>
      <c r="M226" s="200">
        <f t="shared" si="28"/>
        <v>364423</v>
      </c>
      <c r="N226" s="126"/>
      <c r="O226" s="44" t="s">
        <v>1781</v>
      </c>
      <c r="P226" s="33">
        <f t="shared" si="29"/>
        <v>364423</v>
      </c>
      <c r="Q226" s="33">
        <f>+'[1]bg dn2'!Z322</f>
        <v>364423</v>
      </c>
      <c r="R226" s="33">
        <f t="shared" si="30"/>
        <v>0</v>
      </c>
    </row>
    <row r="227" spans="1:18" s="211" customFormat="1">
      <c r="A227" s="29">
        <f t="shared" si="31"/>
        <v>223</v>
      </c>
      <c r="B227" s="54" t="s">
        <v>811</v>
      </c>
      <c r="C227" s="55" t="s">
        <v>812</v>
      </c>
      <c r="D227" s="63">
        <v>43049</v>
      </c>
      <c r="E227" s="208">
        <v>364422</v>
      </c>
      <c r="F227" s="196">
        <f t="shared" si="24"/>
        <v>364422</v>
      </c>
      <c r="G227" s="59">
        <f t="shared" si="25"/>
        <v>364422</v>
      </c>
      <c r="H227" s="57">
        <v>0</v>
      </c>
      <c r="I227" s="60">
        <v>1</v>
      </c>
      <c r="J227" s="60">
        <v>1</v>
      </c>
      <c r="K227" s="33">
        <f t="shared" si="26"/>
        <v>364422</v>
      </c>
      <c r="L227" s="33">
        <f t="shared" si="27"/>
        <v>364422</v>
      </c>
      <c r="M227" s="200">
        <f t="shared" si="28"/>
        <v>364422</v>
      </c>
      <c r="N227" s="126"/>
      <c r="O227" s="44" t="s">
        <v>1781</v>
      </c>
      <c r="P227" s="33">
        <f t="shared" si="29"/>
        <v>364422</v>
      </c>
      <c r="Q227" s="33">
        <f>+'[1]bg dn2'!Z323</f>
        <v>364422</v>
      </c>
      <c r="R227" s="33">
        <f t="shared" si="30"/>
        <v>0</v>
      </c>
    </row>
    <row r="228" spans="1:18" s="211" customFormat="1">
      <c r="A228" s="29">
        <f t="shared" si="31"/>
        <v>224</v>
      </c>
      <c r="B228" s="54" t="s">
        <v>811</v>
      </c>
      <c r="C228" s="55" t="s">
        <v>812</v>
      </c>
      <c r="D228" s="63">
        <v>43079</v>
      </c>
      <c r="E228" s="195">
        <v>364423</v>
      </c>
      <c r="F228" s="196">
        <f t="shared" si="24"/>
        <v>364423</v>
      </c>
      <c r="G228" s="59">
        <f t="shared" si="25"/>
        <v>364423</v>
      </c>
      <c r="H228" s="57">
        <v>0</v>
      </c>
      <c r="I228" s="60">
        <v>1</v>
      </c>
      <c r="J228" s="60">
        <v>1</v>
      </c>
      <c r="K228" s="33">
        <f t="shared" si="26"/>
        <v>364423</v>
      </c>
      <c r="L228" s="33">
        <f t="shared" si="27"/>
        <v>364423</v>
      </c>
      <c r="M228" s="200">
        <f t="shared" si="28"/>
        <v>364423</v>
      </c>
      <c r="N228" s="126"/>
      <c r="O228" s="197" t="s">
        <v>1748</v>
      </c>
      <c r="P228" s="33">
        <f t="shared" si="29"/>
        <v>364423</v>
      </c>
      <c r="Q228" s="33">
        <f>+'[1]bg dn2'!Z324</f>
        <v>364423</v>
      </c>
      <c r="R228" s="33">
        <f t="shared" si="30"/>
        <v>0</v>
      </c>
    </row>
    <row r="229" spans="1:18" s="211" customFormat="1">
      <c r="A229" s="29">
        <f t="shared" si="31"/>
        <v>225</v>
      </c>
      <c r="B229" s="54" t="s">
        <v>811</v>
      </c>
      <c r="C229" s="55" t="s">
        <v>812</v>
      </c>
      <c r="D229" s="63">
        <v>43079</v>
      </c>
      <c r="E229" s="195">
        <v>364422</v>
      </c>
      <c r="F229" s="196">
        <f t="shared" si="24"/>
        <v>364422</v>
      </c>
      <c r="G229" s="59">
        <f t="shared" si="25"/>
        <v>364422</v>
      </c>
      <c r="H229" s="57">
        <v>0</v>
      </c>
      <c r="I229" s="60">
        <v>1</v>
      </c>
      <c r="J229" s="60">
        <v>1</v>
      </c>
      <c r="K229" s="33">
        <f t="shared" si="26"/>
        <v>364422</v>
      </c>
      <c r="L229" s="33">
        <f t="shared" si="27"/>
        <v>364422</v>
      </c>
      <c r="M229" s="200">
        <f t="shared" si="28"/>
        <v>364422</v>
      </c>
      <c r="N229" s="126"/>
      <c r="O229" s="197" t="s">
        <v>1748</v>
      </c>
      <c r="P229" s="33">
        <f t="shared" si="29"/>
        <v>364422</v>
      </c>
      <c r="Q229" s="33">
        <f>+'[1]bg dn2'!Z325</f>
        <v>364422</v>
      </c>
      <c r="R229" s="33">
        <f t="shared" si="30"/>
        <v>0</v>
      </c>
    </row>
    <row r="230" spans="1:18" s="211" customFormat="1">
      <c r="A230" s="29">
        <f t="shared" si="31"/>
        <v>226</v>
      </c>
      <c r="B230" s="54" t="s">
        <v>811</v>
      </c>
      <c r="C230" s="55" t="s">
        <v>812</v>
      </c>
      <c r="D230" s="63">
        <v>43110</v>
      </c>
      <c r="E230" s="195">
        <v>364423</v>
      </c>
      <c r="F230" s="196">
        <f t="shared" si="24"/>
        <v>364423</v>
      </c>
      <c r="G230" s="59">
        <f t="shared" si="25"/>
        <v>364423</v>
      </c>
      <c r="H230" s="57">
        <v>0</v>
      </c>
      <c r="I230" s="60">
        <v>1</v>
      </c>
      <c r="J230" s="60">
        <v>1</v>
      </c>
      <c r="K230" s="33">
        <f t="shared" si="26"/>
        <v>364423</v>
      </c>
      <c r="L230" s="33">
        <f t="shared" si="27"/>
        <v>364423</v>
      </c>
      <c r="M230" s="200">
        <f t="shared" si="28"/>
        <v>364423</v>
      </c>
      <c r="N230" s="126"/>
      <c r="O230" s="197" t="s">
        <v>1749</v>
      </c>
      <c r="P230" s="33">
        <f t="shared" si="29"/>
        <v>364423</v>
      </c>
      <c r="Q230" s="33">
        <f>+'[1]bg dn2'!Z326</f>
        <v>364423</v>
      </c>
      <c r="R230" s="33">
        <f t="shared" si="30"/>
        <v>0</v>
      </c>
    </row>
    <row r="231" spans="1:18" s="211" customFormat="1">
      <c r="A231" s="29">
        <f t="shared" si="31"/>
        <v>227</v>
      </c>
      <c r="B231" s="54" t="s">
        <v>811</v>
      </c>
      <c r="C231" s="55" t="s">
        <v>812</v>
      </c>
      <c r="D231" s="63">
        <v>43110</v>
      </c>
      <c r="E231" s="195">
        <v>364422</v>
      </c>
      <c r="F231" s="196">
        <f t="shared" si="24"/>
        <v>364422</v>
      </c>
      <c r="G231" s="59">
        <f t="shared" si="25"/>
        <v>364422</v>
      </c>
      <c r="H231" s="57">
        <v>0</v>
      </c>
      <c r="I231" s="60">
        <v>1</v>
      </c>
      <c r="J231" s="60">
        <v>1</v>
      </c>
      <c r="K231" s="33">
        <f t="shared" si="26"/>
        <v>364422</v>
      </c>
      <c r="L231" s="33">
        <f t="shared" si="27"/>
        <v>364422</v>
      </c>
      <c r="M231" s="200">
        <f t="shared" si="28"/>
        <v>364422</v>
      </c>
      <c r="N231" s="126"/>
      <c r="O231" s="197" t="s">
        <v>1749</v>
      </c>
      <c r="P231" s="33">
        <f t="shared" si="29"/>
        <v>364422</v>
      </c>
      <c r="Q231" s="33">
        <f>+'[1]bg dn2'!Z327</f>
        <v>364422</v>
      </c>
      <c r="R231" s="33">
        <f t="shared" si="30"/>
        <v>0</v>
      </c>
    </row>
    <row r="232" spans="1:18" s="211" customFormat="1">
      <c r="A232" s="29">
        <f t="shared" si="31"/>
        <v>228</v>
      </c>
      <c r="B232" s="54" t="s">
        <v>834</v>
      </c>
      <c r="C232" s="55">
        <v>921578</v>
      </c>
      <c r="D232" s="63">
        <v>42318</v>
      </c>
      <c r="E232" s="59">
        <v>65000</v>
      </c>
      <c r="F232" s="196">
        <f t="shared" si="24"/>
        <v>65000</v>
      </c>
      <c r="G232" s="59">
        <f t="shared" si="25"/>
        <v>65000</v>
      </c>
      <c r="H232" s="57">
        <v>0</v>
      </c>
      <c r="I232" s="60">
        <v>1</v>
      </c>
      <c r="J232" s="60">
        <v>1</v>
      </c>
      <c r="K232" s="33">
        <f t="shared" si="26"/>
        <v>65000</v>
      </c>
      <c r="L232" s="33">
        <f t="shared" si="27"/>
        <v>65000</v>
      </c>
      <c r="M232" s="33">
        <f t="shared" si="28"/>
        <v>65000</v>
      </c>
      <c r="N232" s="30"/>
      <c r="O232" s="44" t="s">
        <v>1788</v>
      </c>
      <c r="P232" s="33">
        <f t="shared" si="29"/>
        <v>65000</v>
      </c>
      <c r="Q232" s="33">
        <f>+'[1]bg dn2'!Z328</f>
        <v>65000</v>
      </c>
      <c r="R232" s="33">
        <f t="shared" si="30"/>
        <v>0</v>
      </c>
    </row>
    <row r="233" spans="1:18" s="211" customFormat="1">
      <c r="A233" s="29">
        <f t="shared" si="31"/>
        <v>229</v>
      </c>
      <c r="B233" s="54" t="s">
        <v>834</v>
      </c>
      <c r="C233" s="55">
        <v>921578</v>
      </c>
      <c r="D233" s="63">
        <v>42348</v>
      </c>
      <c r="E233" s="59">
        <v>703235</v>
      </c>
      <c r="F233" s="196">
        <f t="shared" si="24"/>
        <v>703235</v>
      </c>
      <c r="G233" s="59">
        <f t="shared" si="25"/>
        <v>703235</v>
      </c>
      <c r="H233" s="57">
        <v>0</v>
      </c>
      <c r="I233" s="60">
        <v>1</v>
      </c>
      <c r="J233" s="60">
        <v>1</v>
      </c>
      <c r="K233" s="33">
        <f t="shared" si="26"/>
        <v>703235</v>
      </c>
      <c r="L233" s="33">
        <f t="shared" si="27"/>
        <v>703235</v>
      </c>
      <c r="M233" s="33">
        <f t="shared" si="28"/>
        <v>703235</v>
      </c>
      <c r="N233" s="30"/>
      <c r="O233" s="44" t="s">
        <v>1794</v>
      </c>
      <c r="P233" s="33">
        <f t="shared" si="29"/>
        <v>703235</v>
      </c>
      <c r="Q233" s="33">
        <f>+'[1]bg dn2'!Z329</f>
        <v>703235</v>
      </c>
      <c r="R233" s="33">
        <f t="shared" si="30"/>
        <v>0</v>
      </c>
    </row>
    <row r="234" spans="1:18" s="211" customFormat="1">
      <c r="A234" s="29">
        <f t="shared" si="31"/>
        <v>230</v>
      </c>
      <c r="B234" s="54" t="s">
        <v>834</v>
      </c>
      <c r="C234" s="55">
        <v>921578</v>
      </c>
      <c r="D234" s="63">
        <v>42410</v>
      </c>
      <c r="E234" s="59">
        <v>638235</v>
      </c>
      <c r="F234" s="196">
        <f t="shared" si="24"/>
        <v>638235</v>
      </c>
      <c r="G234" s="59">
        <f t="shared" si="25"/>
        <v>638235</v>
      </c>
      <c r="H234" s="57">
        <v>0</v>
      </c>
      <c r="I234" s="60">
        <v>1</v>
      </c>
      <c r="J234" s="60">
        <v>1</v>
      </c>
      <c r="K234" s="33">
        <f t="shared" si="26"/>
        <v>638235</v>
      </c>
      <c r="L234" s="33">
        <f t="shared" si="27"/>
        <v>638235</v>
      </c>
      <c r="M234" s="33">
        <f t="shared" si="28"/>
        <v>638235</v>
      </c>
      <c r="N234" s="30"/>
      <c r="O234" s="44" t="s">
        <v>1789</v>
      </c>
      <c r="P234" s="33">
        <f t="shared" si="29"/>
        <v>638235</v>
      </c>
      <c r="Q234" s="33">
        <f>+'[1]bg dn2'!Z330</f>
        <v>638235</v>
      </c>
      <c r="R234" s="33">
        <f t="shared" si="30"/>
        <v>0</v>
      </c>
    </row>
    <row r="235" spans="1:18" s="211" customFormat="1">
      <c r="A235" s="29">
        <f t="shared" si="31"/>
        <v>231</v>
      </c>
      <c r="B235" s="54" t="s">
        <v>834</v>
      </c>
      <c r="C235" s="55">
        <v>921578</v>
      </c>
      <c r="D235" s="63">
        <v>42439</v>
      </c>
      <c r="E235" s="59">
        <v>638235</v>
      </c>
      <c r="F235" s="196">
        <f t="shared" si="24"/>
        <v>638235</v>
      </c>
      <c r="G235" s="59">
        <f t="shared" si="25"/>
        <v>638235</v>
      </c>
      <c r="H235" s="57">
        <v>0</v>
      </c>
      <c r="I235" s="60">
        <v>1</v>
      </c>
      <c r="J235" s="60">
        <v>1</v>
      </c>
      <c r="K235" s="33">
        <f t="shared" si="26"/>
        <v>638235</v>
      </c>
      <c r="L235" s="33">
        <f t="shared" si="27"/>
        <v>638235</v>
      </c>
      <c r="M235" s="33">
        <f t="shared" si="28"/>
        <v>638235</v>
      </c>
      <c r="N235" s="30"/>
      <c r="O235" s="44" t="s">
        <v>1790</v>
      </c>
      <c r="P235" s="33">
        <f t="shared" si="29"/>
        <v>638235</v>
      </c>
      <c r="Q235" s="33">
        <f>+'[1]bg dn2'!Z331</f>
        <v>638235</v>
      </c>
      <c r="R235" s="33">
        <f t="shared" si="30"/>
        <v>0</v>
      </c>
    </row>
    <row r="236" spans="1:18" s="211" customFormat="1">
      <c r="A236" s="29">
        <f t="shared" si="31"/>
        <v>232</v>
      </c>
      <c r="B236" s="54" t="s">
        <v>834</v>
      </c>
      <c r="C236" s="55">
        <v>921578</v>
      </c>
      <c r="D236" s="63">
        <v>42470</v>
      </c>
      <c r="E236" s="203">
        <v>638235</v>
      </c>
      <c r="F236" s="196">
        <f t="shared" si="24"/>
        <v>638235</v>
      </c>
      <c r="G236" s="59">
        <f t="shared" si="25"/>
        <v>638235</v>
      </c>
      <c r="H236" s="57">
        <v>0</v>
      </c>
      <c r="I236" s="60">
        <v>1</v>
      </c>
      <c r="J236" s="60">
        <v>1</v>
      </c>
      <c r="K236" s="33">
        <f t="shared" si="26"/>
        <v>638235</v>
      </c>
      <c r="L236" s="33">
        <f t="shared" si="27"/>
        <v>638235</v>
      </c>
      <c r="M236" s="33">
        <f t="shared" si="28"/>
        <v>638235</v>
      </c>
      <c r="N236" s="126"/>
      <c r="O236" s="44" t="s">
        <v>1791</v>
      </c>
      <c r="P236" s="33">
        <f t="shared" si="29"/>
        <v>638235</v>
      </c>
      <c r="Q236" s="33">
        <f>+'[1]bg dn2'!Z332</f>
        <v>638235</v>
      </c>
      <c r="R236" s="33">
        <f t="shared" si="30"/>
        <v>0</v>
      </c>
    </row>
    <row r="237" spans="1:18" s="211" customFormat="1">
      <c r="A237" s="29">
        <f t="shared" si="31"/>
        <v>233</v>
      </c>
      <c r="B237" s="54" t="s">
        <v>834</v>
      </c>
      <c r="C237" s="55">
        <v>921578</v>
      </c>
      <c r="D237" s="202">
        <v>42531</v>
      </c>
      <c r="E237" s="203">
        <v>638235</v>
      </c>
      <c r="F237" s="196">
        <f t="shared" si="24"/>
        <v>638235</v>
      </c>
      <c r="G237" s="59">
        <f t="shared" si="25"/>
        <v>638235</v>
      </c>
      <c r="H237" s="57">
        <v>0</v>
      </c>
      <c r="I237" s="60">
        <v>1</v>
      </c>
      <c r="J237" s="60">
        <v>1</v>
      </c>
      <c r="K237" s="33">
        <f t="shared" si="26"/>
        <v>638235</v>
      </c>
      <c r="L237" s="33">
        <f t="shared" si="27"/>
        <v>638235</v>
      </c>
      <c r="M237" s="33">
        <f t="shared" si="28"/>
        <v>638235</v>
      </c>
      <c r="N237" s="126"/>
      <c r="O237" s="44" t="s">
        <v>1793</v>
      </c>
      <c r="P237" s="33">
        <f t="shared" si="29"/>
        <v>638235</v>
      </c>
      <c r="Q237" s="33">
        <f>+'[1]bg dn2'!Z333</f>
        <v>638235</v>
      </c>
      <c r="R237" s="33">
        <f t="shared" si="30"/>
        <v>0</v>
      </c>
    </row>
    <row r="238" spans="1:18" s="211" customFormat="1">
      <c r="A238" s="29">
        <f t="shared" si="31"/>
        <v>234</v>
      </c>
      <c r="B238" s="54" t="s">
        <v>834</v>
      </c>
      <c r="C238" s="55">
        <v>921578</v>
      </c>
      <c r="D238" s="202">
        <v>42561</v>
      </c>
      <c r="E238" s="203">
        <v>638235</v>
      </c>
      <c r="F238" s="196">
        <f t="shared" si="24"/>
        <v>638235</v>
      </c>
      <c r="G238" s="59">
        <f t="shared" si="25"/>
        <v>638235</v>
      </c>
      <c r="H238" s="57">
        <v>0</v>
      </c>
      <c r="I238" s="60">
        <v>1</v>
      </c>
      <c r="J238" s="60">
        <v>1</v>
      </c>
      <c r="K238" s="33">
        <f t="shared" si="26"/>
        <v>638235</v>
      </c>
      <c r="L238" s="33">
        <f t="shared" si="27"/>
        <v>638235</v>
      </c>
      <c r="M238" s="33">
        <f t="shared" si="28"/>
        <v>638235</v>
      </c>
      <c r="N238" s="126"/>
      <c r="O238" s="44" t="s">
        <v>1765</v>
      </c>
      <c r="P238" s="33">
        <f t="shared" si="29"/>
        <v>638235</v>
      </c>
      <c r="Q238" s="33">
        <f>+'[1]bg dn2'!Z334</f>
        <v>638235</v>
      </c>
      <c r="R238" s="33">
        <f t="shared" si="30"/>
        <v>0</v>
      </c>
    </row>
    <row r="239" spans="1:18" s="211" customFormat="1">
      <c r="A239" s="29">
        <f t="shared" si="31"/>
        <v>235</v>
      </c>
      <c r="B239" s="54" t="s">
        <v>834</v>
      </c>
      <c r="C239" s="55">
        <v>921578</v>
      </c>
      <c r="D239" s="202">
        <v>42592</v>
      </c>
      <c r="E239" s="203">
        <v>638235</v>
      </c>
      <c r="F239" s="196">
        <f t="shared" si="24"/>
        <v>638235</v>
      </c>
      <c r="G239" s="59">
        <f t="shared" si="25"/>
        <v>638235</v>
      </c>
      <c r="H239" s="57">
        <v>0</v>
      </c>
      <c r="I239" s="60">
        <v>1</v>
      </c>
      <c r="J239" s="60">
        <v>1</v>
      </c>
      <c r="K239" s="33">
        <f t="shared" si="26"/>
        <v>638235</v>
      </c>
      <c r="L239" s="33">
        <f t="shared" si="27"/>
        <v>638235</v>
      </c>
      <c r="M239" s="33">
        <f t="shared" si="28"/>
        <v>638235</v>
      </c>
      <c r="N239" s="126"/>
      <c r="O239" s="44" t="s">
        <v>1766</v>
      </c>
      <c r="P239" s="33">
        <f t="shared" si="29"/>
        <v>638235</v>
      </c>
      <c r="Q239" s="33">
        <f>+'[1]bg dn2'!Z335</f>
        <v>638235</v>
      </c>
      <c r="R239" s="33">
        <f t="shared" si="30"/>
        <v>0</v>
      </c>
    </row>
    <row r="240" spans="1:18" s="211" customFormat="1">
      <c r="A240" s="29">
        <f t="shared" si="31"/>
        <v>236</v>
      </c>
      <c r="B240" s="54" t="s">
        <v>834</v>
      </c>
      <c r="C240" s="55">
        <v>921578</v>
      </c>
      <c r="D240" s="202">
        <v>42623</v>
      </c>
      <c r="E240" s="203">
        <v>638235</v>
      </c>
      <c r="F240" s="196">
        <f t="shared" si="24"/>
        <v>638235</v>
      </c>
      <c r="G240" s="59">
        <f t="shared" si="25"/>
        <v>638235</v>
      </c>
      <c r="H240" s="57">
        <v>0</v>
      </c>
      <c r="I240" s="60">
        <v>1</v>
      </c>
      <c r="J240" s="60">
        <v>1</v>
      </c>
      <c r="K240" s="33">
        <f t="shared" si="26"/>
        <v>638235</v>
      </c>
      <c r="L240" s="33">
        <f t="shared" si="27"/>
        <v>638235</v>
      </c>
      <c r="M240" s="33">
        <f t="shared" si="28"/>
        <v>638235</v>
      </c>
      <c r="N240" s="126"/>
      <c r="O240" s="44" t="s">
        <v>1767</v>
      </c>
      <c r="P240" s="33">
        <f t="shared" si="29"/>
        <v>638235</v>
      </c>
      <c r="Q240" s="33">
        <f>+'[1]bg dn2'!Z336</f>
        <v>638235</v>
      </c>
      <c r="R240" s="33">
        <f t="shared" si="30"/>
        <v>0</v>
      </c>
    </row>
    <row r="241" spans="1:19" s="211" customFormat="1">
      <c r="A241" s="29">
        <f t="shared" si="31"/>
        <v>237</v>
      </c>
      <c r="B241" s="54" t="s">
        <v>834</v>
      </c>
      <c r="C241" s="55">
        <v>921578</v>
      </c>
      <c r="D241" s="202">
        <v>42653</v>
      </c>
      <c r="E241" s="203">
        <v>638235</v>
      </c>
      <c r="F241" s="196">
        <f t="shared" si="24"/>
        <v>638235</v>
      </c>
      <c r="G241" s="59">
        <f t="shared" si="25"/>
        <v>638235</v>
      </c>
      <c r="H241" s="57">
        <v>0</v>
      </c>
      <c r="I241" s="60">
        <v>1</v>
      </c>
      <c r="J241" s="60">
        <v>1</v>
      </c>
      <c r="K241" s="33">
        <f t="shared" si="26"/>
        <v>638235</v>
      </c>
      <c r="L241" s="33">
        <f t="shared" si="27"/>
        <v>638235</v>
      </c>
      <c r="M241" s="33">
        <f t="shared" si="28"/>
        <v>638235</v>
      </c>
      <c r="N241" s="126"/>
      <c r="O241" s="44" t="s">
        <v>1768</v>
      </c>
      <c r="P241" s="33">
        <f t="shared" si="29"/>
        <v>638235</v>
      </c>
      <c r="Q241" s="33">
        <f>+'[1]bg dn2'!Z337</f>
        <v>638235</v>
      </c>
      <c r="R241" s="33">
        <f t="shared" si="30"/>
        <v>0</v>
      </c>
    </row>
    <row r="242" spans="1:19" s="211" customFormat="1">
      <c r="A242" s="29">
        <f t="shared" si="31"/>
        <v>238</v>
      </c>
      <c r="B242" s="54" t="s">
        <v>834</v>
      </c>
      <c r="C242" s="55">
        <v>921578</v>
      </c>
      <c r="D242" s="202">
        <v>42684</v>
      </c>
      <c r="E242" s="203">
        <v>638235</v>
      </c>
      <c r="F242" s="196">
        <f t="shared" si="24"/>
        <v>638235</v>
      </c>
      <c r="G242" s="59">
        <f t="shared" si="25"/>
        <v>638235</v>
      </c>
      <c r="H242" s="57">
        <v>0</v>
      </c>
      <c r="I242" s="60">
        <v>1</v>
      </c>
      <c r="J242" s="60">
        <v>1</v>
      </c>
      <c r="K242" s="33">
        <f t="shared" si="26"/>
        <v>638235</v>
      </c>
      <c r="L242" s="33">
        <f t="shared" si="27"/>
        <v>638235</v>
      </c>
      <c r="M242" s="33">
        <f t="shared" si="28"/>
        <v>638235</v>
      </c>
      <c r="N242" s="126"/>
      <c r="O242" s="44" t="s">
        <v>1769</v>
      </c>
      <c r="P242" s="33">
        <f t="shared" si="29"/>
        <v>638235</v>
      </c>
      <c r="Q242" s="33">
        <f>+'[1]bg dn2'!Z338</f>
        <v>638235</v>
      </c>
      <c r="R242" s="33">
        <f t="shared" si="30"/>
        <v>0</v>
      </c>
    </row>
    <row r="243" spans="1:19" s="211" customFormat="1">
      <c r="A243" s="29">
        <f t="shared" si="31"/>
        <v>239</v>
      </c>
      <c r="B243" s="54" t="s">
        <v>834</v>
      </c>
      <c r="C243" s="55">
        <v>921578</v>
      </c>
      <c r="D243" s="63">
        <v>42745</v>
      </c>
      <c r="E243" s="203">
        <v>638235</v>
      </c>
      <c r="F243" s="196">
        <f t="shared" si="24"/>
        <v>638235</v>
      </c>
      <c r="G243" s="59">
        <f t="shared" si="25"/>
        <v>638235</v>
      </c>
      <c r="H243" s="57">
        <v>0</v>
      </c>
      <c r="I243" s="60">
        <v>1</v>
      </c>
      <c r="J243" s="60">
        <v>1</v>
      </c>
      <c r="K243" s="33">
        <f t="shared" si="26"/>
        <v>638235</v>
      </c>
      <c r="L243" s="33">
        <f t="shared" si="27"/>
        <v>638235</v>
      </c>
      <c r="M243" s="33">
        <f t="shared" si="28"/>
        <v>638235</v>
      </c>
      <c r="N243" s="126"/>
      <c r="O243" s="44" t="s">
        <v>1771</v>
      </c>
      <c r="P243" s="33">
        <f t="shared" si="29"/>
        <v>638235</v>
      </c>
      <c r="Q243" s="33">
        <f>+'[1]bg dn2'!Z339</f>
        <v>638235</v>
      </c>
      <c r="R243" s="33">
        <f t="shared" si="30"/>
        <v>0</v>
      </c>
    </row>
    <row r="244" spans="1:19" s="211" customFormat="1">
      <c r="A244" s="29">
        <f t="shared" si="31"/>
        <v>240</v>
      </c>
      <c r="B244" s="54" t="s">
        <v>834</v>
      </c>
      <c r="C244" s="55">
        <v>921578</v>
      </c>
      <c r="D244" s="63">
        <v>42776</v>
      </c>
      <c r="E244" s="203">
        <v>638235</v>
      </c>
      <c r="F244" s="196">
        <f t="shared" si="24"/>
        <v>638235</v>
      </c>
      <c r="G244" s="59">
        <f t="shared" si="25"/>
        <v>638235</v>
      </c>
      <c r="H244" s="57">
        <v>0</v>
      </c>
      <c r="I244" s="60">
        <v>1</v>
      </c>
      <c r="J244" s="60">
        <v>1</v>
      </c>
      <c r="K244" s="33">
        <f t="shared" si="26"/>
        <v>638235</v>
      </c>
      <c r="L244" s="33">
        <f t="shared" si="27"/>
        <v>638235</v>
      </c>
      <c r="M244" s="33">
        <f t="shared" si="28"/>
        <v>638235</v>
      </c>
      <c r="N244" s="126"/>
      <c r="O244" s="44" t="s">
        <v>1772</v>
      </c>
      <c r="P244" s="33">
        <f t="shared" si="29"/>
        <v>638235</v>
      </c>
      <c r="Q244" s="33">
        <f>+'[1]bg dn2'!Z340</f>
        <v>638235</v>
      </c>
      <c r="R244" s="33">
        <f t="shared" si="30"/>
        <v>0</v>
      </c>
    </row>
    <row r="245" spans="1:19" s="211" customFormat="1">
      <c r="A245" s="29">
        <f t="shared" si="31"/>
        <v>241</v>
      </c>
      <c r="B245" s="54" t="s">
        <v>834</v>
      </c>
      <c r="C245" s="55">
        <v>921578</v>
      </c>
      <c r="D245" s="63">
        <v>42804</v>
      </c>
      <c r="E245" s="203">
        <v>638235</v>
      </c>
      <c r="F245" s="196">
        <f t="shared" si="24"/>
        <v>638235</v>
      </c>
      <c r="G245" s="59">
        <f t="shared" si="25"/>
        <v>638235</v>
      </c>
      <c r="H245" s="57">
        <v>0</v>
      </c>
      <c r="I245" s="60">
        <v>1</v>
      </c>
      <c r="J245" s="60">
        <v>1</v>
      </c>
      <c r="K245" s="33">
        <f t="shared" si="26"/>
        <v>638235</v>
      </c>
      <c r="L245" s="33">
        <f t="shared" si="27"/>
        <v>638235</v>
      </c>
      <c r="M245" s="33">
        <f t="shared" si="28"/>
        <v>638235</v>
      </c>
      <c r="N245" s="126"/>
      <c r="O245" s="44" t="s">
        <v>1773</v>
      </c>
      <c r="P245" s="33">
        <f t="shared" si="29"/>
        <v>638235</v>
      </c>
      <c r="Q245" s="33">
        <f>+'[1]bg dn2'!Z341</f>
        <v>638235</v>
      </c>
      <c r="R245" s="33">
        <f t="shared" si="30"/>
        <v>0</v>
      </c>
    </row>
    <row r="246" spans="1:19" s="211" customFormat="1">
      <c r="A246" s="29">
        <f t="shared" si="31"/>
        <v>242</v>
      </c>
      <c r="B246" s="54" t="s">
        <v>834</v>
      </c>
      <c r="C246" s="55">
        <v>921578</v>
      </c>
      <c r="D246" s="63">
        <v>42835</v>
      </c>
      <c r="E246" s="203">
        <v>638235</v>
      </c>
      <c r="F246" s="196">
        <f t="shared" si="24"/>
        <v>638235</v>
      </c>
      <c r="G246" s="59">
        <f t="shared" si="25"/>
        <v>638235</v>
      </c>
      <c r="H246" s="57">
        <v>0</v>
      </c>
      <c r="I246" s="60">
        <v>1</v>
      </c>
      <c r="J246" s="60">
        <v>1</v>
      </c>
      <c r="K246" s="33">
        <f t="shared" si="26"/>
        <v>638235</v>
      </c>
      <c r="L246" s="33">
        <f t="shared" si="27"/>
        <v>638235</v>
      </c>
      <c r="M246" s="33">
        <f t="shared" si="28"/>
        <v>638235</v>
      </c>
      <c r="N246" s="126"/>
      <c r="O246" s="44" t="s">
        <v>1774</v>
      </c>
      <c r="P246" s="33">
        <f t="shared" si="29"/>
        <v>638235</v>
      </c>
      <c r="Q246" s="33">
        <f>+'[1]bg dn2'!Z342</f>
        <v>638235</v>
      </c>
      <c r="R246" s="33">
        <f t="shared" si="30"/>
        <v>0</v>
      </c>
    </row>
    <row r="247" spans="1:19" s="211" customFormat="1">
      <c r="A247" s="29">
        <f t="shared" si="31"/>
        <v>243</v>
      </c>
      <c r="B247" s="54" t="s">
        <v>834</v>
      </c>
      <c r="C247" s="55">
        <v>921578</v>
      </c>
      <c r="D247" s="63">
        <v>42865</v>
      </c>
      <c r="E247" s="58">
        <v>638235</v>
      </c>
      <c r="F247" s="196">
        <f t="shared" si="24"/>
        <v>638235</v>
      </c>
      <c r="G247" s="59">
        <f t="shared" si="25"/>
        <v>638235</v>
      </c>
      <c r="H247" s="57">
        <v>0</v>
      </c>
      <c r="I247" s="60">
        <v>1</v>
      </c>
      <c r="J247" s="60">
        <v>1</v>
      </c>
      <c r="K247" s="33">
        <f t="shared" si="26"/>
        <v>638235</v>
      </c>
      <c r="L247" s="33">
        <f t="shared" si="27"/>
        <v>638235</v>
      </c>
      <c r="M247" s="200">
        <f t="shared" si="28"/>
        <v>638235</v>
      </c>
      <c r="N247" s="126"/>
      <c r="O247" s="44" t="s">
        <v>1775</v>
      </c>
      <c r="P247" s="33">
        <f t="shared" si="29"/>
        <v>638235</v>
      </c>
      <c r="Q247" s="33">
        <f>+'[1]bg dn2'!Z343</f>
        <v>638235</v>
      </c>
      <c r="R247" s="33">
        <f t="shared" si="30"/>
        <v>0</v>
      </c>
    </row>
    <row r="248" spans="1:19" s="211" customFormat="1">
      <c r="A248" s="29">
        <f t="shared" si="31"/>
        <v>244</v>
      </c>
      <c r="B248" s="54" t="s">
        <v>834</v>
      </c>
      <c r="C248" s="55">
        <v>921578</v>
      </c>
      <c r="D248" s="63">
        <v>42896</v>
      </c>
      <c r="E248" s="207">
        <v>638235</v>
      </c>
      <c r="F248" s="196">
        <f t="shared" si="24"/>
        <v>638235</v>
      </c>
      <c r="G248" s="59">
        <f t="shared" si="25"/>
        <v>638235</v>
      </c>
      <c r="H248" s="57">
        <v>0</v>
      </c>
      <c r="I248" s="60">
        <v>1</v>
      </c>
      <c r="J248" s="60">
        <v>1</v>
      </c>
      <c r="K248" s="33">
        <f t="shared" si="26"/>
        <v>638235</v>
      </c>
      <c r="L248" s="33">
        <f t="shared" si="27"/>
        <v>638235</v>
      </c>
      <c r="M248" s="200">
        <f t="shared" si="28"/>
        <v>638235</v>
      </c>
      <c r="N248" s="126"/>
      <c r="O248" s="44" t="s">
        <v>1776</v>
      </c>
      <c r="P248" s="33">
        <f t="shared" si="29"/>
        <v>638235</v>
      </c>
      <c r="Q248" s="33">
        <f>+'[1]bg dn2'!Z344</f>
        <v>638235</v>
      </c>
      <c r="R248" s="33">
        <f t="shared" si="30"/>
        <v>0</v>
      </c>
    </row>
    <row r="249" spans="1:19" s="211" customFormat="1">
      <c r="A249" s="29">
        <f t="shared" si="31"/>
        <v>245</v>
      </c>
      <c r="B249" s="54" t="s">
        <v>834</v>
      </c>
      <c r="C249" s="55">
        <v>921578</v>
      </c>
      <c r="D249" s="63">
        <v>42926</v>
      </c>
      <c r="E249" s="208">
        <v>638235</v>
      </c>
      <c r="F249" s="196">
        <f t="shared" si="24"/>
        <v>638235</v>
      </c>
      <c r="G249" s="59">
        <f t="shared" si="25"/>
        <v>638235</v>
      </c>
      <c r="H249" s="57">
        <v>0</v>
      </c>
      <c r="I249" s="60">
        <v>1</v>
      </c>
      <c r="J249" s="60">
        <v>1</v>
      </c>
      <c r="K249" s="33">
        <f t="shared" si="26"/>
        <v>638235</v>
      </c>
      <c r="L249" s="33">
        <f t="shared" si="27"/>
        <v>638235</v>
      </c>
      <c r="M249" s="200">
        <f t="shared" si="28"/>
        <v>638235</v>
      </c>
      <c r="N249" s="126"/>
      <c r="O249" s="44" t="s">
        <v>1777</v>
      </c>
      <c r="P249" s="33">
        <f t="shared" si="29"/>
        <v>638235</v>
      </c>
      <c r="Q249" s="33">
        <f>+'[1]bg dn2'!Z345</f>
        <v>638235</v>
      </c>
      <c r="R249" s="33">
        <f t="shared" si="30"/>
        <v>0</v>
      </c>
    </row>
    <row r="250" spans="1:19" s="211" customFormat="1">
      <c r="A250" s="29">
        <f t="shared" si="31"/>
        <v>246</v>
      </c>
      <c r="B250" s="54" t="s">
        <v>834</v>
      </c>
      <c r="C250" s="55">
        <v>921578</v>
      </c>
      <c r="D250" s="63">
        <v>42957</v>
      </c>
      <c r="E250" s="208">
        <v>638235</v>
      </c>
      <c r="F250" s="196">
        <f t="shared" si="24"/>
        <v>638235</v>
      </c>
      <c r="G250" s="59">
        <f t="shared" si="25"/>
        <v>638235</v>
      </c>
      <c r="H250" s="57">
        <v>0</v>
      </c>
      <c r="I250" s="60">
        <v>1</v>
      </c>
      <c r="J250" s="60">
        <v>1</v>
      </c>
      <c r="K250" s="33">
        <f t="shared" si="26"/>
        <v>638235</v>
      </c>
      <c r="L250" s="33">
        <f t="shared" si="27"/>
        <v>638235</v>
      </c>
      <c r="M250" s="200">
        <f t="shared" si="28"/>
        <v>638235</v>
      </c>
      <c r="N250" s="126"/>
      <c r="O250" s="44" t="s">
        <v>1778</v>
      </c>
      <c r="P250" s="33">
        <f t="shared" si="29"/>
        <v>638235</v>
      </c>
      <c r="Q250" s="33">
        <f>+'[1]bg dn2'!Z346</f>
        <v>638235</v>
      </c>
      <c r="R250" s="33">
        <f t="shared" si="30"/>
        <v>0</v>
      </c>
    </row>
    <row r="251" spans="1:19" s="211" customFormat="1">
      <c r="A251" s="29">
        <f t="shared" si="31"/>
        <v>247</v>
      </c>
      <c r="B251" s="54" t="s">
        <v>834</v>
      </c>
      <c r="C251" s="55">
        <v>921578</v>
      </c>
      <c r="D251" s="63">
        <v>43018</v>
      </c>
      <c r="E251" s="208">
        <v>638235</v>
      </c>
      <c r="F251" s="196">
        <f t="shared" si="24"/>
        <v>638235</v>
      </c>
      <c r="G251" s="59">
        <f t="shared" si="25"/>
        <v>638235</v>
      </c>
      <c r="H251" s="57">
        <v>0</v>
      </c>
      <c r="I251" s="60">
        <v>1</v>
      </c>
      <c r="J251" s="60">
        <v>1</v>
      </c>
      <c r="K251" s="33">
        <f t="shared" si="26"/>
        <v>638235</v>
      </c>
      <c r="L251" s="33">
        <f t="shared" si="27"/>
        <v>638235</v>
      </c>
      <c r="M251" s="200">
        <f t="shared" si="28"/>
        <v>638235</v>
      </c>
      <c r="N251" s="126"/>
      <c r="O251" s="44" t="s">
        <v>1780</v>
      </c>
      <c r="P251" s="33">
        <f t="shared" si="29"/>
        <v>638235</v>
      </c>
      <c r="Q251" s="33">
        <f>+'[1]bg dn2'!Z347</f>
        <v>638235</v>
      </c>
      <c r="R251" s="33">
        <f t="shared" si="30"/>
        <v>0</v>
      </c>
    </row>
    <row r="252" spans="1:19" s="211" customFormat="1">
      <c r="A252" s="29">
        <f t="shared" si="31"/>
        <v>248</v>
      </c>
      <c r="B252" s="54" t="s">
        <v>834</v>
      </c>
      <c r="C252" s="55">
        <v>921578</v>
      </c>
      <c r="D252" s="63">
        <v>43110</v>
      </c>
      <c r="E252" s="195">
        <v>638235</v>
      </c>
      <c r="F252" s="196">
        <f t="shared" si="24"/>
        <v>638235</v>
      </c>
      <c r="G252" s="59">
        <f t="shared" si="25"/>
        <v>638235</v>
      </c>
      <c r="H252" s="57">
        <v>0</v>
      </c>
      <c r="I252" s="60">
        <v>1</v>
      </c>
      <c r="J252" s="60">
        <v>1</v>
      </c>
      <c r="K252" s="33">
        <f t="shared" si="26"/>
        <v>638235</v>
      </c>
      <c r="L252" s="33">
        <f t="shared" si="27"/>
        <v>638235</v>
      </c>
      <c r="M252" s="200">
        <f t="shared" si="28"/>
        <v>638235</v>
      </c>
      <c r="N252" s="126"/>
      <c r="O252" s="197" t="s">
        <v>1749</v>
      </c>
      <c r="P252" s="33">
        <f t="shared" si="29"/>
        <v>638235</v>
      </c>
      <c r="Q252" s="33">
        <f>+'[1]bg dn2'!Z348</f>
        <v>638235</v>
      </c>
      <c r="R252" s="33">
        <f t="shared" si="30"/>
        <v>0</v>
      </c>
    </row>
    <row r="253" spans="1:19">
      <c r="A253" s="29">
        <f t="shared" si="31"/>
        <v>249</v>
      </c>
      <c r="B253" s="59" t="s">
        <v>1795</v>
      </c>
      <c r="C253" s="67" t="s">
        <v>959</v>
      </c>
      <c r="D253" s="63">
        <v>42879</v>
      </c>
      <c r="E253" s="203">
        <v>52429</v>
      </c>
      <c r="F253" s="196">
        <f t="shared" si="24"/>
        <v>52429</v>
      </c>
      <c r="G253" s="59">
        <f t="shared" si="25"/>
        <v>52429</v>
      </c>
      <c r="H253" s="57">
        <v>0</v>
      </c>
      <c r="I253" s="60">
        <v>1</v>
      </c>
      <c r="J253" s="60">
        <v>1</v>
      </c>
      <c r="K253" s="33">
        <f t="shared" si="26"/>
        <v>52429</v>
      </c>
      <c r="L253" s="33">
        <f t="shared" si="27"/>
        <v>52429</v>
      </c>
      <c r="M253" s="200">
        <f t="shared" si="28"/>
        <v>52429</v>
      </c>
      <c r="N253" s="209"/>
      <c r="O253" s="44" t="s">
        <v>1796</v>
      </c>
      <c r="P253" s="33">
        <f t="shared" si="29"/>
        <v>52429</v>
      </c>
      <c r="Q253" s="33">
        <f>+'[1]bg dn2'!Z349</f>
        <v>52429</v>
      </c>
      <c r="R253" s="33">
        <f t="shared" si="30"/>
        <v>0</v>
      </c>
      <c r="S253" s="132"/>
    </row>
    <row r="254" spans="1:19">
      <c r="A254" s="29">
        <f t="shared" si="31"/>
        <v>250</v>
      </c>
      <c r="B254" s="54" t="s">
        <v>958</v>
      </c>
      <c r="C254" s="55" t="s">
        <v>959</v>
      </c>
      <c r="D254" s="63">
        <v>42926</v>
      </c>
      <c r="E254" s="208">
        <v>404615</v>
      </c>
      <c r="F254" s="196">
        <f t="shared" si="24"/>
        <v>404615</v>
      </c>
      <c r="G254" s="59">
        <f t="shared" si="25"/>
        <v>404615</v>
      </c>
      <c r="H254" s="57">
        <v>0</v>
      </c>
      <c r="I254" s="60">
        <v>1</v>
      </c>
      <c r="J254" s="60">
        <v>1</v>
      </c>
      <c r="K254" s="33">
        <f t="shared" si="26"/>
        <v>404615</v>
      </c>
      <c r="L254" s="33">
        <f t="shared" si="27"/>
        <v>404615</v>
      </c>
      <c r="M254" s="200">
        <f t="shared" si="28"/>
        <v>404615</v>
      </c>
      <c r="N254" s="126"/>
      <c r="O254" s="44" t="s">
        <v>1777</v>
      </c>
      <c r="P254" s="33">
        <f t="shared" si="29"/>
        <v>404615</v>
      </c>
      <c r="Q254" s="33">
        <f>+'[1]bg dn2'!Z350</f>
        <v>404615</v>
      </c>
      <c r="R254" s="33">
        <f t="shared" si="30"/>
        <v>0</v>
      </c>
      <c r="S254" s="132"/>
    </row>
    <row r="255" spans="1:19">
      <c r="A255" s="29">
        <f t="shared" si="31"/>
        <v>251</v>
      </c>
      <c r="B255" s="54" t="s">
        <v>958</v>
      </c>
      <c r="C255" s="55" t="s">
        <v>959</v>
      </c>
      <c r="D255" s="63">
        <v>42926</v>
      </c>
      <c r="E255" s="210">
        <v>404615</v>
      </c>
      <c r="F255" s="196">
        <f t="shared" si="24"/>
        <v>404615</v>
      </c>
      <c r="G255" s="59">
        <f t="shared" si="25"/>
        <v>404615</v>
      </c>
      <c r="H255" s="57">
        <v>0</v>
      </c>
      <c r="I255" s="60">
        <v>1</v>
      </c>
      <c r="J255" s="60">
        <v>1</v>
      </c>
      <c r="K255" s="33">
        <f t="shared" si="26"/>
        <v>404615</v>
      </c>
      <c r="L255" s="33">
        <f t="shared" si="27"/>
        <v>404615</v>
      </c>
      <c r="M255" s="200">
        <f t="shared" si="28"/>
        <v>404615</v>
      </c>
      <c r="N255" s="126"/>
      <c r="O255" s="44" t="s">
        <v>1777</v>
      </c>
      <c r="P255" s="33">
        <f t="shared" si="29"/>
        <v>404615</v>
      </c>
      <c r="Q255" s="33">
        <f>+'[1]bg dn2'!Z351</f>
        <v>404615</v>
      </c>
      <c r="R255" s="33">
        <f t="shared" si="30"/>
        <v>0</v>
      </c>
      <c r="S255" s="132"/>
    </row>
    <row r="256" spans="1:19">
      <c r="A256" s="29">
        <f t="shared" si="31"/>
        <v>252</v>
      </c>
      <c r="B256" s="54" t="s">
        <v>958</v>
      </c>
      <c r="C256" s="55" t="s">
        <v>959</v>
      </c>
      <c r="D256" s="63">
        <v>42957</v>
      </c>
      <c r="E256" s="208">
        <v>404615</v>
      </c>
      <c r="F256" s="196">
        <f t="shared" si="24"/>
        <v>404615</v>
      </c>
      <c r="G256" s="59">
        <f t="shared" si="25"/>
        <v>404615</v>
      </c>
      <c r="H256" s="57">
        <v>0</v>
      </c>
      <c r="I256" s="60">
        <v>1</v>
      </c>
      <c r="J256" s="60">
        <v>1</v>
      </c>
      <c r="K256" s="33">
        <f t="shared" si="26"/>
        <v>404615</v>
      </c>
      <c r="L256" s="33">
        <f t="shared" si="27"/>
        <v>404615</v>
      </c>
      <c r="M256" s="200">
        <f t="shared" si="28"/>
        <v>404615</v>
      </c>
      <c r="N256" s="126"/>
      <c r="O256" s="44" t="s">
        <v>1778</v>
      </c>
      <c r="P256" s="33">
        <f t="shared" si="29"/>
        <v>404615</v>
      </c>
      <c r="Q256" s="33">
        <f>+'[1]bg dn2'!Z352</f>
        <v>404615</v>
      </c>
      <c r="R256" s="33">
        <f t="shared" si="30"/>
        <v>0</v>
      </c>
      <c r="S256" s="132"/>
    </row>
    <row r="257" spans="1:19">
      <c r="A257" s="29">
        <f t="shared" si="31"/>
        <v>253</v>
      </c>
      <c r="B257" s="54" t="s">
        <v>958</v>
      </c>
      <c r="C257" s="55" t="s">
        <v>959</v>
      </c>
      <c r="D257" s="63">
        <v>42957</v>
      </c>
      <c r="E257" s="210">
        <v>404615</v>
      </c>
      <c r="F257" s="196">
        <f t="shared" si="24"/>
        <v>404615</v>
      </c>
      <c r="G257" s="59">
        <f t="shared" si="25"/>
        <v>404615</v>
      </c>
      <c r="H257" s="57">
        <v>0</v>
      </c>
      <c r="I257" s="60">
        <v>1</v>
      </c>
      <c r="J257" s="60">
        <v>1</v>
      </c>
      <c r="K257" s="33">
        <f t="shared" si="26"/>
        <v>404615</v>
      </c>
      <c r="L257" s="33">
        <f t="shared" si="27"/>
        <v>404615</v>
      </c>
      <c r="M257" s="200">
        <f t="shared" si="28"/>
        <v>404615</v>
      </c>
      <c r="N257" s="126"/>
      <c r="O257" s="44" t="s">
        <v>1778</v>
      </c>
      <c r="P257" s="33">
        <f t="shared" si="29"/>
        <v>404615</v>
      </c>
      <c r="Q257" s="33">
        <f>+'[1]bg dn2'!Z353</f>
        <v>404615</v>
      </c>
      <c r="R257" s="33">
        <f t="shared" si="30"/>
        <v>0</v>
      </c>
      <c r="S257" s="132"/>
    </row>
    <row r="258" spans="1:19">
      <c r="A258" s="29">
        <f t="shared" si="31"/>
        <v>254</v>
      </c>
      <c r="B258" s="54" t="s">
        <v>958</v>
      </c>
      <c r="C258" s="55" t="s">
        <v>959</v>
      </c>
      <c r="D258" s="63">
        <v>42988</v>
      </c>
      <c r="E258" s="208">
        <v>404615</v>
      </c>
      <c r="F258" s="196">
        <f t="shared" si="24"/>
        <v>404615</v>
      </c>
      <c r="G258" s="59">
        <f t="shared" si="25"/>
        <v>404615</v>
      </c>
      <c r="H258" s="57">
        <v>0</v>
      </c>
      <c r="I258" s="60">
        <v>1</v>
      </c>
      <c r="J258" s="60">
        <v>1</v>
      </c>
      <c r="K258" s="33">
        <f t="shared" si="26"/>
        <v>404615</v>
      </c>
      <c r="L258" s="33">
        <f t="shared" si="27"/>
        <v>404615</v>
      </c>
      <c r="M258" s="200">
        <f t="shared" si="28"/>
        <v>404615</v>
      </c>
      <c r="N258" s="209"/>
      <c r="O258" s="44" t="s">
        <v>1779</v>
      </c>
      <c r="P258" s="33">
        <f t="shared" si="29"/>
        <v>404615</v>
      </c>
      <c r="Q258" s="33">
        <f>+'[1]bg dn2'!Z354</f>
        <v>404615</v>
      </c>
      <c r="R258" s="33">
        <f t="shared" si="30"/>
        <v>0</v>
      </c>
      <c r="S258" s="132"/>
    </row>
    <row r="259" spans="1:19">
      <c r="A259" s="29">
        <f t="shared" si="31"/>
        <v>255</v>
      </c>
      <c r="B259" s="54" t="s">
        <v>958</v>
      </c>
      <c r="C259" s="55" t="s">
        <v>959</v>
      </c>
      <c r="D259" s="63">
        <v>42988</v>
      </c>
      <c r="E259" s="210">
        <v>404615</v>
      </c>
      <c r="F259" s="196">
        <f t="shared" si="24"/>
        <v>404615</v>
      </c>
      <c r="G259" s="59">
        <f t="shared" si="25"/>
        <v>404615</v>
      </c>
      <c r="H259" s="57">
        <v>0</v>
      </c>
      <c r="I259" s="60">
        <v>1</v>
      </c>
      <c r="J259" s="60">
        <v>1</v>
      </c>
      <c r="K259" s="33">
        <f t="shared" si="26"/>
        <v>404615</v>
      </c>
      <c r="L259" s="33">
        <f t="shared" si="27"/>
        <v>404615</v>
      </c>
      <c r="M259" s="200">
        <f t="shared" si="28"/>
        <v>404615</v>
      </c>
      <c r="N259" s="209"/>
      <c r="O259" s="44" t="s">
        <v>1779</v>
      </c>
      <c r="P259" s="33">
        <f t="shared" si="29"/>
        <v>404615</v>
      </c>
      <c r="Q259" s="33">
        <f>+'[1]bg dn2'!Z355</f>
        <v>404615</v>
      </c>
      <c r="R259" s="33">
        <f t="shared" si="30"/>
        <v>0</v>
      </c>
      <c r="S259" s="132"/>
    </row>
    <row r="260" spans="1:19">
      <c r="A260" s="29">
        <f t="shared" si="31"/>
        <v>256</v>
      </c>
      <c r="B260" s="54" t="s">
        <v>958</v>
      </c>
      <c r="C260" s="55" t="s">
        <v>959</v>
      </c>
      <c r="D260" s="63">
        <v>43018</v>
      </c>
      <c r="E260" s="208">
        <v>404615</v>
      </c>
      <c r="F260" s="196">
        <f t="shared" si="24"/>
        <v>404615</v>
      </c>
      <c r="G260" s="59">
        <f t="shared" si="25"/>
        <v>404615</v>
      </c>
      <c r="H260" s="57">
        <v>0</v>
      </c>
      <c r="I260" s="60">
        <v>1</v>
      </c>
      <c r="J260" s="60">
        <v>1</v>
      </c>
      <c r="K260" s="33">
        <f t="shared" si="26"/>
        <v>404615</v>
      </c>
      <c r="L260" s="33">
        <f t="shared" si="27"/>
        <v>404615</v>
      </c>
      <c r="M260" s="200">
        <f t="shared" si="28"/>
        <v>404615</v>
      </c>
      <c r="N260" s="126"/>
      <c r="O260" s="44" t="s">
        <v>1780</v>
      </c>
      <c r="P260" s="33">
        <f t="shared" si="29"/>
        <v>404615</v>
      </c>
      <c r="Q260" s="33">
        <f>+'[1]bg dn2'!Z356</f>
        <v>404615</v>
      </c>
      <c r="R260" s="33">
        <f t="shared" si="30"/>
        <v>0</v>
      </c>
      <c r="S260" s="132"/>
    </row>
    <row r="261" spans="1:19">
      <c r="A261" s="29">
        <f t="shared" si="31"/>
        <v>257</v>
      </c>
      <c r="B261" s="54" t="s">
        <v>958</v>
      </c>
      <c r="C261" s="55" t="s">
        <v>959</v>
      </c>
      <c r="D261" s="63">
        <v>43018</v>
      </c>
      <c r="E261" s="210">
        <v>404615</v>
      </c>
      <c r="F261" s="196">
        <f t="shared" ref="F261:F324" si="32">+I261*K261</f>
        <v>404615</v>
      </c>
      <c r="G261" s="59">
        <f t="shared" ref="G261:G324" si="33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34">+G261+H261</f>
        <v>404615</v>
      </c>
      <c r="L261" s="33">
        <f t="shared" ref="L261:L324" si="35">+J261*K261</f>
        <v>404615</v>
      </c>
      <c r="M261" s="200">
        <f t="shared" ref="M261:M324" si="36">+G261*J261</f>
        <v>404615</v>
      </c>
      <c r="N261" s="126"/>
      <c r="O261" s="44" t="s">
        <v>1780</v>
      </c>
      <c r="P261" s="33">
        <f t="shared" ref="P261:P324" si="37">+M261</f>
        <v>404615</v>
      </c>
      <c r="Q261" s="33">
        <f>+'[1]bg dn2'!Z357</f>
        <v>404615</v>
      </c>
      <c r="R261" s="33">
        <f t="shared" ref="R261:R324" si="38">+P261-Q261</f>
        <v>0</v>
      </c>
      <c r="S261" s="132"/>
    </row>
    <row r="262" spans="1:19">
      <c r="A262" s="29">
        <f t="shared" ref="A262:A325" si="39">+A261+1</f>
        <v>258</v>
      </c>
      <c r="B262" s="54" t="s">
        <v>958</v>
      </c>
      <c r="C262" s="55" t="s">
        <v>959</v>
      </c>
      <c r="D262" s="63">
        <v>43049</v>
      </c>
      <c r="E262" s="208">
        <v>404615</v>
      </c>
      <c r="F262" s="196">
        <f t="shared" si="32"/>
        <v>404615</v>
      </c>
      <c r="G262" s="59">
        <f t="shared" si="33"/>
        <v>404615</v>
      </c>
      <c r="H262" s="57">
        <v>0</v>
      </c>
      <c r="I262" s="60">
        <v>1</v>
      </c>
      <c r="J262" s="60">
        <v>1</v>
      </c>
      <c r="K262" s="33">
        <f t="shared" si="34"/>
        <v>404615</v>
      </c>
      <c r="L262" s="33">
        <f t="shared" si="35"/>
        <v>404615</v>
      </c>
      <c r="M262" s="200">
        <f t="shared" si="36"/>
        <v>404615</v>
      </c>
      <c r="N262" s="126"/>
      <c r="O262" s="44" t="s">
        <v>1781</v>
      </c>
      <c r="P262" s="33">
        <f t="shared" si="37"/>
        <v>404615</v>
      </c>
      <c r="Q262" s="33">
        <f>+'[1]bg dn2'!Z358</f>
        <v>404615</v>
      </c>
      <c r="R262" s="33">
        <f t="shared" si="38"/>
        <v>0</v>
      </c>
      <c r="S262" s="132"/>
    </row>
    <row r="263" spans="1:19">
      <c r="A263" s="29">
        <f t="shared" si="39"/>
        <v>259</v>
      </c>
      <c r="B263" s="54" t="s">
        <v>958</v>
      </c>
      <c r="C263" s="55" t="s">
        <v>959</v>
      </c>
      <c r="D263" s="63">
        <v>43049</v>
      </c>
      <c r="E263" s="210">
        <v>404615</v>
      </c>
      <c r="F263" s="196">
        <f t="shared" si="32"/>
        <v>404615</v>
      </c>
      <c r="G263" s="59">
        <f t="shared" si="33"/>
        <v>404615</v>
      </c>
      <c r="H263" s="57">
        <v>0</v>
      </c>
      <c r="I263" s="60">
        <v>1</v>
      </c>
      <c r="J263" s="60">
        <v>1</v>
      </c>
      <c r="K263" s="33">
        <f t="shared" si="34"/>
        <v>404615</v>
      </c>
      <c r="L263" s="33">
        <f t="shared" si="35"/>
        <v>404615</v>
      </c>
      <c r="M263" s="200">
        <f t="shared" si="36"/>
        <v>404615</v>
      </c>
      <c r="N263" s="126"/>
      <c r="O263" s="44" t="s">
        <v>1781</v>
      </c>
      <c r="P263" s="33">
        <f t="shared" si="37"/>
        <v>404615</v>
      </c>
      <c r="Q263" s="33">
        <f>+'[1]bg dn2'!Z359</f>
        <v>404615</v>
      </c>
      <c r="R263" s="33">
        <f t="shared" si="38"/>
        <v>0</v>
      </c>
      <c r="S263" s="132"/>
    </row>
    <row r="264" spans="1:19">
      <c r="A264" s="29">
        <f t="shared" si="39"/>
        <v>260</v>
      </c>
      <c r="B264" s="54" t="s">
        <v>958</v>
      </c>
      <c r="C264" s="55" t="s">
        <v>959</v>
      </c>
      <c r="D264" s="63">
        <v>43079</v>
      </c>
      <c r="E264" s="195">
        <v>404615</v>
      </c>
      <c r="F264" s="196">
        <f t="shared" si="32"/>
        <v>404615</v>
      </c>
      <c r="G264" s="59">
        <f t="shared" si="33"/>
        <v>404615</v>
      </c>
      <c r="H264" s="57">
        <v>0</v>
      </c>
      <c r="I264" s="60">
        <v>1</v>
      </c>
      <c r="J264" s="60">
        <v>1</v>
      </c>
      <c r="K264" s="33">
        <f t="shared" si="34"/>
        <v>404615</v>
      </c>
      <c r="L264" s="33">
        <f t="shared" si="35"/>
        <v>404615</v>
      </c>
      <c r="M264" s="200">
        <f t="shared" si="36"/>
        <v>404615</v>
      </c>
      <c r="N264" s="126"/>
      <c r="O264" s="197" t="s">
        <v>1748</v>
      </c>
      <c r="P264" s="33">
        <f t="shared" si="37"/>
        <v>404615</v>
      </c>
      <c r="Q264" s="33">
        <f>+'[1]bg dn2'!Z360</f>
        <v>404615</v>
      </c>
      <c r="R264" s="33">
        <f t="shared" si="38"/>
        <v>0</v>
      </c>
      <c r="S264" s="132"/>
    </row>
    <row r="265" spans="1:19">
      <c r="A265" s="29">
        <f t="shared" si="39"/>
        <v>261</v>
      </c>
      <c r="B265" s="54" t="s">
        <v>958</v>
      </c>
      <c r="C265" s="55" t="s">
        <v>959</v>
      </c>
      <c r="D265" s="63">
        <v>43079</v>
      </c>
      <c r="E265" s="199">
        <v>404615</v>
      </c>
      <c r="F265" s="196">
        <f t="shared" si="32"/>
        <v>404615</v>
      </c>
      <c r="G265" s="59">
        <f t="shared" si="33"/>
        <v>404615</v>
      </c>
      <c r="H265" s="57">
        <v>0</v>
      </c>
      <c r="I265" s="60">
        <v>1</v>
      </c>
      <c r="J265" s="60">
        <v>1</v>
      </c>
      <c r="K265" s="33">
        <f t="shared" si="34"/>
        <v>404615</v>
      </c>
      <c r="L265" s="33">
        <f t="shared" si="35"/>
        <v>404615</v>
      </c>
      <c r="M265" s="200">
        <f t="shared" si="36"/>
        <v>404615</v>
      </c>
      <c r="N265" s="126"/>
      <c r="O265" s="197" t="s">
        <v>1748</v>
      </c>
      <c r="P265" s="33">
        <f t="shared" si="37"/>
        <v>404615</v>
      </c>
      <c r="Q265" s="33">
        <f>+'[1]bg dn2'!Z361</f>
        <v>404615</v>
      </c>
      <c r="R265" s="33">
        <f t="shared" si="38"/>
        <v>0</v>
      </c>
      <c r="S265" s="132"/>
    </row>
    <row r="266" spans="1:19">
      <c r="A266" s="29">
        <f t="shared" si="39"/>
        <v>262</v>
      </c>
      <c r="B266" s="54" t="s">
        <v>958</v>
      </c>
      <c r="C266" s="55" t="s">
        <v>959</v>
      </c>
      <c r="D266" s="63">
        <v>43110</v>
      </c>
      <c r="E266" s="195">
        <v>404615</v>
      </c>
      <c r="F266" s="196">
        <f t="shared" si="32"/>
        <v>404615</v>
      </c>
      <c r="G266" s="59">
        <f t="shared" si="33"/>
        <v>404615</v>
      </c>
      <c r="H266" s="57">
        <v>0</v>
      </c>
      <c r="I266" s="60">
        <v>1</v>
      </c>
      <c r="J266" s="60">
        <v>1</v>
      </c>
      <c r="K266" s="33">
        <f t="shared" si="34"/>
        <v>404615</v>
      </c>
      <c r="L266" s="33">
        <f t="shared" si="35"/>
        <v>404615</v>
      </c>
      <c r="M266" s="200">
        <f t="shared" si="36"/>
        <v>404615</v>
      </c>
      <c r="N266" s="126"/>
      <c r="O266" s="197" t="s">
        <v>1749</v>
      </c>
      <c r="P266" s="33">
        <f t="shared" si="37"/>
        <v>404615</v>
      </c>
      <c r="Q266" s="33">
        <f>+'[1]bg dn2'!Z362</f>
        <v>404615</v>
      </c>
      <c r="R266" s="33">
        <f t="shared" si="38"/>
        <v>0</v>
      </c>
      <c r="S266" s="132"/>
    </row>
    <row r="267" spans="1:19">
      <c r="A267" s="29">
        <f t="shared" si="39"/>
        <v>263</v>
      </c>
      <c r="B267" s="54" t="s">
        <v>958</v>
      </c>
      <c r="C267" s="55" t="s">
        <v>959</v>
      </c>
      <c r="D267" s="63">
        <v>43110</v>
      </c>
      <c r="E267" s="199">
        <v>404615</v>
      </c>
      <c r="F267" s="196">
        <f t="shared" si="32"/>
        <v>404615</v>
      </c>
      <c r="G267" s="59">
        <f t="shared" si="33"/>
        <v>404615</v>
      </c>
      <c r="H267" s="57">
        <v>0</v>
      </c>
      <c r="I267" s="60">
        <v>1</v>
      </c>
      <c r="J267" s="60">
        <v>1</v>
      </c>
      <c r="K267" s="33">
        <f t="shared" si="34"/>
        <v>404615</v>
      </c>
      <c r="L267" s="33">
        <f t="shared" si="35"/>
        <v>404615</v>
      </c>
      <c r="M267" s="200">
        <f t="shared" si="36"/>
        <v>404615</v>
      </c>
      <c r="N267" s="126"/>
      <c r="O267" s="197" t="s">
        <v>1749</v>
      </c>
      <c r="P267" s="33">
        <f t="shared" si="37"/>
        <v>404615</v>
      </c>
      <c r="Q267" s="33">
        <f>+'[1]bg dn2'!Z363</f>
        <v>404615</v>
      </c>
      <c r="R267" s="33">
        <f t="shared" si="38"/>
        <v>0</v>
      </c>
      <c r="S267" s="132"/>
    </row>
    <row r="268" spans="1:19">
      <c r="A268" s="29">
        <f t="shared" si="39"/>
        <v>264</v>
      </c>
      <c r="B268" s="54" t="s">
        <v>1162</v>
      </c>
      <c r="C268" s="55" t="s">
        <v>1163</v>
      </c>
      <c r="D268" s="63">
        <v>43110</v>
      </c>
      <c r="E268" s="199">
        <v>430097</v>
      </c>
      <c r="F268" s="196">
        <f t="shared" si="32"/>
        <v>430097</v>
      </c>
      <c r="G268" s="59">
        <f t="shared" si="33"/>
        <v>430097</v>
      </c>
      <c r="H268" s="57">
        <v>0</v>
      </c>
      <c r="I268" s="60">
        <v>1</v>
      </c>
      <c r="J268" s="60">
        <v>1</v>
      </c>
      <c r="K268" s="33">
        <f t="shared" si="34"/>
        <v>430097</v>
      </c>
      <c r="L268" s="33">
        <f t="shared" si="35"/>
        <v>430097</v>
      </c>
      <c r="M268" s="200">
        <f t="shared" si="36"/>
        <v>430097</v>
      </c>
      <c r="N268" s="126"/>
      <c r="O268" s="197" t="s">
        <v>1749</v>
      </c>
      <c r="P268" s="33">
        <f t="shared" si="37"/>
        <v>430097</v>
      </c>
      <c r="Q268" s="33">
        <f>+'[1]bg dn2'!Z364</f>
        <v>430097</v>
      </c>
      <c r="R268" s="33">
        <f t="shared" si="38"/>
        <v>0</v>
      </c>
      <c r="S268" s="132"/>
    </row>
    <row r="269" spans="1:19">
      <c r="A269" s="29">
        <f t="shared" si="39"/>
        <v>265</v>
      </c>
      <c r="B269" s="54" t="s">
        <v>1162</v>
      </c>
      <c r="C269" s="55" t="s">
        <v>1163</v>
      </c>
      <c r="D269" s="63">
        <v>43110</v>
      </c>
      <c r="E269" s="195">
        <v>430096</v>
      </c>
      <c r="F269" s="196">
        <f t="shared" si="32"/>
        <v>430096</v>
      </c>
      <c r="G269" s="59">
        <f t="shared" si="33"/>
        <v>430096</v>
      </c>
      <c r="H269" s="57">
        <v>0</v>
      </c>
      <c r="I269" s="60">
        <v>1</v>
      </c>
      <c r="J269" s="60">
        <v>1</v>
      </c>
      <c r="K269" s="33">
        <f t="shared" si="34"/>
        <v>430096</v>
      </c>
      <c r="L269" s="33">
        <f t="shared" si="35"/>
        <v>430096</v>
      </c>
      <c r="M269" s="200">
        <f t="shared" si="36"/>
        <v>430096</v>
      </c>
      <c r="N269" s="126"/>
      <c r="O269" s="197" t="s">
        <v>1749</v>
      </c>
      <c r="P269" s="33">
        <f t="shared" si="37"/>
        <v>430096</v>
      </c>
      <c r="Q269" s="33">
        <f>+'[1]bg dn2'!Z365</f>
        <v>430096</v>
      </c>
      <c r="R269" s="33">
        <f t="shared" si="38"/>
        <v>0</v>
      </c>
      <c r="S269" s="132"/>
    </row>
    <row r="270" spans="1:19">
      <c r="A270" s="29">
        <f t="shared" si="39"/>
        <v>266</v>
      </c>
      <c r="B270" s="54" t="s">
        <v>1205</v>
      </c>
      <c r="C270" s="55" t="s">
        <v>1206</v>
      </c>
      <c r="D270" s="202">
        <v>42561</v>
      </c>
      <c r="E270" s="203">
        <f>1288811-831808</f>
        <v>457003</v>
      </c>
      <c r="F270" s="196">
        <f t="shared" si="32"/>
        <v>457003</v>
      </c>
      <c r="G270" s="59">
        <f t="shared" si="33"/>
        <v>457003</v>
      </c>
      <c r="H270" s="57">
        <v>0</v>
      </c>
      <c r="I270" s="60">
        <v>1</v>
      </c>
      <c r="J270" s="60">
        <v>1</v>
      </c>
      <c r="K270" s="33">
        <f t="shared" si="34"/>
        <v>457003</v>
      </c>
      <c r="L270" s="33">
        <f t="shared" si="35"/>
        <v>457003</v>
      </c>
      <c r="M270" s="33">
        <f t="shared" si="36"/>
        <v>457003</v>
      </c>
      <c r="N270" s="126"/>
      <c r="O270" s="44" t="s">
        <v>1765</v>
      </c>
      <c r="P270" s="33">
        <f t="shared" si="37"/>
        <v>457003</v>
      </c>
      <c r="Q270" s="33">
        <f>+'[1]bg dn2'!Z366</f>
        <v>457003</v>
      </c>
      <c r="R270" s="33">
        <f t="shared" si="38"/>
        <v>0</v>
      </c>
      <c r="S270" s="132"/>
    </row>
    <row r="271" spans="1:19">
      <c r="A271" s="29">
        <f t="shared" si="39"/>
        <v>267</v>
      </c>
      <c r="B271" s="54" t="s">
        <v>1205</v>
      </c>
      <c r="C271" s="55" t="s">
        <v>1206</v>
      </c>
      <c r="D271" s="202">
        <v>42623</v>
      </c>
      <c r="E271" s="203">
        <v>1288811</v>
      </c>
      <c r="F271" s="196">
        <f t="shared" si="32"/>
        <v>1288811</v>
      </c>
      <c r="G271" s="59">
        <f t="shared" si="33"/>
        <v>1288811</v>
      </c>
      <c r="H271" s="57">
        <v>0</v>
      </c>
      <c r="I271" s="60">
        <v>1</v>
      </c>
      <c r="J271" s="60">
        <v>1</v>
      </c>
      <c r="K271" s="33">
        <f t="shared" si="34"/>
        <v>1288811</v>
      </c>
      <c r="L271" s="33">
        <f t="shared" si="35"/>
        <v>1288811</v>
      </c>
      <c r="M271" s="33">
        <f t="shared" si="36"/>
        <v>1288811</v>
      </c>
      <c r="N271" s="126"/>
      <c r="O271" s="44" t="s">
        <v>1767</v>
      </c>
      <c r="P271" s="33">
        <f t="shared" si="37"/>
        <v>1288811</v>
      </c>
      <c r="Q271" s="33">
        <f>+'[1]bg dn2'!Z367</f>
        <v>1288811</v>
      </c>
      <c r="R271" s="33">
        <f t="shared" si="38"/>
        <v>0</v>
      </c>
      <c r="S271" s="132"/>
    </row>
    <row r="272" spans="1:19">
      <c r="A272" s="29">
        <f t="shared" si="39"/>
        <v>268</v>
      </c>
      <c r="B272" s="54" t="s">
        <v>1205</v>
      </c>
      <c r="C272" s="55" t="s">
        <v>1206</v>
      </c>
      <c r="D272" s="202">
        <v>42653</v>
      </c>
      <c r="E272" s="203">
        <v>1288811</v>
      </c>
      <c r="F272" s="196">
        <f t="shared" si="32"/>
        <v>1288811</v>
      </c>
      <c r="G272" s="59">
        <f t="shared" si="33"/>
        <v>1288811</v>
      </c>
      <c r="H272" s="57">
        <v>0</v>
      </c>
      <c r="I272" s="60">
        <v>1</v>
      </c>
      <c r="J272" s="60">
        <v>1</v>
      </c>
      <c r="K272" s="33">
        <f t="shared" si="34"/>
        <v>1288811</v>
      </c>
      <c r="L272" s="33">
        <f t="shared" si="35"/>
        <v>1288811</v>
      </c>
      <c r="M272" s="33">
        <f t="shared" si="36"/>
        <v>1288811</v>
      </c>
      <c r="N272" s="126"/>
      <c r="O272" s="44" t="s">
        <v>1768</v>
      </c>
      <c r="P272" s="33">
        <f t="shared" si="37"/>
        <v>1288811</v>
      </c>
      <c r="Q272" s="33">
        <f>+'[1]bg dn2'!Z368</f>
        <v>1288811</v>
      </c>
      <c r="R272" s="33">
        <f t="shared" si="38"/>
        <v>0</v>
      </c>
      <c r="S272" s="132"/>
    </row>
    <row r="273" spans="1:19">
      <c r="A273" s="29">
        <f t="shared" si="39"/>
        <v>269</v>
      </c>
      <c r="B273" s="54" t="s">
        <v>1205</v>
      </c>
      <c r="C273" s="55" t="s">
        <v>1206</v>
      </c>
      <c r="D273" s="202">
        <v>42684</v>
      </c>
      <c r="E273" s="203">
        <v>1288811</v>
      </c>
      <c r="F273" s="196">
        <f t="shared" si="32"/>
        <v>1288811</v>
      </c>
      <c r="G273" s="59">
        <f t="shared" si="33"/>
        <v>1288811</v>
      </c>
      <c r="H273" s="57">
        <v>0</v>
      </c>
      <c r="I273" s="60">
        <v>1</v>
      </c>
      <c r="J273" s="60">
        <v>1</v>
      </c>
      <c r="K273" s="33">
        <f t="shared" si="34"/>
        <v>1288811</v>
      </c>
      <c r="L273" s="33">
        <f t="shared" si="35"/>
        <v>1288811</v>
      </c>
      <c r="M273" s="33">
        <f t="shared" si="36"/>
        <v>1288811</v>
      </c>
      <c r="N273" s="126"/>
      <c r="O273" s="44" t="s">
        <v>1769</v>
      </c>
      <c r="P273" s="33">
        <f t="shared" si="37"/>
        <v>1288811</v>
      </c>
      <c r="Q273" s="33">
        <f>+'[1]bg dn2'!Z369</f>
        <v>1288811</v>
      </c>
      <c r="R273" s="33">
        <f t="shared" si="38"/>
        <v>0</v>
      </c>
      <c r="S273" s="132"/>
    </row>
    <row r="274" spans="1:19">
      <c r="A274" s="29">
        <f t="shared" si="39"/>
        <v>270</v>
      </c>
      <c r="B274" s="54" t="s">
        <v>1205</v>
      </c>
      <c r="C274" s="55" t="s">
        <v>1206</v>
      </c>
      <c r="D274" s="63">
        <v>42714</v>
      </c>
      <c r="E274" s="203">
        <v>1288811</v>
      </c>
      <c r="F274" s="196">
        <f t="shared" si="32"/>
        <v>1288811</v>
      </c>
      <c r="G274" s="59">
        <f t="shared" si="33"/>
        <v>1288811</v>
      </c>
      <c r="H274" s="57">
        <v>0</v>
      </c>
      <c r="I274" s="60">
        <v>1</v>
      </c>
      <c r="J274" s="60">
        <v>1</v>
      </c>
      <c r="K274" s="33">
        <f t="shared" si="34"/>
        <v>1288811</v>
      </c>
      <c r="L274" s="33">
        <f t="shared" si="35"/>
        <v>1288811</v>
      </c>
      <c r="M274" s="33">
        <f t="shared" si="36"/>
        <v>1288811</v>
      </c>
      <c r="N274" s="126"/>
      <c r="O274" s="44" t="s">
        <v>1770</v>
      </c>
      <c r="P274" s="33">
        <f t="shared" si="37"/>
        <v>1288811</v>
      </c>
      <c r="Q274" s="33">
        <f>+'[1]bg dn2'!Z370</f>
        <v>1288811</v>
      </c>
      <c r="R274" s="33">
        <f t="shared" si="38"/>
        <v>0</v>
      </c>
      <c r="S274" s="132"/>
    </row>
    <row r="275" spans="1:19">
      <c r="A275" s="29">
        <f t="shared" si="39"/>
        <v>271</v>
      </c>
      <c r="B275" s="54" t="s">
        <v>1205</v>
      </c>
      <c r="C275" s="55" t="s">
        <v>1206</v>
      </c>
      <c r="D275" s="63">
        <v>42745</v>
      </c>
      <c r="E275" s="203">
        <v>1288811</v>
      </c>
      <c r="F275" s="196">
        <f t="shared" si="32"/>
        <v>1288811</v>
      </c>
      <c r="G275" s="59">
        <f t="shared" si="33"/>
        <v>1288811</v>
      </c>
      <c r="H275" s="57">
        <v>0</v>
      </c>
      <c r="I275" s="60">
        <v>1</v>
      </c>
      <c r="J275" s="60">
        <v>1</v>
      </c>
      <c r="K275" s="33">
        <f t="shared" si="34"/>
        <v>1288811</v>
      </c>
      <c r="L275" s="33">
        <f t="shared" si="35"/>
        <v>1288811</v>
      </c>
      <c r="M275" s="33">
        <f t="shared" si="36"/>
        <v>1288811</v>
      </c>
      <c r="N275" s="126"/>
      <c r="O275" s="44" t="s">
        <v>1771</v>
      </c>
      <c r="P275" s="33">
        <f t="shared" si="37"/>
        <v>1288811</v>
      </c>
      <c r="Q275" s="33">
        <f>+'[1]bg dn2'!Z371</f>
        <v>1288811</v>
      </c>
      <c r="R275" s="33">
        <f t="shared" si="38"/>
        <v>0</v>
      </c>
      <c r="S275" s="132"/>
    </row>
    <row r="276" spans="1:19">
      <c r="A276" s="29">
        <f t="shared" si="39"/>
        <v>272</v>
      </c>
      <c r="B276" s="54" t="s">
        <v>1205</v>
      </c>
      <c r="C276" s="55" t="s">
        <v>1206</v>
      </c>
      <c r="D276" s="63">
        <v>42776</v>
      </c>
      <c r="E276" s="203">
        <v>1288811</v>
      </c>
      <c r="F276" s="196">
        <f t="shared" si="32"/>
        <v>1288811</v>
      </c>
      <c r="G276" s="59">
        <f t="shared" si="33"/>
        <v>1288811</v>
      </c>
      <c r="H276" s="57">
        <v>0</v>
      </c>
      <c r="I276" s="60">
        <v>1</v>
      </c>
      <c r="J276" s="60">
        <v>1</v>
      </c>
      <c r="K276" s="33">
        <f t="shared" si="34"/>
        <v>1288811</v>
      </c>
      <c r="L276" s="33">
        <f t="shared" si="35"/>
        <v>1288811</v>
      </c>
      <c r="M276" s="33">
        <f t="shared" si="36"/>
        <v>1288811</v>
      </c>
      <c r="N276" s="126"/>
      <c r="O276" s="44" t="s">
        <v>1772</v>
      </c>
      <c r="P276" s="33">
        <f t="shared" si="37"/>
        <v>1288811</v>
      </c>
      <c r="Q276" s="33">
        <f>+'[1]bg dn2'!Z372</f>
        <v>1288811</v>
      </c>
      <c r="R276" s="33">
        <f t="shared" si="38"/>
        <v>0</v>
      </c>
      <c r="S276" s="132"/>
    </row>
    <row r="277" spans="1:19">
      <c r="A277" s="29">
        <f t="shared" si="39"/>
        <v>273</v>
      </c>
      <c r="B277" s="54" t="s">
        <v>1205</v>
      </c>
      <c r="C277" s="55" t="s">
        <v>1206</v>
      </c>
      <c r="D277" s="63">
        <v>42804</v>
      </c>
      <c r="E277" s="203">
        <v>1288811</v>
      </c>
      <c r="F277" s="196">
        <f t="shared" si="32"/>
        <v>1288811</v>
      </c>
      <c r="G277" s="59">
        <f t="shared" si="33"/>
        <v>1288811</v>
      </c>
      <c r="H277" s="57">
        <v>0</v>
      </c>
      <c r="I277" s="60">
        <v>1</v>
      </c>
      <c r="J277" s="60">
        <v>1</v>
      </c>
      <c r="K277" s="33">
        <f t="shared" si="34"/>
        <v>1288811</v>
      </c>
      <c r="L277" s="33">
        <f t="shared" si="35"/>
        <v>1288811</v>
      </c>
      <c r="M277" s="33">
        <f t="shared" si="36"/>
        <v>1288811</v>
      </c>
      <c r="N277" s="126"/>
      <c r="O277" s="44" t="s">
        <v>1773</v>
      </c>
      <c r="P277" s="33">
        <f t="shared" si="37"/>
        <v>1288811</v>
      </c>
      <c r="Q277" s="33">
        <f>+'[1]bg dn2'!Z373</f>
        <v>1288811</v>
      </c>
      <c r="R277" s="33">
        <f t="shared" si="38"/>
        <v>0</v>
      </c>
      <c r="S277" s="132"/>
    </row>
    <row r="278" spans="1:19">
      <c r="A278" s="29">
        <f t="shared" si="39"/>
        <v>274</v>
      </c>
      <c r="B278" s="54" t="s">
        <v>1205</v>
      </c>
      <c r="C278" s="55" t="s">
        <v>1206</v>
      </c>
      <c r="D278" s="63">
        <v>42835</v>
      </c>
      <c r="E278" s="203">
        <v>1288811</v>
      </c>
      <c r="F278" s="196">
        <f t="shared" si="32"/>
        <v>1288811</v>
      </c>
      <c r="G278" s="59">
        <f t="shared" si="33"/>
        <v>1288811</v>
      </c>
      <c r="H278" s="57">
        <v>0</v>
      </c>
      <c r="I278" s="60">
        <v>1</v>
      </c>
      <c r="J278" s="60">
        <v>1</v>
      </c>
      <c r="K278" s="33">
        <f t="shared" si="34"/>
        <v>1288811</v>
      </c>
      <c r="L278" s="33">
        <f t="shared" si="35"/>
        <v>1288811</v>
      </c>
      <c r="M278" s="33">
        <f t="shared" si="36"/>
        <v>1288811</v>
      </c>
      <c r="N278" s="126"/>
      <c r="O278" s="44" t="s">
        <v>1774</v>
      </c>
      <c r="P278" s="33">
        <f t="shared" si="37"/>
        <v>1288811</v>
      </c>
      <c r="Q278" s="33">
        <f>+'[1]bg dn2'!Z374</f>
        <v>1288811</v>
      </c>
      <c r="R278" s="33">
        <f t="shared" si="38"/>
        <v>0</v>
      </c>
      <c r="S278" s="132"/>
    </row>
    <row r="279" spans="1:19">
      <c r="A279" s="29">
        <f t="shared" si="39"/>
        <v>275</v>
      </c>
      <c r="B279" s="54" t="s">
        <v>1205</v>
      </c>
      <c r="C279" s="55" t="s">
        <v>1206</v>
      </c>
      <c r="D279" s="63">
        <v>42865</v>
      </c>
      <c r="E279" s="58">
        <v>1288811</v>
      </c>
      <c r="F279" s="196">
        <f t="shared" si="32"/>
        <v>1288811</v>
      </c>
      <c r="G279" s="59">
        <f t="shared" si="33"/>
        <v>1288811</v>
      </c>
      <c r="H279" s="57">
        <v>0</v>
      </c>
      <c r="I279" s="60">
        <v>1</v>
      </c>
      <c r="J279" s="60">
        <v>1</v>
      </c>
      <c r="K279" s="33">
        <f t="shared" si="34"/>
        <v>1288811</v>
      </c>
      <c r="L279" s="33">
        <f t="shared" si="35"/>
        <v>1288811</v>
      </c>
      <c r="M279" s="200">
        <f t="shared" si="36"/>
        <v>1288811</v>
      </c>
      <c r="N279" s="126"/>
      <c r="O279" s="44" t="s">
        <v>1775</v>
      </c>
      <c r="P279" s="33">
        <f t="shared" si="37"/>
        <v>1288811</v>
      </c>
      <c r="Q279" s="33">
        <f>+'[1]bg dn2'!Z375</f>
        <v>1288811</v>
      </c>
      <c r="R279" s="33">
        <f t="shared" si="38"/>
        <v>0</v>
      </c>
      <c r="S279" s="132"/>
    </row>
    <row r="280" spans="1:19">
      <c r="A280" s="29">
        <f t="shared" si="39"/>
        <v>276</v>
      </c>
      <c r="B280" s="54" t="s">
        <v>1205</v>
      </c>
      <c r="C280" s="55" t="s">
        <v>1206</v>
      </c>
      <c r="D280" s="63">
        <v>42896</v>
      </c>
      <c r="E280" s="207">
        <v>1288811</v>
      </c>
      <c r="F280" s="196">
        <f t="shared" si="32"/>
        <v>1288811</v>
      </c>
      <c r="G280" s="59">
        <f t="shared" si="33"/>
        <v>1288811</v>
      </c>
      <c r="H280" s="57">
        <v>0</v>
      </c>
      <c r="I280" s="60">
        <v>1</v>
      </c>
      <c r="J280" s="60">
        <v>1</v>
      </c>
      <c r="K280" s="33">
        <f t="shared" si="34"/>
        <v>1288811</v>
      </c>
      <c r="L280" s="33">
        <f t="shared" si="35"/>
        <v>1288811</v>
      </c>
      <c r="M280" s="200">
        <f t="shared" si="36"/>
        <v>1288811</v>
      </c>
      <c r="N280" s="126"/>
      <c r="O280" s="44" t="s">
        <v>1776</v>
      </c>
      <c r="P280" s="33">
        <f t="shared" si="37"/>
        <v>1288811</v>
      </c>
      <c r="Q280" s="33">
        <f>+'[1]bg dn2'!Z376</f>
        <v>1288811</v>
      </c>
      <c r="R280" s="33">
        <f t="shared" si="38"/>
        <v>0</v>
      </c>
      <c r="S280" s="132"/>
    </row>
    <row r="281" spans="1:19">
      <c r="A281" s="29">
        <f t="shared" si="39"/>
        <v>277</v>
      </c>
      <c r="B281" s="54" t="s">
        <v>1205</v>
      </c>
      <c r="C281" s="55" t="s">
        <v>1206</v>
      </c>
      <c r="D281" s="63">
        <v>42926</v>
      </c>
      <c r="E281" s="208">
        <v>1288811</v>
      </c>
      <c r="F281" s="196">
        <f t="shared" si="32"/>
        <v>1288811</v>
      </c>
      <c r="G281" s="59">
        <f t="shared" si="33"/>
        <v>1288811</v>
      </c>
      <c r="H281" s="57">
        <v>0</v>
      </c>
      <c r="I281" s="60">
        <v>1</v>
      </c>
      <c r="J281" s="60">
        <v>1</v>
      </c>
      <c r="K281" s="33">
        <f t="shared" si="34"/>
        <v>1288811</v>
      </c>
      <c r="L281" s="33">
        <f t="shared" si="35"/>
        <v>1288811</v>
      </c>
      <c r="M281" s="200">
        <f t="shared" si="36"/>
        <v>1288811</v>
      </c>
      <c r="N281" s="126"/>
      <c r="O281" s="44" t="s">
        <v>1777</v>
      </c>
      <c r="P281" s="33">
        <f t="shared" si="37"/>
        <v>1288811</v>
      </c>
      <c r="Q281" s="33">
        <f>+'[1]bg dn2'!Z377</f>
        <v>1288811</v>
      </c>
      <c r="R281" s="33">
        <f t="shared" si="38"/>
        <v>0</v>
      </c>
      <c r="S281" s="132"/>
    </row>
    <row r="282" spans="1:19">
      <c r="A282" s="29">
        <f t="shared" si="39"/>
        <v>278</v>
      </c>
      <c r="B282" s="54" t="s">
        <v>1205</v>
      </c>
      <c r="C282" s="55" t="s">
        <v>1206</v>
      </c>
      <c r="D282" s="63">
        <v>42957</v>
      </c>
      <c r="E282" s="208">
        <v>1288811</v>
      </c>
      <c r="F282" s="196">
        <f t="shared" si="32"/>
        <v>1288811</v>
      </c>
      <c r="G282" s="59">
        <f t="shared" si="33"/>
        <v>1288811</v>
      </c>
      <c r="H282" s="57">
        <v>0</v>
      </c>
      <c r="I282" s="60">
        <v>1</v>
      </c>
      <c r="J282" s="60">
        <v>1</v>
      </c>
      <c r="K282" s="33">
        <f t="shared" si="34"/>
        <v>1288811</v>
      </c>
      <c r="L282" s="33">
        <f t="shared" si="35"/>
        <v>1288811</v>
      </c>
      <c r="M282" s="200">
        <f t="shared" si="36"/>
        <v>1288811</v>
      </c>
      <c r="N282" s="126"/>
      <c r="O282" s="44" t="s">
        <v>1778</v>
      </c>
      <c r="P282" s="33">
        <f t="shared" si="37"/>
        <v>1288811</v>
      </c>
      <c r="Q282" s="33">
        <f>+'[1]bg dn2'!Z378</f>
        <v>1288811</v>
      </c>
      <c r="R282" s="33">
        <f t="shared" si="38"/>
        <v>0</v>
      </c>
      <c r="S282" s="132"/>
    </row>
    <row r="283" spans="1:19">
      <c r="A283" s="29">
        <f t="shared" si="39"/>
        <v>279</v>
      </c>
      <c r="B283" s="54" t="s">
        <v>1205</v>
      </c>
      <c r="C283" s="55" t="s">
        <v>1206</v>
      </c>
      <c r="D283" s="63">
        <v>42988</v>
      </c>
      <c r="E283" s="208">
        <v>1288811</v>
      </c>
      <c r="F283" s="196">
        <f t="shared" si="32"/>
        <v>1288811</v>
      </c>
      <c r="G283" s="59">
        <f t="shared" si="33"/>
        <v>1288811</v>
      </c>
      <c r="H283" s="57">
        <v>0</v>
      </c>
      <c r="I283" s="60">
        <v>1</v>
      </c>
      <c r="J283" s="60">
        <v>1</v>
      </c>
      <c r="K283" s="33">
        <f t="shared" si="34"/>
        <v>1288811</v>
      </c>
      <c r="L283" s="33">
        <f t="shared" si="35"/>
        <v>1288811</v>
      </c>
      <c r="M283" s="200">
        <f t="shared" si="36"/>
        <v>1288811</v>
      </c>
      <c r="N283" s="209"/>
      <c r="O283" s="44" t="s">
        <v>1779</v>
      </c>
      <c r="P283" s="33">
        <f t="shared" si="37"/>
        <v>1288811</v>
      </c>
      <c r="Q283" s="33">
        <f>+'[1]bg dn2'!Z379</f>
        <v>1288811</v>
      </c>
      <c r="R283" s="33">
        <f t="shared" si="38"/>
        <v>0</v>
      </c>
      <c r="S283" s="132"/>
    </row>
    <row r="284" spans="1:19">
      <c r="A284" s="29">
        <f t="shared" si="39"/>
        <v>280</v>
      </c>
      <c r="B284" s="54" t="s">
        <v>1205</v>
      </c>
      <c r="C284" s="55" t="s">
        <v>1206</v>
      </c>
      <c r="D284" s="63">
        <v>43018</v>
      </c>
      <c r="E284" s="208">
        <v>1288811</v>
      </c>
      <c r="F284" s="196">
        <f t="shared" si="32"/>
        <v>1288811</v>
      </c>
      <c r="G284" s="59">
        <f t="shared" si="33"/>
        <v>1288811</v>
      </c>
      <c r="H284" s="57">
        <v>0</v>
      </c>
      <c r="I284" s="60">
        <v>1</v>
      </c>
      <c r="J284" s="60">
        <v>1</v>
      </c>
      <c r="K284" s="33">
        <f t="shared" si="34"/>
        <v>1288811</v>
      </c>
      <c r="L284" s="33">
        <f t="shared" si="35"/>
        <v>1288811</v>
      </c>
      <c r="M284" s="200">
        <f t="shared" si="36"/>
        <v>1288811</v>
      </c>
      <c r="N284" s="126"/>
      <c r="O284" s="44" t="s">
        <v>1780</v>
      </c>
      <c r="P284" s="33">
        <f t="shared" si="37"/>
        <v>1288811</v>
      </c>
      <c r="Q284" s="33">
        <f>+'[1]bg dn2'!Z380</f>
        <v>1288811</v>
      </c>
      <c r="R284" s="33">
        <f t="shared" si="38"/>
        <v>0</v>
      </c>
      <c r="S284" s="132"/>
    </row>
    <row r="285" spans="1:19">
      <c r="A285" s="29">
        <f t="shared" si="39"/>
        <v>281</v>
      </c>
      <c r="B285" s="54" t="s">
        <v>1205</v>
      </c>
      <c r="C285" s="55" t="s">
        <v>1206</v>
      </c>
      <c r="D285" s="63">
        <v>43049</v>
      </c>
      <c r="E285" s="208">
        <v>1288811</v>
      </c>
      <c r="F285" s="196">
        <f t="shared" si="32"/>
        <v>1288811</v>
      </c>
      <c r="G285" s="59">
        <f t="shared" si="33"/>
        <v>1288811</v>
      </c>
      <c r="H285" s="57">
        <v>0</v>
      </c>
      <c r="I285" s="60">
        <v>1</v>
      </c>
      <c r="J285" s="60">
        <v>1</v>
      </c>
      <c r="K285" s="33">
        <f t="shared" si="34"/>
        <v>1288811</v>
      </c>
      <c r="L285" s="33">
        <f t="shared" si="35"/>
        <v>1288811</v>
      </c>
      <c r="M285" s="200">
        <f t="shared" si="36"/>
        <v>1288811</v>
      </c>
      <c r="N285" s="126"/>
      <c r="O285" s="44" t="s">
        <v>1781</v>
      </c>
      <c r="P285" s="33">
        <f t="shared" si="37"/>
        <v>1288811</v>
      </c>
      <c r="Q285" s="33">
        <f>+'[1]bg dn2'!Z381</f>
        <v>1288811</v>
      </c>
      <c r="R285" s="33">
        <f t="shared" si="38"/>
        <v>0</v>
      </c>
      <c r="S285" s="132"/>
    </row>
    <row r="286" spans="1:19">
      <c r="A286" s="29">
        <f t="shared" si="39"/>
        <v>282</v>
      </c>
      <c r="B286" s="54" t="s">
        <v>1205</v>
      </c>
      <c r="C286" s="55" t="s">
        <v>1206</v>
      </c>
      <c r="D286" s="63">
        <v>43079</v>
      </c>
      <c r="E286" s="195">
        <v>1288811</v>
      </c>
      <c r="F286" s="196">
        <f t="shared" si="32"/>
        <v>1288811</v>
      </c>
      <c r="G286" s="59">
        <f t="shared" si="33"/>
        <v>1288811</v>
      </c>
      <c r="H286" s="57">
        <v>0</v>
      </c>
      <c r="I286" s="60">
        <v>1</v>
      </c>
      <c r="J286" s="60">
        <v>1</v>
      </c>
      <c r="K286" s="33">
        <f t="shared" si="34"/>
        <v>1288811</v>
      </c>
      <c r="L286" s="33">
        <f t="shared" si="35"/>
        <v>1288811</v>
      </c>
      <c r="M286" s="200">
        <f t="shared" si="36"/>
        <v>1288811</v>
      </c>
      <c r="N286" s="126"/>
      <c r="O286" s="197" t="s">
        <v>1748</v>
      </c>
      <c r="P286" s="33">
        <f t="shared" si="37"/>
        <v>1288811</v>
      </c>
      <c r="Q286" s="33">
        <f>+'[1]bg dn2'!Z382</f>
        <v>1288811</v>
      </c>
      <c r="R286" s="33">
        <f t="shared" si="38"/>
        <v>0</v>
      </c>
      <c r="S286" s="132"/>
    </row>
    <row r="287" spans="1:19">
      <c r="A287" s="29">
        <f t="shared" si="39"/>
        <v>283</v>
      </c>
      <c r="B287" s="54" t="s">
        <v>1205</v>
      </c>
      <c r="C287" s="55" t="s">
        <v>1206</v>
      </c>
      <c r="D287" s="63">
        <v>43110</v>
      </c>
      <c r="E287" s="195">
        <v>1288811</v>
      </c>
      <c r="F287" s="196">
        <f t="shared" si="32"/>
        <v>1288811</v>
      </c>
      <c r="G287" s="59">
        <f t="shared" si="33"/>
        <v>1288811</v>
      </c>
      <c r="H287" s="57">
        <v>0</v>
      </c>
      <c r="I287" s="60">
        <v>1</v>
      </c>
      <c r="J287" s="60">
        <v>1</v>
      </c>
      <c r="K287" s="33">
        <f t="shared" si="34"/>
        <v>1288811</v>
      </c>
      <c r="L287" s="33">
        <f t="shared" si="35"/>
        <v>1288811</v>
      </c>
      <c r="M287" s="200">
        <f t="shared" si="36"/>
        <v>1288811</v>
      </c>
      <c r="N287" s="126"/>
      <c r="O287" s="197" t="s">
        <v>1749</v>
      </c>
      <c r="P287" s="33">
        <f t="shared" si="37"/>
        <v>1288811</v>
      </c>
      <c r="Q287" s="33">
        <f>+'[1]bg dn2'!Z383</f>
        <v>1288811</v>
      </c>
      <c r="R287" s="33">
        <f t="shared" si="38"/>
        <v>0</v>
      </c>
      <c r="S287" s="132"/>
    </row>
    <row r="288" spans="1:19">
      <c r="A288" s="29">
        <f t="shared" si="39"/>
        <v>284</v>
      </c>
      <c r="B288" s="54" t="s">
        <v>1307</v>
      </c>
      <c r="C288" s="55" t="s">
        <v>1308</v>
      </c>
      <c r="D288" s="63">
        <v>42926</v>
      </c>
      <c r="E288" s="208">
        <v>600000</v>
      </c>
      <c r="F288" s="196">
        <f t="shared" si="32"/>
        <v>600000</v>
      </c>
      <c r="G288" s="59">
        <f t="shared" si="33"/>
        <v>600000</v>
      </c>
      <c r="H288" s="57">
        <v>0</v>
      </c>
      <c r="I288" s="60">
        <v>1</v>
      </c>
      <c r="J288" s="60">
        <v>1</v>
      </c>
      <c r="K288" s="33">
        <f t="shared" si="34"/>
        <v>600000</v>
      </c>
      <c r="L288" s="33">
        <f t="shared" si="35"/>
        <v>600000</v>
      </c>
      <c r="M288" s="200">
        <f t="shared" si="36"/>
        <v>600000</v>
      </c>
      <c r="N288" s="126"/>
      <c r="O288" s="44" t="s">
        <v>1777</v>
      </c>
      <c r="P288" s="33">
        <f t="shared" si="37"/>
        <v>600000</v>
      </c>
      <c r="Q288" s="33">
        <f>+'[1]bg dn2'!Z384</f>
        <v>600000</v>
      </c>
      <c r="R288" s="33">
        <f t="shared" si="38"/>
        <v>0</v>
      </c>
      <c r="S288" s="132"/>
    </row>
    <row r="289" spans="1:19">
      <c r="A289" s="29">
        <f t="shared" si="39"/>
        <v>285</v>
      </c>
      <c r="B289" s="54" t="s">
        <v>1307</v>
      </c>
      <c r="C289" s="55" t="s">
        <v>1308</v>
      </c>
      <c r="D289" s="63">
        <v>42957</v>
      </c>
      <c r="E289" s="208">
        <v>600000</v>
      </c>
      <c r="F289" s="196">
        <f t="shared" si="32"/>
        <v>600000</v>
      </c>
      <c r="G289" s="59">
        <f t="shared" si="33"/>
        <v>600000</v>
      </c>
      <c r="H289" s="57">
        <v>0</v>
      </c>
      <c r="I289" s="60">
        <v>1</v>
      </c>
      <c r="J289" s="60">
        <v>1</v>
      </c>
      <c r="K289" s="33">
        <f t="shared" si="34"/>
        <v>600000</v>
      </c>
      <c r="L289" s="33">
        <f t="shared" si="35"/>
        <v>600000</v>
      </c>
      <c r="M289" s="200">
        <f t="shared" si="36"/>
        <v>600000</v>
      </c>
      <c r="N289" s="126"/>
      <c r="O289" s="44" t="s">
        <v>1778</v>
      </c>
      <c r="P289" s="33">
        <f t="shared" si="37"/>
        <v>600000</v>
      </c>
      <c r="Q289" s="33">
        <f>+'[1]bg dn2'!Z385</f>
        <v>600000</v>
      </c>
      <c r="R289" s="33">
        <f t="shared" si="38"/>
        <v>0</v>
      </c>
      <c r="S289" s="132"/>
    </row>
    <row r="290" spans="1:19">
      <c r="A290" s="29">
        <f t="shared" si="39"/>
        <v>286</v>
      </c>
      <c r="B290" s="54" t="s">
        <v>1307</v>
      </c>
      <c r="C290" s="55" t="s">
        <v>1308</v>
      </c>
      <c r="D290" s="63">
        <v>42957</v>
      </c>
      <c r="E290" s="208">
        <v>600000</v>
      </c>
      <c r="F290" s="196">
        <f t="shared" si="32"/>
        <v>600000</v>
      </c>
      <c r="G290" s="59">
        <f t="shared" si="33"/>
        <v>600000</v>
      </c>
      <c r="H290" s="57">
        <v>0</v>
      </c>
      <c r="I290" s="60">
        <v>1</v>
      </c>
      <c r="J290" s="60">
        <v>1</v>
      </c>
      <c r="K290" s="33">
        <f t="shared" si="34"/>
        <v>600000</v>
      </c>
      <c r="L290" s="33">
        <f t="shared" si="35"/>
        <v>600000</v>
      </c>
      <c r="M290" s="200">
        <f t="shared" si="36"/>
        <v>600000</v>
      </c>
      <c r="N290" s="126"/>
      <c r="O290" s="44" t="s">
        <v>1778</v>
      </c>
      <c r="P290" s="33">
        <f t="shared" si="37"/>
        <v>600000</v>
      </c>
      <c r="Q290" s="33">
        <f>+'[1]bg dn2'!Z386</f>
        <v>600000</v>
      </c>
      <c r="R290" s="33">
        <f t="shared" si="38"/>
        <v>0</v>
      </c>
      <c r="S290" s="132"/>
    </row>
    <row r="291" spans="1:19">
      <c r="A291" s="29">
        <f t="shared" si="39"/>
        <v>287</v>
      </c>
      <c r="B291" s="54" t="s">
        <v>1307</v>
      </c>
      <c r="C291" s="55" t="s">
        <v>1308</v>
      </c>
      <c r="D291" s="63">
        <v>42988</v>
      </c>
      <c r="E291" s="208">
        <v>600000</v>
      </c>
      <c r="F291" s="196">
        <f t="shared" si="32"/>
        <v>600000</v>
      </c>
      <c r="G291" s="59">
        <f t="shared" si="33"/>
        <v>600000</v>
      </c>
      <c r="H291" s="57">
        <v>0</v>
      </c>
      <c r="I291" s="60">
        <v>1</v>
      </c>
      <c r="J291" s="60">
        <v>1</v>
      </c>
      <c r="K291" s="33">
        <f t="shared" si="34"/>
        <v>600000</v>
      </c>
      <c r="L291" s="33">
        <f t="shared" si="35"/>
        <v>600000</v>
      </c>
      <c r="M291" s="200">
        <f t="shared" si="36"/>
        <v>600000</v>
      </c>
      <c r="N291" s="209"/>
      <c r="O291" s="44" t="s">
        <v>1779</v>
      </c>
      <c r="P291" s="33">
        <f t="shared" si="37"/>
        <v>600000</v>
      </c>
      <c r="Q291" s="33">
        <f>+'[1]bg dn2'!Z387</f>
        <v>600000</v>
      </c>
      <c r="R291" s="33">
        <f t="shared" si="38"/>
        <v>0</v>
      </c>
      <c r="S291" s="132"/>
    </row>
    <row r="292" spans="1:19">
      <c r="A292" s="29">
        <f t="shared" si="39"/>
        <v>288</v>
      </c>
      <c r="B292" s="54" t="s">
        <v>1307</v>
      </c>
      <c r="C292" s="55" t="s">
        <v>1308</v>
      </c>
      <c r="D292" s="63">
        <v>43018</v>
      </c>
      <c r="E292" s="208">
        <v>600000</v>
      </c>
      <c r="F292" s="196">
        <f t="shared" si="32"/>
        <v>600000</v>
      </c>
      <c r="G292" s="59">
        <f t="shared" si="33"/>
        <v>600000</v>
      </c>
      <c r="H292" s="57">
        <v>0</v>
      </c>
      <c r="I292" s="60">
        <v>1</v>
      </c>
      <c r="J292" s="60">
        <v>1</v>
      </c>
      <c r="K292" s="33">
        <f t="shared" si="34"/>
        <v>600000</v>
      </c>
      <c r="L292" s="33">
        <f t="shared" si="35"/>
        <v>600000</v>
      </c>
      <c r="M292" s="200">
        <f t="shared" si="36"/>
        <v>600000</v>
      </c>
      <c r="N292" s="126"/>
      <c r="O292" s="44" t="s">
        <v>1780</v>
      </c>
      <c r="P292" s="33">
        <f t="shared" si="37"/>
        <v>600000</v>
      </c>
      <c r="Q292" s="33">
        <f>+'[1]bg dn2'!Z388</f>
        <v>600000</v>
      </c>
      <c r="R292" s="33">
        <f t="shared" si="38"/>
        <v>0</v>
      </c>
      <c r="S292" s="132"/>
    </row>
    <row r="293" spans="1:19">
      <c r="A293" s="29">
        <f t="shared" si="39"/>
        <v>289</v>
      </c>
      <c r="B293" s="54" t="s">
        <v>1307</v>
      </c>
      <c r="C293" s="55" t="s">
        <v>1308</v>
      </c>
      <c r="D293" s="63">
        <v>43049</v>
      </c>
      <c r="E293" s="208">
        <v>600000</v>
      </c>
      <c r="F293" s="196">
        <f t="shared" si="32"/>
        <v>600000</v>
      </c>
      <c r="G293" s="59">
        <f t="shared" si="33"/>
        <v>600000</v>
      </c>
      <c r="H293" s="57">
        <v>0</v>
      </c>
      <c r="I293" s="60">
        <v>1</v>
      </c>
      <c r="J293" s="60">
        <v>1</v>
      </c>
      <c r="K293" s="33">
        <f t="shared" si="34"/>
        <v>600000</v>
      </c>
      <c r="L293" s="33">
        <f t="shared" si="35"/>
        <v>600000</v>
      </c>
      <c r="M293" s="200">
        <f t="shared" si="36"/>
        <v>600000</v>
      </c>
      <c r="N293" s="126"/>
      <c r="O293" s="44" t="s">
        <v>1781</v>
      </c>
      <c r="P293" s="33">
        <f t="shared" si="37"/>
        <v>600000</v>
      </c>
      <c r="Q293" s="33">
        <f>+'[1]bg dn2'!Z389</f>
        <v>600000</v>
      </c>
      <c r="R293" s="33">
        <f t="shared" si="38"/>
        <v>0</v>
      </c>
      <c r="S293" s="132"/>
    </row>
    <row r="294" spans="1:19">
      <c r="A294" s="29">
        <f t="shared" si="39"/>
        <v>290</v>
      </c>
      <c r="B294" s="54" t="s">
        <v>1307</v>
      </c>
      <c r="C294" s="55" t="s">
        <v>1308</v>
      </c>
      <c r="D294" s="63">
        <v>43079</v>
      </c>
      <c r="E294" s="195">
        <v>600000</v>
      </c>
      <c r="F294" s="196">
        <f t="shared" si="32"/>
        <v>600000</v>
      </c>
      <c r="G294" s="59">
        <f t="shared" si="33"/>
        <v>600000</v>
      </c>
      <c r="H294" s="57">
        <v>0</v>
      </c>
      <c r="I294" s="60">
        <v>1</v>
      </c>
      <c r="J294" s="60">
        <v>1</v>
      </c>
      <c r="K294" s="33">
        <f t="shared" si="34"/>
        <v>600000</v>
      </c>
      <c r="L294" s="33">
        <f t="shared" si="35"/>
        <v>600000</v>
      </c>
      <c r="M294" s="200">
        <f t="shared" si="36"/>
        <v>600000</v>
      </c>
      <c r="N294" s="126"/>
      <c r="O294" s="197" t="s">
        <v>1748</v>
      </c>
      <c r="P294" s="33">
        <f t="shared" si="37"/>
        <v>600000</v>
      </c>
      <c r="Q294" s="33">
        <f>+'[1]bg dn2'!Z390</f>
        <v>600000</v>
      </c>
      <c r="R294" s="33">
        <f t="shared" si="38"/>
        <v>0</v>
      </c>
      <c r="S294" s="132"/>
    </row>
    <row r="295" spans="1:19">
      <c r="A295" s="29">
        <f t="shared" si="39"/>
        <v>291</v>
      </c>
      <c r="B295" s="54" t="s">
        <v>1307</v>
      </c>
      <c r="C295" s="55" t="s">
        <v>1308</v>
      </c>
      <c r="D295" s="63">
        <v>43079</v>
      </c>
      <c r="E295" s="195">
        <v>600000</v>
      </c>
      <c r="F295" s="196">
        <f t="shared" si="32"/>
        <v>600000</v>
      </c>
      <c r="G295" s="59">
        <f t="shared" si="33"/>
        <v>600000</v>
      </c>
      <c r="H295" s="57">
        <v>0</v>
      </c>
      <c r="I295" s="60">
        <v>1</v>
      </c>
      <c r="J295" s="60">
        <v>1</v>
      </c>
      <c r="K295" s="33">
        <f t="shared" si="34"/>
        <v>600000</v>
      </c>
      <c r="L295" s="33">
        <f t="shared" si="35"/>
        <v>600000</v>
      </c>
      <c r="M295" s="200">
        <f t="shared" si="36"/>
        <v>600000</v>
      </c>
      <c r="N295" s="126"/>
      <c r="O295" s="197" t="s">
        <v>1748</v>
      </c>
      <c r="P295" s="33">
        <f t="shared" si="37"/>
        <v>600000</v>
      </c>
      <c r="Q295" s="33">
        <f>+'[1]bg dn2'!Z391</f>
        <v>600000</v>
      </c>
      <c r="R295" s="33">
        <f t="shared" si="38"/>
        <v>0</v>
      </c>
      <c r="S295" s="132"/>
    </row>
    <row r="296" spans="1:19">
      <c r="A296" s="29">
        <f t="shared" si="39"/>
        <v>292</v>
      </c>
      <c r="B296" s="54" t="s">
        <v>1307</v>
      </c>
      <c r="C296" s="55" t="s">
        <v>1308</v>
      </c>
      <c r="D296" s="63">
        <v>43110</v>
      </c>
      <c r="E296" s="195">
        <v>600000</v>
      </c>
      <c r="F296" s="196">
        <f t="shared" si="32"/>
        <v>600000</v>
      </c>
      <c r="G296" s="59">
        <f t="shared" si="33"/>
        <v>600000</v>
      </c>
      <c r="H296" s="57">
        <v>0</v>
      </c>
      <c r="I296" s="60">
        <v>1</v>
      </c>
      <c r="J296" s="60">
        <v>1</v>
      </c>
      <c r="K296" s="33">
        <f t="shared" si="34"/>
        <v>600000</v>
      </c>
      <c r="L296" s="33">
        <f t="shared" si="35"/>
        <v>600000</v>
      </c>
      <c r="M296" s="200">
        <f t="shared" si="36"/>
        <v>600000</v>
      </c>
      <c r="N296" s="126"/>
      <c r="O296" s="197" t="s">
        <v>1749</v>
      </c>
      <c r="P296" s="33">
        <f t="shared" si="37"/>
        <v>600000</v>
      </c>
      <c r="Q296" s="33">
        <f>+'[1]bg dn2'!Z392</f>
        <v>600000</v>
      </c>
      <c r="R296" s="33">
        <f t="shared" si="38"/>
        <v>0</v>
      </c>
      <c r="S296" s="132"/>
    </row>
    <row r="297" spans="1:19">
      <c r="A297" s="29">
        <f t="shared" si="39"/>
        <v>293</v>
      </c>
      <c r="B297" s="54" t="s">
        <v>1307</v>
      </c>
      <c r="C297" s="55" t="s">
        <v>1308</v>
      </c>
      <c r="D297" s="63">
        <v>43110</v>
      </c>
      <c r="E297" s="195">
        <v>600000</v>
      </c>
      <c r="F297" s="196">
        <f t="shared" si="32"/>
        <v>600000</v>
      </c>
      <c r="G297" s="59">
        <f t="shared" si="33"/>
        <v>600000</v>
      </c>
      <c r="H297" s="57">
        <v>0</v>
      </c>
      <c r="I297" s="60">
        <v>1</v>
      </c>
      <c r="J297" s="60">
        <v>1</v>
      </c>
      <c r="K297" s="33">
        <f t="shared" si="34"/>
        <v>600000</v>
      </c>
      <c r="L297" s="33">
        <f t="shared" si="35"/>
        <v>600000</v>
      </c>
      <c r="M297" s="200">
        <f t="shared" si="36"/>
        <v>600000</v>
      </c>
      <c r="N297" s="126"/>
      <c r="O297" s="197" t="s">
        <v>1749</v>
      </c>
      <c r="P297" s="33">
        <f t="shared" si="37"/>
        <v>600000</v>
      </c>
      <c r="Q297" s="33">
        <f>+'[1]bg dn2'!Z393</f>
        <v>600000</v>
      </c>
      <c r="R297" s="33">
        <f t="shared" si="38"/>
        <v>0</v>
      </c>
      <c r="S297" s="132"/>
    </row>
    <row r="298" spans="1:19">
      <c r="A298" s="29">
        <f t="shared" si="39"/>
        <v>294</v>
      </c>
      <c r="B298" s="59" t="s">
        <v>1319</v>
      </c>
      <c r="C298" s="67" t="s">
        <v>1320</v>
      </c>
      <c r="D298" s="63">
        <v>42348</v>
      </c>
      <c r="E298" s="59">
        <f>1327400</f>
        <v>1327400</v>
      </c>
      <c r="F298" s="196">
        <f t="shared" si="32"/>
        <v>1327400</v>
      </c>
      <c r="G298" s="59">
        <f t="shared" si="33"/>
        <v>1327400</v>
      </c>
      <c r="H298" s="57">
        <v>0</v>
      </c>
      <c r="I298" s="60">
        <v>1</v>
      </c>
      <c r="J298" s="60">
        <v>1</v>
      </c>
      <c r="K298" s="33">
        <f t="shared" si="34"/>
        <v>1327400</v>
      </c>
      <c r="L298" s="33">
        <f t="shared" si="35"/>
        <v>1327400</v>
      </c>
      <c r="M298" s="33">
        <f t="shared" si="36"/>
        <v>1327400</v>
      </c>
      <c r="N298" s="30"/>
      <c r="O298" s="44" t="s">
        <v>1794</v>
      </c>
      <c r="P298" s="33">
        <f t="shared" si="37"/>
        <v>1327400</v>
      </c>
      <c r="Q298" s="33">
        <f>+'[1]bg dn2'!Z394</f>
        <v>1327400</v>
      </c>
      <c r="R298" s="33">
        <f t="shared" si="38"/>
        <v>0</v>
      </c>
      <c r="S298" s="132"/>
    </row>
    <row r="299" spans="1:19">
      <c r="A299" s="29">
        <f t="shared" si="39"/>
        <v>295</v>
      </c>
      <c r="B299" s="59" t="s">
        <v>1319</v>
      </c>
      <c r="C299" s="67" t="s">
        <v>1320</v>
      </c>
      <c r="D299" s="63">
        <v>42439</v>
      </c>
      <c r="E299" s="59">
        <v>1491692</v>
      </c>
      <c r="F299" s="196">
        <f t="shared" si="32"/>
        <v>1491692</v>
      </c>
      <c r="G299" s="59">
        <f t="shared" si="33"/>
        <v>1491692</v>
      </c>
      <c r="H299" s="57">
        <v>0</v>
      </c>
      <c r="I299" s="60">
        <v>1</v>
      </c>
      <c r="J299" s="60">
        <v>1</v>
      </c>
      <c r="K299" s="33">
        <f t="shared" si="34"/>
        <v>1491692</v>
      </c>
      <c r="L299" s="33">
        <f t="shared" si="35"/>
        <v>1491692</v>
      </c>
      <c r="M299" s="33">
        <f t="shared" si="36"/>
        <v>1491692</v>
      </c>
      <c r="N299" s="30"/>
      <c r="O299" s="44" t="s">
        <v>1790</v>
      </c>
      <c r="P299" s="33">
        <f t="shared" si="37"/>
        <v>1491692</v>
      </c>
      <c r="Q299" s="33">
        <f>+'[1]bg dn2'!Z395</f>
        <v>1491692</v>
      </c>
      <c r="R299" s="33">
        <f t="shared" si="38"/>
        <v>0</v>
      </c>
      <c r="S299" s="132"/>
    </row>
    <row r="300" spans="1:19">
      <c r="A300" s="29">
        <f t="shared" si="39"/>
        <v>296</v>
      </c>
      <c r="B300" s="59" t="s">
        <v>1319</v>
      </c>
      <c r="C300" s="67" t="s">
        <v>1320</v>
      </c>
      <c r="D300" s="63">
        <v>42470</v>
      </c>
      <c r="E300" s="203">
        <v>1491692</v>
      </c>
      <c r="F300" s="196">
        <f t="shared" si="32"/>
        <v>1491692</v>
      </c>
      <c r="G300" s="59">
        <f t="shared" si="33"/>
        <v>1491692</v>
      </c>
      <c r="H300" s="57">
        <v>0</v>
      </c>
      <c r="I300" s="60">
        <v>1</v>
      </c>
      <c r="J300" s="60">
        <v>1</v>
      </c>
      <c r="K300" s="33">
        <f t="shared" si="34"/>
        <v>1491692</v>
      </c>
      <c r="L300" s="33">
        <f t="shared" si="35"/>
        <v>1491692</v>
      </c>
      <c r="M300" s="33">
        <f t="shared" si="36"/>
        <v>1491692</v>
      </c>
      <c r="N300" s="126"/>
      <c r="O300" s="44" t="s">
        <v>1791</v>
      </c>
      <c r="P300" s="33">
        <f t="shared" si="37"/>
        <v>1491692</v>
      </c>
      <c r="Q300" s="33">
        <f>+'[1]bg dn2'!Z396</f>
        <v>1491692</v>
      </c>
      <c r="R300" s="33">
        <f t="shared" si="38"/>
        <v>0</v>
      </c>
      <c r="S300" s="132"/>
    </row>
    <row r="301" spans="1:19">
      <c r="A301" s="29">
        <f t="shared" si="39"/>
        <v>297</v>
      </c>
      <c r="B301" s="59" t="s">
        <v>1319</v>
      </c>
      <c r="C301" s="67" t="s">
        <v>1320</v>
      </c>
      <c r="D301" s="202">
        <v>42500</v>
      </c>
      <c r="E301" s="203">
        <v>1491692</v>
      </c>
      <c r="F301" s="196">
        <f t="shared" si="32"/>
        <v>1491692</v>
      </c>
      <c r="G301" s="59">
        <f t="shared" si="33"/>
        <v>1491692</v>
      </c>
      <c r="H301" s="57">
        <v>0</v>
      </c>
      <c r="I301" s="60">
        <v>1</v>
      </c>
      <c r="J301" s="60">
        <v>1</v>
      </c>
      <c r="K301" s="33">
        <f t="shared" si="34"/>
        <v>1491692</v>
      </c>
      <c r="L301" s="33">
        <f t="shared" si="35"/>
        <v>1491692</v>
      </c>
      <c r="M301" s="33">
        <f t="shared" si="36"/>
        <v>1491692</v>
      </c>
      <c r="N301" s="126"/>
      <c r="O301" s="44" t="s">
        <v>1792</v>
      </c>
      <c r="P301" s="33">
        <f t="shared" si="37"/>
        <v>1491692</v>
      </c>
      <c r="Q301" s="33">
        <f>+'[1]bg dn2'!Z397</f>
        <v>1491692</v>
      </c>
      <c r="R301" s="33">
        <f t="shared" si="38"/>
        <v>0</v>
      </c>
      <c r="S301" s="132"/>
    </row>
    <row r="302" spans="1:19">
      <c r="A302" s="29">
        <f t="shared" si="39"/>
        <v>298</v>
      </c>
      <c r="B302" s="59" t="s">
        <v>1319</v>
      </c>
      <c r="C302" s="67" t="s">
        <v>1320</v>
      </c>
      <c r="D302" s="202">
        <v>42531</v>
      </c>
      <c r="E302" s="203">
        <v>1491692</v>
      </c>
      <c r="F302" s="196">
        <f t="shared" si="32"/>
        <v>1491692</v>
      </c>
      <c r="G302" s="59">
        <f t="shared" si="33"/>
        <v>1491692</v>
      </c>
      <c r="H302" s="57">
        <v>0</v>
      </c>
      <c r="I302" s="60">
        <v>1</v>
      </c>
      <c r="J302" s="60">
        <v>1</v>
      </c>
      <c r="K302" s="33">
        <f t="shared" si="34"/>
        <v>1491692</v>
      </c>
      <c r="L302" s="33">
        <f t="shared" si="35"/>
        <v>1491692</v>
      </c>
      <c r="M302" s="33">
        <f t="shared" si="36"/>
        <v>1491692</v>
      </c>
      <c r="N302" s="126"/>
      <c r="O302" s="44" t="s">
        <v>1793</v>
      </c>
      <c r="P302" s="33">
        <f t="shared" si="37"/>
        <v>1491692</v>
      </c>
      <c r="Q302" s="33">
        <f>+'[1]bg dn2'!Z398</f>
        <v>1491692</v>
      </c>
      <c r="R302" s="33">
        <f t="shared" si="38"/>
        <v>0</v>
      </c>
      <c r="S302" s="132"/>
    </row>
    <row r="303" spans="1:19">
      <c r="A303" s="29">
        <f t="shared" si="39"/>
        <v>299</v>
      </c>
      <c r="B303" s="59" t="s">
        <v>1319</v>
      </c>
      <c r="C303" s="67" t="s">
        <v>1320</v>
      </c>
      <c r="D303" s="202">
        <v>42561</v>
      </c>
      <c r="E303" s="203">
        <v>1491692</v>
      </c>
      <c r="F303" s="196">
        <f t="shared" si="32"/>
        <v>1491692</v>
      </c>
      <c r="G303" s="59">
        <f t="shared" si="33"/>
        <v>1491692</v>
      </c>
      <c r="H303" s="57">
        <v>0</v>
      </c>
      <c r="I303" s="60">
        <v>1</v>
      </c>
      <c r="J303" s="60">
        <v>1</v>
      </c>
      <c r="K303" s="33">
        <f t="shared" si="34"/>
        <v>1491692</v>
      </c>
      <c r="L303" s="33">
        <f t="shared" si="35"/>
        <v>1491692</v>
      </c>
      <c r="M303" s="33">
        <f t="shared" si="36"/>
        <v>1491692</v>
      </c>
      <c r="N303" s="126"/>
      <c r="O303" s="44" t="s">
        <v>1765</v>
      </c>
      <c r="P303" s="33">
        <f t="shared" si="37"/>
        <v>1491692</v>
      </c>
      <c r="Q303" s="33">
        <f>+'[1]bg dn2'!Z399</f>
        <v>1491692</v>
      </c>
      <c r="R303" s="33">
        <f t="shared" si="38"/>
        <v>0</v>
      </c>
      <c r="S303" s="132"/>
    </row>
    <row r="304" spans="1:19">
      <c r="A304" s="29">
        <f t="shared" si="39"/>
        <v>300</v>
      </c>
      <c r="B304" s="59" t="s">
        <v>1319</v>
      </c>
      <c r="C304" s="67" t="s">
        <v>1320</v>
      </c>
      <c r="D304" s="202">
        <v>42592</v>
      </c>
      <c r="E304" s="203">
        <v>1491692</v>
      </c>
      <c r="F304" s="196">
        <f t="shared" si="32"/>
        <v>1491692</v>
      </c>
      <c r="G304" s="59">
        <f t="shared" si="33"/>
        <v>1491692</v>
      </c>
      <c r="H304" s="57">
        <v>0</v>
      </c>
      <c r="I304" s="60">
        <v>1</v>
      </c>
      <c r="J304" s="60">
        <v>1</v>
      </c>
      <c r="K304" s="33">
        <f t="shared" si="34"/>
        <v>1491692</v>
      </c>
      <c r="L304" s="33">
        <f t="shared" si="35"/>
        <v>1491692</v>
      </c>
      <c r="M304" s="33">
        <f t="shared" si="36"/>
        <v>1491692</v>
      </c>
      <c r="N304" s="126"/>
      <c r="O304" s="44" t="s">
        <v>1766</v>
      </c>
      <c r="P304" s="33">
        <f t="shared" si="37"/>
        <v>1491692</v>
      </c>
      <c r="Q304" s="33">
        <f>+'[1]bg dn2'!Z400</f>
        <v>1491692</v>
      </c>
      <c r="R304" s="33">
        <f t="shared" si="38"/>
        <v>0</v>
      </c>
      <c r="S304" s="132"/>
    </row>
    <row r="305" spans="1:19">
      <c r="A305" s="29">
        <f t="shared" si="39"/>
        <v>301</v>
      </c>
      <c r="B305" s="59" t="s">
        <v>1319</v>
      </c>
      <c r="C305" s="67" t="s">
        <v>1320</v>
      </c>
      <c r="D305" s="202">
        <v>42623</v>
      </c>
      <c r="E305" s="203">
        <v>1491692</v>
      </c>
      <c r="F305" s="196">
        <f t="shared" si="32"/>
        <v>1491692</v>
      </c>
      <c r="G305" s="59">
        <f t="shared" si="33"/>
        <v>1491692</v>
      </c>
      <c r="H305" s="57">
        <v>0</v>
      </c>
      <c r="I305" s="60">
        <v>1</v>
      </c>
      <c r="J305" s="60">
        <v>1</v>
      </c>
      <c r="K305" s="33">
        <f t="shared" si="34"/>
        <v>1491692</v>
      </c>
      <c r="L305" s="33">
        <f t="shared" si="35"/>
        <v>1491692</v>
      </c>
      <c r="M305" s="33">
        <f t="shared" si="36"/>
        <v>1491692</v>
      </c>
      <c r="N305" s="126"/>
      <c r="O305" s="44" t="s">
        <v>1767</v>
      </c>
      <c r="P305" s="33">
        <f t="shared" si="37"/>
        <v>1491692</v>
      </c>
      <c r="Q305" s="33">
        <f>+'[1]bg dn2'!Z401</f>
        <v>1491692</v>
      </c>
      <c r="R305" s="33">
        <f t="shared" si="38"/>
        <v>0</v>
      </c>
      <c r="S305" s="132"/>
    </row>
    <row r="306" spans="1:19">
      <c r="A306" s="29">
        <f t="shared" si="39"/>
        <v>302</v>
      </c>
      <c r="B306" s="59" t="s">
        <v>1319</v>
      </c>
      <c r="C306" s="67" t="s">
        <v>1320</v>
      </c>
      <c r="D306" s="202">
        <v>42653</v>
      </c>
      <c r="E306" s="203">
        <v>1491692</v>
      </c>
      <c r="F306" s="196">
        <f t="shared" si="32"/>
        <v>1491692</v>
      </c>
      <c r="G306" s="59">
        <f t="shared" si="33"/>
        <v>1491692</v>
      </c>
      <c r="H306" s="57">
        <v>0</v>
      </c>
      <c r="I306" s="60">
        <v>1</v>
      </c>
      <c r="J306" s="60">
        <v>1</v>
      </c>
      <c r="K306" s="33">
        <f t="shared" si="34"/>
        <v>1491692</v>
      </c>
      <c r="L306" s="33">
        <f t="shared" si="35"/>
        <v>1491692</v>
      </c>
      <c r="M306" s="33">
        <f t="shared" si="36"/>
        <v>1491692</v>
      </c>
      <c r="N306" s="126"/>
      <c r="O306" s="44" t="s">
        <v>1768</v>
      </c>
      <c r="P306" s="33">
        <f t="shared" si="37"/>
        <v>1491692</v>
      </c>
      <c r="Q306" s="33">
        <f>+'[1]bg dn2'!Z402</f>
        <v>1491692</v>
      </c>
      <c r="R306" s="33">
        <f t="shared" si="38"/>
        <v>0</v>
      </c>
      <c r="S306" s="132"/>
    </row>
    <row r="307" spans="1:19">
      <c r="A307" s="29">
        <f t="shared" si="39"/>
        <v>303</v>
      </c>
      <c r="B307" s="59" t="s">
        <v>1319</v>
      </c>
      <c r="C307" s="67" t="s">
        <v>1320</v>
      </c>
      <c r="D307" s="202">
        <v>42684</v>
      </c>
      <c r="E307" s="203">
        <v>1491692</v>
      </c>
      <c r="F307" s="196">
        <f t="shared" si="32"/>
        <v>1491692</v>
      </c>
      <c r="G307" s="59">
        <f t="shared" si="33"/>
        <v>1491692</v>
      </c>
      <c r="H307" s="57">
        <v>0</v>
      </c>
      <c r="I307" s="60">
        <v>1</v>
      </c>
      <c r="J307" s="60">
        <v>1</v>
      </c>
      <c r="K307" s="33">
        <f t="shared" si="34"/>
        <v>1491692</v>
      </c>
      <c r="L307" s="33">
        <f t="shared" si="35"/>
        <v>1491692</v>
      </c>
      <c r="M307" s="33">
        <f t="shared" si="36"/>
        <v>1491692</v>
      </c>
      <c r="N307" s="126"/>
      <c r="O307" s="44" t="s">
        <v>1769</v>
      </c>
      <c r="P307" s="33">
        <f t="shared" si="37"/>
        <v>1491692</v>
      </c>
      <c r="Q307" s="33">
        <f>+'[1]bg dn2'!Z403</f>
        <v>1491692</v>
      </c>
      <c r="R307" s="33">
        <f t="shared" si="38"/>
        <v>0</v>
      </c>
      <c r="S307" s="132"/>
    </row>
    <row r="308" spans="1:19">
      <c r="A308" s="29">
        <f t="shared" si="39"/>
        <v>304</v>
      </c>
      <c r="B308" s="59" t="s">
        <v>1319</v>
      </c>
      <c r="C308" s="67" t="s">
        <v>1320</v>
      </c>
      <c r="D308" s="63">
        <v>42714</v>
      </c>
      <c r="E308" s="203">
        <v>1491692</v>
      </c>
      <c r="F308" s="196">
        <f t="shared" si="32"/>
        <v>1491692</v>
      </c>
      <c r="G308" s="59">
        <f t="shared" si="33"/>
        <v>1491692</v>
      </c>
      <c r="H308" s="57">
        <v>0</v>
      </c>
      <c r="I308" s="60">
        <v>1</v>
      </c>
      <c r="J308" s="60">
        <v>1</v>
      </c>
      <c r="K308" s="33">
        <f t="shared" si="34"/>
        <v>1491692</v>
      </c>
      <c r="L308" s="33">
        <f t="shared" si="35"/>
        <v>1491692</v>
      </c>
      <c r="M308" s="33">
        <f t="shared" si="36"/>
        <v>1491692</v>
      </c>
      <c r="N308" s="126"/>
      <c r="O308" s="44" t="s">
        <v>1770</v>
      </c>
      <c r="P308" s="33">
        <f t="shared" si="37"/>
        <v>1491692</v>
      </c>
      <c r="Q308" s="33">
        <f>+'[1]bg dn2'!Z404</f>
        <v>1491692</v>
      </c>
      <c r="R308" s="33">
        <f t="shared" si="38"/>
        <v>0</v>
      </c>
      <c r="S308" s="132"/>
    </row>
    <row r="309" spans="1:19">
      <c r="A309" s="29">
        <f t="shared" si="39"/>
        <v>305</v>
      </c>
      <c r="B309" s="59" t="s">
        <v>1319</v>
      </c>
      <c r="C309" s="67" t="s">
        <v>1320</v>
      </c>
      <c r="D309" s="63">
        <v>42745</v>
      </c>
      <c r="E309" s="203">
        <v>1491692</v>
      </c>
      <c r="F309" s="196">
        <f t="shared" si="32"/>
        <v>1491692</v>
      </c>
      <c r="G309" s="59">
        <f t="shared" si="33"/>
        <v>1491692</v>
      </c>
      <c r="H309" s="57">
        <v>0</v>
      </c>
      <c r="I309" s="60">
        <v>1</v>
      </c>
      <c r="J309" s="60">
        <v>1</v>
      </c>
      <c r="K309" s="33">
        <f t="shared" si="34"/>
        <v>1491692</v>
      </c>
      <c r="L309" s="33">
        <f t="shared" si="35"/>
        <v>1491692</v>
      </c>
      <c r="M309" s="33">
        <f t="shared" si="36"/>
        <v>1491692</v>
      </c>
      <c r="N309" s="126"/>
      <c r="O309" s="44" t="s">
        <v>1771</v>
      </c>
      <c r="P309" s="33">
        <f t="shared" si="37"/>
        <v>1491692</v>
      </c>
      <c r="Q309" s="33">
        <f>+'[1]bg dn2'!Z405</f>
        <v>1491692</v>
      </c>
      <c r="R309" s="33">
        <f t="shared" si="38"/>
        <v>0</v>
      </c>
      <c r="S309" s="132"/>
    </row>
    <row r="310" spans="1:19">
      <c r="A310" s="29">
        <f t="shared" si="39"/>
        <v>306</v>
      </c>
      <c r="B310" s="59" t="s">
        <v>1319</v>
      </c>
      <c r="C310" s="67" t="s">
        <v>1320</v>
      </c>
      <c r="D310" s="63">
        <v>42776</v>
      </c>
      <c r="E310" s="203">
        <v>1491692</v>
      </c>
      <c r="F310" s="196">
        <f t="shared" si="32"/>
        <v>1491692</v>
      </c>
      <c r="G310" s="59">
        <f t="shared" si="33"/>
        <v>1491692</v>
      </c>
      <c r="H310" s="57">
        <v>0</v>
      </c>
      <c r="I310" s="60">
        <v>1</v>
      </c>
      <c r="J310" s="60">
        <v>1</v>
      </c>
      <c r="K310" s="33">
        <f t="shared" si="34"/>
        <v>1491692</v>
      </c>
      <c r="L310" s="33">
        <f t="shared" si="35"/>
        <v>1491692</v>
      </c>
      <c r="M310" s="33">
        <f t="shared" si="36"/>
        <v>1491692</v>
      </c>
      <c r="N310" s="126"/>
      <c r="O310" s="44" t="s">
        <v>1772</v>
      </c>
      <c r="P310" s="33">
        <f t="shared" si="37"/>
        <v>1491692</v>
      </c>
      <c r="Q310" s="33">
        <f>+'[1]bg dn2'!Z406</f>
        <v>1491692</v>
      </c>
      <c r="R310" s="33">
        <f t="shared" si="38"/>
        <v>0</v>
      </c>
      <c r="S310" s="132"/>
    </row>
    <row r="311" spans="1:19">
      <c r="A311" s="29">
        <f t="shared" si="39"/>
        <v>307</v>
      </c>
      <c r="B311" s="59" t="s">
        <v>1319</v>
      </c>
      <c r="C311" s="67" t="s">
        <v>1320</v>
      </c>
      <c r="D311" s="63">
        <v>42804</v>
      </c>
      <c r="E311" s="203">
        <v>1491692</v>
      </c>
      <c r="F311" s="196">
        <f t="shared" si="32"/>
        <v>1491692</v>
      </c>
      <c r="G311" s="59">
        <f t="shared" si="33"/>
        <v>1491692</v>
      </c>
      <c r="H311" s="57">
        <v>0</v>
      </c>
      <c r="I311" s="60">
        <v>1</v>
      </c>
      <c r="J311" s="60">
        <v>1</v>
      </c>
      <c r="K311" s="33">
        <f t="shared" si="34"/>
        <v>1491692</v>
      </c>
      <c r="L311" s="33">
        <f t="shared" si="35"/>
        <v>1491692</v>
      </c>
      <c r="M311" s="33">
        <f t="shared" si="36"/>
        <v>1491692</v>
      </c>
      <c r="N311" s="126"/>
      <c r="O311" s="44" t="s">
        <v>1773</v>
      </c>
      <c r="P311" s="33">
        <f t="shared" si="37"/>
        <v>1491692</v>
      </c>
      <c r="Q311" s="33">
        <f>+'[1]bg dn2'!Z407</f>
        <v>1491692</v>
      </c>
      <c r="R311" s="33">
        <f t="shared" si="38"/>
        <v>0</v>
      </c>
      <c r="S311" s="132"/>
    </row>
    <row r="312" spans="1:19">
      <c r="A312" s="29">
        <f t="shared" si="39"/>
        <v>308</v>
      </c>
      <c r="B312" s="59" t="s">
        <v>1319</v>
      </c>
      <c r="C312" s="67" t="s">
        <v>1320</v>
      </c>
      <c r="D312" s="63">
        <v>42835</v>
      </c>
      <c r="E312" s="203">
        <v>1491692</v>
      </c>
      <c r="F312" s="196">
        <f t="shared" si="32"/>
        <v>1491692</v>
      </c>
      <c r="G312" s="59">
        <f t="shared" si="33"/>
        <v>1491692</v>
      </c>
      <c r="H312" s="57">
        <v>0</v>
      </c>
      <c r="I312" s="60">
        <v>1</v>
      </c>
      <c r="J312" s="60">
        <v>1</v>
      </c>
      <c r="K312" s="33">
        <f t="shared" si="34"/>
        <v>1491692</v>
      </c>
      <c r="L312" s="33">
        <f t="shared" si="35"/>
        <v>1491692</v>
      </c>
      <c r="M312" s="33">
        <f t="shared" si="36"/>
        <v>1491692</v>
      </c>
      <c r="N312" s="126"/>
      <c r="O312" s="44" t="s">
        <v>1774</v>
      </c>
      <c r="P312" s="33">
        <f t="shared" si="37"/>
        <v>1491692</v>
      </c>
      <c r="Q312" s="33">
        <f>+'[1]bg dn2'!Z408</f>
        <v>1491692</v>
      </c>
      <c r="R312" s="33">
        <f t="shared" si="38"/>
        <v>0</v>
      </c>
      <c r="S312" s="132"/>
    </row>
    <row r="313" spans="1:19">
      <c r="A313" s="29">
        <f t="shared" si="39"/>
        <v>309</v>
      </c>
      <c r="B313" s="59" t="s">
        <v>1319</v>
      </c>
      <c r="C313" s="67" t="s">
        <v>1320</v>
      </c>
      <c r="D313" s="63">
        <v>42865</v>
      </c>
      <c r="E313" s="58">
        <v>1491692</v>
      </c>
      <c r="F313" s="196">
        <f t="shared" si="32"/>
        <v>1491692</v>
      </c>
      <c r="G313" s="59">
        <f t="shared" si="33"/>
        <v>1491692</v>
      </c>
      <c r="H313" s="57">
        <v>0</v>
      </c>
      <c r="I313" s="60">
        <v>1</v>
      </c>
      <c r="J313" s="60">
        <v>1</v>
      </c>
      <c r="K313" s="33">
        <f t="shared" si="34"/>
        <v>1491692</v>
      </c>
      <c r="L313" s="33">
        <f t="shared" si="35"/>
        <v>1491692</v>
      </c>
      <c r="M313" s="200">
        <f t="shared" si="36"/>
        <v>1491692</v>
      </c>
      <c r="N313" s="126"/>
      <c r="O313" s="44" t="s">
        <v>1775</v>
      </c>
      <c r="P313" s="33">
        <f t="shared" si="37"/>
        <v>1491692</v>
      </c>
      <c r="Q313" s="33">
        <f>+'[1]bg dn2'!Z409</f>
        <v>1491692</v>
      </c>
      <c r="R313" s="33">
        <f t="shared" si="38"/>
        <v>0</v>
      </c>
      <c r="S313" s="132"/>
    </row>
    <row r="314" spans="1:19">
      <c r="A314" s="29">
        <f t="shared" si="39"/>
        <v>310</v>
      </c>
      <c r="B314" s="59" t="s">
        <v>1319</v>
      </c>
      <c r="C314" s="67" t="s">
        <v>1320</v>
      </c>
      <c r="D314" s="63">
        <v>42896</v>
      </c>
      <c r="E314" s="207">
        <v>1491692</v>
      </c>
      <c r="F314" s="196">
        <f t="shared" si="32"/>
        <v>1491692</v>
      </c>
      <c r="G314" s="59">
        <f t="shared" si="33"/>
        <v>1491692</v>
      </c>
      <c r="H314" s="57">
        <v>0</v>
      </c>
      <c r="I314" s="60">
        <v>1</v>
      </c>
      <c r="J314" s="60">
        <v>1</v>
      </c>
      <c r="K314" s="33">
        <f t="shared" si="34"/>
        <v>1491692</v>
      </c>
      <c r="L314" s="33">
        <f t="shared" si="35"/>
        <v>1491692</v>
      </c>
      <c r="M314" s="200">
        <f t="shared" si="36"/>
        <v>1491692</v>
      </c>
      <c r="N314" s="126"/>
      <c r="O314" s="44" t="s">
        <v>1776</v>
      </c>
      <c r="P314" s="33">
        <f t="shared" si="37"/>
        <v>1491692</v>
      </c>
      <c r="Q314" s="33">
        <f>+'[1]bg dn2'!Z410</f>
        <v>1491692</v>
      </c>
      <c r="R314" s="33">
        <f t="shared" si="38"/>
        <v>0</v>
      </c>
      <c r="S314" s="132"/>
    </row>
    <row r="315" spans="1:19">
      <c r="A315" s="29">
        <f t="shared" si="39"/>
        <v>311</v>
      </c>
      <c r="B315" s="59" t="s">
        <v>1319</v>
      </c>
      <c r="C315" s="67" t="s">
        <v>1320</v>
      </c>
      <c r="D315" s="63">
        <v>42926</v>
      </c>
      <c r="E315" s="208">
        <v>1491692</v>
      </c>
      <c r="F315" s="196">
        <f t="shared" si="32"/>
        <v>1491692</v>
      </c>
      <c r="G315" s="59">
        <f t="shared" si="33"/>
        <v>1491692</v>
      </c>
      <c r="H315" s="57">
        <v>0</v>
      </c>
      <c r="I315" s="60">
        <v>1</v>
      </c>
      <c r="J315" s="60">
        <v>1</v>
      </c>
      <c r="K315" s="33">
        <f t="shared" si="34"/>
        <v>1491692</v>
      </c>
      <c r="L315" s="33">
        <f t="shared" si="35"/>
        <v>1491692</v>
      </c>
      <c r="M315" s="200">
        <f t="shared" si="36"/>
        <v>1491692</v>
      </c>
      <c r="N315" s="126"/>
      <c r="O315" s="44" t="s">
        <v>1777</v>
      </c>
      <c r="P315" s="33">
        <f t="shared" si="37"/>
        <v>1491692</v>
      </c>
      <c r="Q315" s="33">
        <f>+'[1]bg dn2'!Z411</f>
        <v>1491692</v>
      </c>
      <c r="R315" s="33">
        <f t="shared" si="38"/>
        <v>0</v>
      </c>
      <c r="S315" s="132"/>
    </row>
    <row r="316" spans="1:19">
      <c r="A316" s="29">
        <f t="shared" si="39"/>
        <v>312</v>
      </c>
      <c r="B316" s="59" t="s">
        <v>1319</v>
      </c>
      <c r="C316" s="67" t="s">
        <v>1320</v>
      </c>
      <c r="D316" s="63">
        <v>42957</v>
      </c>
      <c r="E316" s="208">
        <v>1491692</v>
      </c>
      <c r="F316" s="196">
        <f t="shared" si="32"/>
        <v>1491692</v>
      </c>
      <c r="G316" s="59">
        <f t="shared" si="33"/>
        <v>1491692</v>
      </c>
      <c r="H316" s="57">
        <v>0</v>
      </c>
      <c r="I316" s="60">
        <v>1</v>
      </c>
      <c r="J316" s="60">
        <v>1</v>
      </c>
      <c r="K316" s="33">
        <f t="shared" si="34"/>
        <v>1491692</v>
      </c>
      <c r="L316" s="33">
        <f t="shared" si="35"/>
        <v>1491692</v>
      </c>
      <c r="M316" s="200">
        <f t="shared" si="36"/>
        <v>1491692</v>
      </c>
      <c r="N316" s="126"/>
      <c r="O316" s="44" t="s">
        <v>1778</v>
      </c>
      <c r="P316" s="33">
        <f t="shared" si="37"/>
        <v>1491692</v>
      </c>
      <c r="Q316" s="33">
        <f>+'[1]bg dn2'!Z412</f>
        <v>1491692</v>
      </c>
      <c r="R316" s="33">
        <f t="shared" si="38"/>
        <v>0</v>
      </c>
      <c r="S316" s="132"/>
    </row>
    <row r="317" spans="1:19">
      <c r="A317" s="29">
        <f t="shared" si="39"/>
        <v>313</v>
      </c>
      <c r="B317" s="59" t="s">
        <v>1319</v>
      </c>
      <c r="C317" s="67" t="s">
        <v>1320</v>
      </c>
      <c r="D317" s="63">
        <v>42988</v>
      </c>
      <c r="E317" s="212">
        <v>1491692</v>
      </c>
      <c r="F317" s="196">
        <f t="shared" si="32"/>
        <v>1491692</v>
      </c>
      <c r="G317" s="59">
        <f t="shared" si="33"/>
        <v>1491692</v>
      </c>
      <c r="H317" s="57">
        <v>0</v>
      </c>
      <c r="I317" s="60">
        <v>1</v>
      </c>
      <c r="J317" s="60">
        <v>1</v>
      </c>
      <c r="K317" s="33">
        <f t="shared" si="34"/>
        <v>1491692</v>
      </c>
      <c r="L317" s="33">
        <f t="shared" si="35"/>
        <v>1491692</v>
      </c>
      <c r="M317" s="200">
        <f t="shared" si="36"/>
        <v>1491692</v>
      </c>
      <c r="N317" s="209"/>
      <c r="O317" s="44" t="s">
        <v>1779</v>
      </c>
      <c r="P317" s="33">
        <f t="shared" si="37"/>
        <v>1491692</v>
      </c>
      <c r="Q317" s="33">
        <f>+'[1]bg dn2'!Z413</f>
        <v>1491692</v>
      </c>
      <c r="R317" s="33">
        <f t="shared" si="38"/>
        <v>0</v>
      </c>
      <c r="S317" s="132"/>
    </row>
    <row r="318" spans="1:19">
      <c r="A318" s="29">
        <f t="shared" si="39"/>
        <v>314</v>
      </c>
      <c r="B318" s="59" t="s">
        <v>1319</v>
      </c>
      <c r="C318" s="67" t="s">
        <v>1320</v>
      </c>
      <c r="D318" s="63">
        <v>43018</v>
      </c>
      <c r="E318" s="212">
        <v>1491692</v>
      </c>
      <c r="F318" s="196">
        <f t="shared" si="32"/>
        <v>1491692</v>
      </c>
      <c r="G318" s="59">
        <f t="shared" si="33"/>
        <v>1491692</v>
      </c>
      <c r="H318" s="57">
        <v>0</v>
      </c>
      <c r="I318" s="60">
        <v>1</v>
      </c>
      <c r="J318" s="60">
        <v>1</v>
      </c>
      <c r="K318" s="33">
        <f t="shared" si="34"/>
        <v>1491692</v>
      </c>
      <c r="L318" s="33">
        <f t="shared" si="35"/>
        <v>1491692</v>
      </c>
      <c r="M318" s="200">
        <f t="shared" si="36"/>
        <v>1491692</v>
      </c>
      <c r="N318" s="126"/>
      <c r="O318" s="44" t="s">
        <v>1780</v>
      </c>
      <c r="P318" s="33">
        <f t="shared" si="37"/>
        <v>1491692</v>
      </c>
      <c r="Q318" s="33">
        <f>+'[1]bg dn2'!Z414</f>
        <v>1491692</v>
      </c>
      <c r="R318" s="33">
        <f t="shared" si="38"/>
        <v>0</v>
      </c>
      <c r="S318" s="132"/>
    </row>
    <row r="319" spans="1:19">
      <c r="A319" s="29">
        <f t="shared" si="39"/>
        <v>315</v>
      </c>
      <c r="B319" s="59" t="s">
        <v>1319</v>
      </c>
      <c r="C319" s="67" t="s">
        <v>1320</v>
      </c>
      <c r="D319" s="63">
        <v>43049</v>
      </c>
      <c r="E319" s="208">
        <v>1491692</v>
      </c>
      <c r="F319" s="196">
        <f t="shared" si="32"/>
        <v>1491692</v>
      </c>
      <c r="G319" s="59">
        <f t="shared" si="33"/>
        <v>1491692</v>
      </c>
      <c r="H319" s="57">
        <v>0</v>
      </c>
      <c r="I319" s="60">
        <v>1</v>
      </c>
      <c r="J319" s="60">
        <v>1</v>
      </c>
      <c r="K319" s="33">
        <f t="shared" si="34"/>
        <v>1491692</v>
      </c>
      <c r="L319" s="33">
        <f t="shared" si="35"/>
        <v>1491692</v>
      </c>
      <c r="M319" s="200">
        <f t="shared" si="36"/>
        <v>1491692</v>
      </c>
      <c r="N319" s="126"/>
      <c r="O319" s="44" t="s">
        <v>1781</v>
      </c>
      <c r="P319" s="33">
        <f t="shared" si="37"/>
        <v>1491692</v>
      </c>
      <c r="Q319" s="33">
        <f>+'[1]bg dn2'!Z415</f>
        <v>1491692</v>
      </c>
      <c r="R319" s="33">
        <f t="shared" si="38"/>
        <v>0</v>
      </c>
      <c r="S319" s="132"/>
    </row>
    <row r="320" spans="1:19">
      <c r="A320" s="29">
        <f t="shared" si="39"/>
        <v>316</v>
      </c>
      <c r="B320" s="59" t="s">
        <v>1319</v>
      </c>
      <c r="C320" s="67" t="s">
        <v>1320</v>
      </c>
      <c r="D320" s="63">
        <v>43079</v>
      </c>
      <c r="E320" s="195">
        <v>1491692</v>
      </c>
      <c r="F320" s="196">
        <f t="shared" si="32"/>
        <v>1491692</v>
      </c>
      <c r="G320" s="59">
        <f t="shared" si="33"/>
        <v>1491692</v>
      </c>
      <c r="H320" s="57">
        <v>0</v>
      </c>
      <c r="I320" s="60">
        <v>1</v>
      </c>
      <c r="J320" s="60">
        <v>1</v>
      </c>
      <c r="K320" s="33">
        <f t="shared" si="34"/>
        <v>1491692</v>
      </c>
      <c r="L320" s="33">
        <f t="shared" si="35"/>
        <v>1491692</v>
      </c>
      <c r="M320" s="200">
        <f t="shared" si="36"/>
        <v>1491692</v>
      </c>
      <c r="N320" s="126"/>
      <c r="O320" s="197" t="s">
        <v>1748</v>
      </c>
      <c r="P320" s="33">
        <f t="shared" si="37"/>
        <v>1491692</v>
      </c>
      <c r="Q320" s="33">
        <f>+'[1]bg dn2'!Z416</f>
        <v>1491692</v>
      </c>
      <c r="R320" s="33">
        <f t="shared" si="38"/>
        <v>0</v>
      </c>
      <c r="S320" s="132"/>
    </row>
    <row r="321" spans="1:19">
      <c r="A321" s="29">
        <f t="shared" si="39"/>
        <v>317</v>
      </c>
      <c r="B321" s="59" t="s">
        <v>1319</v>
      </c>
      <c r="C321" s="67" t="s">
        <v>1320</v>
      </c>
      <c r="D321" s="63">
        <v>43110</v>
      </c>
      <c r="E321" s="195">
        <v>1491692</v>
      </c>
      <c r="F321" s="196">
        <f t="shared" si="32"/>
        <v>1491692</v>
      </c>
      <c r="G321" s="59">
        <f t="shared" si="33"/>
        <v>1491692</v>
      </c>
      <c r="H321" s="57">
        <v>0</v>
      </c>
      <c r="I321" s="60">
        <v>1</v>
      </c>
      <c r="J321" s="60">
        <v>1</v>
      </c>
      <c r="K321" s="33">
        <f t="shared" si="34"/>
        <v>1491692</v>
      </c>
      <c r="L321" s="33">
        <f t="shared" si="35"/>
        <v>1491692</v>
      </c>
      <c r="M321" s="200">
        <f t="shared" si="36"/>
        <v>1491692</v>
      </c>
      <c r="N321" s="126"/>
      <c r="O321" s="197" t="s">
        <v>1749</v>
      </c>
      <c r="P321" s="33">
        <f t="shared" si="37"/>
        <v>1491692</v>
      </c>
      <c r="Q321" s="33">
        <f>+'[1]bg dn2'!Z417</f>
        <v>1491692</v>
      </c>
      <c r="R321" s="33">
        <f t="shared" si="38"/>
        <v>0</v>
      </c>
      <c r="S321" s="132"/>
    </row>
    <row r="322" spans="1:19">
      <c r="A322" s="29">
        <f t="shared" si="39"/>
        <v>318</v>
      </c>
      <c r="B322" s="54" t="s">
        <v>118</v>
      </c>
      <c r="C322" s="55" t="s">
        <v>119</v>
      </c>
      <c r="D322" s="63">
        <v>43141</v>
      </c>
      <c r="E322" s="195">
        <v>670543</v>
      </c>
      <c r="F322" s="196">
        <f t="shared" si="32"/>
        <v>670543</v>
      </c>
      <c r="G322" s="59">
        <f t="shared" si="33"/>
        <v>670543</v>
      </c>
      <c r="H322" s="57">
        <v>0</v>
      </c>
      <c r="I322" s="60">
        <v>1</v>
      </c>
      <c r="J322" s="60">
        <v>1</v>
      </c>
      <c r="K322" s="33">
        <f t="shared" si="34"/>
        <v>670543</v>
      </c>
      <c r="L322" s="33">
        <f t="shared" si="35"/>
        <v>670543</v>
      </c>
      <c r="M322" s="200">
        <f t="shared" si="36"/>
        <v>670543</v>
      </c>
      <c r="N322" s="126"/>
      <c r="O322" s="197" t="s">
        <v>1797</v>
      </c>
      <c r="P322" s="33">
        <f t="shared" si="37"/>
        <v>670543</v>
      </c>
      <c r="Q322" s="33">
        <f>+'[1]bg dn2'!Z418</f>
        <v>670543</v>
      </c>
      <c r="R322" s="33">
        <f t="shared" si="38"/>
        <v>0</v>
      </c>
      <c r="S322" s="132"/>
    </row>
    <row r="323" spans="1:19">
      <c r="A323" s="29">
        <f t="shared" si="39"/>
        <v>319</v>
      </c>
      <c r="B323" s="54" t="s">
        <v>118</v>
      </c>
      <c r="C323" s="55" t="s">
        <v>119</v>
      </c>
      <c r="D323" s="63">
        <v>43141</v>
      </c>
      <c r="E323" s="195">
        <v>670543</v>
      </c>
      <c r="F323" s="196">
        <f t="shared" si="32"/>
        <v>670543</v>
      </c>
      <c r="G323" s="59">
        <f t="shared" si="33"/>
        <v>670543</v>
      </c>
      <c r="H323" s="57">
        <v>0</v>
      </c>
      <c r="I323" s="60">
        <v>1</v>
      </c>
      <c r="J323" s="60">
        <v>1</v>
      </c>
      <c r="K323" s="33">
        <f t="shared" si="34"/>
        <v>670543</v>
      </c>
      <c r="L323" s="33">
        <f t="shared" si="35"/>
        <v>670543</v>
      </c>
      <c r="M323" s="200">
        <f t="shared" si="36"/>
        <v>670543</v>
      </c>
      <c r="N323" s="126"/>
      <c r="O323" s="197" t="s">
        <v>1797</v>
      </c>
      <c r="P323" s="33">
        <f t="shared" si="37"/>
        <v>670543</v>
      </c>
      <c r="Q323" s="33">
        <f>+'[1]bg dn2'!Z419</f>
        <v>670543</v>
      </c>
      <c r="R323" s="33">
        <f t="shared" si="38"/>
        <v>0</v>
      </c>
      <c r="S323" s="132"/>
    </row>
    <row r="324" spans="1:19">
      <c r="A324" s="29">
        <f t="shared" si="39"/>
        <v>320</v>
      </c>
      <c r="B324" s="54" t="s">
        <v>118</v>
      </c>
      <c r="C324" s="55" t="s">
        <v>119</v>
      </c>
      <c r="D324" s="63">
        <v>43141</v>
      </c>
      <c r="E324" s="195">
        <v>60000</v>
      </c>
      <c r="F324" s="196">
        <f t="shared" si="32"/>
        <v>60000</v>
      </c>
      <c r="G324" s="59">
        <f t="shared" si="33"/>
        <v>60000</v>
      </c>
      <c r="H324" s="57">
        <v>0</v>
      </c>
      <c r="I324" s="60">
        <v>1</v>
      </c>
      <c r="J324" s="60">
        <v>1</v>
      </c>
      <c r="K324" s="33">
        <f t="shared" si="34"/>
        <v>60000</v>
      </c>
      <c r="L324" s="33">
        <f t="shared" si="35"/>
        <v>60000</v>
      </c>
      <c r="M324" s="200">
        <f t="shared" si="36"/>
        <v>60000</v>
      </c>
      <c r="N324" s="126"/>
      <c r="O324" s="197" t="s">
        <v>1797</v>
      </c>
      <c r="P324" s="33">
        <f t="shared" si="37"/>
        <v>60000</v>
      </c>
      <c r="Q324" s="33">
        <f>+'[1]bg dn2'!Z420</f>
        <v>60000</v>
      </c>
      <c r="R324" s="33">
        <f t="shared" si="38"/>
        <v>0</v>
      </c>
      <c r="S324" s="132"/>
    </row>
    <row r="325" spans="1:19">
      <c r="A325" s="29">
        <f t="shared" si="39"/>
        <v>321</v>
      </c>
      <c r="B325" s="59" t="s">
        <v>146</v>
      </c>
      <c r="C325" s="67" t="s">
        <v>147</v>
      </c>
      <c r="D325" s="63">
        <v>43141</v>
      </c>
      <c r="E325" s="195">
        <v>360000</v>
      </c>
      <c r="F325" s="196">
        <f t="shared" ref="F325:F350" si="40">+I325*K325</f>
        <v>360000</v>
      </c>
      <c r="G325" s="59">
        <f t="shared" ref="G325:G350" si="41">+E325/I325</f>
        <v>360000</v>
      </c>
      <c r="H325" s="57">
        <v>0</v>
      </c>
      <c r="I325" s="60">
        <v>1</v>
      </c>
      <c r="J325" s="60">
        <v>1</v>
      </c>
      <c r="K325" s="33">
        <f t="shared" ref="K325:K350" si="42">+G325+H325</f>
        <v>360000</v>
      </c>
      <c r="L325" s="33">
        <f t="shared" ref="L325:L350" si="43">+J325*K325</f>
        <v>360000</v>
      </c>
      <c r="M325" s="200">
        <f t="shared" ref="M325:M350" si="44">+G325*J325</f>
        <v>360000</v>
      </c>
      <c r="N325" s="126"/>
      <c r="O325" s="197" t="s">
        <v>1797</v>
      </c>
      <c r="P325" s="33">
        <f t="shared" ref="P325:P350" si="45">+M325</f>
        <v>360000</v>
      </c>
      <c r="Q325" s="33">
        <f>+'[1]bg dn2'!Z421</f>
        <v>360000</v>
      </c>
      <c r="R325" s="33">
        <f t="shared" ref="R325:R350" si="46">+P325-Q325</f>
        <v>0</v>
      </c>
      <c r="S325" s="132"/>
    </row>
    <row r="326" spans="1:19">
      <c r="A326" s="29">
        <f t="shared" ref="A326:A350" si="47">+A325+1</f>
        <v>322</v>
      </c>
      <c r="B326" s="54" t="s">
        <v>302</v>
      </c>
      <c r="C326" s="55" t="s">
        <v>303</v>
      </c>
      <c r="D326" s="63">
        <v>43141</v>
      </c>
      <c r="E326" s="199">
        <v>522000</v>
      </c>
      <c r="F326" s="196">
        <f t="shared" si="40"/>
        <v>522000</v>
      </c>
      <c r="G326" s="59">
        <f t="shared" si="41"/>
        <v>522000</v>
      </c>
      <c r="H326" s="57">
        <v>0</v>
      </c>
      <c r="I326" s="60">
        <v>1</v>
      </c>
      <c r="J326" s="60">
        <v>1</v>
      </c>
      <c r="K326" s="33">
        <f t="shared" si="42"/>
        <v>522000</v>
      </c>
      <c r="L326" s="33">
        <f t="shared" si="43"/>
        <v>522000</v>
      </c>
      <c r="M326" s="200">
        <f t="shared" si="44"/>
        <v>522000</v>
      </c>
      <c r="N326" s="126"/>
      <c r="O326" s="197" t="s">
        <v>1797</v>
      </c>
      <c r="P326" s="33">
        <f t="shared" si="45"/>
        <v>522000</v>
      </c>
      <c r="Q326" s="33">
        <f>+'[1]bg dn2'!Z422</f>
        <v>522000</v>
      </c>
      <c r="R326" s="33">
        <f t="shared" si="46"/>
        <v>0</v>
      </c>
      <c r="S326" s="132"/>
    </row>
    <row r="327" spans="1:19">
      <c r="A327" s="29">
        <f t="shared" si="47"/>
        <v>323</v>
      </c>
      <c r="B327" s="54" t="s">
        <v>400</v>
      </c>
      <c r="C327" s="55" t="s">
        <v>401</v>
      </c>
      <c r="D327" s="63">
        <v>43141</v>
      </c>
      <c r="E327" s="195">
        <v>1605601</v>
      </c>
      <c r="F327" s="196">
        <f t="shared" si="40"/>
        <v>1605601</v>
      </c>
      <c r="G327" s="59">
        <f t="shared" si="41"/>
        <v>1605601</v>
      </c>
      <c r="H327" s="57">
        <v>0</v>
      </c>
      <c r="I327" s="60">
        <v>1</v>
      </c>
      <c r="J327" s="60">
        <v>1</v>
      </c>
      <c r="K327" s="33">
        <f t="shared" si="42"/>
        <v>1605601</v>
      </c>
      <c r="L327" s="33">
        <f t="shared" si="43"/>
        <v>1605601</v>
      </c>
      <c r="M327" s="200">
        <f t="shared" si="44"/>
        <v>1605601</v>
      </c>
      <c r="N327" s="126"/>
      <c r="O327" s="197" t="s">
        <v>1797</v>
      </c>
      <c r="P327" s="33">
        <f t="shared" si="45"/>
        <v>1605601</v>
      </c>
      <c r="Q327" s="33">
        <f>+'[1]bg dn2'!Z423</f>
        <v>1605601</v>
      </c>
      <c r="R327" s="33">
        <f t="shared" si="46"/>
        <v>0</v>
      </c>
      <c r="S327" s="132"/>
    </row>
    <row r="328" spans="1:19">
      <c r="A328" s="29">
        <f t="shared" si="47"/>
        <v>324</v>
      </c>
      <c r="B328" s="54" t="s">
        <v>400</v>
      </c>
      <c r="C328" s="55" t="s">
        <v>401</v>
      </c>
      <c r="D328" s="63">
        <v>43141</v>
      </c>
      <c r="E328" s="195">
        <v>288000</v>
      </c>
      <c r="F328" s="196">
        <f t="shared" si="40"/>
        <v>288000</v>
      </c>
      <c r="G328" s="59">
        <f t="shared" si="41"/>
        <v>288000</v>
      </c>
      <c r="H328" s="57">
        <v>0</v>
      </c>
      <c r="I328" s="60">
        <v>1</v>
      </c>
      <c r="J328" s="60">
        <v>1</v>
      </c>
      <c r="K328" s="33">
        <f t="shared" si="42"/>
        <v>288000</v>
      </c>
      <c r="L328" s="33">
        <f t="shared" si="43"/>
        <v>288000</v>
      </c>
      <c r="M328" s="200">
        <f t="shared" si="44"/>
        <v>288000</v>
      </c>
      <c r="N328" s="126"/>
      <c r="O328" s="197" t="s">
        <v>1797</v>
      </c>
      <c r="P328" s="33">
        <f t="shared" si="45"/>
        <v>288000</v>
      </c>
      <c r="Q328" s="33">
        <f>+'[1]bg dn2'!Z424</f>
        <v>288000</v>
      </c>
      <c r="R328" s="33">
        <f t="shared" si="46"/>
        <v>0</v>
      </c>
      <c r="S328" s="132"/>
    </row>
    <row r="329" spans="1:19">
      <c r="A329" s="29">
        <f t="shared" si="47"/>
        <v>325</v>
      </c>
      <c r="B329" s="54" t="s">
        <v>458</v>
      </c>
      <c r="C329" s="55">
        <v>901781</v>
      </c>
      <c r="D329" s="63">
        <v>43141</v>
      </c>
      <c r="E329" s="195">
        <v>267998</v>
      </c>
      <c r="F329" s="196">
        <f t="shared" si="40"/>
        <v>267998</v>
      </c>
      <c r="G329" s="59">
        <f t="shared" si="41"/>
        <v>267998</v>
      </c>
      <c r="H329" s="57">
        <v>0</v>
      </c>
      <c r="I329" s="60">
        <v>1</v>
      </c>
      <c r="J329" s="60">
        <v>1</v>
      </c>
      <c r="K329" s="33">
        <f t="shared" si="42"/>
        <v>267998</v>
      </c>
      <c r="L329" s="33">
        <f t="shared" si="43"/>
        <v>267998</v>
      </c>
      <c r="M329" s="200">
        <f t="shared" si="44"/>
        <v>267998</v>
      </c>
      <c r="N329" s="126"/>
      <c r="O329" s="197" t="s">
        <v>1797</v>
      </c>
      <c r="P329" s="33">
        <f t="shared" si="45"/>
        <v>267998</v>
      </c>
      <c r="Q329" s="33">
        <f>+'[1]bg dn2'!Z425</f>
        <v>267998</v>
      </c>
      <c r="R329" s="33">
        <f t="shared" si="46"/>
        <v>0</v>
      </c>
      <c r="S329" s="132"/>
    </row>
    <row r="330" spans="1:19">
      <c r="A330" s="29">
        <f t="shared" si="47"/>
        <v>326</v>
      </c>
      <c r="B330" s="54" t="s">
        <v>495</v>
      </c>
      <c r="C330" s="55" t="s">
        <v>496</v>
      </c>
      <c r="D330" s="63">
        <v>43141</v>
      </c>
      <c r="E330" s="195">
        <v>537127</v>
      </c>
      <c r="F330" s="196">
        <f t="shared" si="40"/>
        <v>537127</v>
      </c>
      <c r="G330" s="59">
        <f t="shared" si="41"/>
        <v>537127</v>
      </c>
      <c r="H330" s="57">
        <v>0</v>
      </c>
      <c r="I330" s="60">
        <v>1</v>
      </c>
      <c r="J330" s="60">
        <v>1</v>
      </c>
      <c r="K330" s="33">
        <f t="shared" si="42"/>
        <v>537127</v>
      </c>
      <c r="L330" s="33">
        <f t="shared" si="43"/>
        <v>537127</v>
      </c>
      <c r="M330" s="200">
        <f t="shared" si="44"/>
        <v>537127</v>
      </c>
      <c r="N330" s="126"/>
      <c r="O330" s="197" t="s">
        <v>1797</v>
      </c>
      <c r="P330" s="33">
        <f t="shared" si="45"/>
        <v>537127</v>
      </c>
      <c r="Q330" s="33">
        <f>+'[1]bg dn2'!Z426</f>
        <v>537127</v>
      </c>
      <c r="R330" s="33">
        <f t="shared" si="46"/>
        <v>0</v>
      </c>
      <c r="S330" s="132"/>
    </row>
    <row r="331" spans="1:19">
      <c r="A331" s="29">
        <f t="shared" si="47"/>
        <v>327</v>
      </c>
      <c r="B331" s="54" t="s">
        <v>495</v>
      </c>
      <c r="C331" s="55" t="s">
        <v>496</v>
      </c>
      <c r="D331" s="63">
        <v>43141</v>
      </c>
      <c r="E331" s="195">
        <v>537126</v>
      </c>
      <c r="F331" s="196">
        <f t="shared" si="40"/>
        <v>537126</v>
      </c>
      <c r="G331" s="59">
        <f t="shared" si="41"/>
        <v>537126</v>
      </c>
      <c r="H331" s="57">
        <v>0</v>
      </c>
      <c r="I331" s="60">
        <v>1</v>
      </c>
      <c r="J331" s="60">
        <v>1</v>
      </c>
      <c r="K331" s="33">
        <f t="shared" si="42"/>
        <v>537126</v>
      </c>
      <c r="L331" s="33">
        <f t="shared" si="43"/>
        <v>537126</v>
      </c>
      <c r="M331" s="200">
        <f t="shared" si="44"/>
        <v>537126</v>
      </c>
      <c r="N331" s="126"/>
      <c r="O331" s="197" t="s">
        <v>1797</v>
      </c>
      <c r="P331" s="33">
        <f t="shared" si="45"/>
        <v>537126</v>
      </c>
      <c r="Q331" s="33">
        <f>+'[1]bg dn2'!Z427</f>
        <v>537126</v>
      </c>
      <c r="R331" s="33">
        <f t="shared" si="46"/>
        <v>0</v>
      </c>
      <c r="S331" s="132"/>
    </row>
    <row r="332" spans="1:19">
      <c r="A332" s="29">
        <f t="shared" si="47"/>
        <v>328</v>
      </c>
      <c r="B332" s="54" t="s">
        <v>495</v>
      </c>
      <c r="C332" s="55" t="s">
        <v>496</v>
      </c>
      <c r="D332" s="63">
        <v>43141</v>
      </c>
      <c r="E332" s="195">
        <v>17088</v>
      </c>
      <c r="F332" s="196">
        <f t="shared" si="40"/>
        <v>17088</v>
      </c>
      <c r="G332" s="59">
        <f t="shared" si="41"/>
        <v>17088</v>
      </c>
      <c r="H332" s="57">
        <v>0</v>
      </c>
      <c r="I332" s="60">
        <v>1</v>
      </c>
      <c r="J332" s="60">
        <v>1</v>
      </c>
      <c r="K332" s="33">
        <f t="shared" si="42"/>
        <v>17088</v>
      </c>
      <c r="L332" s="33">
        <f t="shared" si="43"/>
        <v>17088</v>
      </c>
      <c r="M332" s="200">
        <f t="shared" si="44"/>
        <v>17088</v>
      </c>
      <c r="N332" s="126"/>
      <c r="O332" s="197" t="s">
        <v>1797</v>
      </c>
      <c r="P332" s="33">
        <f t="shared" si="45"/>
        <v>17088</v>
      </c>
      <c r="Q332" s="33">
        <f>+'[1]bg dn2'!Z428</f>
        <v>17088</v>
      </c>
      <c r="R332" s="33">
        <f t="shared" si="46"/>
        <v>0</v>
      </c>
      <c r="S332" s="132"/>
    </row>
    <row r="333" spans="1:19">
      <c r="A333" s="29">
        <f t="shared" si="47"/>
        <v>329</v>
      </c>
      <c r="B333" s="54" t="s">
        <v>519</v>
      </c>
      <c r="C333" s="55" t="s">
        <v>520</v>
      </c>
      <c r="D333" s="63">
        <v>43141</v>
      </c>
      <c r="E333" s="195">
        <v>1500000</v>
      </c>
      <c r="F333" s="196">
        <f t="shared" si="40"/>
        <v>1500000</v>
      </c>
      <c r="G333" s="59">
        <f t="shared" si="41"/>
        <v>1500000</v>
      </c>
      <c r="H333" s="57">
        <v>0</v>
      </c>
      <c r="I333" s="60">
        <v>1</v>
      </c>
      <c r="J333" s="60">
        <v>1</v>
      </c>
      <c r="K333" s="33">
        <f t="shared" si="42"/>
        <v>1500000</v>
      </c>
      <c r="L333" s="33">
        <f t="shared" si="43"/>
        <v>1500000</v>
      </c>
      <c r="M333" s="200">
        <f t="shared" si="44"/>
        <v>1500000</v>
      </c>
      <c r="N333" s="126"/>
      <c r="O333" s="197" t="s">
        <v>1797</v>
      </c>
      <c r="P333" s="33">
        <f t="shared" si="45"/>
        <v>1500000</v>
      </c>
      <c r="Q333" s="33">
        <f>+'[1]bg dn2'!Z429</f>
        <v>1500000</v>
      </c>
      <c r="R333" s="33">
        <f t="shared" si="46"/>
        <v>0</v>
      </c>
      <c r="S333" s="132"/>
    </row>
    <row r="334" spans="1:19">
      <c r="A334" s="29">
        <f t="shared" si="47"/>
        <v>330</v>
      </c>
      <c r="B334" s="54" t="s">
        <v>519</v>
      </c>
      <c r="C334" s="55" t="s">
        <v>520</v>
      </c>
      <c r="D334" s="63">
        <v>43141</v>
      </c>
      <c r="E334" s="199">
        <v>1500000</v>
      </c>
      <c r="F334" s="196">
        <f t="shared" si="40"/>
        <v>1500000</v>
      </c>
      <c r="G334" s="59">
        <f t="shared" si="41"/>
        <v>1500000</v>
      </c>
      <c r="H334" s="57">
        <v>0</v>
      </c>
      <c r="I334" s="60">
        <v>1</v>
      </c>
      <c r="J334" s="60">
        <v>1</v>
      </c>
      <c r="K334" s="33">
        <f t="shared" si="42"/>
        <v>1500000</v>
      </c>
      <c r="L334" s="33">
        <f t="shared" si="43"/>
        <v>1500000</v>
      </c>
      <c r="M334" s="200">
        <f t="shared" si="44"/>
        <v>1500000</v>
      </c>
      <c r="N334" s="126"/>
      <c r="O334" s="197" t="s">
        <v>1797</v>
      </c>
      <c r="P334" s="33">
        <f t="shared" si="45"/>
        <v>1500000</v>
      </c>
      <c r="Q334" s="33">
        <f>+'[1]bg dn2'!Z430</f>
        <v>1500000</v>
      </c>
      <c r="R334" s="33">
        <f t="shared" si="46"/>
        <v>0</v>
      </c>
      <c r="S334" s="132"/>
    </row>
    <row r="335" spans="1:19">
      <c r="A335" s="29">
        <f t="shared" si="47"/>
        <v>331</v>
      </c>
      <c r="B335" s="54" t="s">
        <v>519</v>
      </c>
      <c r="C335" s="55" t="s">
        <v>520</v>
      </c>
      <c r="D335" s="63">
        <v>43141</v>
      </c>
      <c r="E335" s="195">
        <v>36000</v>
      </c>
      <c r="F335" s="196">
        <f t="shared" si="40"/>
        <v>36000</v>
      </c>
      <c r="G335" s="59">
        <f t="shared" si="41"/>
        <v>36000</v>
      </c>
      <c r="H335" s="57">
        <v>0</v>
      </c>
      <c r="I335" s="60">
        <v>1</v>
      </c>
      <c r="J335" s="60">
        <v>1</v>
      </c>
      <c r="K335" s="33">
        <f t="shared" si="42"/>
        <v>36000</v>
      </c>
      <c r="L335" s="33">
        <f t="shared" si="43"/>
        <v>36000</v>
      </c>
      <c r="M335" s="200">
        <f t="shared" si="44"/>
        <v>36000</v>
      </c>
      <c r="N335" s="126"/>
      <c r="O335" s="197" t="s">
        <v>1797</v>
      </c>
      <c r="P335" s="33">
        <f t="shared" si="45"/>
        <v>36000</v>
      </c>
      <c r="Q335" s="33">
        <f>+'[1]bg dn2'!Z431</f>
        <v>36000</v>
      </c>
      <c r="R335" s="33">
        <f t="shared" si="46"/>
        <v>0</v>
      </c>
      <c r="S335" s="132"/>
    </row>
    <row r="336" spans="1:19">
      <c r="A336" s="29">
        <f t="shared" si="47"/>
        <v>332</v>
      </c>
      <c r="B336" s="54" t="s">
        <v>588</v>
      </c>
      <c r="C336" s="55" t="s">
        <v>589</v>
      </c>
      <c r="D336" s="63">
        <v>43141</v>
      </c>
      <c r="E336" s="195">
        <v>839256</v>
      </c>
      <c r="F336" s="196">
        <f t="shared" si="40"/>
        <v>839256</v>
      </c>
      <c r="G336" s="59">
        <f t="shared" si="41"/>
        <v>839256</v>
      </c>
      <c r="H336" s="57">
        <v>0</v>
      </c>
      <c r="I336" s="60">
        <v>1</v>
      </c>
      <c r="J336" s="60">
        <v>1</v>
      </c>
      <c r="K336" s="33">
        <f t="shared" si="42"/>
        <v>839256</v>
      </c>
      <c r="L336" s="33">
        <f t="shared" si="43"/>
        <v>839256</v>
      </c>
      <c r="M336" s="200">
        <f t="shared" si="44"/>
        <v>839256</v>
      </c>
      <c r="N336" s="126"/>
      <c r="O336" s="197" t="s">
        <v>1797</v>
      </c>
      <c r="P336" s="33">
        <f t="shared" si="45"/>
        <v>839256</v>
      </c>
      <c r="Q336" s="33">
        <f>+'[1]bg dn2'!Z432</f>
        <v>839256</v>
      </c>
      <c r="R336" s="33">
        <f t="shared" si="46"/>
        <v>0</v>
      </c>
      <c r="S336" s="132"/>
    </row>
    <row r="337" spans="1:19">
      <c r="A337" s="29">
        <f t="shared" si="47"/>
        <v>333</v>
      </c>
      <c r="B337" s="54" t="s">
        <v>588</v>
      </c>
      <c r="C337" s="55" t="s">
        <v>589</v>
      </c>
      <c r="D337" s="63">
        <v>43141</v>
      </c>
      <c r="E337" s="195">
        <v>839255</v>
      </c>
      <c r="F337" s="196">
        <f t="shared" si="40"/>
        <v>839255</v>
      </c>
      <c r="G337" s="59">
        <f t="shared" si="41"/>
        <v>839255</v>
      </c>
      <c r="H337" s="57">
        <v>0</v>
      </c>
      <c r="I337" s="60">
        <v>1</v>
      </c>
      <c r="J337" s="60">
        <v>1</v>
      </c>
      <c r="K337" s="33">
        <f t="shared" si="42"/>
        <v>839255</v>
      </c>
      <c r="L337" s="33">
        <f t="shared" si="43"/>
        <v>839255</v>
      </c>
      <c r="M337" s="200">
        <f t="shared" si="44"/>
        <v>839255</v>
      </c>
      <c r="N337" s="126"/>
      <c r="O337" s="197" t="s">
        <v>1797</v>
      </c>
      <c r="P337" s="33">
        <f t="shared" si="45"/>
        <v>839255</v>
      </c>
      <c r="Q337" s="33">
        <f>+'[1]bg dn2'!Z433</f>
        <v>839255</v>
      </c>
      <c r="R337" s="33">
        <f t="shared" si="46"/>
        <v>0</v>
      </c>
      <c r="S337" s="132"/>
    </row>
    <row r="338" spans="1:19">
      <c r="A338" s="29">
        <f t="shared" si="47"/>
        <v>334</v>
      </c>
      <c r="B338" s="54" t="s">
        <v>792</v>
      </c>
      <c r="C338" s="55" t="s">
        <v>793</v>
      </c>
      <c r="D338" s="63">
        <v>43141</v>
      </c>
      <c r="E338" s="195">
        <v>600000</v>
      </c>
      <c r="F338" s="196">
        <f t="shared" si="40"/>
        <v>600000</v>
      </c>
      <c r="G338" s="59">
        <f t="shared" si="41"/>
        <v>600000</v>
      </c>
      <c r="H338" s="57">
        <v>0</v>
      </c>
      <c r="I338" s="60">
        <v>1</v>
      </c>
      <c r="J338" s="60">
        <v>1</v>
      </c>
      <c r="K338" s="33">
        <f t="shared" si="42"/>
        <v>600000</v>
      </c>
      <c r="L338" s="33">
        <f t="shared" si="43"/>
        <v>600000</v>
      </c>
      <c r="M338" s="200">
        <f t="shared" si="44"/>
        <v>600000</v>
      </c>
      <c r="N338" s="126"/>
      <c r="O338" s="197" t="s">
        <v>1797</v>
      </c>
      <c r="P338" s="33">
        <f t="shared" si="45"/>
        <v>600000</v>
      </c>
      <c r="Q338" s="33">
        <f>+'[1]bg dn2'!Z434</f>
        <v>600000</v>
      </c>
      <c r="R338" s="33">
        <f t="shared" si="46"/>
        <v>0</v>
      </c>
      <c r="S338" s="132"/>
    </row>
    <row r="339" spans="1:19">
      <c r="A339" s="29">
        <f t="shared" si="47"/>
        <v>335</v>
      </c>
      <c r="B339" s="54" t="s">
        <v>792</v>
      </c>
      <c r="C339" s="55" t="s">
        <v>793</v>
      </c>
      <c r="D339" s="63">
        <v>43141</v>
      </c>
      <c r="E339" s="195">
        <v>600000</v>
      </c>
      <c r="F339" s="196">
        <f t="shared" si="40"/>
        <v>600000</v>
      </c>
      <c r="G339" s="59">
        <f t="shared" si="41"/>
        <v>600000</v>
      </c>
      <c r="H339" s="57">
        <v>0</v>
      </c>
      <c r="I339" s="60">
        <v>1</v>
      </c>
      <c r="J339" s="60">
        <v>1</v>
      </c>
      <c r="K339" s="33">
        <f t="shared" si="42"/>
        <v>600000</v>
      </c>
      <c r="L339" s="33">
        <f t="shared" si="43"/>
        <v>600000</v>
      </c>
      <c r="M339" s="200">
        <f t="shared" si="44"/>
        <v>600000</v>
      </c>
      <c r="N339" s="126"/>
      <c r="O339" s="197" t="s">
        <v>1797</v>
      </c>
      <c r="P339" s="33">
        <f t="shared" si="45"/>
        <v>600000</v>
      </c>
      <c r="Q339" s="33">
        <f>+'[1]bg dn2'!Z435</f>
        <v>600000</v>
      </c>
      <c r="R339" s="33">
        <f t="shared" si="46"/>
        <v>0</v>
      </c>
      <c r="S339" s="132"/>
    </row>
    <row r="340" spans="1:19">
      <c r="A340" s="29">
        <f t="shared" si="47"/>
        <v>336</v>
      </c>
      <c r="B340" s="54" t="s">
        <v>811</v>
      </c>
      <c r="C340" s="55" t="s">
        <v>812</v>
      </c>
      <c r="D340" s="63">
        <v>43141</v>
      </c>
      <c r="E340" s="195">
        <v>364423</v>
      </c>
      <c r="F340" s="196">
        <f t="shared" si="40"/>
        <v>364423</v>
      </c>
      <c r="G340" s="59">
        <f t="shared" si="41"/>
        <v>364423</v>
      </c>
      <c r="H340" s="57">
        <v>0</v>
      </c>
      <c r="I340" s="60">
        <v>1</v>
      </c>
      <c r="J340" s="60">
        <v>1</v>
      </c>
      <c r="K340" s="33">
        <f t="shared" si="42"/>
        <v>364423</v>
      </c>
      <c r="L340" s="33">
        <f t="shared" si="43"/>
        <v>364423</v>
      </c>
      <c r="M340" s="200">
        <f t="shared" si="44"/>
        <v>364423</v>
      </c>
      <c r="N340" s="126"/>
      <c r="O340" s="197" t="s">
        <v>1797</v>
      </c>
      <c r="P340" s="33">
        <f t="shared" si="45"/>
        <v>364423</v>
      </c>
      <c r="Q340" s="33">
        <f>+'[1]bg dn2'!Z436</f>
        <v>364423</v>
      </c>
      <c r="R340" s="33">
        <f t="shared" si="46"/>
        <v>0</v>
      </c>
      <c r="S340" s="132"/>
    </row>
    <row r="341" spans="1:19">
      <c r="A341" s="29">
        <f t="shared" si="47"/>
        <v>337</v>
      </c>
      <c r="B341" s="54" t="s">
        <v>811</v>
      </c>
      <c r="C341" s="55" t="s">
        <v>812</v>
      </c>
      <c r="D341" s="63">
        <v>43141</v>
      </c>
      <c r="E341" s="195">
        <v>364422</v>
      </c>
      <c r="F341" s="196">
        <f t="shared" si="40"/>
        <v>364422</v>
      </c>
      <c r="G341" s="59">
        <f t="shared" si="41"/>
        <v>364422</v>
      </c>
      <c r="H341" s="57">
        <v>0</v>
      </c>
      <c r="I341" s="60">
        <v>1</v>
      </c>
      <c r="J341" s="60">
        <v>1</v>
      </c>
      <c r="K341" s="33">
        <f t="shared" si="42"/>
        <v>364422</v>
      </c>
      <c r="L341" s="33">
        <f t="shared" si="43"/>
        <v>364422</v>
      </c>
      <c r="M341" s="200">
        <f t="shared" si="44"/>
        <v>364422</v>
      </c>
      <c r="N341" s="126"/>
      <c r="O341" s="197" t="s">
        <v>1797</v>
      </c>
      <c r="P341" s="33">
        <f t="shared" si="45"/>
        <v>364422</v>
      </c>
      <c r="Q341" s="33">
        <f>+'[1]bg dn2'!Z437</f>
        <v>364422</v>
      </c>
      <c r="R341" s="33">
        <f t="shared" si="46"/>
        <v>0</v>
      </c>
      <c r="S341" s="132"/>
    </row>
    <row r="342" spans="1:19">
      <c r="A342" s="29">
        <f t="shared" si="47"/>
        <v>338</v>
      </c>
      <c r="B342" s="54" t="s">
        <v>834</v>
      </c>
      <c r="C342" s="55">
        <v>921578</v>
      </c>
      <c r="D342" s="63">
        <v>43141</v>
      </c>
      <c r="E342" s="195">
        <v>638235</v>
      </c>
      <c r="F342" s="196">
        <f t="shared" si="40"/>
        <v>638235</v>
      </c>
      <c r="G342" s="59">
        <f t="shared" si="41"/>
        <v>638235</v>
      </c>
      <c r="H342" s="57">
        <v>0</v>
      </c>
      <c r="I342" s="60">
        <v>1</v>
      </c>
      <c r="J342" s="60">
        <v>1</v>
      </c>
      <c r="K342" s="33">
        <f t="shared" si="42"/>
        <v>638235</v>
      </c>
      <c r="L342" s="33">
        <f t="shared" si="43"/>
        <v>638235</v>
      </c>
      <c r="M342" s="200">
        <f t="shared" si="44"/>
        <v>638235</v>
      </c>
      <c r="N342" s="126"/>
      <c r="O342" s="197" t="s">
        <v>1797</v>
      </c>
      <c r="P342" s="33">
        <f t="shared" si="45"/>
        <v>638235</v>
      </c>
      <c r="Q342" s="33">
        <f>+'[1]bg dn2'!Z438</f>
        <v>638235</v>
      </c>
      <c r="R342" s="33">
        <f t="shared" si="46"/>
        <v>0</v>
      </c>
      <c r="S342" s="132"/>
    </row>
    <row r="343" spans="1:19">
      <c r="A343" s="29">
        <f t="shared" si="47"/>
        <v>339</v>
      </c>
      <c r="B343" s="54" t="s">
        <v>958</v>
      </c>
      <c r="C343" s="55" t="s">
        <v>959</v>
      </c>
      <c r="D343" s="63">
        <v>43141</v>
      </c>
      <c r="E343" s="195">
        <v>404615</v>
      </c>
      <c r="F343" s="196">
        <f t="shared" si="40"/>
        <v>404615</v>
      </c>
      <c r="G343" s="59">
        <f t="shared" si="41"/>
        <v>404615</v>
      </c>
      <c r="H343" s="57">
        <v>0</v>
      </c>
      <c r="I343" s="60">
        <v>1</v>
      </c>
      <c r="J343" s="60">
        <v>1</v>
      </c>
      <c r="K343" s="33">
        <f t="shared" si="42"/>
        <v>404615</v>
      </c>
      <c r="L343" s="33">
        <f t="shared" si="43"/>
        <v>404615</v>
      </c>
      <c r="M343" s="200">
        <f t="shared" si="44"/>
        <v>404615</v>
      </c>
      <c r="N343" s="126"/>
      <c r="O343" s="197" t="s">
        <v>1797</v>
      </c>
      <c r="P343" s="33">
        <f t="shared" si="45"/>
        <v>404615</v>
      </c>
      <c r="Q343" s="33">
        <f>+'[1]bg dn2'!Z439</f>
        <v>404615</v>
      </c>
      <c r="R343" s="33">
        <f t="shared" si="46"/>
        <v>0</v>
      </c>
      <c r="S343" s="132"/>
    </row>
    <row r="344" spans="1:19">
      <c r="A344" s="29">
        <f t="shared" si="47"/>
        <v>340</v>
      </c>
      <c r="B344" s="54" t="s">
        <v>958</v>
      </c>
      <c r="C344" s="55" t="s">
        <v>959</v>
      </c>
      <c r="D344" s="63">
        <v>43141</v>
      </c>
      <c r="E344" s="199">
        <v>404615</v>
      </c>
      <c r="F344" s="196">
        <f t="shared" si="40"/>
        <v>404615</v>
      </c>
      <c r="G344" s="59">
        <f t="shared" si="41"/>
        <v>404615</v>
      </c>
      <c r="H344" s="57">
        <v>0</v>
      </c>
      <c r="I344" s="60">
        <v>1</v>
      </c>
      <c r="J344" s="60">
        <v>1</v>
      </c>
      <c r="K344" s="33">
        <f t="shared" si="42"/>
        <v>404615</v>
      </c>
      <c r="L344" s="33">
        <f t="shared" si="43"/>
        <v>404615</v>
      </c>
      <c r="M344" s="200">
        <f t="shared" si="44"/>
        <v>404615</v>
      </c>
      <c r="N344" s="126"/>
      <c r="O344" s="197" t="s">
        <v>1797</v>
      </c>
      <c r="P344" s="33">
        <f t="shared" si="45"/>
        <v>404615</v>
      </c>
      <c r="Q344" s="33">
        <f>+'[1]bg dn2'!Z440</f>
        <v>404615</v>
      </c>
      <c r="R344" s="33">
        <f t="shared" si="46"/>
        <v>0</v>
      </c>
      <c r="S344" s="132"/>
    </row>
    <row r="345" spans="1:19">
      <c r="A345" s="29">
        <f t="shared" si="47"/>
        <v>341</v>
      </c>
      <c r="B345" s="54" t="s">
        <v>1162</v>
      </c>
      <c r="C345" s="55" t="s">
        <v>1163</v>
      </c>
      <c r="D345" s="63">
        <v>43141</v>
      </c>
      <c r="E345" s="199">
        <v>430097</v>
      </c>
      <c r="F345" s="196">
        <f t="shared" si="40"/>
        <v>430097</v>
      </c>
      <c r="G345" s="59">
        <f t="shared" si="41"/>
        <v>430097</v>
      </c>
      <c r="H345" s="57">
        <v>0</v>
      </c>
      <c r="I345" s="60">
        <v>1</v>
      </c>
      <c r="J345" s="60">
        <v>1</v>
      </c>
      <c r="K345" s="33">
        <f t="shared" si="42"/>
        <v>430097</v>
      </c>
      <c r="L345" s="33">
        <f t="shared" si="43"/>
        <v>430097</v>
      </c>
      <c r="M345" s="200">
        <f t="shared" si="44"/>
        <v>430097</v>
      </c>
      <c r="N345" s="126"/>
      <c r="O345" s="197" t="s">
        <v>1797</v>
      </c>
      <c r="P345" s="33">
        <f t="shared" si="45"/>
        <v>430097</v>
      </c>
      <c r="Q345" s="33">
        <f>+'[1]bg dn2'!Z441</f>
        <v>430097</v>
      </c>
      <c r="R345" s="33">
        <f t="shared" si="46"/>
        <v>0</v>
      </c>
      <c r="S345" s="132"/>
    </row>
    <row r="346" spans="1:19">
      <c r="A346" s="29">
        <f t="shared" si="47"/>
        <v>342</v>
      </c>
      <c r="B346" s="54" t="s">
        <v>1162</v>
      </c>
      <c r="C346" s="55" t="s">
        <v>1163</v>
      </c>
      <c r="D346" s="63">
        <v>43141</v>
      </c>
      <c r="E346" s="195">
        <v>430096</v>
      </c>
      <c r="F346" s="196">
        <f t="shared" si="40"/>
        <v>430096</v>
      </c>
      <c r="G346" s="59">
        <f t="shared" si="41"/>
        <v>430096</v>
      </c>
      <c r="H346" s="57">
        <v>0</v>
      </c>
      <c r="I346" s="60">
        <v>1</v>
      </c>
      <c r="J346" s="60">
        <v>1</v>
      </c>
      <c r="K346" s="33">
        <f t="shared" si="42"/>
        <v>430096</v>
      </c>
      <c r="L346" s="33">
        <f t="shared" si="43"/>
        <v>430096</v>
      </c>
      <c r="M346" s="200">
        <f t="shared" si="44"/>
        <v>430096</v>
      </c>
      <c r="N346" s="126"/>
      <c r="O346" s="197" t="s">
        <v>1797</v>
      </c>
      <c r="P346" s="33">
        <f t="shared" si="45"/>
        <v>430096</v>
      </c>
      <c r="Q346" s="33">
        <f>+'[1]bg dn2'!Z442</f>
        <v>430096</v>
      </c>
      <c r="R346" s="33">
        <f t="shared" si="46"/>
        <v>0</v>
      </c>
      <c r="S346" s="132"/>
    </row>
    <row r="347" spans="1:19">
      <c r="A347" s="29">
        <f t="shared" si="47"/>
        <v>343</v>
      </c>
      <c r="B347" s="54" t="s">
        <v>1205</v>
      </c>
      <c r="C347" s="55" t="s">
        <v>1206</v>
      </c>
      <c r="D347" s="63">
        <v>43141</v>
      </c>
      <c r="E347" s="195">
        <v>1288811</v>
      </c>
      <c r="F347" s="196">
        <f t="shared" si="40"/>
        <v>1288811</v>
      </c>
      <c r="G347" s="59">
        <f t="shared" si="41"/>
        <v>1288811</v>
      </c>
      <c r="H347" s="57">
        <v>0</v>
      </c>
      <c r="I347" s="60">
        <v>1</v>
      </c>
      <c r="J347" s="60">
        <v>1</v>
      </c>
      <c r="K347" s="33">
        <f t="shared" si="42"/>
        <v>1288811</v>
      </c>
      <c r="L347" s="33">
        <f t="shared" si="43"/>
        <v>1288811</v>
      </c>
      <c r="M347" s="200">
        <f t="shared" si="44"/>
        <v>1288811</v>
      </c>
      <c r="N347" s="126"/>
      <c r="O347" s="197" t="s">
        <v>1797</v>
      </c>
      <c r="P347" s="33">
        <f t="shared" si="45"/>
        <v>1288811</v>
      </c>
      <c r="Q347" s="33">
        <f>+'[1]bg dn2'!Z443</f>
        <v>1288811</v>
      </c>
      <c r="R347" s="33">
        <f t="shared" si="46"/>
        <v>0</v>
      </c>
      <c r="S347" s="132"/>
    </row>
    <row r="348" spans="1:19">
      <c r="A348" s="29">
        <f t="shared" si="47"/>
        <v>344</v>
      </c>
      <c r="B348" s="54" t="s">
        <v>1307</v>
      </c>
      <c r="C348" s="55" t="s">
        <v>1308</v>
      </c>
      <c r="D348" s="63">
        <v>43141</v>
      </c>
      <c r="E348" s="195">
        <v>600000</v>
      </c>
      <c r="F348" s="196">
        <f t="shared" si="40"/>
        <v>600000</v>
      </c>
      <c r="G348" s="59">
        <f t="shared" si="41"/>
        <v>600000</v>
      </c>
      <c r="H348" s="57">
        <v>0</v>
      </c>
      <c r="I348" s="60">
        <v>1</v>
      </c>
      <c r="J348" s="60">
        <v>1</v>
      </c>
      <c r="K348" s="33">
        <f t="shared" si="42"/>
        <v>600000</v>
      </c>
      <c r="L348" s="33">
        <f t="shared" si="43"/>
        <v>600000</v>
      </c>
      <c r="M348" s="200">
        <f t="shared" si="44"/>
        <v>600000</v>
      </c>
      <c r="N348" s="126"/>
      <c r="O348" s="197" t="s">
        <v>1797</v>
      </c>
      <c r="P348" s="33">
        <f t="shared" si="45"/>
        <v>600000</v>
      </c>
      <c r="Q348" s="33">
        <f>+'[1]bg dn2'!Z444</f>
        <v>600000</v>
      </c>
      <c r="R348" s="33">
        <f t="shared" si="46"/>
        <v>0</v>
      </c>
      <c r="S348" s="132"/>
    </row>
    <row r="349" spans="1:19">
      <c r="A349" s="29">
        <f t="shared" si="47"/>
        <v>345</v>
      </c>
      <c r="B349" s="54" t="s">
        <v>1307</v>
      </c>
      <c r="C349" s="55" t="s">
        <v>1308</v>
      </c>
      <c r="D349" s="63">
        <v>43141</v>
      </c>
      <c r="E349" s="195">
        <v>600000</v>
      </c>
      <c r="F349" s="196">
        <f t="shared" si="40"/>
        <v>600000</v>
      </c>
      <c r="G349" s="59">
        <f t="shared" si="41"/>
        <v>600000</v>
      </c>
      <c r="H349" s="57">
        <v>0</v>
      </c>
      <c r="I349" s="60">
        <v>1</v>
      </c>
      <c r="J349" s="60">
        <v>1</v>
      </c>
      <c r="K349" s="33">
        <f t="shared" si="42"/>
        <v>600000</v>
      </c>
      <c r="L349" s="33">
        <f t="shared" si="43"/>
        <v>600000</v>
      </c>
      <c r="M349" s="200">
        <f t="shared" si="44"/>
        <v>600000</v>
      </c>
      <c r="N349" s="126"/>
      <c r="O349" s="197" t="s">
        <v>1797</v>
      </c>
      <c r="P349" s="33">
        <f t="shared" si="45"/>
        <v>600000</v>
      </c>
      <c r="Q349" s="33">
        <f>+'[1]bg dn2'!Z445</f>
        <v>600000</v>
      </c>
      <c r="R349" s="33">
        <f t="shared" si="46"/>
        <v>0</v>
      </c>
      <c r="S349" s="132"/>
    </row>
    <row r="350" spans="1:19">
      <c r="A350" s="29">
        <f t="shared" si="47"/>
        <v>346</v>
      </c>
      <c r="B350" s="59" t="s">
        <v>1319</v>
      </c>
      <c r="C350" s="67" t="s">
        <v>1320</v>
      </c>
      <c r="D350" s="63">
        <v>43141</v>
      </c>
      <c r="E350" s="195">
        <v>1491692</v>
      </c>
      <c r="F350" s="196">
        <f t="shared" si="40"/>
        <v>1491692</v>
      </c>
      <c r="G350" s="59">
        <f t="shared" si="41"/>
        <v>1491692</v>
      </c>
      <c r="H350" s="57">
        <v>0</v>
      </c>
      <c r="I350" s="60">
        <v>1</v>
      </c>
      <c r="J350" s="60">
        <v>1</v>
      </c>
      <c r="K350" s="33">
        <f t="shared" si="42"/>
        <v>1491692</v>
      </c>
      <c r="L350" s="33">
        <f t="shared" si="43"/>
        <v>1491692</v>
      </c>
      <c r="M350" s="200">
        <f t="shared" si="44"/>
        <v>1491692</v>
      </c>
      <c r="N350" s="126"/>
      <c r="O350" s="197" t="s">
        <v>1797</v>
      </c>
      <c r="P350" s="33">
        <f t="shared" si="45"/>
        <v>1491692</v>
      </c>
      <c r="Q350" s="33">
        <f>+'[1]bg dn2'!Z446</f>
        <v>1491692</v>
      </c>
      <c r="R350" s="33">
        <f t="shared" si="46"/>
        <v>0</v>
      </c>
      <c r="S350" s="132"/>
    </row>
    <row r="351" spans="1:19">
      <c r="A351" s="29"/>
      <c r="B351" s="123"/>
      <c r="C351" s="124"/>
      <c r="D351" s="102"/>
      <c r="E351" s="5"/>
      <c r="F351" s="45"/>
      <c r="G351" s="33"/>
      <c r="H351" s="45"/>
      <c r="I351" s="29"/>
      <c r="J351" s="29"/>
      <c r="K351" s="125"/>
      <c r="L351" s="45"/>
      <c r="M351" s="33"/>
      <c r="N351" s="209"/>
      <c r="O351" s="33"/>
      <c r="P351" s="33"/>
      <c r="Q351" s="33"/>
      <c r="R351" s="33"/>
      <c r="S351" s="132"/>
    </row>
    <row r="352" spans="1:19">
      <c r="A352" s="30"/>
      <c r="B352" s="128" t="s">
        <v>7</v>
      </c>
      <c r="C352" s="29"/>
      <c r="D352" s="88"/>
      <c r="E352" s="40">
        <f>SUM(E5:E351)</f>
        <v>254416844</v>
      </c>
      <c r="F352" s="40">
        <f t="shared" ref="F352:M352" si="48">SUM(F5:F351)</f>
        <v>254416844</v>
      </c>
      <c r="G352" s="40">
        <f t="shared" si="48"/>
        <v>254416844</v>
      </c>
      <c r="H352" s="40">
        <f t="shared" si="48"/>
        <v>0</v>
      </c>
      <c r="I352" s="40">
        <f t="shared" si="48"/>
        <v>346</v>
      </c>
      <c r="J352" s="40">
        <f t="shared" si="48"/>
        <v>346</v>
      </c>
      <c r="K352" s="40">
        <f t="shared" si="48"/>
        <v>254416844</v>
      </c>
      <c r="L352" s="40">
        <f t="shared" si="48"/>
        <v>254416844</v>
      </c>
      <c r="M352" s="40">
        <f t="shared" si="48"/>
        <v>254416844</v>
      </c>
      <c r="N352" s="209"/>
      <c r="O352" s="33"/>
      <c r="P352" s="40">
        <f t="shared" ref="P352:R352" si="49">SUM(P5:P351)</f>
        <v>254416844</v>
      </c>
      <c r="Q352" s="40">
        <f t="shared" si="49"/>
        <v>254416844</v>
      </c>
      <c r="R352" s="40">
        <f t="shared" si="49"/>
        <v>0</v>
      </c>
      <c r="S352" s="132"/>
    </row>
    <row r="354" spans="1:19">
      <c r="A354" s="29">
        <f>+A353+1</f>
        <v>1</v>
      </c>
      <c r="B354" s="30" t="s">
        <v>1798</v>
      </c>
      <c r="C354" s="31" t="s">
        <v>1799</v>
      </c>
      <c r="D354" s="32">
        <v>43018</v>
      </c>
      <c r="E354" s="213">
        <v>1920000</v>
      </c>
      <c r="F354" s="89">
        <f>+I354*K354</f>
        <v>1920000</v>
      </c>
      <c r="G354" s="33">
        <f>+E354/I354</f>
        <v>1920000</v>
      </c>
      <c r="H354" s="45">
        <v>0</v>
      </c>
      <c r="I354" s="29">
        <v>1</v>
      </c>
      <c r="J354" s="29">
        <v>1</v>
      </c>
      <c r="K354" s="33">
        <f>+G354+H354</f>
        <v>1920000</v>
      </c>
      <c r="L354" s="33">
        <f>+J354*K354</f>
        <v>1920000</v>
      </c>
      <c r="M354" s="200">
        <f>+G354*J354</f>
        <v>1920000</v>
      </c>
      <c r="N354" s="126"/>
      <c r="O354" s="44" t="s">
        <v>1780</v>
      </c>
      <c r="P354" s="33">
        <f>+M354</f>
        <v>1920000</v>
      </c>
      <c r="Q354" s="33"/>
      <c r="R354" s="33">
        <f>+P354-Q354</f>
        <v>1920000</v>
      </c>
      <c r="S354" s="132"/>
    </row>
    <row r="355" spans="1:19">
      <c r="A355" s="29">
        <f t="shared" ref="A355" si="50">+A354+1</f>
        <v>2</v>
      </c>
      <c r="B355" s="30" t="s">
        <v>1019</v>
      </c>
      <c r="C355" s="31" t="s">
        <v>1020</v>
      </c>
      <c r="D355" s="32">
        <v>43141</v>
      </c>
      <c r="E355" s="206">
        <v>900000</v>
      </c>
      <c r="F355" s="89">
        <f t="shared" ref="F355" si="51">+I355*K355</f>
        <v>900000</v>
      </c>
      <c r="G355" s="33">
        <f t="shared" ref="G355" si="52">+E355/I355</f>
        <v>900000</v>
      </c>
      <c r="H355" s="45">
        <v>0</v>
      </c>
      <c r="I355" s="29">
        <v>1</v>
      </c>
      <c r="J355" s="29">
        <v>1</v>
      </c>
      <c r="K355" s="33">
        <f t="shared" ref="K355" si="53">+G355+H355</f>
        <v>900000</v>
      </c>
      <c r="L355" s="33">
        <f t="shared" ref="L355" si="54">+J355*K355</f>
        <v>900000</v>
      </c>
      <c r="M355" s="200">
        <f t="shared" ref="M355" si="55">+G355*J355</f>
        <v>900000</v>
      </c>
      <c r="N355" s="126"/>
      <c r="O355" s="197" t="s">
        <v>1797</v>
      </c>
      <c r="P355" s="33">
        <f t="shared" ref="P355" si="56">+M355</f>
        <v>900000</v>
      </c>
      <c r="Q355" s="33">
        <f>+'[2]bg dn2'!Z452</f>
        <v>0</v>
      </c>
      <c r="R355" s="33">
        <f t="shared" ref="R355" si="57">+P355-Q355</f>
        <v>900000</v>
      </c>
      <c r="S355" s="132"/>
    </row>
    <row r="356" spans="1:19">
      <c r="C356" s="14"/>
      <c r="D356" s="14"/>
      <c r="E356" s="14"/>
      <c r="F356" s="14"/>
      <c r="G356" s="14"/>
      <c r="H356" s="14"/>
      <c r="I356" s="14"/>
      <c r="J356" s="14"/>
      <c r="K356" s="214"/>
      <c r="L356" s="14"/>
      <c r="M356" s="14"/>
      <c r="N356" s="14"/>
      <c r="O356" s="14"/>
    </row>
    <row r="545" spans="3:15">
      <c r="C545" s="14"/>
      <c r="D545" s="14"/>
      <c r="E545" s="14"/>
      <c r="I545" s="14"/>
      <c r="J545" s="14"/>
      <c r="K545" s="14"/>
      <c r="L545" s="14"/>
      <c r="M545" s="14"/>
      <c r="N545" s="14"/>
      <c r="O545" s="14"/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pinj baru akhr</vt:lpstr>
      <vt:lpstr>DN</vt:lpstr>
      <vt:lpstr>DEND DN</vt:lpstr>
      <vt:lpstr>BG DN</vt:lpstr>
      <vt:lpstr>'pinj baru akhr'!Print_Area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2018-03-12T04:07:00Z</dcterms:created>
  <dcterms:modified xsi:type="dcterms:W3CDTF">2018-03-21T03:13:09Z</dcterms:modified>
</cp:coreProperties>
</file>