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15" windowWidth="20610" windowHeight="9765" activeTab="2"/>
  </bookViews>
  <sheets>
    <sheet name="pij baru akhr" sheetId="1" r:id="rId1"/>
    <sheet name="n" sheetId="2" r:id="rId2"/>
    <sheet name="brg n" sheetId="4" r:id="rId3"/>
    <sheet name="dend n" sheetId="3" r:id="rId4"/>
    <sheet name="bg n" sheetId="5" r:id="rId5"/>
  </sheets>
  <definedNames>
    <definedName name="_xlnm.Print_Area" localSheetId="1">n!$A$1:$P$430</definedName>
  </definedNames>
  <calcPr calcId="124519"/>
</workbook>
</file>

<file path=xl/calcChain.xml><?xml version="1.0" encoding="utf-8"?>
<calcChain xmlns="http://schemas.openxmlformats.org/spreadsheetml/2006/main">
  <c r="J134" i="5"/>
  <c r="I134"/>
  <c r="H134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G124"/>
  <c r="M124" s="1"/>
  <c r="G123"/>
  <c r="M123" s="1"/>
  <c r="G122"/>
  <c r="M122" s="1"/>
  <c r="K121"/>
  <c r="L121" s="1"/>
  <c r="G121"/>
  <c r="M121" s="1"/>
  <c r="F121"/>
  <c r="E120"/>
  <c r="G120" s="1"/>
  <c r="G119"/>
  <c r="M119" s="1"/>
  <c r="K118"/>
  <c r="L118" s="1"/>
  <c r="G118"/>
  <c r="M118" s="1"/>
  <c r="F118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G108"/>
  <c r="M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G98"/>
  <c r="M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G83"/>
  <c r="K82"/>
  <c r="L82" s="1"/>
  <c r="G82"/>
  <c r="M82" s="1"/>
  <c r="F82"/>
  <c r="E81"/>
  <c r="G81" s="1"/>
  <c r="G80"/>
  <c r="E79"/>
  <c r="G79" s="1"/>
  <c r="K79" s="1"/>
  <c r="K78"/>
  <c r="L78" s="1"/>
  <c r="G78"/>
  <c r="M78" s="1"/>
  <c r="F78"/>
  <c r="E77"/>
  <c r="G77" s="1"/>
  <c r="G76"/>
  <c r="K75"/>
  <c r="L75" s="1"/>
  <c r="G75"/>
  <c r="M75" s="1"/>
  <c r="F75"/>
  <c r="E74"/>
  <c r="G74" s="1"/>
  <c r="E73"/>
  <c r="G73" s="1"/>
  <c r="E72"/>
  <c r="G72" s="1"/>
  <c r="G71"/>
  <c r="M71" s="1"/>
  <c r="G70"/>
  <c r="M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G52"/>
  <c r="M52" s="1"/>
  <c r="E51"/>
  <c r="G51" s="1"/>
  <c r="E50"/>
  <c r="G50" s="1"/>
  <c r="E49"/>
  <c r="G49" s="1"/>
  <c r="E48"/>
  <c r="G48" s="1"/>
  <c r="E47"/>
  <c r="G47" s="1"/>
  <c r="E46"/>
  <c r="G46" s="1"/>
  <c r="E45"/>
  <c r="G45" s="1"/>
  <c r="G44"/>
  <c r="M43"/>
  <c r="E43"/>
  <c r="G43" s="1"/>
  <c r="K43" s="1"/>
  <c r="G42"/>
  <c r="M42" s="1"/>
  <c r="G41"/>
  <c r="M41" s="1"/>
  <c r="K40"/>
  <c r="L40" s="1"/>
  <c r="G40"/>
  <c r="M40" s="1"/>
  <c r="F40"/>
  <c r="G39"/>
  <c r="M39" s="1"/>
  <c r="G38"/>
  <c r="M38" s="1"/>
  <c r="G37"/>
  <c r="M37" s="1"/>
  <c r="K36"/>
  <c r="L36" s="1"/>
  <c r="G36"/>
  <c r="M36" s="1"/>
  <c r="F36"/>
  <c r="G35"/>
  <c r="M35" s="1"/>
  <c r="G34"/>
  <c r="M34" s="1"/>
  <c r="G33"/>
  <c r="M33" s="1"/>
  <c r="K32"/>
  <c r="L32" s="1"/>
  <c r="G32"/>
  <c r="M32" s="1"/>
  <c r="F32"/>
  <c r="G31"/>
  <c r="M31" s="1"/>
  <c r="G30"/>
  <c r="M30" s="1"/>
  <c r="G29"/>
  <c r="M29" s="1"/>
  <c r="K28"/>
  <c r="L28" s="1"/>
  <c r="G28"/>
  <c r="M28" s="1"/>
  <c r="F28"/>
  <c r="G27"/>
  <c r="M27" s="1"/>
  <c r="G26"/>
  <c r="M26" s="1"/>
  <c r="E25"/>
  <c r="G25" s="1"/>
  <c r="G24"/>
  <c r="M24" s="1"/>
  <c r="E23"/>
  <c r="G23" s="1"/>
  <c r="K22"/>
  <c r="L22" s="1"/>
  <c r="G22"/>
  <c r="M22" s="1"/>
  <c r="F22"/>
  <c r="G21"/>
  <c r="M21" s="1"/>
  <c r="E20"/>
  <c r="G20" s="1"/>
  <c r="E19"/>
  <c r="G19" s="1"/>
  <c r="G18"/>
  <c r="M18" s="1"/>
  <c r="E17"/>
  <c r="G17" s="1"/>
  <c r="G16"/>
  <c r="M16" s="1"/>
  <c r="E15"/>
  <c r="G15" s="1"/>
  <c r="K14"/>
  <c r="L14" s="1"/>
  <c r="G14"/>
  <c r="M14" s="1"/>
  <c r="F14"/>
  <c r="E13"/>
  <c r="G13" s="1"/>
  <c r="G12"/>
  <c r="M12" s="1"/>
  <c r="E11"/>
  <c r="G11" s="1"/>
  <c r="E10"/>
  <c r="G10" s="1"/>
  <c r="K9"/>
  <c r="L9" s="1"/>
  <c r="G9"/>
  <c r="M9" s="1"/>
  <c r="F9"/>
  <c r="E8"/>
  <c r="G7"/>
  <c r="M7" s="1"/>
  <c r="G6"/>
  <c r="M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G5"/>
  <c r="M5" s="1"/>
  <c r="J28" i="3"/>
  <c r="I28"/>
  <c r="H28"/>
  <c r="G26"/>
  <c r="M26" s="1"/>
  <c r="G25"/>
  <c r="K25" s="1"/>
  <c r="E24"/>
  <c r="G24" s="1"/>
  <c r="G23"/>
  <c r="M23" s="1"/>
  <c r="G22"/>
  <c r="K22" s="1"/>
  <c r="G21"/>
  <c r="M21" s="1"/>
  <c r="K20"/>
  <c r="L20" s="1"/>
  <c r="G20"/>
  <c r="M20" s="1"/>
  <c r="F20"/>
  <c r="G19"/>
  <c r="M19" s="1"/>
  <c r="G18"/>
  <c r="K18" s="1"/>
  <c r="G17"/>
  <c r="M17" s="1"/>
  <c r="K16"/>
  <c r="L16" s="1"/>
  <c r="G16"/>
  <c r="M16" s="1"/>
  <c r="F16"/>
  <c r="G15"/>
  <c r="M15" s="1"/>
  <c r="G14"/>
  <c r="K14" s="1"/>
  <c r="G13"/>
  <c r="M13" s="1"/>
  <c r="K12"/>
  <c r="L12" s="1"/>
  <c r="G12"/>
  <c r="M12" s="1"/>
  <c r="F12"/>
  <c r="G11"/>
  <c r="M11" s="1"/>
  <c r="G10"/>
  <c r="K10" s="1"/>
  <c r="G9"/>
  <c r="M9" s="1"/>
  <c r="K8"/>
  <c r="L8" s="1"/>
  <c r="G8"/>
  <c r="M8" s="1"/>
  <c r="F8"/>
  <c r="G7"/>
  <c r="M7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K6"/>
  <c r="L6" s="1"/>
  <c r="G6"/>
  <c r="M6" s="1"/>
  <c r="F6"/>
  <c r="A6"/>
  <c r="G5"/>
  <c r="G28" s="1"/>
  <c r="J81" i="4"/>
  <c r="K79"/>
  <c r="F79"/>
  <c r="F78"/>
  <c r="H78" s="1"/>
  <c r="F77"/>
  <c r="H77" s="1"/>
  <c r="I76"/>
  <c r="F76"/>
  <c r="H76" s="1"/>
  <c r="F75"/>
  <c r="H75" s="1"/>
  <c r="F74"/>
  <c r="H74" s="1"/>
  <c r="F73"/>
  <c r="H73" s="1"/>
  <c r="I72"/>
  <c r="H72"/>
  <c r="N72" s="1"/>
  <c r="I71"/>
  <c r="H71"/>
  <c r="N71" s="1"/>
  <c r="I70"/>
  <c r="H70"/>
  <c r="N70" s="1"/>
  <c r="I69"/>
  <c r="H69"/>
  <c r="N69" s="1"/>
  <c r="F68"/>
  <c r="I68" s="1"/>
  <c r="L68" s="1"/>
  <c r="F67"/>
  <c r="I67" s="1"/>
  <c r="L67" s="1"/>
  <c r="I66"/>
  <c r="H66" s="1"/>
  <c r="L66" s="1"/>
  <c r="F66"/>
  <c r="F65"/>
  <c r="F64"/>
  <c r="I64" s="1"/>
  <c r="F63"/>
  <c r="H63" s="1"/>
  <c r="I62"/>
  <c r="H62"/>
  <c r="N62" s="1"/>
  <c r="F61"/>
  <c r="H61" s="1"/>
  <c r="N60"/>
  <c r="F60"/>
  <c r="I60" s="1"/>
  <c r="L60" s="1"/>
  <c r="H59"/>
  <c r="N59" s="1"/>
  <c r="F59"/>
  <c r="I59" s="1"/>
  <c r="I58"/>
  <c r="H58" s="1"/>
  <c r="L58" s="1"/>
  <c r="M58" s="1"/>
  <c r="F58"/>
  <c r="N57"/>
  <c r="F57"/>
  <c r="I57" s="1"/>
  <c r="L57" s="1"/>
  <c r="K56"/>
  <c r="F56"/>
  <c r="H56" s="1"/>
  <c r="K55"/>
  <c r="I55"/>
  <c r="F55"/>
  <c r="H55" s="1"/>
  <c r="F54"/>
  <c r="I54" s="1"/>
  <c r="F53"/>
  <c r="H53" s="1"/>
  <c r="F52"/>
  <c r="I52" s="1"/>
  <c r="H52" s="1"/>
  <c r="N52" s="1"/>
  <c r="F51"/>
  <c r="H51" s="1"/>
  <c r="F50"/>
  <c r="I50" s="1"/>
  <c r="I49"/>
  <c r="F49"/>
  <c r="H49" s="1"/>
  <c r="H48"/>
  <c r="N48" s="1"/>
  <c r="F48"/>
  <c r="I48" s="1"/>
  <c r="I47"/>
  <c r="F47"/>
  <c r="H47" s="1"/>
  <c r="F46"/>
  <c r="I46" s="1"/>
  <c r="H46" s="1"/>
  <c r="L46" s="1"/>
  <c r="F45"/>
  <c r="F44"/>
  <c r="I44" s="1"/>
  <c r="L44" s="1"/>
  <c r="F43"/>
  <c r="I43" s="1"/>
  <c r="F42"/>
  <c r="N42" s="1"/>
  <c r="F41"/>
  <c r="H41" s="1"/>
  <c r="F40"/>
  <c r="I40" s="1"/>
  <c r="L40" s="1"/>
  <c r="F39"/>
  <c r="I39" s="1"/>
  <c r="L39" s="1"/>
  <c r="I38"/>
  <c r="F38"/>
  <c r="H38" s="1"/>
  <c r="F37"/>
  <c r="F36"/>
  <c r="I36" s="1"/>
  <c r="L36" s="1"/>
  <c r="I35"/>
  <c r="H35"/>
  <c r="N35" s="1"/>
  <c r="I34"/>
  <c r="F34"/>
  <c r="H34" s="1"/>
  <c r="F33"/>
  <c r="H33" s="1"/>
  <c r="F32"/>
  <c r="H32" s="1"/>
  <c r="F31"/>
  <c r="I31" s="1"/>
  <c r="L31" s="1"/>
  <c r="F30"/>
  <c r="I30" s="1"/>
  <c r="F29"/>
  <c r="I29" s="1"/>
  <c r="H29" s="1"/>
  <c r="L29" s="1"/>
  <c r="M29" s="1"/>
  <c r="F28"/>
  <c r="I28" s="1"/>
  <c r="I27"/>
  <c r="H27"/>
  <c r="N27" s="1"/>
  <c r="I26"/>
  <c r="F26"/>
  <c r="H26" s="1"/>
  <c r="F25"/>
  <c r="I25" s="1"/>
  <c r="F24"/>
  <c r="H24" s="1"/>
  <c r="F23"/>
  <c r="I23" s="1"/>
  <c r="L23" s="1"/>
  <c r="F22"/>
  <c r="H22" s="1"/>
  <c r="L22" s="1"/>
  <c r="L21"/>
  <c r="F21"/>
  <c r="N21" s="1"/>
  <c r="F20"/>
  <c r="H20" s="1"/>
  <c r="F19"/>
  <c r="I19" s="1"/>
  <c r="F18"/>
  <c r="I18" s="1"/>
  <c r="H18" s="1"/>
  <c r="L18" s="1"/>
  <c r="M18" s="1"/>
  <c r="F17"/>
  <c r="I17" s="1"/>
  <c r="I16"/>
  <c r="F16"/>
  <c r="H16" s="1"/>
  <c r="K15"/>
  <c r="F15"/>
  <c r="N15" s="1"/>
  <c r="I14"/>
  <c r="H14"/>
  <c r="N14" s="1"/>
  <c r="K13"/>
  <c r="F13"/>
  <c r="M12"/>
  <c r="K12"/>
  <c r="G12"/>
  <c r="F12"/>
  <c r="I12" s="1"/>
  <c r="L12" s="1"/>
  <c r="N11"/>
  <c r="F11"/>
  <c r="I11" s="1"/>
  <c r="L11" s="1"/>
  <c r="I10"/>
  <c r="H10" s="1"/>
  <c r="L10" s="1"/>
  <c r="F10"/>
  <c r="F9"/>
  <c r="H9" s="1"/>
  <c r="F8"/>
  <c r="H8" s="1"/>
  <c r="F7"/>
  <c r="H7" s="1"/>
  <c r="I6"/>
  <c r="F6"/>
  <c r="H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F5"/>
  <c r="F418" i="2"/>
  <c r="F416"/>
  <c r="A416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J412"/>
  <c r="N410"/>
  <c r="F410"/>
  <c r="I410" s="1"/>
  <c r="L410" s="1"/>
  <c r="N409"/>
  <c r="F409"/>
  <c r="I409" s="1"/>
  <c r="L409" s="1"/>
  <c r="N408"/>
  <c r="F408"/>
  <c r="I408" s="1"/>
  <c r="L408" s="1"/>
  <c r="N407"/>
  <c r="F407"/>
  <c r="I407" s="1"/>
  <c r="L407" s="1"/>
  <c r="N406"/>
  <c r="F406"/>
  <c r="I406" s="1"/>
  <c r="L406" s="1"/>
  <c r="F405"/>
  <c r="I405" s="1"/>
  <c r="L405" s="1"/>
  <c r="N404"/>
  <c r="F404"/>
  <c r="I404" s="1"/>
  <c r="L404" s="1"/>
  <c r="H403"/>
  <c r="N403" s="1"/>
  <c r="F403"/>
  <c r="I403" s="1"/>
  <c r="I402"/>
  <c r="H402" s="1"/>
  <c r="L402" s="1"/>
  <c r="M402" s="1"/>
  <c r="F402"/>
  <c r="F401"/>
  <c r="I401" s="1"/>
  <c r="H401" s="1"/>
  <c r="L401" s="1"/>
  <c r="F400"/>
  <c r="F399"/>
  <c r="I399" s="1"/>
  <c r="F398"/>
  <c r="I398" s="1"/>
  <c r="H398" s="1"/>
  <c r="L398" s="1"/>
  <c r="M398" s="1"/>
  <c r="F397"/>
  <c r="I397" s="1"/>
  <c r="H397" s="1"/>
  <c r="L397" s="1"/>
  <c r="F396"/>
  <c r="H395"/>
  <c r="N395" s="1"/>
  <c r="F395"/>
  <c r="I395" s="1"/>
  <c r="I394"/>
  <c r="H394" s="1"/>
  <c r="L394" s="1"/>
  <c r="F394"/>
  <c r="F393"/>
  <c r="F392"/>
  <c r="I392" s="1"/>
  <c r="H392" s="1"/>
  <c r="L392" s="1"/>
  <c r="F391"/>
  <c r="H391" s="1"/>
  <c r="I390"/>
  <c r="H390" s="1"/>
  <c r="L390" s="1"/>
  <c r="F390"/>
  <c r="F389"/>
  <c r="F388"/>
  <c r="I388" s="1"/>
  <c r="H388" s="1"/>
  <c r="L388" s="1"/>
  <c r="F387"/>
  <c r="F386"/>
  <c r="I386" s="1"/>
  <c r="L386" s="1"/>
  <c r="F385"/>
  <c r="I385" s="1"/>
  <c r="H385" s="1"/>
  <c r="L385" s="1"/>
  <c r="F384"/>
  <c r="I384" s="1"/>
  <c r="L384" s="1"/>
  <c r="F383"/>
  <c r="I383" s="1"/>
  <c r="L383" s="1"/>
  <c r="F382"/>
  <c r="I382" s="1"/>
  <c r="H382" s="1"/>
  <c r="L382" s="1"/>
  <c r="F381"/>
  <c r="N381" s="1"/>
  <c r="F380"/>
  <c r="N380" s="1"/>
  <c r="F379"/>
  <c r="F378"/>
  <c r="I378" s="1"/>
  <c r="L378" s="1"/>
  <c r="I377"/>
  <c r="H377" s="1"/>
  <c r="L377" s="1"/>
  <c r="F377"/>
  <c r="N376"/>
  <c r="I376"/>
  <c r="L376" s="1"/>
  <c r="F375"/>
  <c r="I375" s="1"/>
  <c r="L375" s="1"/>
  <c r="F374"/>
  <c r="I374" s="1"/>
  <c r="L374" s="1"/>
  <c r="F373"/>
  <c r="I373" s="1"/>
  <c r="H373" s="1"/>
  <c r="L373" s="1"/>
  <c r="F372"/>
  <c r="H372" s="1"/>
  <c r="F371"/>
  <c r="I371" s="1"/>
  <c r="L371" s="1"/>
  <c r="F370"/>
  <c r="I370" s="1"/>
  <c r="L370" s="1"/>
  <c r="F369"/>
  <c r="I369" s="1"/>
  <c r="H369" s="1"/>
  <c r="L369" s="1"/>
  <c r="F368"/>
  <c r="I367"/>
  <c r="F367"/>
  <c r="F366"/>
  <c r="H366" s="1"/>
  <c r="F365"/>
  <c r="I365" s="1"/>
  <c r="F364"/>
  <c r="I363"/>
  <c r="H363" s="1"/>
  <c r="L363" s="1"/>
  <c r="F363"/>
  <c r="N362"/>
  <c r="F362"/>
  <c r="I362" s="1"/>
  <c r="L362" s="1"/>
  <c r="N361"/>
  <c r="F361"/>
  <c r="I361" s="1"/>
  <c r="L361" s="1"/>
  <c r="N360"/>
  <c r="F360"/>
  <c r="I360" s="1"/>
  <c r="L360" s="1"/>
  <c r="N359"/>
  <c r="F359"/>
  <c r="I359" s="1"/>
  <c r="L359" s="1"/>
  <c r="N358"/>
  <c r="F358"/>
  <c r="I358" s="1"/>
  <c r="L358" s="1"/>
  <c r="N357"/>
  <c r="F357"/>
  <c r="I357" s="1"/>
  <c r="L357" s="1"/>
  <c r="F356"/>
  <c r="F355"/>
  <c r="I355" s="1"/>
  <c r="H355" s="1"/>
  <c r="L355" s="1"/>
  <c r="F354"/>
  <c r="F353"/>
  <c r="I353" s="1"/>
  <c r="L353" s="1"/>
  <c r="F352"/>
  <c r="I352" s="1"/>
  <c r="L352" s="1"/>
  <c r="I351"/>
  <c r="H351" s="1"/>
  <c r="L351" s="1"/>
  <c r="F351"/>
  <c r="F350"/>
  <c r="H350" s="1"/>
  <c r="F349"/>
  <c r="I349" s="1"/>
  <c r="H349" s="1"/>
  <c r="L349" s="1"/>
  <c r="F348"/>
  <c r="I348" s="1"/>
  <c r="L348" s="1"/>
  <c r="F347"/>
  <c r="I347" s="1"/>
  <c r="L347" s="1"/>
  <c r="F346"/>
  <c r="I346" s="1"/>
  <c r="L346" s="1"/>
  <c r="F345"/>
  <c r="I345" s="1"/>
  <c r="L345" s="1"/>
  <c r="F344"/>
  <c r="I344" s="1"/>
  <c r="H344" s="1"/>
  <c r="L344" s="1"/>
  <c r="M343"/>
  <c r="L343"/>
  <c r="G343"/>
  <c r="F343"/>
  <c r="N343" s="1"/>
  <c r="I342"/>
  <c r="H342" s="1"/>
  <c r="L342" s="1"/>
  <c r="F342"/>
  <c r="N341"/>
  <c r="I341"/>
  <c r="L341" s="1"/>
  <c r="F340"/>
  <c r="I340" s="1"/>
  <c r="L340" s="1"/>
  <c r="F339"/>
  <c r="I339" s="1"/>
  <c r="F338"/>
  <c r="I338" s="1"/>
  <c r="L338" s="1"/>
  <c r="N337"/>
  <c r="L337"/>
  <c r="M337" s="1"/>
  <c r="I337"/>
  <c r="G337"/>
  <c r="F336"/>
  <c r="H336" s="1"/>
  <c r="F335"/>
  <c r="H335" s="1"/>
  <c r="I334"/>
  <c r="H334" s="1"/>
  <c r="L334" s="1"/>
  <c r="F334"/>
  <c r="L333"/>
  <c r="M333" s="1"/>
  <c r="F333"/>
  <c r="N333" s="1"/>
  <c r="I332"/>
  <c r="H332" s="1"/>
  <c r="L332" s="1"/>
  <c r="F332"/>
  <c r="N331"/>
  <c r="F331"/>
  <c r="I331" s="1"/>
  <c r="L331" s="1"/>
  <c r="F330"/>
  <c r="H330" s="1"/>
  <c r="F329"/>
  <c r="H329" s="1"/>
  <c r="F328"/>
  <c r="I328" s="1"/>
  <c r="L328" s="1"/>
  <c r="F327"/>
  <c r="I326"/>
  <c r="H326" s="1"/>
  <c r="L326" s="1"/>
  <c r="F326"/>
  <c r="N325"/>
  <c r="F325"/>
  <c r="I325" s="1"/>
  <c r="L325" s="1"/>
  <c r="N324"/>
  <c r="F324"/>
  <c r="I324" s="1"/>
  <c r="L324" s="1"/>
  <c r="F323"/>
  <c r="F322"/>
  <c r="I322" s="1"/>
  <c r="L322" s="1"/>
  <c r="F321"/>
  <c r="I321" s="1"/>
  <c r="L321" s="1"/>
  <c r="F320"/>
  <c r="I320" s="1"/>
  <c r="H320" s="1"/>
  <c r="L320" s="1"/>
  <c r="F319"/>
  <c r="I319" s="1"/>
  <c r="L319" s="1"/>
  <c r="F318"/>
  <c r="F317"/>
  <c r="I317" s="1"/>
  <c r="L317" s="1"/>
  <c r="F316"/>
  <c r="I316" s="1"/>
  <c r="H316" s="1"/>
  <c r="L316" s="1"/>
  <c r="F315"/>
  <c r="I315" s="1"/>
  <c r="L315" s="1"/>
  <c r="F314"/>
  <c r="F313"/>
  <c r="I313" s="1"/>
  <c r="L313" s="1"/>
  <c r="F312"/>
  <c r="H312" s="1"/>
  <c r="F311"/>
  <c r="I311" s="1"/>
  <c r="L311" s="1"/>
  <c r="F310"/>
  <c r="I309"/>
  <c r="H309" s="1"/>
  <c r="L309" s="1"/>
  <c r="F309"/>
  <c r="N308"/>
  <c r="F308"/>
  <c r="I308" s="1"/>
  <c r="L308" s="1"/>
  <c r="F307"/>
  <c r="H307" s="1"/>
  <c r="F306"/>
  <c r="H306" s="1"/>
  <c r="F305"/>
  <c r="F304"/>
  <c r="I304" s="1"/>
  <c r="L304" s="1"/>
  <c r="F303"/>
  <c r="I303" s="1"/>
  <c r="H303" s="1"/>
  <c r="L303" s="1"/>
  <c r="F302"/>
  <c r="I301"/>
  <c r="F301"/>
  <c r="H301" s="1"/>
  <c r="F300"/>
  <c r="F299"/>
  <c r="N299" s="1"/>
  <c r="F298"/>
  <c r="I298" s="1"/>
  <c r="H298" s="1"/>
  <c r="L298" s="1"/>
  <c r="M298" s="1"/>
  <c r="F297"/>
  <c r="N297" s="1"/>
  <c r="N296"/>
  <c r="F296"/>
  <c r="I296" s="1"/>
  <c r="L296" s="1"/>
  <c r="N295"/>
  <c r="F295"/>
  <c r="I295" s="1"/>
  <c r="L295" s="1"/>
  <c r="N294"/>
  <c r="F294"/>
  <c r="I294" s="1"/>
  <c r="L294" s="1"/>
  <c r="N293"/>
  <c r="F293"/>
  <c r="I293" s="1"/>
  <c r="L293" s="1"/>
  <c r="N292"/>
  <c r="F292"/>
  <c r="I292" s="1"/>
  <c r="L292" s="1"/>
  <c r="F291"/>
  <c r="I291" s="1"/>
  <c r="L291" s="1"/>
  <c r="F290"/>
  <c r="I290" s="1"/>
  <c r="L290" s="1"/>
  <c r="F289"/>
  <c r="I289" s="1"/>
  <c r="L289" s="1"/>
  <c r="F288"/>
  <c r="I288" s="1"/>
  <c r="L288" s="1"/>
  <c r="F287"/>
  <c r="I286"/>
  <c r="H286" s="1"/>
  <c r="L286" s="1"/>
  <c r="F286"/>
  <c r="F285"/>
  <c r="H285" s="1"/>
  <c r="F284"/>
  <c r="F283"/>
  <c r="I282"/>
  <c r="H282" s="1"/>
  <c r="L282" s="1"/>
  <c r="F282"/>
  <c r="F281"/>
  <c r="F280"/>
  <c r="I280" s="1"/>
  <c r="L280" s="1"/>
  <c r="I279"/>
  <c r="H279" s="1"/>
  <c r="L279" s="1"/>
  <c r="F279"/>
  <c r="F278"/>
  <c r="H278" s="1"/>
  <c r="F277"/>
  <c r="I277" s="1"/>
  <c r="L277" s="1"/>
  <c r="I276"/>
  <c r="F276"/>
  <c r="H276" s="1"/>
  <c r="F275"/>
  <c r="H275" s="1"/>
  <c r="F274"/>
  <c r="F273"/>
  <c r="I273" s="1"/>
  <c r="L273" s="1"/>
  <c r="F272"/>
  <c r="H271"/>
  <c r="F271"/>
  <c r="N271" s="1"/>
  <c r="F270"/>
  <c r="F269"/>
  <c r="I269" s="1"/>
  <c r="L269" s="1"/>
  <c r="F268"/>
  <c r="F267"/>
  <c r="I267" s="1"/>
  <c r="L267" s="1"/>
  <c r="F266"/>
  <c r="I266" s="1"/>
  <c r="L266" s="1"/>
  <c r="F265"/>
  <c r="I264"/>
  <c r="F264"/>
  <c r="H264" s="1"/>
  <c r="N263"/>
  <c r="F263"/>
  <c r="I263" s="1"/>
  <c r="L263" s="1"/>
  <c r="F262"/>
  <c r="F261"/>
  <c r="I261" s="1"/>
  <c r="H261" s="1"/>
  <c r="L261" s="1"/>
  <c r="F260"/>
  <c r="K259"/>
  <c r="F259"/>
  <c r="F258"/>
  <c r="I258" s="1"/>
  <c r="L258" s="1"/>
  <c r="F257"/>
  <c r="I257" s="1"/>
  <c r="L257" s="1"/>
  <c r="I256"/>
  <c r="F256"/>
  <c r="H256" s="1"/>
  <c r="N255"/>
  <c r="F255"/>
  <c r="I255" s="1"/>
  <c r="L255" s="1"/>
  <c r="N254"/>
  <c r="F254"/>
  <c r="I254" s="1"/>
  <c r="L254" s="1"/>
  <c r="F253"/>
  <c r="F252"/>
  <c r="N252" s="1"/>
  <c r="F251"/>
  <c r="N251" s="1"/>
  <c r="F250"/>
  <c r="F249"/>
  <c r="I249" s="1"/>
  <c r="H249" s="1"/>
  <c r="L249" s="1"/>
  <c r="F248"/>
  <c r="N248" s="1"/>
  <c r="F247"/>
  <c r="F246"/>
  <c r="I246" s="1"/>
  <c r="H246" s="1"/>
  <c r="N246" s="1"/>
  <c r="F245"/>
  <c r="N245" s="1"/>
  <c r="F244"/>
  <c r="N244" s="1"/>
  <c r="F243"/>
  <c r="N243" s="1"/>
  <c r="K242"/>
  <c r="F242"/>
  <c r="I242" s="1"/>
  <c r="F241"/>
  <c r="H241" s="1"/>
  <c r="I240"/>
  <c r="H240"/>
  <c r="H239"/>
  <c r="N239" s="1"/>
  <c r="F239"/>
  <c r="I239" s="1"/>
  <c r="I238"/>
  <c r="H238" s="1"/>
  <c r="L238" s="1"/>
  <c r="M238" s="1"/>
  <c r="F238"/>
  <c r="N237"/>
  <c r="F237"/>
  <c r="I237" s="1"/>
  <c r="L237" s="1"/>
  <c r="N236"/>
  <c r="F236"/>
  <c r="I236" s="1"/>
  <c r="L236" s="1"/>
  <c r="F235"/>
  <c r="I235" s="1"/>
  <c r="F234"/>
  <c r="N234" s="1"/>
  <c r="I233"/>
  <c r="F233"/>
  <c r="H233" s="1"/>
  <c r="H232"/>
  <c r="N232" s="1"/>
  <c r="F232"/>
  <c r="I232" s="1"/>
  <c r="I231"/>
  <c r="L231" s="1"/>
  <c r="G231" s="1"/>
  <c r="F231"/>
  <c r="N231" s="1"/>
  <c r="I230"/>
  <c r="L230" s="1"/>
  <c r="G230" s="1"/>
  <c r="F230"/>
  <c r="N230" s="1"/>
  <c r="I229"/>
  <c r="F229"/>
  <c r="H229" s="1"/>
  <c r="N228"/>
  <c r="F228"/>
  <c r="I228" s="1"/>
  <c r="L228" s="1"/>
  <c r="N227"/>
  <c r="F227"/>
  <c r="I227" s="1"/>
  <c r="L227" s="1"/>
  <c r="F226"/>
  <c r="I226" s="1"/>
  <c r="H226" s="1"/>
  <c r="L226" s="1"/>
  <c r="F225"/>
  <c r="F224"/>
  <c r="I224" s="1"/>
  <c r="F223"/>
  <c r="H223" s="1"/>
  <c r="I222"/>
  <c r="H222"/>
  <c r="L222" s="1"/>
  <c r="F221"/>
  <c r="N221" s="1"/>
  <c r="N220"/>
  <c r="F220"/>
  <c r="I220" s="1"/>
  <c r="L220" s="1"/>
  <c r="N219"/>
  <c r="F219"/>
  <c r="I219" s="1"/>
  <c r="L219" s="1"/>
  <c r="N218"/>
  <c r="F218"/>
  <c r="I218" s="1"/>
  <c r="L218" s="1"/>
  <c r="H217"/>
  <c r="F217"/>
  <c r="I216"/>
  <c r="H216" s="1"/>
  <c r="L216" s="1"/>
  <c r="F216"/>
  <c r="L215"/>
  <c r="M215" s="1"/>
  <c r="F215"/>
  <c r="N215" s="1"/>
  <c r="I214"/>
  <c r="H214" s="1"/>
  <c r="L214" s="1"/>
  <c r="F214"/>
  <c r="F213"/>
  <c r="H213" s="1"/>
  <c r="F212"/>
  <c r="I212" s="1"/>
  <c r="L212" s="1"/>
  <c r="I211"/>
  <c r="F211"/>
  <c r="H211" s="1"/>
  <c r="F210"/>
  <c r="F209"/>
  <c r="I209" s="1"/>
  <c r="L209" s="1"/>
  <c r="I208"/>
  <c r="H208" s="1"/>
  <c r="L208" s="1"/>
  <c r="F208"/>
  <c r="F207"/>
  <c r="F206"/>
  <c r="I206" s="1"/>
  <c r="H206" s="1"/>
  <c r="L206" s="1"/>
  <c r="F205"/>
  <c r="H205" s="1"/>
  <c r="H204"/>
  <c r="L204" s="1"/>
  <c r="F204"/>
  <c r="I203"/>
  <c r="H203" s="1"/>
  <c r="L203" s="1"/>
  <c r="F203"/>
  <c r="F202"/>
  <c r="F201"/>
  <c r="I201" s="1"/>
  <c r="L201" s="1"/>
  <c r="F200"/>
  <c r="I200" s="1"/>
  <c r="L200" s="1"/>
  <c r="F199"/>
  <c r="F198"/>
  <c r="F197"/>
  <c r="H197" s="1"/>
  <c r="F196"/>
  <c r="H196" s="1"/>
  <c r="F195"/>
  <c r="F194"/>
  <c r="F193"/>
  <c r="I193" s="1"/>
  <c r="L193" s="1"/>
  <c r="F192"/>
  <c r="I192" s="1"/>
  <c r="H192" s="1"/>
  <c r="L192" s="1"/>
  <c r="F191"/>
  <c r="F190"/>
  <c r="I190" s="1"/>
  <c r="L190" s="1"/>
  <c r="F189"/>
  <c r="F188"/>
  <c r="I187"/>
  <c r="H187" s="1"/>
  <c r="L187" s="1"/>
  <c r="F187"/>
  <c r="F186"/>
  <c r="F185"/>
  <c r="I185" s="1"/>
  <c r="L185" s="1"/>
  <c r="F184"/>
  <c r="I184" s="1"/>
  <c r="L184" s="1"/>
  <c r="F183"/>
  <c r="H183" s="1"/>
  <c r="F182"/>
  <c r="H182" s="1"/>
  <c r="F181"/>
  <c r="I181" s="1"/>
  <c r="L181" s="1"/>
  <c r="F180"/>
  <c r="I180" s="1"/>
  <c r="L180" s="1"/>
  <c r="F179"/>
  <c r="I179" s="1"/>
  <c r="H179" s="1"/>
  <c r="L179" s="1"/>
  <c r="N178"/>
  <c r="F178"/>
  <c r="I178" s="1"/>
  <c r="L178" s="1"/>
  <c r="F177"/>
  <c r="I177" s="1"/>
  <c r="L177" s="1"/>
  <c r="L176"/>
  <c r="M176" s="1"/>
  <c r="F176"/>
  <c r="N176" s="1"/>
  <c r="F175"/>
  <c r="I175" s="1"/>
  <c r="H175" s="1"/>
  <c r="L175" s="1"/>
  <c r="F174"/>
  <c r="I174" s="1"/>
  <c r="L174" s="1"/>
  <c r="F173"/>
  <c r="I173" s="1"/>
  <c r="L173" s="1"/>
  <c r="F172"/>
  <c r="I172" s="1"/>
  <c r="L172" s="1"/>
  <c r="F171"/>
  <c r="I171" s="1"/>
  <c r="L171" s="1"/>
  <c r="F170"/>
  <c r="I170" s="1"/>
  <c r="L170" s="1"/>
  <c r="F169"/>
  <c r="I169" s="1"/>
  <c r="L169" s="1"/>
  <c r="F168"/>
  <c r="I168" s="1"/>
  <c r="L168" s="1"/>
  <c r="F167"/>
  <c r="F166"/>
  <c r="I166" s="1"/>
  <c r="L166" s="1"/>
  <c r="F165"/>
  <c r="I165" s="1"/>
  <c r="H165" s="1"/>
  <c r="L165" s="1"/>
  <c r="F164"/>
  <c r="I163"/>
  <c r="H163" s="1"/>
  <c r="L163" s="1"/>
  <c r="F163"/>
  <c r="F162"/>
  <c r="H162" s="1"/>
  <c r="F161"/>
  <c r="I161" s="1"/>
  <c r="L161" s="1"/>
  <c r="I160"/>
  <c r="H160" s="1"/>
  <c r="L160" s="1"/>
  <c r="F160"/>
  <c r="F159"/>
  <c r="H159" s="1"/>
  <c r="F158"/>
  <c r="I158" s="1"/>
  <c r="H158" s="1"/>
  <c r="L158" s="1"/>
  <c r="F157"/>
  <c r="I157" s="1"/>
  <c r="L157" s="1"/>
  <c r="F156"/>
  <c r="I156" s="1"/>
  <c r="L156" s="1"/>
  <c r="F155"/>
  <c r="H155" s="1"/>
  <c r="F154"/>
  <c r="I154" s="1"/>
  <c r="L154" s="1"/>
  <c r="F153"/>
  <c r="I153" s="1"/>
  <c r="H153" s="1"/>
  <c r="L153" s="1"/>
  <c r="K152"/>
  <c r="I152"/>
  <c r="H152" s="1"/>
  <c r="F152"/>
  <c r="F151"/>
  <c r="H151" s="1"/>
  <c r="F150"/>
  <c r="I150" s="1"/>
  <c r="H150" s="1"/>
  <c r="L150" s="1"/>
  <c r="F149"/>
  <c r="F148"/>
  <c r="I148" s="1"/>
  <c r="L148" s="1"/>
  <c r="F147"/>
  <c r="H147" s="1"/>
  <c r="F146"/>
  <c r="H146" s="1"/>
  <c r="F145"/>
  <c r="I145" s="1"/>
  <c r="L145" s="1"/>
  <c r="L144"/>
  <c r="M144" s="1"/>
  <c r="F144"/>
  <c r="N144" s="1"/>
  <c r="F143"/>
  <c r="F142"/>
  <c r="N142" s="1"/>
  <c r="F141"/>
  <c r="N141" s="1"/>
  <c r="I140"/>
  <c r="F140"/>
  <c r="H140" s="1"/>
  <c r="H139"/>
  <c r="N139" s="1"/>
  <c r="F139"/>
  <c r="I139" s="1"/>
  <c r="M138"/>
  <c r="L138"/>
  <c r="G138"/>
  <c r="F138"/>
  <c r="N138" s="1"/>
  <c r="L137"/>
  <c r="F137"/>
  <c r="N137" s="1"/>
  <c r="K136"/>
  <c r="F136"/>
  <c r="I136" s="1"/>
  <c r="F135"/>
  <c r="H134"/>
  <c r="L134" s="1"/>
  <c r="F134"/>
  <c r="N134" s="1"/>
  <c r="F133"/>
  <c r="I133" s="1"/>
  <c r="H133" s="1"/>
  <c r="L133" s="1"/>
  <c r="F132"/>
  <c r="H131"/>
  <c r="N131" s="1"/>
  <c r="F131"/>
  <c r="I131" s="1"/>
  <c r="I130"/>
  <c r="L130" s="1"/>
  <c r="G130" s="1"/>
  <c r="F130"/>
  <c r="N130" s="1"/>
  <c r="I129"/>
  <c r="F129"/>
  <c r="H129" s="1"/>
  <c r="F128"/>
  <c r="I128" s="1"/>
  <c r="H128" s="1"/>
  <c r="L128" s="1"/>
  <c r="F127"/>
  <c r="N127" s="1"/>
  <c r="F126"/>
  <c r="F125"/>
  <c r="I125" s="1"/>
  <c r="L125" s="1"/>
  <c r="F124"/>
  <c r="I124" s="1"/>
  <c r="F123"/>
  <c r="I123" s="1"/>
  <c r="H123" s="1"/>
  <c r="L123" s="1"/>
  <c r="M123" s="1"/>
  <c r="F122"/>
  <c r="I122" s="1"/>
  <c r="L122" s="1"/>
  <c r="I121"/>
  <c r="H121" s="1"/>
  <c r="L121" s="1"/>
  <c r="F121"/>
  <c r="F120"/>
  <c r="H120" s="1"/>
  <c r="K119"/>
  <c r="H119"/>
  <c r="L119" s="1"/>
  <c r="G119" s="1"/>
  <c r="F119"/>
  <c r="I118"/>
  <c r="H118" s="1"/>
  <c r="N118" s="1"/>
  <c r="N117"/>
  <c r="F117"/>
  <c r="I117" s="1"/>
  <c r="L117" s="1"/>
  <c r="N116"/>
  <c r="F116"/>
  <c r="I116" s="1"/>
  <c r="L116" s="1"/>
  <c r="F115"/>
  <c r="F114"/>
  <c r="I114" s="1"/>
  <c r="H114" s="1"/>
  <c r="L114" s="1"/>
  <c r="F113"/>
  <c r="I112"/>
  <c r="H112" s="1"/>
  <c r="L112" s="1"/>
  <c r="F112"/>
  <c r="N111"/>
  <c r="F111"/>
  <c r="I111" s="1"/>
  <c r="L111" s="1"/>
  <c r="F110"/>
  <c r="F109"/>
  <c r="I109" s="1"/>
  <c r="L109" s="1"/>
  <c r="F108"/>
  <c r="I108" s="1"/>
  <c r="L108" s="1"/>
  <c r="F107"/>
  <c r="H107" s="1"/>
  <c r="F106"/>
  <c r="I106" s="1"/>
  <c r="L106" s="1"/>
  <c r="F105"/>
  <c r="H105" s="1"/>
  <c r="F104"/>
  <c r="I104" s="1"/>
  <c r="L104" s="1"/>
  <c r="F103"/>
  <c r="I103" s="1"/>
  <c r="L103" s="1"/>
  <c r="I102"/>
  <c r="F102"/>
  <c r="H102" s="1"/>
  <c r="N101"/>
  <c r="F101"/>
  <c r="I101" s="1"/>
  <c r="L101" s="1"/>
  <c r="F100"/>
  <c r="H100" s="1"/>
  <c r="F99"/>
  <c r="I99" s="1"/>
  <c r="L99" s="1"/>
  <c r="F98"/>
  <c r="I98" s="1"/>
  <c r="L98" s="1"/>
  <c r="F97"/>
  <c r="I97" s="1"/>
  <c r="H97" s="1"/>
  <c r="L97" s="1"/>
  <c r="F96"/>
  <c r="I95"/>
  <c r="H95" s="1"/>
  <c r="L95" s="1"/>
  <c r="F95"/>
  <c r="F94"/>
  <c r="F93"/>
  <c r="I93" s="1"/>
  <c r="L93" s="1"/>
  <c r="I92"/>
  <c r="H92" s="1"/>
  <c r="F91"/>
  <c r="I91" s="1"/>
  <c r="H91" s="1"/>
  <c r="L91" s="1"/>
  <c r="F90"/>
  <c r="M89"/>
  <c r="L89"/>
  <c r="G89"/>
  <c r="F89"/>
  <c r="N89" s="1"/>
  <c r="N88"/>
  <c r="I88"/>
  <c r="L88" s="1"/>
  <c r="F87"/>
  <c r="I87" s="1"/>
  <c r="L87" s="1"/>
  <c r="F86"/>
  <c r="I86" s="1"/>
  <c r="L86" s="1"/>
  <c r="I85"/>
  <c r="F85"/>
  <c r="H85" s="1"/>
  <c r="N84"/>
  <c r="F84"/>
  <c r="I84" s="1"/>
  <c r="L84" s="1"/>
  <c r="F83"/>
  <c r="F82"/>
  <c r="I82" s="1"/>
  <c r="L82" s="1"/>
  <c r="F81"/>
  <c r="I81" s="1"/>
  <c r="L81" s="1"/>
  <c r="F80"/>
  <c r="I80" s="1"/>
  <c r="H80" s="1"/>
  <c r="L80" s="1"/>
  <c r="F79"/>
  <c r="I79" s="1"/>
  <c r="L79" s="1"/>
  <c r="F78"/>
  <c r="H78" s="1"/>
  <c r="I77"/>
  <c r="H77"/>
  <c r="N77" s="1"/>
  <c r="F76"/>
  <c r="I76" s="1"/>
  <c r="L76" s="1"/>
  <c r="F75"/>
  <c r="I75" s="1"/>
  <c r="H75" s="1"/>
  <c r="L75" s="1"/>
  <c r="F74"/>
  <c r="I73"/>
  <c r="H73" s="1"/>
  <c r="L73" s="1"/>
  <c r="F73"/>
  <c r="N72"/>
  <c r="F72"/>
  <c r="I72" s="1"/>
  <c r="L72" s="1"/>
  <c r="I71"/>
  <c r="H71" s="1"/>
  <c r="N71" s="1"/>
  <c r="F70"/>
  <c r="F69"/>
  <c r="I69" s="1"/>
  <c r="H69" s="1"/>
  <c r="L69" s="1"/>
  <c r="F68"/>
  <c r="I68" s="1"/>
  <c r="L68" s="1"/>
  <c r="F67"/>
  <c r="I66"/>
  <c r="F66"/>
  <c r="H66" s="1"/>
  <c r="N65"/>
  <c r="F65"/>
  <c r="I65" s="1"/>
  <c r="L65" s="1"/>
  <c r="F64"/>
  <c r="F63"/>
  <c r="H63" s="1"/>
  <c r="F62"/>
  <c r="F61"/>
  <c r="I61" s="1"/>
  <c r="L61" s="1"/>
  <c r="F60"/>
  <c r="I60" s="1"/>
  <c r="L60" s="1"/>
  <c r="I59"/>
  <c r="H59" s="1"/>
  <c r="L59" s="1"/>
  <c r="F59"/>
  <c r="F58"/>
  <c r="I57"/>
  <c r="H57" s="1"/>
  <c r="I56"/>
  <c r="F56"/>
  <c r="H56" s="1"/>
  <c r="F55"/>
  <c r="F54"/>
  <c r="I54" s="1"/>
  <c r="L54" s="1"/>
  <c r="I53"/>
  <c r="H53" s="1"/>
  <c r="L53" s="1"/>
  <c r="F53"/>
  <c r="N52"/>
  <c r="F52"/>
  <c r="I52" s="1"/>
  <c r="L52" s="1"/>
  <c r="N51"/>
  <c r="F51"/>
  <c r="I51" s="1"/>
  <c r="L51" s="1"/>
  <c r="F50"/>
  <c r="F49"/>
  <c r="I49" s="1"/>
  <c r="H49" s="1"/>
  <c r="L49" s="1"/>
  <c r="F48"/>
  <c r="I47"/>
  <c r="H47" s="1"/>
  <c r="L47" s="1"/>
  <c r="F47"/>
  <c r="N46"/>
  <c r="F46"/>
  <c r="I46" s="1"/>
  <c r="L46" s="1"/>
  <c r="N45"/>
  <c r="F45"/>
  <c r="I45" s="1"/>
  <c r="L45" s="1"/>
  <c r="F44"/>
  <c r="F43"/>
  <c r="I43" s="1"/>
  <c r="L43" s="1"/>
  <c r="I42"/>
  <c r="F42"/>
  <c r="H42" s="1"/>
  <c r="N41"/>
  <c r="F41"/>
  <c r="I41" s="1"/>
  <c r="L41" s="1"/>
  <c r="F40"/>
  <c r="H40" s="1"/>
  <c r="F39"/>
  <c r="I39" s="1"/>
  <c r="H39" s="1"/>
  <c r="L39" s="1"/>
  <c r="F38"/>
  <c r="F37"/>
  <c r="I37" s="1"/>
  <c r="L37" s="1"/>
  <c r="F36"/>
  <c r="I36" s="1"/>
  <c r="L36" s="1"/>
  <c r="K35"/>
  <c r="K412" s="1"/>
  <c r="F35"/>
  <c r="N35" s="1"/>
  <c r="F34"/>
  <c r="H33"/>
  <c r="L33" s="1"/>
  <c r="F33"/>
  <c r="N33" s="1"/>
  <c r="F32"/>
  <c r="H32" s="1"/>
  <c r="F31"/>
  <c r="I31" s="1"/>
  <c r="L31" s="1"/>
  <c r="F30"/>
  <c r="I30" s="1"/>
  <c r="L30" s="1"/>
  <c r="F29"/>
  <c r="H29" s="1"/>
  <c r="I28"/>
  <c r="F28"/>
  <c r="H28" s="1"/>
  <c r="N27"/>
  <c r="F27"/>
  <c r="I27" s="1"/>
  <c r="L27" s="1"/>
  <c r="F26"/>
  <c r="H26" s="1"/>
  <c r="F25"/>
  <c r="I25" s="1"/>
  <c r="L25" s="1"/>
  <c r="F24"/>
  <c r="I24" s="1"/>
  <c r="L24" s="1"/>
  <c r="F23"/>
  <c r="I23" s="1"/>
  <c r="L23" s="1"/>
  <c r="I22"/>
  <c r="F22"/>
  <c r="H22" s="1"/>
  <c r="F21"/>
  <c r="F20"/>
  <c r="I20" s="1"/>
  <c r="L20" s="1"/>
  <c r="F19"/>
  <c r="I19" s="1"/>
  <c r="L19" s="1"/>
  <c r="F18"/>
  <c r="I18" s="1"/>
  <c r="H18" s="1"/>
  <c r="L18" s="1"/>
  <c r="I17"/>
  <c r="H17"/>
  <c r="N17" s="1"/>
  <c r="F16"/>
  <c r="F15"/>
  <c r="I15" s="1"/>
  <c r="L15" s="1"/>
  <c r="F14"/>
  <c r="I14" s="1"/>
  <c r="L14" s="1"/>
  <c r="I13"/>
  <c r="H13" s="1"/>
  <c r="L13" s="1"/>
  <c r="F13"/>
  <c r="F12"/>
  <c r="F11"/>
  <c r="I11" s="1"/>
  <c r="L11" s="1"/>
  <c r="F10"/>
  <c r="N10" s="1"/>
  <c r="F9"/>
  <c r="I9" s="1"/>
  <c r="H9" s="1"/>
  <c r="L9" s="1"/>
  <c r="F8"/>
  <c r="H8" s="1"/>
  <c r="F7"/>
  <c r="I7" s="1"/>
  <c r="L7" s="1"/>
  <c r="F6"/>
  <c r="I6" s="1"/>
  <c r="L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F5"/>
  <c r="A46" i="1"/>
  <c r="Q42"/>
  <c r="N42"/>
  <c r="M42"/>
  <c r="L42"/>
  <c r="K42"/>
  <c r="J42"/>
  <c r="I42"/>
  <c r="H42"/>
  <c r="G42"/>
  <c r="F42"/>
  <c r="K32"/>
  <c r="J32"/>
  <c r="F32"/>
  <c r="I30"/>
  <c r="H30"/>
  <c r="N30" s="1"/>
  <c r="Q30" s="1"/>
  <c r="I29"/>
  <c r="H29"/>
  <c r="N29" s="1"/>
  <c r="Q29" s="1"/>
  <c r="I28"/>
  <c r="H28"/>
  <c r="N28" s="1"/>
  <c r="Q28" s="1"/>
  <c r="I27"/>
  <c r="I32" s="1"/>
  <c r="H27"/>
  <c r="H32" s="1"/>
  <c r="A27"/>
  <c r="A28" s="1"/>
  <c r="A29" s="1"/>
  <c r="A30" s="1"/>
  <c r="K17"/>
  <c r="J17"/>
  <c r="N15"/>
  <c r="F15"/>
  <c r="Q15" s="1"/>
  <c r="N14"/>
  <c r="F14"/>
  <c r="Q14" s="1"/>
  <c r="N13"/>
  <c r="F13"/>
  <c r="Q13" s="1"/>
  <c r="N12"/>
  <c r="F12"/>
  <c r="Q12" s="1"/>
  <c r="N11"/>
  <c r="F11"/>
  <c r="Q11" s="1"/>
  <c r="N10"/>
  <c r="F10"/>
  <c r="Q10" s="1"/>
  <c r="N9"/>
  <c r="F9"/>
  <c r="Q9" s="1"/>
  <c r="F8"/>
  <c r="I7"/>
  <c r="H7" s="1"/>
  <c r="L7" s="1"/>
  <c r="F7"/>
  <c r="A7"/>
  <c r="A8" s="1"/>
  <c r="A9" s="1"/>
  <c r="A10" s="1"/>
  <c r="A11" s="1"/>
  <c r="A12" s="1"/>
  <c r="A13" s="1"/>
  <c r="A14" s="1"/>
  <c r="A15" s="1"/>
  <c r="F6"/>
  <c r="A6"/>
  <c r="I5"/>
  <c r="F5"/>
  <c r="F17" s="1"/>
  <c r="F81" i="4" l="1"/>
  <c r="I8"/>
  <c r="N10"/>
  <c r="H19"/>
  <c r="N19" s="1"/>
  <c r="I20"/>
  <c r="N22"/>
  <c r="N23"/>
  <c r="I24"/>
  <c r="H30"/>
  <c r="N30" s="1"/>
  <c r="N31"/>
  <c r="I32"/>
  <c r="I42"/>
  <c r="L42" s="1"/>
  <c r="G42" s="1"/>
  <c r="H43"/>
  <c r="N43" s="1"/>
  <c r="N44"/>
  <c r="I51"/>
  <c r="I53"/>
  <c r="L55"/>
  <c r="G55" s="1"/>
  <c r="I56"/>
  <c r="N58"/>
  <c r="I74"/>
  <c r="I78"/>
  <c r="N18"/>
  <c r="N29"/>
  <c r="I45"/>
  <c r="H45" s="1"/>
  <c r="L45" s="1"/>
  <c r="L56"/>
  <c r="G56" s="1"/>
  <c r="L25" i="3"/>
  <c r="F25"/>
  <c r="L10"/>
  <c r="F10"/>
  <c r="L14"/>
  <c r="F14"/>
  <c r="L18"/>
  <c r="F18"/>
  <c r="L22"/>
  <c r="F22"/>
  <c r="M10"/>
  <c r="M14"/>
  <c r="M18"/>
  <c r="M22"/>
  <c r="M25"/>
  <c r="K6" i="5"/>
  <c r="E134"/>
  <c r="K18"/>
  <c r="K26"/>
  <c r="K30"/>
  <c r="K34"/>
  <c r="K38"/>
  <c r="K42"/>
  <c r="K52"/>
  <c r="K71"/>
  <c r="K98"/>
  <c r="K123"/>
  <c r="M10"/>
  <c r="K10"/>
  <c r="M11"/>
  <c r="K11"/>
  <c r="M13"/>
  <c r="K13"/>
  <c r="M19"/>
  <c r="K19"/>
  <c r="M20"/>
  <c r="K20"/>
  <c r="L43"/>
  <c r="F43"/>
  <c r="M15"/>
  <c r="K15"/>
  <c r="M17"/>
  <c r="K17"/>
  <c r="M23"/>
  <c r="K23"/>
  <c r="M25"/>
  <c r="K25"/>
  <c r="M45"/>
  <c r="K45"/>
  <c r="M46"/>
  <c r="K46"/>
  <c r="M47"/>
  <c r="K47"/>
  <c r="M48"/>
  <c r="K48"/>
  <c r="M49"/>
  <c r="K49"/>
  <c r="K5"/>
  <c r="K7"/>
  <c r="K12"/>
  <c r="K16"/>
  <c r="K21"/>
  <c r="K24"/>
  <c r="K27"/>
  <c r="K29"/>
  <c r="K31"/>
  <c r="K33"/>
  <c r="K35"/>
  <c r="K37"/>
  <c r="K39"/>
  <c r="K41"/>
  <c r="M44"/>
  <c r="K44"/>
  <c r="M53"/>
  <c r="K53"/>
  <c r="M54"/>
  <c r="K54"/>
  <c r="M55"/>
  <c r="K55"/>
  <c r="M56"/>
  <c r="K56"/>
  <c r="M57"/>
  <c r="K57"/>
  <c r="M58"/>
  <c r="K58"/>
  <c r="M59"/>
  <c r="K59"/>
  <c r="M60"/>
  <c r="K60"/>
  <c r="M61"/>
  <c r="K61"/>
  <c r="M62"/>
  <c r="K62"/>
  <c r="M63"/>
  <c r="K63"/>
  <c r="M64"/>
  <c r="K64"/>
  <c r="M65"/>
  <c r="K65"/>
  <c r="M66"/>
  <c r="K66"/>
  <c r="M67"/>
  <c r="K67"/>
  <c r="M68"/>
  <c r="K68"/>
  <c r="M69"/>
  <c r="K69"/>
  <c r="M77"/>
  <c r="K77"/>
  <c r="G8"/>
  <c r="G134" s="1"/>
  <c r="M50"/>
  <c r="K50"/>
  <c r="M51"/>
  <c r="K51"/>
  <c r="M72"/>
  <c r="K72"/>
  <c r="M73"/>
  <c r="K73"/>
  <c r="M74"/>
  <c r="K74"/>
  <c r="L79"/>
  <c r="F79"/>
  <c r="M84"/>
  <c r="K84"/>
  <c r="M85"/>
  <c r="K85"/>
  <c r="M86"/>
  <c r="K86"/>
  <c r="M87"/>
  <c r="K87"/>
  <c r="M88"/>
  <c r="K88"/>
  <c r="M89"/>
  <c r="K89"/>
  <c r="M90"/>
  <c r="K90"/>
  <c r="K70"/>
  <c r="M76"/>
  <c r="K76"/>
  <c r="M79"/>
  <c r="M83"/>
  <c r="K83"/>
  <c r="M99"/>
  <c r="K99"/>
  <c r="M100"/>
  <c r="K100"/>
  <c r="M101"/>
  <c r="K101"/>
  <c r="M102"/>
  <c r="K102"/>
  <c r="M103"/>
  <c r="K103"/>
  <c r="M104"/>
  <c r="K104"/>
  <c r="M105"/>
  <c r="K105"/>
  <c r="M106"/>
  <c r="K106"/>
  <c r="M107"/>
  <c r="K107"/>
  <c r="M109"/>
  <c r="K109"/>
  <c r="M110"/>
  <c r="K110"/>
  <c r="M111"/>
  <c r="K111"/>
  <c r="M112"/>
  <c r="K112"/>
  <c r="M113"/>
  <c r="K113"/>
  <c r="M114"/>
  <c r="K114"/>
  <c r="M80"/>
  <c r="K80"/>
  <c r="M81"/>
  <c r="K81"/>
  <c r="M91"/>
  <c r="K91"/>
  <c r="M92"/>
  <c r="K92"/>
  <c r="M93"/>
  <c r="K93"/>
  <c r="M94"/>
  <c r="K94"/>
  <c r="M95"/>
  <c r="K95"/>
  <c r="M96"/>
  <c r="K96"/>
  <c r="M97"/>
  <c r="K97"/>
  <c r="K108"/>
  <c r="M115"/>
  <c r="K115"/>
  <c r="M116"/>
  <c r="K116"/>
  <c r="M117"/>
  <c r="K117"/>
  <c r="M120"/>
  <c r="K120"/>
  <c r="M125"/>
  <c r="K125"/>
  <c r="M126"/>
  <c r="K126"/>
  <c r="M127"/>
  <c r="K127"/>
  <c r="M128"/>
  <c r="K128"/>
  <c r="M129"/>
  <c r="K129"/>
  <c r="M130"/>
  <c r="K130"/>
  <c r="M131"/>
  <c r="K131"/>
  <c r="M132"/>
  <c r="K132"/>
  <c r="K119"/>
  <c r="K122"/>
  <c r="K124"/>
  <c r="M24" i="3"/>
  <c r="K24"/>
  <c r="K5"/>
  <c r="M5"/>
  <c r="K7"/>
  <c r="K9"/>
  <c r="K11"/>
  <c r="K13"/>
  <c r="K15"/>
  <c r="K17"/>
  <c r="K19"/>
  <c r="K21"/>
  <c r="K23"/>
  <c r="K26"/>
  <c r="E28"/>
  <c r="N7" i="4"/>
  <c r="N8"/>
  <c r="L8"/>
  <c r="M10"/>
  <c r="G10"/>
  <c r="M11"/>
  <c r="G11"/>
  <c r="M22"/>
  <c r="G22"/>
  <c r="N6"/>
  <c r="L6"/>
  <c r="N9"/>
  <c r="M23"/>
  <c r="G23"/>
  <c r="I5"/>
  <c r="I7"/>
  <c r="L7" s="1"/>
  <c r="I9"/>
  <c r="L9" s="1"/>
  <c r="K81"/>
  <c r="N12"/>
  <c r="I15"/>
  <c r="L15" s="1"/>
  <c r="G15" s="1"/>
  <c r="N16"/>
  <c r="L16"/>
  <c r="H17"/>
  <c r="G18"/>
  <c r="L19"/>
  <c r="N20"/>
  <c r="L20"/>
  <c r="M21"/>
  <c r="G21"/>
  <c r="N24"/>
  <c r="L24"/>
  <c r="H25"/>
  <c r="H28"/>
  <c r="G29"/>
  <c r="L30"/>
  <c r="N32"/>
  <c r="L32"/>
  <c r="M39"/>
  <c r="G39"/>
  <c r="M40"/>
  <c r="G40"/>
  <c r="N41"/>
  <c r="M60"/>
  <c r="G60"/>
  <c r="H5"/>
  <c r="I13"/>
  <c r="H13" s="1"/>
  <c r="L13" s="1"/>
  <c r="G13" s="1"/>
  <c r="N26"/>
  <c r="L26"/>
  <c r="G31"/>
  <c r="M31"/>
  <c r="N33"/>
  <c r="N34"/>
  <c r="L34"/>
  <c r="M36"/>
  <c r="G36"/>
  <c r="N38"/>
  <c r="L38"/>
  <c r="M44"/>
  <c r="G44"/>
  <c r="M46"/>
  <c r="G46"/>
  <c r="M57"/>
  <c r="G57"/>
  <c r="L14"/>
  <c r="L27"/>
  <c r="I33"/>
  <c r="L33" s="1"/>
  <c r="L35"/>
  <c r="N36"/>
  <c r="I37"/>
  <c r="H37" s="1"/>
  <c r="L37" s="1"/>
  <c r="N39"/>
  <c r="N40"/>
  <c r="I41"/>
  <c r="L41" s="1"/>
  <c r="M42"/>
  <c r="L43"/>
  <c r="N46"/>
  <c r="L48"/>
  <c r="N49"/>
  <c r="L49"/>
  <c r="H50"/>
  <c r="L52"/>
  <c r="N53"/>
  <c r="L53"/>
  <c r="H54"/>
  <c r="M55"/>
  <c r="N55"/>
  <c r="M56"/>
  <c r="N56"/>
  <c r="G58"/>
  <c r="L59"/>
  <c r="N47"/>
  <c r="L47"/>
  <c r="N51"/>
  <c r="L51"/>
  <c r="N63"/>
  <c r="N66"/>
  <c r="N75"/>
  <c r="N76"/>
  <c r="L76"/>
  <c r="N61"/>
  <c r="L61"/>
  <c r="M66"/>
  <c r="G66"/>
  <c r="M67"/>
  <c r="G67"/>
  <c r="M68"/>
  <c r="G68"/>
  <c r="N73"/>
  <c r="N74"/>
  <c r="L74"/>
  <c r="N77"/>
  <c r="N78"/>
  <c r="L78"/>
  <c r="L62"/>
  <c r="I63"/>
  <c r="L63" s="1"/>
  <c r="H64"/>
  <c r="I65"/>
  <c r="H65" s="1"/>
  <c r="L65" s="1"/>
  <c r="N67"/>
  <c r="N68"/>
  <c r="L69"/>
  <c r="L70"/>
  <c r="L71"/>
  <c r="L72"/>
  <c r="I73"/>
  <c r="L73" s="1"/>
  <c r="I75"/>
  <c r="L75" s="1"/>
  <c r="I77"/>
  <c r="L77" s="1"/>
  <c r="I79"/>
  <c r="H79" s="1"/>
  <c r="L79" s="1"/>
  <c r="G79" s="1"/>
  <c r="M88" i="2"/>
  <c r="G88"/>
  <c r="F412"/>
  <c r="N13"/>
  <c r="N30"/>
  <c r="N31"/>
  <c r="I32"/>
  <c r="N47"/>
  <c r="N53"/>
  <c r="N59"/>
  <c r="I63"/>
  <c r="N68"/>
  <c r="N73"/>
  <c r="N79"/>
  <c r="N95"/>
  <c r="N106"/>
  <c r="I107"/>
  <c r="N119"/>
  <c r="M119"/>
  <c r="N121"/>
  <c r="H124"/>
  <c r="N124" s="1"/>
  <c r="N125"/>
  <c r="M376"/>
  <c r="G376"/>
  <c r="N18"/>
  <c r="N80"/>
  <c r="N114"/>
  <c r="N123"/>
  <c r="M134"/>
  <c r="G134"/>
  <c r="M341"/>
  <c r="G341"/>
  <c r="N126"/>
  <c r="I126"/>
  <c r="H126" s="1"/>
  <c r="L126" s="1"/>
  <c r="N132"/>
  <c r="I132"/>
  <c r="H132" s="1"/>
  <c r="L132" s="1"/>
  <c r="N135"/>
  <c r="I135"/>
  <c r="H135" s="1"/>
  <c r="L135" s="1"/>
  <c r="G144"/>
  <c r="I147"/>
  <c r="N156"/>
  <c r="N157"/>
  <c r="N163"/>
  <c r="N168"/>
  <c r="N169"/>
  <c r="N170"/>
  <c r="N171"/>
  <c r="N172"/>
  <c r="N173"/>
  <c r="N174"/>
  <c r="N177"/>
  <c r="N195"/>
  <c r="I197"/>
  <c r="I225"/>
  <c r="H225" s="1"/>
  <c r="L225" s="1"/>
  <c r="I247"/>
  <c r="H247" s="1"/>
  <c r="L247" s="1"/>
  <c r="I271"/>
  <c r="N274"/>
  <c r="I299"/>
  <c r="L299" s="1"/>
  <c r="G299" s="1"/>
  <c r="I306"/>
  <c r="N311"/>
  <c r="I312"/>
  <c r="N315"/>
  <c r="N319"/>
  <c r="N326"/>
  <c r="N328"/>
  <c r="I329"/>
  <c r="N332"/>
  <c r="N334"/>
  <c r="I336"/>
  <c r="N338"/>
  <c r="N342"/>
  <c r="N345"/>
  <c r="N346"/>
  <c r="N347"/>
  <c r="N348"/>
  <c r="N383"/>
  <c r="N384"/>
  <c r="N390"/>
  <c r="I396"/>
  <c r="H396" s="1"/>
  <c r="L396" s="1"/>
  <c r="H399"/>
  <c r="N399" s="1"/>
  <c r="N402"/>
  <c r="N150"/>
  <c r="N158"/>
  <c r="I183"/>
  <c r="I189"/>
  <c r="H189" s="1"/>
  <c r="L189" s="1"/>
  <c r="I195"/>
  <c r="H195" s="1"/>
  <c r="L195" s="1"/>
  <c r="I199"/>
  <c r="H199" s="1"/>
  <c r="L199" s="1"/>
  <c r="N204"/>
  <c r="N208"/>
  <c r="N214"/>
  <c r="N216"/>
  <c r="N217"/>
  <c r="I223"/>
  <c r="H224"/>
  <c r="N224" s="1"/>
  <c r="N238"/>
  <c r="L240"/>
  <c r="N240"/>
  <c r="I241"/>
  <c r="I243"/>
  <c r="L243" s="1"/>
  <c r="G243" s="1"/>
  <c r="I244"/>
  <c r="L244" s="1"/>
  <c r="G244" s="1"/>
  <c r="I245"/>
  <c r="L245" s="1"/>
  <c r="G245" s="1"/>
  <c r="I250"/>
  <c r="H250" s="1"/>
  <c r="L250" s="1"/>
  <c r="M250" s="1"/>
  <c r="I251"/>
  <c r="L251" s="1"/>
  <c r="G251" s="1"/>
  <c r="I252"/>
  <c r="L252" s="1"/>
  <c r="G252" s="1"/>
  <c r="N266"/>
  <c r="N267"/>
  <c r="I268"/>
  <c r="H268" s="1"/>
  <c r="L268" s="1"/>
  <c r="L271"/>
  <c r="N273"/>
  <c r="I274"/>
  <c r="H274" s="1"/>
  <c r="L274" s="1"/>
  <c r="N279"/>
  <c r="I284"/>
  <c r="H284" s="1"/>
  <c r="L284" s="1"/>
  <c r="N288"/>
  <c r="N289"/>
  <c r="N290"/>
  <c r="N291"/>
  <c r="N298"/>
  <c r="N303"/>
  <c r="N349"/>
  <c r="N355"/>
  <c r="N369"/>
  <c r="N385"/>
  <c r="N398"/>
  <c r="I400"/>
  <c r="H400" s="1"/>
  <c r="L400" s="1"/>
  <c r="N405"/>
  <c r="M9"/>
  <c r="G9"/>
  <c r="G11"/>
  <c r="M11"/>
  <c r="G6"/>
  <c r="M6"/>
  <c r="G7"/>
  <c r="M7"/>
  <c r="N8"/>
  <c r="N9"/>
  <c r="M13"/>
  <c r="G13"/>
  <c r="G14"/>
  <c r="M14"/>
  <c r="M15"/>
  <c r="G15"/>
  <c r="M18"/>
  <c r="G18"/>
  <c r="M19"/>
  <c r="G19"/>
  <c r="M20"/>
  <c r="G20"/>
  <c r="N22"/>
  <c r="L22"/>
  <c r="N28"/>
  <c r="L28"/>
  <c r="G31"/>
  <c r="M31"/>
  <c r="M36"/>
  <c r="G36"/>
  <c r="M37"/>
  <c r="G37"/>
  <c r="N39"/>
  <c r="N42"/>
  <c r="L42"/>
  <c r="G46"/>
  <c r="M46"/>
  <c r="M47"/>
  <c r="G47"/>
  <c r="N49"/>
  <c r="G52"/>
  <c r="M52"/>
  <c r="M53"/>
  <c r="G53"/>
  <c r="M54"/>
  <c r="G54"/>
  <c r="N56"/>
  <c r="L56"/>
  <c r="M59"/>
  <c r="G59"/>
  <c r="M60"/>
  <c r="G60"/>
  <c r="M61"/>
  <c r="G61"/>
  <c r="N63"/>
  <c r="L63"/>
  <c r="N66"/>
  <c r="L66"/>
  <c r="N69"/>
  <c r="G72"/>
  <c r="M72"/>
  <c r="M73"/>
  <c r="G73"/>
  <c r="N75"/>
  <c r="N78"/>
  <c r="G79"/>
  <c r="M79"/>
  <c r="M80"/>
  <c r="G80"/>
  <c r="M81"/>
  <c r="G81"/>
  <c r="M82"/>
  <c r="G82"/>
  <c r="G84"/>
  <c r="M84"/>
  <c r="M86"/>
  <c r="G86"/>
  <c r="M87"/>
  <c r="G87"/>
  <c r="N91"/>
  <c r="M95"/>
  <c r="G95"/>
  <c r="N97"/>
  <c r="N102"/>
  <c r="L102"/>
  <c r="N107"/>
  <c r="L107"/>
  <c r="N112"/>
  <c r="M114"/>
  <c r="G114"/>
  <c r="G116"/>
  <c r="M116"/>
  <c r="M121"/>
  <c r="G121"/>
  <c r="M122"/>
  <c r="G122"/>
  <c r="M125"/>
  <c r="G125"/>
  <c r="M128"/>
  <c r="G128"/>
  <c r="M23"/>
  <c r="G23"/>
  <c r="M24"/>
  <c r="G24"/>
  <c r="M25"/>
  <c r="G25"/>
  <c r="N26"/>
  <c r="G27"/>
  <c r="M27"/>
  <c r="N29"/>
  <c r="G30"/>
  <c r="M30"/>
  <c r="N32"/>
  <c r="L32"/>
  <c r="M33"/>
  <c r="G33"/>
  <c r="M39"/>
  <c r="G39"/>
  <c r="N40"/>
  <c r="G41"/>
  <c r="M41"/>
  <c r="M43"/>
  <c r="G43"/>
  <c r="G45"/>
  <c r="M45"/>
  <c r="M49"/>
  <c r="G49"/>
  <c r="G51"/>
  <c r="M51"/>
  <c r="N57"/>
  <c r="L57"/>
  <c r="G65"/>
  <c r="M65"/>
  <c r="G68"/>
  <c r="M68"/>
  <c r="M69"/>
  <c r="G69"/>
  <c r="M75"/>
  <c r="G75"/>
  <c r="M76"/>
  <c r="G76"/>
  <c r="N85"/>
  <c r="L85"/>
  <c r="M91"/>
  <c r="G91"/>
  <c r="N92"/>
  <c r="L92"/>
  <c r="M93"/>
  <c r="G93"/>
  <c r="M97"/>
  <c r="G97"/>
  <c r="M98"/>
  <c r="G98"/>
  <c r="M99"/>
  <c r="G99"/>
  <c r="N100"/>
  <c r="G101"/>
  <c r="M101"/>
  <c r="M103"/>
  <c r="G103"/>
  <c r="M104"/>
  <c r="G104"/>
  <c r="N105"/>
  <c r="G106"/>
  <c r="M106"/>
  <c r="M108"/>
  <c r="G108"/>
  <c r="M109"/>
  <c r="G109"/>
  <c r="G111"/>
  <c r="M111"/>
  <c r="M112"/>
  <c r="G112"/>
  <c r="G117"/>
  <c r="M117"/>
  <c r="N120"/>
  <c r="M133"/>
  <c r="G133"/>
  <c r="I5"/>
  <c r="I10"/>
  <c r="L10" s="1"/>
  <c r="N5"/>
  <c r="N6"/>
  <c r="N7"/>
  <c r="I8"/>
  <c r="L8" s="1"/>
  <c r="N11"/>
  <c r="I12"/>
  <c r="H12" s="1"/>
  <c r="L12" s="1"/>
  <c r="N14"/>
  <c r="N15"/>
  <c r="I16"/>
  <c r="H16" s="1"/>
  <c r="L16" s="1"/>
  <c r="N19"/>
  <c r="N20"/>
  <c r="I21"/>
  <c r="H21" s="1"/>
  <c r="L21" s="1"/>
  <c r="N23"/>
  <c r="N24"/>
  <c r="N25"/>
  <c r="I26"/>
  <c r="L26" s="1"/>
  <c r="I29"/>
  <c r="L29" s="1"/>
  <c r="I34"/>
  <c r="H34" s="1"/>
  <c r="L34" s="1"/>
  <c r="I35"/>
  <c r="L35" s="1"/>
  <c r="G35" s="1"/>
  <c r="N36"/>
  <c r="N37"/>
  <c r="I38"/>
  <c r="H38" s="1"/>
  <c r="L38" s="1"/>
  <c r="I40"/>
  <c r="L40" s="1"/>
  <c r="N43"/>
  <c r="I44"/>
  <c r="H44" s="1"/>
  <c r="L44" s="1"/>
  <c r="I48"/>
  <c r="H48" s="1"/>
  <c r="L48" s="1"/>
  <c r="I50"/>
  <c r="H50" s="1"/>
  <c r="L50" s="1"/>
  <c r="N54"/>
  <c r="I55"/>
  <c r="H55" s="1"/>
  <c r="L55" s="1"/>
  <c r="I58"/>
  <c r="H58" s="1"/>
  <c r="L58" s="1"/>
  <c r="N60"/>
  <c r="N61"/>
  <c r="I62"/>
  <c r="H62" s="1"/>
  <c r="L62" s="1"/>
  <c r="I64"/>
  <c r="H64" s="1"/>
  <c r="L64" s="1"/>
  <c r="I67"/>
  <c r="H67" s="1"/>
  <c r="L67" s="1"/>
  <c r="I70"/>
  <c r="H70" s="1"/>
  <c r="L70" s="1"/>
  <c r="I74"/>
  <c r="H74" s="1"/>
  <c r="L74" s="1"/>
  <c r="N76"/>
  <c r="L77"/>
  <c r="I78"/>
  <c r="L78" s="1"/>
  <c r="N81"/>
  <c r="N82"/>
  <c r="I83"/>
  <c r="H83" s="1"/>
  <c r="L83" s="1"/>
  <c r="N86"/>
  <c r="N87"/>
  <c r="I90"/>
  <c r="H90" s="1"/>
  <c r="L90" s="1"/>
  <c r="N93"/>
  <c r="I94"/>
  <c r="H94" s="1"/>
  <c r="L94" s="1"/>
  <c r="I96"/>
  <c r="H96" s="1"/>
  <c r="L96" s="1"/>
  <c r="N98"/>
  <c r="N99"/>
  <c r="I100"/>
  <c r="L100" s="1"/>
  <c r="N103"/>
  <c r="N104"/>
  <c r="I105"/>
  <c r="L105" s="1"/>
  <c r="N108"/>
  <c r="N109"/>
  <c r="I110"/>
  <c r="H110" s="1"/>
  <c r="L110" s="1"/>
  <c r="I113"/>
  <c r="H113" s="1"/>
  <c r="L113" s="1"/>
  <c r="I115"/>
  <c r="H115" s="1"/>
  <c r="L115" s="1"/>
  <c r="I120"/>
  <c r="L120" s="1"/>
  <c r="N122"/>
  <c r="G123"/>
  <c r="L124"/>
  <c r="I127"/>
  <c r="L127" s="1"/>
  <c r="N128"/>
  <c r="M130"/>
  <c r="L131"/>
  <c r="N133"/>
  <c r="H136"/>
  <c r="L139"/>
  <c r="N140"/>
  <c r="L140"/>
  <c r="I141"/>
  <c r="L141" s="1"/>
  <c r="I142"/>
  <c r="L142" s="1"/>
  <c r="M145"/>
  <c r="G145"/>
  <c r="N146"/>
  <c r="N147"/>
  <c r="L147"/>
  <c r="M150"/>
  <c r="G150"/>
  <c r="N151"/>
  <c r="N153"/>
  <c r="G157"/>
  <c r="M157"/>
  <c r="M158"/>
  <c r="G158"/>
  <c r="N159"/>
  <c r="N160"/>
  <c r="M163"/>
  <c r="G163"/>
  <c r="N165"/>
  <c r="G169"/>
  <c r="M169"/>
  <c r="G171"/>
  <c r="M171"/>
  <c r="G173"/>
  <c r="M173"/>
  <c r="N175"/>
  <c r="G177"/>
  <c r="M177"/>
  <c r="N179"/>
  <c r="M184"/>
  <c r="G184"/>
  <c r="M185"/>
  <c r="G185"/>
  <c r="N186"/>
  <c r="N187"/>
  <c r="M189"/>
  <c r="G189"/>
  <c r="M190"/>
  <c r="G190"/>
  <c r="N192"/>
  <c r="M195"/>
  <c r="G195"/>
  <c r="N196"/>
  <c r="N197"/>
  <c r="L197"/>
  <c r="M199"/>
  <c r="G199"/>
  <c r="M200"/>
  <c r="G200"/>
  <c r="M201"/>
  <c r="G201"/>
  <c r="N202"/>
  <c r="N203"/>
  <c r="M204"/>
  <c r="G204"/>
  <c r="N205"/>
  <c r="N206"/>
  <c r="M208"/>
  <c r="G208"/>
  <c r="M209"/>
  <c r="G209"/>
  <c r="N211"/>
  <c r="L211"/>
  <c r="M214"/>
  <c r="G214"/>
  <c r="M216"/>
  <c r="G216"/>
  <c r="G219"/>
  <c r="M219"/>
  <c r="M222"/>
  <c r="G222"/>
  <c r="M226"/>
  <c r="G226"/>
  <c r="M227"/>
  <c r="G227"/>
  <c r="M237"/>
  <c r="G237"/>
  <c r="L17"/>
  <c r="L71"/>
  <c r="L118"/>
  <c r="N129"/>
  <c r="L129"/>
  <c r="M137"/>
  <c r="G137"/>
  <c r="I143"/>
  <c r="H143" s="1"/>
  <c r="L143" s="1"/>
  <c r="M148"/>
  <c r="G148"/>
  <c r="N152"/>
  <c r="L152"/>
  <c r="G152" s="1"/>
  <c r="M153"/>
  <c r="G153"/>
  <c r="M154"/>
  <c r="G154"/>
  <c r="N155"/>
  <c r="G156"/>
  <c r="M156"/>
  <c r="M160"/>
  <c r="G160"/>
  <c r="M161"/>
  <c r="G161"/>
  <c r="N162"/>
  <c r="L162"/>
  <c r="M165"/>
  <c r="G165"/>
  <c r="M166"/>
  <c r="G166"/>
  <c r="G168"/>
  <c r="M168"/>
  <c r="G170"/>
  <c r="M170"/>
  <c r="G172"/>
  <c r="M172"/>
  <c r="G174"/>
  <c r="M174"/>
  <c r="M175"/>
  <c r="G175"/>
  <c r="G178"/>
  <c r="M178"/>
  <c r="M179"/>
  <c r="G179"/>
  <c r="M180"/>
  <c r="G180"/>
  <c r="M181"/>
  <c r="G181"/>
  <c r="N182"/>
  <c r="N183"/>
  <c r="L183"/>
  <c r="M187"/>
  <c r="G187"/>
  <c r="M192"/>
  <c r="G192"/>
  <c r="M193"/>
  <c r="G193"/>
  <c r="M203"/>
  <c r="G203"/>
  <c r="M206"/>
  <c r="G206"/>
  <c r="M212"/>
  <c r="G212"/>
  <c r="N213"/>
  <c r="G218"/>
  <c r="M218"/>
  <c r="G220"/>
  <c r="M220"/>
  <c r="M228"/>
  <c r="G228"/>
  <c r="M236"/>
  <c r="G236"/>
  <c r="M240"/>
  <c r="G240"/>
  <c r="M249"/>
  <c r="G249"/>
  <c r="N145"/>
  <c r="I146"/>
  <c r="L146" s="1"/>
  <c r="N148"/>
  <c r="I149"/>
  <c r="H149" s="1"/>
  <c r="L149" s="1"/>
  <c r="I151"/>
  <c r="L151" s="1"/>
  <c r="N154"/>
  <c r="I155"/>
  <c r="L155" s="1"/>
  <c r="I159"/>
  <c r="L159" s="1"/>
  <c r="N161"/>
  <c r="I162"/>
  <c r="I164"/>
  <c r="H164" s="1"/>
  <c r="L164" s="1"/>
  <c r="N166"/>
  <c r="I167"/>
  <c r="H167" s="1"/>
  <c r="L167" s="1"/>
  <c r="G176"/>
  <c r="N180"/>
  <c r="N181"/>
  <c r="I182"/>
  <c r="L182" s="1"/>
  <c r="N184"/>
  <c r="N185"/>
  <c r="I186"/>
  <c r="H186" s="1"/>
  <c r="L186" s="1"/>
  <c r="I188"/>
  <c r="H188" s="1"/>
  <c r="L188" s="1"/>
  <c r="N190"/>
  <c r="I191"/>
  <c r="H191" s="1"/>
  <c r="L191" s="1"/>
  <c r="N193"/>
  <c r="I194"/>
  <c r="H194" s="1"/>
  <c r="L194" s="1"/>
  <c r="I196"/>
  <c r="L196" s="1"/>
  <c r="I198"/>
  <c r="H198" s="1"/>
  <c r="L198" s="1"/>
  <c r="N200"/>
  <c r="N201"/>
  <c r="I202"/>
  <c r="H202" s="1"/>
  <c r="L202" s="1"/>
  <c r="I205"/>
  <c r="L205" s="1"/>
  <c r="I207"/>
  <c r="H207" s="1"/>
  <c r="L207" s="1"/>
  <c r="N209"/>
  <c r="I210"/>
  <c r="H210" s="1"/>
  <c r="L210" s="1"/>
  <c r="N212"/>
  <c r="I213"/>
  <c r="L213" s="1"/>
  <c r="G215"/>
  <c r="I217"/>
  <c r="L217" s="1"/>
  <c r="I221"/>
  <c r="L221" s="1"/>
  <c r="N222"/>
  <c r="L224"/>
  <c r="N226"/>
  <c r="M230"/>
  <c r="M231"/>
  <c r="L232"/>
  <c r="N233"/>
  <c r="L233"/>
  <c r="I234"/>
  <c r="L234" s="1"/>
  <c r="H235"/>
  <c r="G238"/>
  <c r="L239"/>
  <c r="N241"/>
  <c r="L241"/>
  <c r="H242"/>
  <c r="M243"/>
  <c r="M244"/>
  <c r="M245"/>
  <c r="L246"/>
  <c r="I248"/>
  <c r="L248" s="1"/>
  <c r="N249"/>
  <c r="G250"/>
  <c r="M251"/>
  <c r="M252"/>
  <c r="I253"/>
  <c r="H253" s="1"/>
  <c r="L253" s="1"/>
  <c r="G254"/>
  <c r="M254"/>
  <c r="N256"/>
  <c r="L256"/>
  <c r="N261"/>
  <c r="N264"/>
  <c r="L264"/>
  <c r="G267"/>
  <c r="M267"/>
  <c r="M268"/>
  <c r="G268"/>
  <c r="M269"/>
  <c r="G269"/>
  <c r="G273"/>
  <c r="M273"/>
  <c r="M274"/>
  <c r="G274"/>
  <c r="N275"/>
  <c r="N276"/>
  <c r="L276"/>
  <c r="M279"/>
  <c r="G279"/>
  <c r="M280"/>
  <c r="G280"/>
  <c r="N282"/>
  <c r="M284"/>
  <c r="G284"/>
  <c r="N285"/>
  <c r="N286"/>
  <c r="G289"/>
  <c r="M289"/>
  <c r="G291"/>
  <c r="M291"/>
  <c r="G293"/>
  <c r="M293"/>
  <c r="G295"/>
  <c r="M295"/>
  <c r="N223"/>
  <c r="L223"/>
  <c r="N229"/>
  <c r="L229"/>
  <c r="G255"/>
  <c r="M255"/>
  <c r="M257"/>
  <c r="G257"/>
  <c r="M258"/>
  <c r="G258"/>
  <c r="M261"/>
  <c r="G261"/>
  <c r="G263"/>
  <c r="M263"/>
  <c r="G266"/>
  <c r="M266"/>
  <c r="M271"/>
  <c r="G271"/>
  <c r="M277"/>
  <c r="G277"/>
  <c r="N278"/>
  <c r="M282"/>
  <c r="G282"/>
  <c r="M286"/>
  <c r="G286"/>
  <c r="G288"/>
  <c r="M288"/>
  <c r="G290"/>
  <c r="M290"/>
  <c r="G292"/>
  <c r="M292"/>
  <c r="G294"/>
  <c r="M294"/>
  <c r="G296"/>
  <c r="M296"/>
  <c r="N257"/>
  <c r="N258"/>
  <c r="I259"/>
  <c r="H259" s="1"/>
  <c r="L259" s="1"/>
  <c r="G259" s="1"/>
  <c r="I260"/>
  <c r="H260" s="1"/>
  <c r="L260" s="1"/>
  <c r="I262"/>
  <c r="H262" s="1"/>
  <c r="L262" s="1"/>
  <c r="I265"/>
  <c r="H265" s="1"/>
  <c r="L265" s="1"/>
  <c r="N269"/>
  <c r="I270"/>
  <c r="H270" s="1"/>
  <c r="L270" s="1"/>
  <c r="I272"/>
  <c r="H272" s="1"/>
  <c r="L272" s="1"/>
  <c r="I275"/>
  <c r="L275" s="1"/>
  <c r="N277"/>
  <c r="I278"/>
  <c r="L278" s="1"/>
  <c r="N280"/>
  <c r="I281"/>
  <c r="H281" s="1"/>
  <c r="L281" s="1"/>
  <c r="I283"/>
  <c r="H283" s="1"/>
  <c r="L283" s="1"/>
  <c r="I285"/>
  <c r="L285" s="1"/>
  <c r="I287"/>
  <c r="H287" s="1"/>
  <c r="L287" s="1"/>
  <c r="I297"/>
  <c r="L297" s="1"/>
  <c r="G298"/>
  <c r="M299"/>
  <c r="N301"/>
  <c r="L301"/>
  <c r="M303"/>
  <c r="G303"/>
  <c r="M304"/>
  <c r="G304"/>
  <c r="N306"/>
  <c r="L306"/>
  <c r="N309"/>
  <c r="N312"/>
  <c r="L312"/>
  <c r="N316"/>
  <c r="N320"/>
  <c r="G325"/>
  <c r="M325"/>
  <c r="M326"/>
  <c r="G326"/>
  <c r="G328"/>
  <c r="M328"/>
  <c r="N330"/>
  <c r="G331"/>
  <c r="M331"/>
  <c r="M332"/>
  <c r="G332"/>
  <c r="M334"/>
  <c r="G334"/>
  <c r="N335"/>
  <c r="N336"/>
  <c r="L336"/>
  <c r="G338"/>
  <c r="M338"/>
  <c r="M340"/>
  <c r="G340"/>
  <c r="M342"/>
  <c r="G342"/>
  <c r="M346"/>
  <c r="G346"/>
  <c r="N307"/>
  <c r="G308"/>
  <c r="M308"/>
  <c r="M309"/>
  <c r="G309"/>
  <c r="G311"/>
  <c r="M311"/>
  <c r="M313"/>
  <c r="G313"/>
  <c r="G315"/>
  <c r="M315"/>
  <c r="M316"/>
  <c r="G316"/>
  <c r="M317"/>
  <c r="G317"/>
  <c r="G319"/>
  <c r="M319"/>
  <c r="M320"/>
  <c r="G320"/>
  <c r="M321"/>
  <c r="G321"/>
  <c r="M322"/>
  <c r="G322"/>
  <c r="G324"/>
  <c r="M324"/>
  <c r="N329"/>
  <c r="L329"/>
  <c r="M344"/>
  <c r="G344"/>
  <c r="M345"/>
  <c r="G345"/>
  <c r="M347"/>
  <c r="G347"/>
  <c r="I300"/>
  <c r="H300" s="1"/>
  <c r="L300" s="1"/>
  <c r="I302"/>
  <c r="H302" s="1"/>
  <c r="L302" s="1"/>
  <c r="N304"/>
  <c r="I305"/>
  <c r="H305" s="1"/>
  <c r="L305" s="1"/>
  <c r="I307"/>
  <c r="L307" s="1"/>
  <c r="I310"/>
  <c r="H310" s="1"/>
  <c r="L310" s="1"/>
  <c r="N313"/>
  <c r="I314"/>
  <c r="H314" s="1"/>
  <c r="L314" s="1"/>
  <c r="N317"/>
  <c r="I318"/>
  <c r="H318" s="1"/>
  <c r="L318" s="1"/>
  <c r="N321"/>
  <c r="N322"/>
  <c r="I323"/>
  <c r="H323" s="1"/>
  <c r="L323" s="1"/>
  <c r="I327"/>
  <c r="H327" s="1"/>
  <c r="L327" s="1"/>
  <c r="I330"/>
  <c r="L330" s="1"/>
  <c r="G333"/>
  <c r="I335"/>
  <c r="L335" s="1"/>
  <c r="H339"/>
  <c r="L339" s="1"/>
  <c r="N340"/>
  <c r="N344"/>
  <c r="G348"/>
  <c r="M348"/>
  <c r="M349"/>
  <c r="G349"/>
  <c r="N350"/>
  <c r="N351"/>
  <c r="M355"/>
  <c r="G355"/>
  <c r="G357"/>
  <c r="M357"/>
  <c r="G359"/>
  <c r="M359"/>
  <c r="G361"/>
  <c r="M361"/>
  <c r="N363"/>
  <c r="N366"/>
  <c r="M369"/>
  <c r="G369"/>
  <c r="M370"/>
  <c r="G370"/>
  <c r="M371"/>
  <c r="G371"/>
  <c r="N372"/>
  <c r="N373"/>
  <c r="N377"/>
  <c r="M351"/>
  <c r="G351"/>
  <c r="M352"/>
  <c r="G352"/>
  <c r="M353"/>
  <c r="G353"/>
  <c r="G358"/>
  <c r="M358"/>
  <c r="G360"/>
  <c r="M360"/>
  <c r="G362"/>
  <c r="M362"/>
  <c r="M363"/>
  <c r="G363"/>
  <c r="M373"/>
  <c r="G373"/>
  <c r="M374"/>
  <c r="G374"/>
  <c r="M375"/>
  <c r="G375"/>
  <c r="M377"/>
  <c r="G377"/>
  <c r="M378"/>
  <c r="G378"/>
  <c r="M382"/>
  <c r="G382"/>
  <c r="M383"/>
  <c r="G383"/>
  <c r="I350"/>
  <c r="L350" s="1"/>
  <c r="N352"/>
  <c r="N353"/>
  <c r="I354"/>
  <c r="H354" s="1"/>
  <c r="L354" s="1"/>
  <c r="I356"/>
  <c r="H356" s="1"/>
  <c r="L356" s="1"/>
  <c r="I364"/>
  <c r="H364" s="1"/>
  <c r="L364" s="1"/>
  <c r="H365"/>
  <c r="L365" s="1"/>
  <c r="I366"/>
  <c r="L366" s="1"/>
  <c r="H367"/>
  <c r="L367" s="1"/>
  <c r="I368"/>
  <c r="H368" s="1"/>
  <c r="L368" s="1"/>
  <c r="N370"/>
  <c r="N371"/>
  <c r="I372"/>
  <c r="L372" s="1"/>
  <c r="N374"/>
  <c r="N375"/>
  <c r="N378"/>
  <c r="I379"/>
  <c r="H379" s="1"/>
  <c r="L379" s="1"/>
  <c r="I380"/>
  <c r="L380" s="1"/>
  <c r="I381"/>
  <c r="L381" s="1"/>
  <c r="N382"/>
  <c r="G384"/>
  <c r="M384"/>
  <c r="M385"/>
  <c r="G385"/>
  <c r="M386"/>
  <c r="G386"/>
  <c r="N388"/>
  <c r="M390"/>
  <c r="G390"/>
  <c r="N391"/>
  <c r="L391"/>
  <c r="N392"/>
  <c r="G394"/>
  <c r="M394"/>
  <c r="M397"/>
  <c r="G397"/>
  <c r="M405"/>
  <c r="G405"/>
  <c r="M388"/>
  <c r="G388"/>
  <c r="M392"/>
  <c r="G392"/>
  <c r="M401"/>
  <c r="G401"/>
  <c r="M404"/>
  <c r="G404"/>
  <c r="N386"/>
  <c r="I387"/>
  <c r="H387" s="1"/>
  <c r="L387" s="1"/>
  <c r="I389"/>
  <c r="H389" s="1"/>
  <c r="L389" s="1"/>
  <c r="I391"/>
  <c r="I393"/>
  <c r="H393" s="1"/>
  <c r="L393" s="1"/>
  <c r="N394"/>
  <c r="L395"/>
  <c r="N397"/>
  <c r="G398"/>
  <c r="L399"/>
  <c r="N401"/>
  <c r="G402"/>
  <c r="L403"/>
  <c r="M407"/>
  <c r="G407"/>
  <c r="M409"/>
  <c r="G409"/>
  <c r="M406"/>
  <c r="G406"/>
  <c r="M408"/>
  <c r="G408"/>
  <c r="M410"/>
  <c r="G410"/>
  <c r="M7" i="1"/>
  <c r="G7"/>
  <c r="N7"/>
  <c r="Q7" s="1"/>
  <c r="H5"/>
  <c r="I6"/>
  <c r="H6" s="1"/>
  <c r="L6" s="1"/>
  <c r="I8"/>
  <c r="H8" s="1"/>
  <c r="L8" s="1"/>
  <c r="I9"/>
  <c r="L9" s="1"/>
  <c r="I10"/>
  <c r="L10" s="1"/>
  <c r="I11"/>
  <c r="L11" s="1"/>
  <c r="I12"/>
  <c r="L12" s="1"/>
  <c r="I13"/>
  <c r="L13" s="1"/>
  <c r="I14"/>
  <c r="L14" s="1"/>
  <c r="I15"/>
  <c r="L15" s="1"/>
  <c r="L27"/>
  <c r="N27"/>
  <c r="L28"/>
  <c r="L29"/>
  <c r="L30"/>
  <c r="N65" i="4" l="1"/>
  <c r="N45"/>
  <c r="N79"/>
  <c r="M45"/>
  <c r="G45"/>
  <c r="L123" i="5"/>
  <c r="F123"/>
  <c r="L71"/>
  <c r="F71"/>
  <c r="L42"/>
  <c r="F42"/>
  <c r="L34"/>
  <c r="F34"/>
  <c r="L26"/>
  <c r="F26"/>
  <c r="L98"/>
  <c r="F98"/>
  <c r="L52"/>
  <c r="F52"/>
  <c r="L38"/>
  <c r="F38"/>
  <c r="L30"/>
  <c r="F30"/>
  <c r="L18"/>
  <c r="F18"/>
  <c r="L6"/>
  <c r="F6"/>
  <c r="L124"/>
  <c r="F124"/>
  <c r="L119"/>
  <c r="F119"/>
  <c r="L97"/>
  <c r="F97"/>
  <c r="L96"/>
  <c r="F96"/>
  <c r="L95"/>
  <c r="F95"/>
  <c r="L94"/>
  <c r="F94"/>
  <c r="L93"/>
  <c r="F93"/>
  <c r="L92"/>
  <c r="F92"/>
  <c r="L91"/>
  <c r="F91"/>
  <c r="F81"/>
  <c r="L81"/>
  <c r="F80"/>
  <c r="L80"/>
  <c r="L114"/>
  <c r="F114"/>
  <c r="F113"/>
  <c r="L113"/>
  <c r="F112"/>
  <c r="L112"/>
  <c r="L111"/>
  <c r="F111"/>
  <c r="L110"/>
  <c r="F110"/>
  <c r="L109"/>
  <c r="F109"/>
  <c r="F107"/>
  <c r="L107"/>
  <c r="F106"/>
  <c r="L106"/>
  <c r="F105"/>
  <c r="L105"/>
  <c r="F104"/>
  <c r="L104"/>
  <c r="F103"/>
  <c r="L103"/>
  <c r="F102"/>
  <c r="L102"/>
  <c r="F101"/>
  <c r="L101"/>
  <c r="F100"/>
  <c r="L100"/>
  <c r="F99"/>
  <c r="L99"/>
  <c r="F83"/>
  <c r="L83"/>
  <c r="F76"/>
  <c r="L76"/>
  <c r="L70"/>
  <c r="F70"/>
  <c r="L39"/>
  <c r="F39"/>
  <c r="L35"/>
  <c r="F35"/>
  <c r="L31"/>
  <c r="F31"/>
  <c r="L27"/>
  <c r="F27"/>
  <c r="L21"/>
  <c r="F21"/>
  <c r="L12"/>
  <c r="F12"/>
  <c r="F49"/>
  <c r="L49"/>
  <c r="F48"/>
  <c r="L48"/>
  <c r="F47"/>
  <c r="L47"/>
  <c r="F46"/>
  <c r="L46"/>
  <c r="F45"/>
  <c r="L45"/>
  <c r="L25"/>
  <c r="F25"/>
  <c r="F23"/>
  <c r="L23"/>
  <c r="L17"/>
  <c r="F17"/>
  <c r="F15"/>
  <c r="L15"/>
  <c r="F20"/>
  <c r="L20"/>
  <c r="F19"/>
  <c r="L19"/>
  <c r="L13"/>
  <c r="F13"/>
  <c r="F11"/>
  <c r="L11"/>
  <c r="F10"/>
  <c r="L10"/>
  <c r="L122"/>
  <c r="F122"/>
  <c r="L132"/>
  <c r="F132"/>
  <c r="L131"/>
  <c r="F131"/>
  <c r="L130"/>
  <c r="F130"/>
  <c r="L129"/>
  <c r="F129"/>
  <c r="L128"/>
  <c r="F128"/>
  <c r="L127"/>
  <c r="F127"/>
  <c r="L126"/>
  <c r="F126"/>
  <c r="L125"/>
  <c r="F125"/>
  <c r="L120"/>
  <c r="F120"/>
  <c r="L117"/>
  <c r="F117"/>
  <c r="L116"/>
  <c r="F116"/>
  <c r="L115"/>
  <c r="F115"/>
  <c r="L108"/>
  <c r="F108"/>
  <c r="F90"/>
  <c r="L90"/>
  <c r="F89"/>
  <c r="L89"/>
  <c r="F88"/>
  <c r="L88"/>
  <c r="F87"/>
  <c r="L87"/>
  <c r="F86"/>
  <c r="L86"/>
  <c r="F85"/>
  <c r="L85"/>
  <c r="F84"/>
  <c r="L84"/>
  <c r="F74"/>
  <c r="L74"/>
  <c r="F73"/>
  <c r="L73"/>
  <c r="F72"/>
  <c r="L72"/>
  <c r="L51"/>
  <c r="F51"/>
  <c r="L50"/>
  <c r="F50"/>
  <c r="M8"/>
  <c r="K8"/>
  <c r="F77"/>
  <c r="L77"/>
  <c r="F69"/>
  <c r="L69"/>
  <c r="F68"/>
  <c r="L68"/>
  <c r="F67"/>
  <c r="L67"/>
  <c r="F66"/>
  <c r="L66"/>
  <c r="F65"/>
  <c r="L65"/>
  <c r="F64"/>
  <c r="L64"/>
  <c r="F63"/>
  <c r="L63"/>
  <c r="F62"/>
  <c r="L62"/>
  <c r="F61"/>
  <c r="L61"/>
  <c r="F60"/>
  <c r="L60"/>
  <c r="F59"/>
  <c r="L59"/>
  <c r="F58"/>
  <c r="L58"/>
  <c r="F57"/>
  <c r="L57"/>
  <c r="F56"/>
  <c r="L56"/>
  <c r="F55"/>
  <c r="L55"/>
  <c r="F54"/>
  <c r="L54"/>
  <c r="F53"/>
  <c r="L53"/>
  <c r="F44"/>
  <c r="L44"/>
  <c r="L41"/>
  <c r="F41"/>
  <c r="L37"/>
  <c r="F37"/>
  <c r="L33"/>
  <c r="F33"/>
  <c r="L29"/>
  <c r="F29"/>
  <c r="L24"/>
  <c r="F24"/>
  <c r="L16"/>
  <c r="F16"/>
  <c r="L7"/>
  <c r="F7"/>
  <c r="K134"/>
  <c r="L5"/>
  <c r="F5"/>
  <c r="L26" i="3"/>
  <c r="F26"/>
  <c r="L21"/>
  <c r="F21"/>
  <c r="L17"/>
  <c r="F17"/>
  <c r="L13"/>
  <c r="F13"/>
  <c r="L9"/>
  <c r="F9"/>
  <c r="M28"/>
  <c r="L24"/>
  <c r="F24"/>
  <c r="L23"/>
  <c r="F23"/>
  <c r="L19"/>
  <c r="F19"/>
  <c r="L15"/>
  <c r="F15"/>
  <c r="L11"/>
  <c r="F11"/>
  <c r="L7"/>
  <c r="F7"/>
  <c r="L5"/>
  <c r="L28" s="1"/>
  <c r="K28"/>
  <c r="F5"/>
  <c r="F28" s="1"/>
  <c r="M77" i="4"/>
  <c r="G77"/>
  <c r="M73"/>
  <c r="G73"/>
  <c r="M41"/>
  <c r="G41"/>
  <c r="M33"/>
  <c r="G33"/>
  <c r="M7"/>
  <c r="G7"/>
  <c r="M75"/>
  <c r="G75"/>
  <c r="M63"/>
  <c r="G63"/>
  <c r="M9"/>
  <c r="G9"/>
  <c r="M72"/>
  <c r="G72"/>
  <c r="M70"/>
  <c r="G70"/>
  <c r="M65"/>
  <c r="G65"/>
  <c r="M79"/>
  <c r="M76"/>
  <c r="G76"/>
  <c r="M51"/>
  <c r="G51"/>
  <c r="M47"/>
  <c r="G47"/>
  <c r="M59"/>
  <c r="G59"/>
  <c r="M53"/>
  <c r="G53"/>
  <c r="M52"/>
  <c r="G52"/>
  <c r="M49"/>
  <c r="G49"/>
  <c r="M48"/>
  <c r="G48"/>
  <c r="M43"/>
  <c r="G43"/>
  <c r="M14"/>
  <c r="G14"/>
  <c r="M34"/>
  <c r="G34"/>
  <c r="M26"/>
  <c r="G26"/>
  <c r="M15"/>
  <c r="N13"/>
  <c r="M32"/>
  <c r="G32"/>
  <c r="M30"/>
  <c r="G30"/>
  <c r="L28"/>
  <c r="N28"/>
  <c r="M24"/>
  <c r="G24"/>
  <c r="M20"/>
  <c r="G20"/>
  <c r="M19"/>
  <c r="G19"/>
  <c r="L17"/>
  <c r="N17"/>
  <c r="I81"/>
  <c r="M6"/>
  <c r="G6"/>
  <c r="M8"/>
  <c r="G8"/>
  <c r="M71"/>
  <c r="G71"/>
  <c r="M69"/>
  <c r="G69"/>
  <c r="N64"/>
  <c r="L64"/>
  <c r="M62"/>
  <c r="G62"/>
  <c r="M78"/>
  <c r="G78"/>
  <c r="M74"/>
  <c r="G74"/>
  <c r="M61"/>
  <c r="G61"/>
  <c r="L54"/>
  <c r="N54"/>
  <c r="L50"/>
  <c r="N50"/>
  <c r="M37"/>
  <c r="G37"/>
  <c r="M35"/>
  <c r="G35"/>
  <c r="M27"/>
  <c r="G27"/>
  <c r="M38"/>
  <c r="G38"/>
  <c r="N37"/>
  <c r="H81"/>
  <c r="N5"/>
  <c r="L5"/>
  <c r="L25"/>
  <c r="N25"/>
  <c r="M16"/>
  <c r="G16"/>
  <c r="M13"/>
  <c r="N365" i="2"/>
  <c r="N314"/>
  <c r="N302"/>
  <c r="N379"/>
  <c r="N149"/>
  <c r="N143"/>
  <c r="N110"/>
  <c r="N64"/>
  <c r="N34"/>
  <c r="N90"/>
  <c r="N48"/>
  <c r="N38"/>
  <c r="N400"/>
  <c r="N396"/>
  <c r="N284"/>
  <c r="N250"/>
  <c r="N247"/>
  <c r="N225"/>
  <c r="N189"/>
  <c r="M135"/>
  <c r="G135"/>
  <c r="G132"/>
  <c r="M132"/>
  <c r="M126"/>
  <c r="G126"/>
  <c r="N281"/>
  <c r="N270"/>
  <c r="N260"/>
  <c r="N70"/>
  <c r="M400"/>
  <c r="G400"/>
  <c r="M396"/>
  <c r="G396"/>
  <c r="N268"/>
  <c r="M247"/>
  <c r="G247"/>
  <c r="M225"/>
  <c r="G225"/>
  <c r="N199"/>
  <c r="M372"/>
  <c r="G372"/>
  <c r="M350"/>
  <c r="G350"/>
  <c r="M285"/>
  <c r="G285"/>
  <c r="M278"/>
  <c r="G278"/>
  <c r="M275"/>
  <c r="G275"/>
  <c r="M205"/>
  <c r="G205"/>
  <c r="M182"/>
  <c r="G182"/>
  <c r="M155"/>
  <c r="G155"/>
  <c r="M151"/>
  <c r="G151"/>
  <c r="M100"/>
  <c r="G100"/>
  <c r="M26"/>
  <c r="G26"/>
  <c r="M366"/>
  <c r="G366"/>
  <c r="M335"/>
  <c r="G335"/>
  <c r="M330"/>
  <c r="G330"/>
  <c r="M307"/>
  <c r="G307"/>
  <c r="M213"/>
  <c r="G213"/>
  <c r="M196"/>
  <c r="G196"/>
  <c r="M120"/>
  <c r="G120"/>
  <c r="M105"/>
  <c r="G105"/>
  <c r="M40"/>
  <c r="G40"/>
  <c r="M29"/>
  <c r="G29"/>
  <c r="M403"/>
  <c r="G403"/>
  <c r="M395"/>
  <c r="G395"/>
  <c r="M393"/>
  <c r="G393"/>
  <c r="M389"/>
  <c r="G389"/>
  <c r="N389"/>
  <c r="M391"/>
  <c r="G391"/>
  <c r="G380"/>
  <c r="M380"/>
  <c r="M368"/>
  <c r="G368"/>
  <c r="M364"/>
  <c r="G364"/>
  <c r="M354"/>
  <c r="G354"/>
  <c r="N354"/>
  <c r="M323"/>
  <c r="G323"/>
  <c r="M300"/>
  <c r="G300"/>
  <c r="M329"/>
  <c r="G329"/>
  <c r="N323"/>
  <c r="M312"/>
  <c r="G312"/>
  <c r="M301"/>
  <c r="G301"/>
  <c r="N300"/>
  <c r="M287"/>
  <c r="G287"/>
  <c r="M283"/>
  <c r="G283"/>
  <c r="M272"/>
  <c r="G272"/>
  <c r="M262"/>
  <c r="G262"/>
  <c r="N283"/>
  <c r="N262"/>
  <c r="M229"/>
  <c r="G229"/>
  <c r="M223"/>
  <c r="G223"/>
  <c r="M256"/>
  <c r="G256"/>
  <c r="M253"/>
  <c r="G253"/>
  <c r="G248"/>
  <c r="M248"/>
  <c r="M241"/>
  <c r="G241"/>
  <c r="M239"/>
  <c r="G239"/>
  <c r="L235"/>
  <c r="N235"/>
  <c r="M233"/>
  <c r="G233"/>
  <c r="M232"/>
  <c r="G232"/>
  <c r="M224"/>
  <c r="G224"/>
  <c r="M221"/>
  <c r="G221"/>
  <c r="M198"/>
  <c r="G198"/>
  <c r="M194"/>
  <c r="G194"/>
  <c r="M191"/>
  <c r="G191"/>
  <c r="M188"/>
  <c r="G188"/>
  <c r="M167"/>
  <c r="G167"/>
  <c r="M164"/>
  <c r="G164"/>
  <c r="M217"/>
  <c r="G217"/>
  <c r="N198"/>
  <c r="N188"/>
  <c r="M162"/>
  <c r="G162"/>
  <c r="M71"/>
  <c r="G71"/>
  <c r="M17"/>
  <c r="G17"/>
  <c r="N191"/>
  <c r="N164"/>
  <c r="M159"/>
  <c r="G159"/>
  <c r="M147"/>
  <c r="G147"/>
  <c r="M146"/>
  <c r="G146"/>
  <c r="G142"/>
  <c r="M142"/>
  <c r="M140"/>
  <c r="G140"/>
  <c r="M139"/>
  <c r="G139"/>
  <c r="G127"/>
  <c r="M127"/>
  <c r="M113"/>
  <c r="G113"/>
  <c r="M96"/>
  <c r="G96"/>
  <c r="M83"/>
  <c r="G83"/>
  <c r="M77"/>
  <c r="G77"/>
  <c r="M74"/>
  <c r="G74"/>
  <c r="M67"/>
  <c r="G67"/>
  <c r="M62"/>
  <c r="G62"/>
  <c r="M55"/>
  <c r="G55"/>
  <c r="M50"/>
  <c r="G50"/>
  <c r="M44"/>
  <c r="G44"/>
  <c r="M16"/>
  <c r="G16"/>
  <c r="M10"/>
  <c r="G10"/>
  <c r="M92"/>
  <c r="G92"/>
  <c r="M85"/>
  <c r="G85"/>
  <c r="M57"/>
  <c r="G57"/>
  <c r="N50"/>
  <c r="N96"/>
  <c r="M78"/>
  <c r="G78"/>
  <c r="M56"/>
  <c r="G56"/>
  <c r="N55"/>
  <c r="N16"/>
  <c r="M8"/>
  <c r="G8"/>
  <c r="H412"/>
  <c r="M399"/>
  <c r="G399"/>
  <c r="M387"/>
  <c r="G387"/>
  <c r="N393"/>
  <c r="N387"/>
  <c r="G381"/>
  <c r="M381"/>
  <c r="M379"/>
  <c r="G379"/>
  <c r="M367"/>
  <c r="G367"/>
  <c r="M365"/>
  <c r="G365"/>
  <c r="M356"/>
  <c r="G356"/>
  <c r="N368"/>
  <c r="N364"/>
  <c r="N367"/>
  <c r="N356"/>
  <c r="M339"/>
  <c r="G339"/>
  <c r="M327"/>
  <c r="G327"/>
  <c r="M318"/>
  <c r="G318"/>
  <c r="M314"/>
  <c r="G314"/>
  <c r="M310"/>
  <c r="G310"/>
  <c r="M305"/>
  <c r="G305"/>
  <c r="M302"/>
  <c r="G302"/>
  <c r="N339"/>
  <c r="N318"/>
  <c r="N310"/>
  <c r="M336"/>
  <c r="G336"/>
  <c r="N327"/>
  <c r="M306"/>
  <c r="G306"/>
  <c r="N305"/>
  <c r="M297"/>
  <c r="G297"/>
  <c r="M281"/>
  <c r="G281"/>
  <c r="M270"/>
  <c r="G270"/>
  <c r="M265"/>
  <c r="G265"/>
  <c r="M260"/>
  <c r="G260"/>
  <c r="N287"/>
  <c r="N265"/>
  <c r="N259"/>
  <c r="M276"/>
  <c r="G276"/>
  <c r="N272"/>
  <c r="M264"/>
  <c r="G264"/>
  <c r="M259"/>
  <c r="N253"/>
  <c r="M246"/>
  <c r="G246"/>
  <c r="N242"/>
  <c r="L242"/>
  <c r="G234"/>
  <c r="M234"/>
  <c r="M210"/>
  <c r="G210"/>
  <c r="M207"/>
  <c r="G207"/>
  <c r="M202"/>
  <c r="G202"/>
  <c r="M186"/>
  <c r="G186"/>
  <c r="M149"/>
  <c r="G149"/>
  <c r="N207"/>
  <c r="N194"/>
  <c r="M183"/>
  <c r="G183"/>
  <c r="N167"/>
  <c r="M143"/>
  <c r="G143"/>
  <c r="M129"/>
  <c r="G129"/>
  <c r="M118"/>
  <c r="G118"/>
  <c r="M35"/>
  <c r="M211"/>
  <c r="G211"/>
  <c r="N210"/>
  <c r="M197"/>
  <c r="G197"/>
  <c r="M152"/>
  <c r="G141"/>
  <c r="M141"/>
  <c r="N136"/>
  <c r="L136"/>
  <c r="M131"/>
  <c r="G131"/>
  <c r="M124"/>
  <c r="G124"/>
  <c r="M115"/>
  <c r="G115"/>
  <c r="M110"/>
  <c r="G110"/>
  <c r="M94"/>
  <c r="G94"/>
  <c r="M90"/>
  <c r="G90"/>
  <c r="M70"/>
  <c r="G70"/>
  <c r="M64"/>
  <c r="G64"/>
  <c r="M58"/>
  <c r="G58"/>
  <c r="M48"/>
  <c r="G48"/>
  <c r="M38"/>
  <c r="G38"/>
  <c r="M34"/>
  <c r="G34"/>
  <c r="M21"/>
  <c r="G21"/>
  <c r="M12"/>
  <c r="G12"/>
  <c r="I412"/>
  <c r="L5"/>
  <c r="N113"/>
  <c r="N94"/>
  <c r="N67"/>
  <c r="N58"/>
  <c r="N44"/>
  <c r="M32"/>
  <c r="G32"/>
  <c r="N115"/>
  <c r="M107"/>
  <c r="G107"/>
  <c r="M102"/>
  <c r="G102"/>
  <c r="N83"/>
  <c r="N74"/>
  <c r="M66"/>
  <c r="G66"/>
  <c r="M63"/>
  <c r="G63"/>
  <c r="N62"/>
  <c r="M42"/>
  <c r="G42"/>
  <c r="M28"/>
  <c r="G28"/>
  <c r="M22"/>
  <c r="G22"/>
  <c r="N21"/>
  <c r="N12"/>
  <c r="M29" i="1"/>
  <c r="G29"/>
  <c r="N32"/>
  <c r="Q27"/>
  <c r="Q32" s="1"/>
  <c r="G15"/>
  <c r="M15"/>
  <c r="G13"/>
  <c r="M13"/>
  <c r="G11"/>
  <c r="M11"/>
  <c r="G9"/>
  <c r="M9"/>
  <c r="M8"/>
  <c r="G8"/>
  <c r="M6"/>
  <c r="G6"/>
  <c r="H17"/>
  <c r="L5"/>
  <c r="I17"/>
  <c r="M30"/>
  <c r="G30"/>
  <c r="M28"/>
  <c r="G28"/>
  <c r="L32"/>
  <c r="M27"/>
  <c r="M32" s="1"/>
  <c r="G27"/>
  <c r="G32" s="1"/>
  <c r="G14"/>
  <c r="M14"/>
  <c r="G12"/>
  <c r="M12"/>
  <c r="G10"/>
  <c r="M10"/>
  <c r="N5"/>
  <c r="N8"/>
  <c r="Q8" s="1"/>
  <c r="N6"/>
  <c r="Q6" s="1"/>
  <c r="L134" i="5" l="1"/>
  <c r="L8"/>
  <c r="F8"/>
  <c r="F134" s="1"/>
  <c r="M134"/>
  <c r="L81" i="4"/>
  <c r="M5"/>
  <c r="G5"/>
  <c r="M64"/>
  <c r="G64"/>
  <c r="M17"/>
  <c r="G17"/>
  <c r="M28"/>
  <c r="G28"/>
  <c r="M25"/>
  <c r="G25"/>
  <c r="N81"/>
  <c r="M50"/>
  <c r="G50"/>
  <c r="M54"/>
  <c r="G54"/>
  <c r="L412" i="2"/>
  <c r="M5"/>
  <c r="G5"/>
  <c r="G136"/>
  <c r="M136"/>
  <c r="G242"/>
  <c r="M242"/>
  <c r="N412"/>
  <c r="M235"/>
  <c r="G235"/>
  <c r="L17" i="1"/>
  <c r="M5"/>
  <c r="M17" s="1"/>
  <c r="G5"/>
  <c r="G17" s="1"/>
  <c r="N17"/>
  <c r="Q5"/>
  <c r="Q17" s="1"/>
  <c r="G81" i="4" l="1"/>
  <c r="M81"/>
  <c r="M412" i="2"/>
  <c r="G412"/>
</calcChain>
</file>

<file path=xl/sharedStrings.xml><?xml version="1.0" encoding="utf-8"?>
<sst xmlns="http://schemas.openxmlformats.org/spreadsheetml/2006/main" count="3120" uniqueCount="1780">
  <si>
    <t>KOPERASI KARYAWAN BCA " MITRA SEJAHTERA " SURABAYA</t>
  </si>
  <si>
    <t>DAFTAR PINJAMAN NORMATIF BARU TGL 23-28 PEBRUARI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</si>
  <si>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</si>
  <si>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</si>
  <si>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</si>
  <si>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</si>
  <si>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</si>
  <si>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</si>
  <si>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</si>
  <si>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</si>
  <si>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</si>
  <si>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</si>
  <si>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</si>
  <si>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</si>
  <si>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</si>
  <si>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</si>
  <si>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</si>
  <si>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</si>
  <si>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</si>
  <si>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</si>
  <si>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</si>
  <si>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THOMAS VILLANOVA M</t>
  </si>
  <si>
    <t>975336</t>
  </si>
  <si>
    <t>001676</t>
  </si>
  <si>
    <t>BCA GALAXY</t>
  </si>
  <si>
    <t>RECOVERY NORMATIF</t>
  </si>
  <si>
    <t>WARDA ROSITA</t>
  </si>
  <si>
    <t>920914</t>
  </si>
  <si>
    <t>002593</t>
  </si>
  <si>
    <t>BCA KERTOPATEN</t>
  </si>
  <si>
    <t>SELVI KARTIKA</t>
  </si>
  <si>
    <t>020377</t>
  </si>
  <si>
    <t>004131</t>
  </si>
  <si>
    <t>BCA PSR ATUM</t>
  </si>
  <si>
    <t>ENDANG TRI P</t>
  </si>
  <si>
    <t>912470</t>
  </si>
  <si>
    <t>001419</t>
  </si>
  <si>
    <t>BCA JOMBANG</t>
  </si>
  <si>
    <t>ERLINA YULI A</t>
  </si>
  <si>
    <t>901042</t>
  </si>
  <si>
    <t>001953</t>
  </si>
  <si>
    <t>BCA SAMPANG</t>
  </si>
  <si>
    <t>AGUS BUDIYONO</t>
  </si>
  <si>
    <t>902874</t>
  </si>
  <si>
    <t>002403</t>
  </si>
  <si>
    <t>BCA INDRAPURA</t>
  </si>
  <si>
    <t>KUSWANDI</t>
  </si>
  <si>
    <t>900835</t>
  </si>
  <si>
    <t>002349</t>
  </si>
  <si>
    <t>AGT LUAR BIASA</t>
  </si>
  <si>
    <t>PIJ NORM TMBHAN</t>
  </si>
  <si>
    <t>MOCH ZAINURI</t>
  </si>
  <si>
    <t>059554</t>
  </si>
  <si>
    <t>001891</t>
  </si>
  <si>
    <t>BCA SIMPANG DARMO</t>
  </si>
  <si>
    <t>PIJ NORM</t>
  </si>
  <si>
    <t>ACHMADOER RIFAI</t>
  </si>
  <si>
    <t>974611</t>
  </si>
  <si>
    <t>002305</t>
  </si>
  <si>
    <t>BCA GRESIK</t>
  </si>
  <si>
    <t>KARINA SANDRA</t>
  </si>
  <si>
    <t>056045</t>
  </si>
  <si>
    <t>002279</t>
  </si>
  <si>
    <t>SLK KW 3 DARMO</t>
  </si>
  <si>
    <t>BUDI SETYANINGSIH</t>
  </si>
  <si>
    <t>901041</t>
  </si>
  <si>
    <t>008513</t>
  </si>
  <si>
    <t>BCA BANGKALAN</t>
  </si>
  <si>
    <t>POT BNS APRIL'18</t>
  </si>
  <si>
    <t>POT THR'18</t>
  </si>
  <si>
    <t>POT TAT'18</t>
  </si>
  <si>
    <t>DAFTAR PINJAMAN BARANG DAN SEPEDA MOTOR HONDA TGL 23-28 PEBRUARI 2018 (SETELAH UPLOAD)</t>
  </si>
  <si>
    <t>NO FORM</t>
  </si>
  <si>
    <t>DAFTAR PINJAMAN PREMI ASURANSI SEPEDA MOTOR TGL 23-28 PEBRUARI 2018 (SETELAH UPLOAD)</t>
  </si>
  <si>
    <t>POT BONUS APRIL 2018</t>
  </si>
  <si>
    <t>POT THR 2018</t>
  </si>
  <si>
    <t>POT TAT 2018</t>
  </si>
  <si>
    <t>DAFTAR PINJAMAN NORMATIF TGL 23-28 PEBRUARI 2018 (SETELAH UPLOAD)</t>
  </si>
  <si>
    <t>ANGS/</t>
  </si>
  <si>
    <t>BCA CABANG</t>
  </si>
  <si>
    <t>KETERANGAN</t>
  </si>
  <si>
    <t>BULAN</t>
  </si>
  <si>
    <t>YETTY HARYATI</t>
  </si>
  <si>
    <t>000003</t>
  </si>
  <si>
    <t>010179</t>
  </si>
  <si>
    <t>BCA RUNGKUT</t>
  </si>
  <si>
    <t>NORM</t>
  </si>
  <si>
    <t>FRANCISCA SANUSI</t>
  </si>
  <si>
    <t>000130</t>
  </si>
  <si>
    <t>24</t>
  </si>
  <si>
    <t>NI KETUT DEWI S</t>
  </si>
  <si>
    <t>000775</t>
  </si>
  <si>
    <t>009793</t>
  </si>
  <si>
    <t>BCA TPI</t>
  </si>
  <si>
    <t>RECOVERY PIJ NORM</t>
  </si>
  <si>
    <t>ERSISTA ADRIANI</t>
  </si>
  <si>
    <t>001854</t>
  </si>
  <si>
    <t>DEVINA KARUNIAWATY</t>
  </si>
  <si>
    <t>003614</t>
  </si>
  <si>
    <t>36</t>
  </si>
  <si>
    <t>BCA M. DURYAT</t>
  </si>
  <si>
    <t>RECOVERY NOR</t>
  </si>
  <si>
    <t>IFAN ARFIJANTO</t>
  </si>
  <si>
    <t>005880</t>
  </si>
  <si>
    <t>002142</t>
  </si>
  <si>
    <t>BCA KMBG JEPUN</t>
  </si>
  <si>
    <t>HUSEN</t>
  </si>
  <si>
    <t>005939</t>
  </si>
  <si>
    <t>KEU KW 3 BCA DARMO</t>
  </si>
  <si>
    <t>ENDANG WINASTUTI</t>
  </si>
  <si>
    <t>006025</t>
  </si>
  <si>
    <t>KCP GOCI</t>
  </si>
  <si>
    <t>RECOVERY NORM</t>
  </si>
  <si>
    <t>MURIYANTI HARTINI</t>
  </si>
  <si>
    <t>006039</t>
  </si>
  <si>
    <t>LOG KW3 DARMO</t>
  </si>
  <si>
    <t>NETI</t>
  </si>
  <si>
    <t>006060</t>
  </si>
  <si>
    <t>KCU HR MUH</t>
  </si>
  <si>
    <t>FREDDY KHORINTIUS</t>
  </si>
  <si>
    <t>006219</t>
  </si>
  <si>
    <t>002028</t>
  </si>
  <si>
    <t>BO BCA HR MUH</t>
  </si>
  <si>
    <t>YULI DWI H</t>
  </si>
  <si>
    <t>007044</t>
  </si>
  <si>
    <t>001397</t>
  </si>
  <si>
    <t>LOG KW 3 DARMO</t>
  </si>
  <si>
    <t>PINJAMAN NORM TMBHAN</t>
  </si>
  <si>
    <t>001366</t>
  </si>
  <si>
    <t>LUSIANA KURNIAWATI</t>
  </si>
  <si>
    <t>007326</t>
  </si>
  <si>
    <t>010281</t>
  </si>
  <si>
    <t>BCA SEMARANG</t>
  </si>
  <si>
    <t>TOMMY ALFAN</t>
  </si>
  <si>
    <t>008887</t>
  </si>
  <si>
    <t>006083</t>
  </si>
  <si>
    <t>INEKE COBO R</t>
  </si>
  <si>
    <t>008888</t>
  </si>
  <si>
    <t>002278</t>
  </si>
  <si>
    <t>BCA KPS KRMPUNG</t>
  </si>
  <si>
    <t>AGUS ADMAJA</t>
  </si>
  <si>
    <t>009674</t>
  </si>
  <si>
    <t>30</t>
  </si>
  <si>
    <t>SOY KW3 DARMO</t>
  </si>
  <si>
    <t>001721</t>
  </si>
  <si>
    <t>SOY KW 2 BCA DARMO</t>
  </si>
  <si>
    <t>NORM TAMBAHAN</t>
  </si>
  <si>
    <t>ELLYDA YULIAWATI</t>
  </si>
  <si>
    <t>009682</t>
  </si>
  <si>
    <t>KCU BANGKALAN</t>
  </si>
  <si>
    <t>AGNES WIDYARTI</t>
  </si>
  <si>
    <t>010037</t>
  </si>
  <si>
    <t>K3S GALAXY</t>
  </si>
  <si>
    <t>FARID CUNONG</t>
  </si>
  <si>
    <t>010121</t>
  </si>
  <si>
    <t>009564</t>
  </si>
  <si>
    <t>ATM KW 3 BCA DARMO</t>
  </si>
  <si>
    <t>HENGKY. D.A</t>
  </si>
  <si>
    <t>010186</t>
  </si>
  <si>
    <t>008743</t>
  </si>
  <si>
    <t>BCA TUBAN</t>
  </si>
  <si>
    <t>SOEGIHARTO</t>
  </si>
  <si>
    <t>010313</t>
  </si>
  <si>
    <t>010286</t>
  </si>
  <si>
    <t>BCA NGAGEL JAYA SLTN</t>
  </si>
  <si>
    <t>009925</t>
  </si>
  <si>
    <t>BCA NGAGEL JAYA</t>
  </si>
  <si>
    <t>PIJ NORM TMBHN</t>
  </si>
  <si>
    <t>TITIK NUR WAHYUNINGSIH</t>
  </si>
  <si>
    <t>010314</t>
  </si>
  <si>
    <t>008346</t>
  </si>
  <si>
    <t>SLK KW3 DARMO</t>
  </si>
  <si>
    <t>MARYANTI N</t>
  </si>
  <si>
    <t>010385</t>
  </si>
  <si>
    <t>010320</t>
  </si>
  <si>
    <t>INDAH SULISTYANINGATI</t>
  </si>
  <si>
    <t>010403</t>
  </si>
  <si>
    <t>010005</t>
  </si>
  <si>
    <t>NORM TMBHN</t>
  </si>
  <si>
    <t>RESCEDULE NORM</t>
  </si>
  <si>
    <t>NURRAJEPIN</t>
  </si>
  <si>
    <t>010521</t>
  </si>
  <si>
    <t>001396</t>
  </si>
  <si>
    <t>NORMATIF</t>
  </si>
  <si>
    <t>ISPARINA TRI AGUSTIN</t>
  </si>
  <si>
    <t>040310</t>
  </si>
  <si>
    <t>KARY KOP</t>
  </si>
  <si>
    <t>RECOVERY</t>
  </si>
  <si>
    <t>IGNASIA MILKA G</t>
  </si>
  <si>
    <t>050374</t>
  </si>
  <si>
    <t>002092</t>
  </si>
  <si>
    <t>BCA DARMO</t>
  </si>
  <si>
    <t>RAGA TAUFANI</t>
  </si>
  <si>
    <t>050958</t>
  </si>
  <si>
    <t>008642</t>
  </si>
  <si>
    <t>KEF BCA VETERAN</t>
  </si>
  <si>
    <t>LEONARD SANTOSO</t>
  </si>
  <si>
    <t>050996</t>
  </si>
  <si>
    <t>009838</t>
  </si>
  <si>
    <t>AO BCA INDRAPURA</t>
  </si>
  <si>
    <t>DAVID ARIANTO</t>
  </si>
  <si>
    <t>051117</t>
  </si>
  <si>
    <t>009200</t>
  </si>
  <si>
    <t>GARK SBY</t>
  </si>
  <si>
    <t>RIA APRILIYANA</t>
  </si>
  <si>
    <t>051237</t>
  </si>
  <si>
    <t>001368</t>
  </si>
  <si>
    <t>SBK KW 3 DARMO</t>
  </si>
  <si>
    <t>FARDIAN ELVISTIARSO</t>
  </si>
  <si>
    <t>051366</t>
  </si>
  <si>
    <t>001339</t>
  </si>
  <si>
    <t>GARK KW3 DARMO</t>
  </si>
  <si>
    <t>EKA WILIS D</t>
  </si>
  <si>
    <t>051584</t>
  </si>
  <si>
    <t>KCU GRESIK</t>
  </si>
  <si>
    <t>RECOVERY PINJ NOR</t>
  </si>
  <si>
    <t>SRI SURYANI P</t>
  </si>
  <si>
    <t>052323</t>
  </si>
  <si>
    <t>008732</t>
  </si>
  <si>
    <t>PENDK OPS BCA TUBAN</t>
  </si>
  <si>
    <t>DIAN ALIT PRAYITNA</t>
  </si>
  <si>
    <t>052422</t>
  </si>
  <si>
    <t>INDAH SULUSIYAH</t>
  </si>
  <si>
    <t>052444</t>
  </si>
  <si>
    <t>009324</t>
  </si>
  <si>
    <t>BCA HR MUH</t>
  </si>
  <si>
    <t>TYAS RADITA I</t>
  </si>
  <si>
    <t>053343</t>
  </si>
  <si>
    <t>KCU GRS</t>
  </si>
  <si>
    <t>JAMES FRANSIADE R.M</t>
  </si>
  <si>
    <t>053414</t>
  </si>
  <si>
    <t>008980</t>
  </si>
  <si>
    <t>BCA VETERAN</t>
  </si>
  <si>
    <t>ASTRI MERANTI</t>
  </si>
  <si>
    <t>053521</t>
  </si>
  <si>
    <t>002050</t>
  </si>
  <si>
    <t>K3S KW 3 SBY</t>
  </si>
  <si>
    <t>AGUS PUTRI MADHU</t>
  </si>
  <si>
    <t>053564</t>
  </si>
  <si>
    <t>002143</t>
  </si>
  <si>
    <t>KFCC SBY</t>
  </si>
  <si>
    <t>FERDY WIDJAJA</t>
  </si>
  <si>
    <t>053749</t>
  </si>
  <si>
    <t>002048</t>
  </si>
  <si>
    <t>WAHYU AGUNG P</t>
  </si>
  <si>
    <t>053816</t>
  </si>
  <si>
    <t>BCA SEPANJANG</t>
  </si>
  <si>
    <t>SURAYA S UTAMI</t>
  </si>
  <si>
    <t>053839</t>
  </si>
  <si>
    <t>010225</t>
  </si>
  <si>
    <t>FRIDA IKA R</t>
  </si>
  <si>
    <t>054128</t>
  </si>
  <si>
    <t>001326</t>
  </si>
  <si>
    <t>AO BCA SIDOARJO</t>
  </si>
  <si>
    <t>DANIK SEPTA PRATIWI</t>
  </si>
  <si>
    <t>054321</t>
  </si>
  <si>
    <t>BCA MJKERTO</t>
  </si>
  <si>
    <t>DIAN ERLINDA A</t>
  </si>
  <si>
    <t>054402</t>
  </si>
  <si>
    <t>001680</t>
  </si>
  <si>
    <t>ARIA HENGKY P</t>
  </si>
  <si>
    <t>054479</t>
  </si>
  <si>
    <t>008665</t>
  </si>
  <si>
    <t>DESY WAHYU S</t>
  </si>
  <si>
    <t>054483</t>
  </si>
  <si>
    <t>001295</t>
  </si>
  <si>
    <t>RINDA ASTRI W</t>
  </si>
  <si>
    <t>054501</t>
  </si>
  <si>
    <t>009795</t>
  </si>
  <si>
    <t>CS BCA PERAK BARAT</t>
  </si>
  <si>
    <t>YUYUN MARDHIANA</t>
  </si>
  <si>
    <t>054651</t>
  </si>
  <si>
    <t>010007</t>
  </si>
  <si>
    <t>BCA KPS KRMPG</t>
  </si>
  <si>
    <t>YETTY FEBRINA</t>
  </si>
  <si>
    <t>054778</t>
  </si>
  <si>
    <t>TELER BCA PSR ATUM</t>
  </si>
  <si>
    <t>AYIK SYAHBANA</t>
  </si>
  <si>
    <t>054837</t>
  </si>
  <si>
    <t>MARIA CHRISTANTY P</t>
  </si>
  <si>
    <t>054853</t>
  </si>
  <si>
    <t>010033</t>
  </si>
  <si>
    <t>BCA MY SUNGKONO</t>
  </si>
  <si>
    <t>ELVANDARI Y</t>
  </si>
  <si>
    <t>055026</t>
  </si>
  <si>
    <t>001751</t>
  </si>
  <si>
    <t>OKSITA MAULANIH</t>
  </si>
  <si>
    <t>055068</t>
  </si>
  <si>
    <t>009697</t>
  </si>
  <si>
    <t>K3S SBY</t>
  </si>
  <si>
    <t>AVIAN YOES H</t>
  </si>
  <si>
    <t>055148</t>
  </si>
  <si>
    <t>008811</t>
  </si>
  <si>
    <t>KEF KK GRAHA NIAGA</t>
  </si>
  <si>
    <t>HENITA</t>
  </si>
  <si>
    <t>055158</t>
  </si>
  <si>
    <t>001752</t>
  </si>
  <si>
    <t>BCA DIPONEGORO</t>
  </si>
  <si>
    <t>MIFTAHUDDIN</t>
  </si>
  <si>
    <t>055165</t>
  </si>
  <si>
    <t>008656</t>
  </si>
  <si>
    <t>ELISABETH LISTIANI</t>
  </si>
  <si>
    <t>055426</t>
  </si>
  <si>
    <t>BCA TIDAR</t>
  </si>
  <si>
    <t>RESTIE PRATANTINA</t>
  </si>
  <si>
    <t>055438</t>
  </si>
  <si>
    <t>009369</t>
  </si>
  <si>
    <t>HANSEL WILLIAM</t>
  </si>
  <si>
    <t>055633</t>
  </si>
  <si>
    <t>009175</t>
  </si>
  <si>
    <t>HEPTA SANTOSO</t>
  </si>
  <si>
    <t>055802</t>
  </si>
  <si>
    <t>001832</t>
  </si>
  <si>
    <t>MOCH AGUS NUR RIFAI</t>
  </si>
  <si>
    <t>055816</t>
  </si>
  <si>
    <t>006929</t>
  </si>
  <si>
    <t>INDRA PURWONINGSIH</t>
  </si>
  <si>
    <t>055887</t>
  </si>
  <si>
    <t>KCU TUBAN</t>
  </si>
  <si>
    <t>SHENDY ANGELINA M</t>
  </si>
  <si>
    <t>055892</t>
  </si>
  <si>
    <t>010344</t>
  </si>
  <si>
    <t>RECOVERY PIJ DILUAR NORM</t>
  </si>
  <si>
    <t>AFRIA SUKARTINI</t>
  </si>
  <si>
    <t>056015</t>
  </si>
  <si>
    <t>005367</t>
  </si>
  <si>
    <t>TELLER BCA PSR ATUM</t>
  </si>
  <si>
    <t>ANTONIUS MARYANTO</t>
  </si>
  <si>
    <t>056017</t>
  </si>
  <si>
    <t>008473</t>
  </si>
  <si>
    <t>BCA SIDOARJO</t>
  </si>
  <si>
    <t>CINDY KURNIA DEWI</t>
  </si>
  <si>
    <t>056023</t>
  </si>
  <si>
    <t>009878</t>
  </si>
  <si>
    <t>KEF BCA DARMO</t>
  </si>
  <si>
    <t>IMAM TAUFIK</t>
  </si>
  <si>
    <t>056142</t>
  </si>
  <si>
    <t>010074</t>
  </si>
  <si>
    <t>SOY KW 3 BCA DARMO</t>
  </si>
  <si>
    <t>FRITA YUNINGTYAS</t>
  </si>
  <si>
    <t>056173</t>
  </si>
  <si>
    <t>009572</t>
  </si>
  <si>
    <t>CSO PRIO MOJOKERTO</t>
  </si>
  <si>
    <t>GEOVANI Y</t>
  </si>
  <si>
    <t>056301</t>
  </si>
  <si>
    <t>001483</t>
  </si>
  <si>
    <t>BCA CITRALAND</t>
  </si>
  <si>
    <t>RIZZA RAHMAWATI</t>
  </si>
  <si>
    <t>056306</t>
  </si>
  <si>
    <t>007534</t>
  </si>
  <si>
    <t>BCA LAMONGAN</t>
  </si>
  <si>
    <t>PINJ NORM</t>
  </si>
  <si>
    <t>NOVI SETIA H</t>
  </si>
  <si>
    <t>056417</t>
  </si>
  <si>
    <t>009860</t>
  </si>
  <si>
    <t>BCA MOJOAGUNG</t>
  </si>
  <si>
    <t>DWI SUHARYADI</t>
  </si>
  <si>
    <t>056710</t>
  </si>
  <si>
    <t>001657</t>
  </si>
  <si>
    <t>KEF K3S SBY</t>
  </si>
  <si>
    <t>DWIAZZA GADITYA P</t>
  </si>
  <si>
    <t>057001</t>
  </si>
  <si>
    <t>008703</t>
  </si>
  <si>
    <t>K3S SURABAYA</t>
  </si>
  <si>
    <t>DIAH NINGRUM ASTUTI</t>
  </si>
  <si>
    <t>057125</t>
  </si>
  <si>
    <t>KCU DARMO</t>
  </si>
  <si>
    <t>FRANSISCUS ANDY TEGUH</t>
  </si>
  <si>
    <t>057141</t>
  </si>
  <si>
    <t>KCU SIDOARJO</t>
  </si>
  <si>
    <t>RESTI AYU S</t>
  </si>
  <si>
    <t>057153</t>
  </si>
  <si>
    <t>001820</t>
  </si>
  <si>
    <t>WAHYU SETYORINI</t>
  </si>
  <si>
    <t>057159</t>
  </si>
  <si>
    <t>001505</t>
  </si>
  <si>
    <t>BCA GOLDEN CITY</t>
  </si>
  <si>
    <t>ZUMARATUS SAADAH</t>
  </si>
  <si>
    <t>057162</t>
  </si>
  <si>
    <t>004336</t>
  </si>
  <si>
    <t>KEF BCA MANYAR</t>
  </si>
  <si>
    <t>SHINTA ANGGRAINI</t>
  </si>
  <si>
    <t>057700</t>
  </si>
  <si>
    <t>010138</t>
  </si>
  <si>
    <t>ANISA MELATI AYU</t>
  </si>
  <si>
    <t>058503</t>
  </si>
  <si>
    <t>KEF TELLER KCU RUNGKUT</t>
  </si>
  <si>
    <t>ANISA MELATI AYU.A</t>
  </si>
  <si>
    <t>007977</t>
  </si>
  <si>
    <t>TELLER BCA RUNGKUT</t>
  </si>
  <si>
    <t>DYAH WULANSARI</t>
  </si>
  <si>
    <t>058518</t>
  </si>
  <si>
    <t>009835</t>
  </si>
  <si>
    <t>CSO BCA PTC</t>
  </si>
  <si>
    <t>LIA RISQIANA</t>
  </si>
  <si>
    <t>058530</t>
  </si>
  <si>
    <t>010227</t>
  </si>
  <si>
    <t>SYLVIA INDRASARI</t>
  </si>
  <si>
    <t>058814</t>
  </si>
  <si>
    <t>008537</t>
  </si>
  <si>
    <t>BCA MJK</t>
  </si>
  <si>
    <t>RISKA GILDHA</t>
  </si>
  <si>
    <t>059166</t>
  </si>
  <si>
    <t>009183</t>
  </si>
  <si>
    <t>RACHMAWATI AZKA P</t>
  </si>
  <si>
    <t>059446</t>
  </si>
  <si>
    <t>18</t>
  </si>
  <si>
    <t>BCA RUNGKUT MEGAH</t>
  </si>
  <si>
    <t>LILLA SALSABILA I</t>
  </si>
  <si>
    <t>059551</t>
  </si>
  <si>
    <t>009913</t>
  </si>
  <si>
    <t>KEF BCA SEPANJANG</t>
  </si>
  <si>
    <t>NIA MIRYANTI</t>
  </si>
  <si>
    <t>059556</t>
  </si>
  <si>
    <t>006406</t>
  </si>
  <si>
    <t>CSO BCA JOMBANG</t>
  </si>
  <si>
    <t>RECOVERY PINJ NORM</t>
  </si>
  <si>
    <t>AMALIA VERISKA</t>
  </si>
  <si>
    <t>060153</t>
  </si>
  <si>
    <t>001748</t>
  </si>
  <si>
    <t>INDRA ENDHIKA</t>
  </si>
  <si>
    <t>060165</t>
  </si>
  <si>
    <t>DISTY ANGGRAIKA</t>
  </si>
  <si>
    <t>060204</t>
  </si>
  <si>
    <t>002151</t>
  </si>
  <si>
    <t>NIKEN RAHAYU PRIHASTUTI</t>
  </si>
  <si>
    <t>060219</t>
  </si>
  <si>
    <t>KCP SUNGKONO</t>
  </si>
  <si>
    <t>NOR</t>
  </si>
  <si>
    <t>RANI FRISCA C</t>
  </si>
  <si>
    <t>060220</t>
  </si>
  <si>
    <t>009912</t>
  </si>
  <si>
    <t>IRMALA YUNIARSASI</t>
  </si>
  <si>
    <t>060309</t>
  </si>
  <si>
    <t>009963</t>
  </si>
  <si>
    <t>NUR ASIYAH JAMIL</t>
  </si>
  <si>
    <t>060790</t>
  </si>
  <si>
    <t>AYU FITRIANI</t>
  </si>
  <si>
    <t>061006</t>
  </si>
  <si>
    <t>001699</t>
  </si>
  <si>
    <t>KEF BCA MAKRO PPLEGI</t>
  </si>
  <si>
    <t>DERINA AVIANDRI K</t>
  </si>
  <si>
    <t>061040</t>
  </si>
  <si>
    <t>008949</t>
  </si>
  <si>
    <t>BCA GEDANGAN</t>
  </si>
  <si>
    <t>ERRICA DESI RACHMAWATI</t>
  </si>
  <si>
    <t>061044</t>
  </si>
  <si>
    <t>008532</t>
  </si>
  <si>
    <t>NILSEN SILVIA D</t>
  </si>
  <si>
    <t>061060</t>
  </si>
  <si>
    <t>RIA VIRGIA VERONICA</t>
  </si>
  <si>
    <t>061097</t>
  </si>
  <si>
    <t>BCA JUANDA</t>
  </si>
  <si>
    <t>LUVI MARIANA</t>
  </si>
  <si>
    <t>061621</t>
  </si>
  <si>
    <t>010254</t>
  </si>
  <si>
    <t>FREESI FRIANA</t>
  </si>
  <si>
    <t>061860</t>
  </si>
  <si>
    <t>009950</t>
  </si>
  <si>
    <t>RADIKTYA INDRA P</t>
  </si>
  <si>
    <t>062284</t>
  </si>
  <si>
    <t>009112</t>
  </si>
  <si>
    <t>NUR FITRIA M</t>
  </si>
  <si>
    <t>062308</t>
  </si>
  <si>
    <t>007533</t>
  </si>
  <si>
    <t>CSO BCA LAMONGAN</t>
  </si>
  <si>
    <t>ARISKA YOGA</t>
  </si>
  <si>
    <t>063034</t>
  </si>
  <si>
    <t>001523</t>
  </si>
  <si>
    <t>KTR KAS LIDAH WETAN</t>
  </si>
  <si>
    <t>FRISKA AMALIA</t>
  </si>
  <si>
    <t>063179</t>
  </si>
  <si>
    <t>009620</t>
  </si>
  <si>
    <t>KEU KW3 BCA DARMO</t>
  </si>
  <si>
    <t>DINDA AYU P</t>
  </si>
  <si>
    <t>063483</t>
  </si>
  <si>
    <t>009899</t>
  </si>
  <si>
    <t>SLA KANWIL 3 BCA DARMO</t>
  </si>
  <si>
    <t>SUGENG PURNOMO</t>
  </si>
  <si>
    <t>101011</t>
  </si>
  <si>
    <t>001875</t>
  </si>
  <si>
    <t>KARYAWAN KOPERASI</t>
  </si>
  <si>
    <t>KASIADI</t>
  </si>
  <si>
    <t>885157</t>
  </si>
  <si>
    <t>009554</t>
  </si>
  <si>
    <t>NOERLITA SWANDAYANI</t>
  </si>
  <si>
    <t>885399</t>
  </si>
  <si>
    <t>006810</t>
  </si>
  <si>
    <t>KK LARANGAN</t>
  </si>
  <si>
    <t>MEILIJAWATI</t>
  </si>
  <si>
    <t>885468</t>
  </si>
  <si>
    <t>KCU MJK</t>
  </si>
  <si>
    <t>MIRA ISMAWATI</t>
  </si>
  <si>
    <t>885814</t>
  </si>
  <si>
    <t>PSDM KW 3 DARMO</t>
  </si>
  <si>
    <t>CHARLOTTE TRIAS M</t>
  </si>
  <si>
    <t>896058</t>
  </si>
  <si>
    <t>009033</t>
  </si>
  <si>
    <t>MURDIANTO</t>
  </si>
  <si>
    <t>896947</t>
  </si>
  <si>
    <t>001638</t>
  </si>
  <si>
    <t>PRAMUKARYA VETERAN</t>
  </si>
  <si>
    <t>EDI PURWOKO</t>
  </si>
  <si>
    <t>897646</t>
  </si>
  <si>
    <t>001550</t>
  </si>
  <si>
    <t>BCA BABAT</t>
  </si>
  <si>
    <t>INA KARTIKA</t>
  </si>
  <si>
    <t>897665</t>
  </si>
  <si>
    <t>KCU VETERAN</t>
  </si>
  <si>
    <t>MUCHAMAD MUSLIM</t>
  </si>
  <si>
    <t>897667</t>
  </si>
  <si>
    <t>KCP LAMONGAN</t>
  </si>
  <si>
    <t>SUDARTO</t>
  </si>
  <si>
    <t>897865</t>
  </si>
  <si>
    <t>009578</t>
  </si>
  <si>
    <t>SIAMAH</t>
  </si>
  <si>
    <t>897876</t>
  </si>
  <si>
    <t>008526</t>
  </si>
  <si>
    <t>BCA KAPASAN</t>
  </si>
  <si>
    <t>IDA TARIDA</t>
  </si>
  <si>
    <t>898027</t>
  </si>
  <si>
    <t>002292</t>
  </si>
  <si>
    <t>KKKS SBY BCA GALAXY</t>
  </si>
  <si>
    <t>SETIA PUDIANI</t>
  </si>
  <si>
    <t>898039</t>
  </si>
  <si>
    <t>010323</t>
  </si>
  <si>
    <t>ACHMAD TRIYONO</t>
  </si>
  <si>
    <t>898317</t>
  </si>
  <si>
    <t>009904</t>
  </si>
  <si>
    <t>BCA SDA</t>
  </si>
  <si>
    <t>MURNI JULIARSI</t>
  </si>
  <si>
    <t>898328</t>
  </si>
  <si>
    <t>001980</t>
  </si>
  <si>
    <t>MURYANTO</t>
  </si>
  <si>
    <t>898330</t>
  </si>
  <si>
    <t>009875</t>
  </si>
  <si>
    <t>BCA AMBENGAN</t>
  </si>
  <si>
    <t>ROBBY NUGROHO</t>
  </si>
  <si>
    <t>898349</t>
  </si>
  <si>
    <t>STAF APK VETERAN</t>
  </si>
  <si>
    <t>HARTONO</t>
  </si>
  <si>
    <t>898614</t>
  </si>
  <si>
    <t>001527</t>
  </si>
  <si>
    <t>KABAG CSO BCA PRK TMR</t>
  </si>
  <si>
    <t>RUTH FERAWATI</t>
  </si>
  <si>
    <t>898615</t>
  </si>
  <si>
    <t>008689</t>
  </si>
  <si>
    <t>ERNA ROSYADA</t>
  </si>
  <si>
    <t>898779</t>
  </si>
  <si>
    <t>KCU JOMBANG</t>
  </si>
  <si>
    <t>ARIEF BUDI SANTOSO</t>
  </si>
  <si>
    <t>898808</t>
  </si>
  <si>
    <t>PRIBADI AGUSTONO</t>
  </si>
  <si>
    <t>898826</t>
  </si>
  <si>
    <t>001310</t>
  </si>
  <si>
    <t>BCA PSR TURI</t>
  </si>
  <si>
    <t>PRILIA POERWITA</t>
  </si>
  <si>
    <t>899527</t>
  </si>
  <si>
    <t>002176</t>
  </si>
  <si>
    <t>BCA DIT</t>
  </si>
  <si>
    <t>MOH KUSNUN</t>
  </si>
  <si>
    <t>899533</t>
  </si>
  <si>
    <t>009686</t>
  </si>
  <si>
    <t>PRAMUKARYA BCA VET</t>
  </si>
  <si>
    <t>LAKSMI MRABAWANI</t>
  </si>
  <si>
    <t>899725</t>
  </si>
  <si>
    <t>KCP SLOMPRETAN</t>
  </si>
  <si>
    <t>MULYADI</t>
  </si>
  <si>
    <t>900028</t>
  </si>
  <si>
    <t>006981</t>
  </si>
  <si>
    <t>SUPRIONO</t>
  </si>
  <si>
    <t>900225</t>
  </si>
  <si>
    <t>009036</t>
  </si>
  <si>
    <t>SA BCA JOMBANG</t>
  </si>
  <si>
    <t>SRI ENDAHWATI</t>
  </si>
  <si>
    <t>900254</t>
  </si>
  <si>
    <t>009748</t>
  </si>
  <si>
    <t>ANDRY INYANUARINI</t>
  </si>
  <si>
    <t>900260</t>
  </si>
  <si>
    <t>002304</t>
  </si>
  <si>
    <t>17</t>
  </si>
  <si>
    <t>BCA PORONG</t>
  </si>
  <si>
    <t>ERNY TEDJORAHARDJO</t>
  </si>
  <si>
    <t>900268</t>
  </si>
  <si>
    <t>001306</t>
  </si>
  <si>
    <t>BCA BO JUNCTION</t>
  </si>
  <si>
    <t>SUGENG HARDJANTO</t>
  </si>
  <si>
    <t>900272</t>
  </si>
  <si>
    <t>DARMO INDH TIMUR</t>
  </si>
  <si>
    <t>BETTY MOELISTYANINGSIH</t>
  </si>
  <si>
    <t>900847</t>
  </si>
  <si>
    <t>007857</t>
  </si>
  <si>
    <t>BCA MANYAR</t>
  </si>
  <si>
    <t>AGUSTININGRUM</t>
  </si>
  <si>
    <t>900848</t>
  </si>
  <si>
    <t>009800</t>
  </si>
  <si>
    <t>CSO BCA PRK BRT</t>
  </si>
  <si>
    <t>AIDA NINDIAH</t>
  </si>
  <si>
    <t>901039</t>
  </si>
  <si>
    <t>009113</t>
  </si>
  <si>
    <t>BCA PAMEKASAN</t>
  </si>
  <si>
    <t>M. ZAHRI</t>
  </si>
  <si>
    <t>901067</t>
  </si>
  <si>
    <t>NUR HUZAIMAH</t>
  </si>
  <si>
    <t>901151</t>
  </si>
  <si>
    <t>001723</t>
  </si>
  <si>
    <t>HENDRA SARI KARTIKA</t>
  </si>
  <si>
    <t>901793</t>
  </si>
  <si>
    <t>001376</t>
  </si>
  <si>
    <t>BCA RUNGKUT MAPAN</t>
  </si>
  <si>
    <t>ADI SUSANTO</t>
  </si>
  <si>
    <t>901950</t>
  </si>
  <si>
    <t>002030</t>
  </si>
  <si>
    <t>ALK KW 3 BCA DARMO</t>
  </si>
  <si>
    <t>DONO SULASTIO</t>
  </si>
  <si>
    <t>901967</t>
  </si>
  <si>
    <t>009998</t>
  </si>
  <si>
    <t>DADANG ISWORO</t>
  </si>
  <si>
    <t>902252</t>
  </si>
  <si>
    <t>009653</t>
  </si>
  <si>
    <t>KBG LOG KW 3 DARMO</t>
  </si>
  <si>
    <t>EMY SRIHASTUTI</t>
  </si>
  <si>
    <t>902254</t>
  </si>
  <si>
    <t>009465</t>
  </si>
  <si>
    <t>ADM KRDT KW3 DRM</t>
  </si>
  <si>
    <t>001669</t>
  </si>
  <si>
    <t>SLK KW 3 BCA DARMO</t>
  </si>
  <si>
    <t>HEDWIG KARTIKAWATI</t>
  </si>
  <si>
    <t>902256</t>
  </si>
  <si>
    <t>001781</t>
  </si>
  <si>
    <t>SBK KW3 DARMO</t>
  </si>
  <si>
    <t>ARLIAH FERNIATY</t>
  </si>
  <si>
    <t>902326</t>
  </si>
  <si>
    <t>009231</t>
  </si>
  <si>
    <t>BCA GENTENG KALI</t>
  </si>
  <si>
    <t>HARNANIK</t>
  </si>
  <si>
    <t>902552</t>
  </si>
  <si>
    <t>008981</t>
  </si>
  <si>
    <t>LUKITA PURWATI</t>
  </si>
  <si>
    <t>902556</t>
  </si>
  <si>
    <t>009448</t>
  </si>
  <si>
    <t>ISTIRAHATININGSIH</t>
  </si>
  <si>
    <t>902741</t>
  </si>
  <si>
    <t>SAMIDI</t>
  </si>
  <si>
    <t>902742</t>
  </si>
  <si>
    <t>KCU MOJOKERTO</t>
  </si>
  <si>
    <t>LILY HERAWATI</t>
  </si>
  <si>
    <t>902857</t>
  </si>
  <si>
    <t>BCA PERAK</t>
  </si>
  <si>
    <t>TUGAS HERLIYANTO</t>
  </si>
  <si>
    <t>903846</t>
  </si>
  <si>
    <t>001298</t>
  </si>
  <si>
    <t>HAMDANI</t>
  </si>
  <si>
    <t>904001</t>
  </si>
  <si>
    <t>SIW KCU JOMBANG</t>
  </si>
  <si>
    <t>WIWIK INDRAWATI</t>
  </si>
  <si>
    <t>904117</t>
  </si>
  <si>
    <t>SUYITNA</t>
  </si>
  <si>
    <t>904455</t>
  </si>
  <si>
    <t>008549</t>
  </si>
  <si>
    <t>GANGSAR PRIYATNO</t>
  </si>
  <si>
    <t>904931</t>
  </si>
  <si>
    <t>009246</t>
  </si>
  <si>
    <t>BCA TUNJUNGAN</t>
  </si>
  <si>
    <t>INDAH RACHMAWATI</t>
  </si>
  <si>
    <t>904948</t>
  </si>
  <si>
    <t>002154</t>
  </si>
  <si>
    <t>STAF APK BCA DIPONEGORO</t>
  </si>
  <si>
    <t>HANIFAH ARSYAD</t>
  </si>
  <si>
    <t>904968</t>
  </si>
  <si>
    <t>010067</t>
  </si>
  <si>
    <t>CSO BCA GEDANGAN</t>
  </si>
  <si>
    <t>SRI WAHYUNI</t>
  </si>
  <si>
    <t>904976</t>
  </si>
  <si>
    <t>009003</t>
  </si>
  <si>
    <t>BCA GOCI</t>
  </si>
  <si>
    <t>NINIEK</t>
  </si>
  <si>
    <t>905145</t>
  </si>
  <si>
    <t>006728</t>
  </si>
  <si>
    <t>BCA BABATAN PANTAI</t>
  </si>
  <si>
    <t>MURIANA MUSTARI</t>
  </si>
  <si>
    <t>910247</t>
  </si>
  <si>
    <t>KCP KAPASARI</t>
  </si>
  <si>
    <t>ELVI MARIA</t>
  </si>
  <si>
    <t>910252</t>
  </si>
  <si>
    <t>005408</t>
  </si>
  <si>
    <t>DJOKO SISWANTO</t>
  </si>
  <si>
    <t>910253</t>
  </si>
  <si>
    <t>001276</t>
  </si>
  <si>
    <t>BCA KAPASARI</t>
  </si>
  <si>
    <t>LUSCY TANDYONO</t>
  </si>
  <si>
    <t>910260</t>
  </si>
  <si>
    <t>001610</t>
  </si>
  <si>
    <t>BCA BG JUNCTION</t>
  </si>
  <si>
    <t>RATNA DEWI WIDJAJA</t>
  </si>
  <si>
    <t>910267</t>
  </si>
  <si>
    <t>007991</t>
  </si>
  <si>
    <t>BCA RAJAWALI</t>
  </si>
  <si>
    <t>TOMIADI</t>
  </si>
  <si>
    <t>910268</t>
  </si>
  <si>
    <t>009182</t>
  </si>
  <si>
    <t>BCA PERAK TIMUR</t>
  </si>
  <si>
    <t>SITI ISRO'IYAH</t>
  </si>
  <si>
    <t>910270</t>
  </si>
  <si>
    <t>008535</t>
  </si>
  <si>
    <t>LANI HERAWATI</t>
  </si>
  <si>
    <t>910515</t>
  </si>
  <si>
    <t>008716</t>
  </si>
  <si>
    <t>KUSWANTO</t>
  </si>
  <si>
    <t>910525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</si>
  <si>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</si>
  <si>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</si>
  <si>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</si>
  <si>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</si>
  <si>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</si>
  <si>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</si>
  <si>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</si>
  <si>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</si>
  <si>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910536</t>
  </si>
  <si>
    <t>001293</t>
  </si>
  <si>
    <t>ARIEF WIDODO</t>
  </si>
  <si>
    <t>910546</t>
  </si>
  <si>
    <t>009371</t>
  </si>
  <si>
    <t>SUGENG PRASETYO</t>
  </si>
  <si>
    <t>910642</t>
  </si>
  <si>
    <t>007570</t>
  </si>
  <si>
    <t>MARTINUS EKO K</t>
  </si>
  <si>
    <t>910963</t>
  </si>
  <si>
    <t>008997</t>
  </si>
  <si>
    <t>PAULUS ERICK S</t>
  </si>
  <si>
    <t>911076</t>
  </si>
  <si>
    <t>010100</t>
  </si>
  <si>
    <t>TELLER BCA SEMUT</t>
  </si>
  <si>
    <t>IWAN SANTOSO</t>
  </si>
  <si>
    <t>911089</t>
  </si>
  <si>
    <t>008676</t>
  </si>
  <si>
    <t>BCA TP</t>
  </si>
  <si>
    <t>ONNY SURYANI</t>
  </si>
  <si>
    <t>911095</t>
  </si>
  <si>
    <t>002564</t>
  </si>
  <si>
    <t>JUNARIS</t>
  </si>
  <si>
    <t>911098</t>
  </si>
  <si>
    <t>009879</t>
  </si>
  <si>
    <t>RUPA2 BCA DARMO</t>
  </si>
  <si>
    <t>DANA ONG</t>
  </si>
  <si>
    <t>911106</t>
  </si>
  <si>
    <t>001253</t>
  </si>
  <si>
    <t>NOER CHASANAH</t>
  </si>
  <si>
    <t>911187</t>
  </si>
  <si>
    <t>ARIANTO WAHYOETOMO</t>
  </si>
  <si>
    <t>911296</t>
  </si>
  <si>
    <t>009861</t>
  </si>
  <si>
    <t>SUTRISNO</t>
  </si>
  <si>
    <t>911805</t>
  </si>
  <si>
    <t>010291</t>
  </si>
  <si>
    <t>BCA KRIAN</t>
  </si>
  <si>
    <t>ARIANI PRINARYANTI</t>
  </si>
  <si>
    <t>911812</t>
  </si>
  <si>
    <t>010152</t>
  </si>
  <si>
    <t>BO DARMO</t>
  </si>
  <si>
    <t>SOLICHIN</t>
  </si>
  <si>
    <t>911813</t>
  </si>
  <si>
    <t>008848</t>
  </si>
  <si>
    <t>BCA JMP</t>
  </si>
  <si>
    <t>VERA M KAUNANG</t>
  </si>
  <si>
    <t>912036</t>
  </si>
  <si>
    <t>008834</t>
  </si>
  <si>
    <t>BCA GENTENGKALI</t>
  </si>
  <si>
    <t>YOEZIE SEPTEMBER</t>
  </si>
  <si>
    <t>912038</t>
  </si>
  <si>
    <t>KCP NGINDEN SEMOLO</t>
  </si>
  <si>
    <t>BOUGENVIVA TJIPTA</t>
  </si>
  <si>
    <t>912045</t>
  </si>
  <si>
    <t>002293</t>
  </si>
  <si>
    <t>CHRISTINA R W</t>
  </si>
  <si>
    <t>912096</t>
  </si>
  <si>
    <t>008963</t>
  </si>
  <si>
    <t>EDY KUSWAHYONO</t>
  </si>
  <si>
    <t>912193</t>
  </si>
  <si>
    <t>009227</t>
  </si>
  <si>
    <t>EDDY TEGUH D</t>
  </si>
  <si>
    <t>912283</t>
  </si>
  <si>
    <t>008621</t>
  </si>
  <si>
    <t>AO BCA DARMO</t>
  </si>
  <si>
    <t>ZUBAIDAH</t>
  </si>
  <si>
    <t>912318</t>
  </si>
  <si>
    <t>008538</t>
  </si>
  <si>
    <t>HYIDTRI SUPRANINGSIH</t>
  </si>
  <si>
    <t>912462</t>
  </si>
  <si>
    <t>008421</t>
  </si>
  <si>
    <t>BCA MOJOSARI</t>
  </si>
  <si>
    <t>JASMANTO</t>
  </si>
  <si>
    <t>912768</t>
  </si>
  <si>
    <t>008996</t>
  </si>
  <si>
    <t>MOEDJI SANTOSO</t>
  </si>
  <si>
    <t>912769</t>
  </si>
  <si>
    <t>010259</t>
  </si>
  <si>
    <t>BCA SUNCITY</t>
  </si>
  <si>
    <t>DEWI NOVIANTI</t>
  </si>
  <si>
    <t>912775</t>
  </si>
  <si>
    <t>BCA MULYOSARI</t>
  </si>
  <si>
    <t>SUKARJI</t>
  </si>
  <si>
    <t>912786</t>
  </si>
  <si>
    <t>009190</t>
  </si>
  <si>
    <t>BAGUS YOGA KUMALA</t>
  </si>
  <si>
    <t>912792</t>
  </si>
  <si>
    <t>010008</t>
  </si>
  <si>
    <t>SLA KW3 DARMO</t>
  </si>
  <si>
    <t>DIDIK ASMARA</t>
  </si>
  <si>
    <t>912799</t>
  </si>
  <si>
    <t>009987</t>
  </si>
  <si>
    <t>PRAMUKARYA IDP</t>
  </si>
  <si>
    <t>DWI YENUARTANTO</t>
  </si>
  <si>
    <t>912804</t>
  </si>
  <si>
    <t>001348</t>
  </si>
  <si>
    <t>MOCH ISMAIL</t>
  </si>
  <si>
    <t>912805</t>
  </si>
  <si>
    <t>009565</t>
  </si>
  <si>
    <t>INDAH POERWATI</t>
  </si>
  <si>
    <t>912815</t>
  </si>
  <si>
    <t>ENDANG RISWATININGSIH</t>
  </si>
  <si>
    <t>912821</t>
  </si>
  <si>
    <t>KCP MARGOREJO</t>
  </si>
  <si>
    <t>REBEKA CHENDRA</t>
  </si>
  <si>
    <t>912828</t>
  </si>
  <si>
    <t>002093</t>
  </si>
  <si>
    <t>AGUS YULIANTO</t>
  </si>
  <si>
    <t>912849</t>
  </si>
  <si>
    <t>001572</t>
  </si>
  <si>
    <t>BCA NGORO</t>
  </si>
  <si>
    <t>NI NYOMAN</t>
  </si>
  <si>
    <t>913371</t>
  </si>
  <si>
    <t>001320</t>
  </si>
  <si>
    <t>BCA KENJERAN</t>
  </si>
  <si>
    <t>EDDY WANTORO</t>
  </si>
  <si>
    <t>913381</t>
  </si>
  <si>
    <t>009319</t>
  </si>
  <si>
    <t>DHIYAH NURMASIH</t>
  </si>
  <si>
    <t>913383</t>
  </si>
  <si>
    <t>001475</t>
  </si>
  <si>
    <t>EFFENDI</t>
  </si>
  <si>
    <t>913431</t>
  </si>
  <si>
    <t>009865</t>
  </si>
  <si>
    <t>SONY SUMARSONO</t>
  </si>
  <si>
    <t>913433</t>
  </si>
  <si>
    <t>001255</t>
  </si>
  <si>
    <t>DANU HIDAYAT</t>
  </si>
  <si>
    <t>913612</t>
  </si>
  <si>
    <t>DRIVER MJK</t>
  </si>
  <si>
    <t>ANTONIUS GUNAWAN W</t>
  </si>
  <si>
    <t>913616</t>
  </si>
  <si>
    <t>001386</t>
  </si>
  <si>
    <t>BCA PASAR ATOM</t>
  </si>
  <si>
    <t>ANAM BASOEKI</t>
  </si>
  <si>
    <t>913617</t>
  </si>
  <si>
    <t>008637</t>
  </si>
  <si>
    <t>SURIANTO</t>
  </si>
  <si>
    <t>913622</t>
  </si>
  <si>
    <t>001696</t>
  </si>
  <si>
    <t>ATM KW 3 DARMO</t>
  </si>
  <si>
    <t>EDDI CUNG</t>
  </si>
  <si>
    <t>913992</t>
  </si>
  <si>
    <t>001477</t>
  </si>
  <si>
    <t>AHJADI WIDJAJA</t>
  </si>
  <si>
    <t>914013</t>
  </si>
  <si>
    <t>001479</t>
  </si>
  <si>
    <t>KLIRING BCA DARMO</t>
  </si>
  <si>
    <t>LULUK MARIANA</t>
  </si>
  <si>
    <t>914065</t>
  </si>
  <si>
    <t>010025</t>
  </si>
  <si>
    <t>TRIS RUSTIJADJI</t>
  </si>
  <si>
    <t>914071</t>
  </si>
  <si>
    <t>001664</t>
  </si>
  <si>
    <t>BCA DHARMAHUSADA</t>
  </si>
  <si>
    <t>AGUNG SULAKSONO</t>
  </si>
  <si>
    <t>914242</t>
  </si>
  <si>
    <t>001658</t>
  </si>
  <si>
    <t>USDIYANTO</t>
  </si>
  <si>
    <t>914269</t>
  </si>
  <si>
    <t>WASIS WAHYUDI</t>
  </si>
  <si>
    <t>920216</t>
  </si>
  <si>
    <t>009931</t>
  </si>
  <si>
    <t>PRAMUKARYA GALAXY</t>
  </si>
  <si>
    <t>RATNA ISLUSININGTYAS A</t>
  </si>
  <si>
    <t>920218</t>
  </si>
  <si>
    <t>009788</t>
  </si>
  <si>
    <t>KK LAMONGAN</t>
  </si>
  <si>
    <t>NINA SUPRIYANI</t>
  </si>
  <si>
    <t>920219</t>
  </si>
  <si>
    <t>001883</t>
  </si>
  <si>
    <t>BCA KERTAJAYA INDAH</t>
  </si>
  <si>
    <t>NI MADE SUWASTINI</t>
  </si>
  <si>
    <t>920410</t>
  </si>
  <si>
    <t>001716</t>
  </si>
  <si>
    <t>SOK KW 3 BCA DARMO</t>
  </si>
  <si>
    <t>RISTI WAHYUNI</t>
  </si>
  <si>
    <t>921168</t>
  </si>
  <si>
    <t>KCP TROPODO</t>
  </si>
  <si>
    <t>AGUS SUWARDI</t>
  </si>
  <si>
    <t>921332</t>
  </si>
  <si>
    <t>SATPAM SDA</t>
  </si>
  <si>
    <t>ISWIYONO</t>
  </si>
  <si>
    <t>921353</t>
  </si>
  <si>
    <t>009822</t>
  </si>
  <si>
    <t>MOCH IMRON</t>
  </si>
  <si>
    <t>921471</t>
  </si>
  <si>
    <t>008858</t>
  </si>
  <si>
    <t>PRAMUKARYA BCA VETERAN</t>
  </si>
  <si>
    <t>HERLINA SAFITRI</t>
  </si>
  <si>
    <t>921602</t>
  </si>
  <si>
    <t>010098</t>
  </si>
  <si>
    <t>PIMP KRTJY</t>
  </si>
  <si>
    <t>KUWAT MUJAHIDIN</t>
  </si>
  <si>
    <t>921687</t>
  </si>
  <si>
    <t>010017</t>
  </si>
  <si>
    <t>KASDAR</t>
  </si>
  <si>
    <t>921852</t>
  </si>
  <si>
    <t>008736</t>
  </si>
  <si>
    <t>BUDI ASMANTO</t>
  </si>
  <si>
    <t>921931</t>
  </si>
  <si>
    <t>002116</t>
  </si>
  <si>
    <t>BCA GUNUNG SARI</t>
  </si>
  <si>
    <t>DYAH PARAMITA</t>
  </si>
  <si>
    <t>930926</t>
  </si>
  <si>
    <t>009517</t>
  </si>
  <si>
    <t>SAFNI</t>
  </si>
  <si>
    <t>931527</t>
  </si>
  <si>
    <t>KCP MAKRO PEPELEGI</t>
  </si>
  <si>
    <t>AWALUDDIN ACHMAD</t>
  </si>
  <si>
    <t>931795</t>
  </si>
  <si>
    <t>BAMBANG HARTONO</t>
  </si>
  <si>
    <t>931992</t>
  </si>
  <si>
    <t>PRAMUKARYA DARMO</t>
  </si>
  <si>
    <t>GATOT SUBROTO</t>
  </si>
  <si>
    <t>932162</t>
  </si>
  <si>
    <t>009540</t>
  </si>
  <si>
    <t>SUCAHYONO</t>
  </si>
  <si>
    <t>940009</t>
  </si>
  <si>
    <t>NORM BARU</t>
  </si>
  <si>
    <t>HIMAWAN BUDI S</t>
  </si>
  <si>
    <t>940325</t>
  </si>
  <si>
    <t>PIMP BCA KPG JY</t>
  </si>
  <si>
    <t>ARI PITONO</t>
  </si>
  <si>
    <t>940372</t>
  </si>
  <si>
    <t>009536</t>
  </si>
  <si>
    <t>BAMBANG ERWANTO</t>
  </si>
  <si>
    <t>940940</t>
  </si>
  <si>
    <t>009986</t>
  </si>
  <si>
    <t>BCA PRK BARAT</t>
  </si>
  <si>
    <t>ARDYE AMRAN</t>
  </si>
  <si>
    <t>941170</t>
  </si>
  <si>
    <t>009638</t>
  </si>
  <si>
    <t>KANWIL VII MALANG</t>
  </si>
  <si>
    <t>GANDUNG INDRA IRAWAN</t>
  </si>
  <si>
    <t>941280</t>
  </si>
  <si>
    <t>001833</t>
  </si>
  <si>
    <t xml:space="preserve">DAVID </t>
  </si>
  <si>
    <t>950298</t>
  </si>
  <si>
    <t>009700</t>
  </si>
  <si>
    <t>SLA KW 3 BCA DARMO</t>
  </si>
  <si>
    <t>NGATNO</t>
  </si>
  <si>
    <t>951549</t>
  </si>
  <si>
    <t>001516</t>
  </si>
  <si>
    <t>BCA BOJONEGORO</t>
  </si>
  <si>
    <t>ACHMAD IDRIS</t>
  </si>
  <si>
    <t>951594</t>
  </si>
  <si>
    <t>MOBIL KAS VETERAN</t>
  </si>
  <si>
    <t>LIANAWATI</t>
  </si>
  <si>
    <t>952014</t>
  </si>
  <si>
    <t>009373</t>
  </si>
  <si>
    <t>PERSONAL BANKER SOLITARIE</t>
  </si>
  <si>
    <t>AGUS DARMAWAN</t>
  </si>
  <si>
    <t>960227</t>
  </si>
  <si>
    <t>001534</t>
  </si>
  <si>
    <t>KHASANAH BANGKALAN</t>
  </si>
  <si>
    <t>FIONA</t>
  </si>
  <si>
    <t>960316</t>
  </si>
  <si>
    <t>001678</t>
  </si>
  <si>
    <t>KTR KAS RGKT</t>
  </si>
  <si>
    <t>NOVIANI</t>
  </si>
  <si>
    <t>960768</t>
  </si>
  <si>
    <t>BCA SLPPI SBY</t>
  </si>
  <si>
    <t>TANTI DAMAYANTI</t>
  </si>
  <si>
    <t>960940</t>
  </si>
  <si>
    <t>002045</t>
  </si>
  <si>
    <t>PIKW KW 3 BCA DARMO</t>
  </si>
  <si>
    <t>RATIH INDRIANINGRUM</t>
  </si>
  <si>
    <t>961190</t>
  </si>
  <si>
    <t>TAN SONI SANTOSO</t>
  </si>
  <si>
    <t>961303</t>
  </si>
  <si>
    <t>008152</t>
  </si>
  <si>
    <t>VITRI WIDANINGSIH</t>
  </si>
  <si>
    <t>961436</t>
  </si>
  <si>
    <t>RECOVERY PINJ DILUAR NORM</t>
  </si>
  <si>
    <t>DEVI WISNU SUPROBO</t>
  </si>
  <si>
    <t>961536</t>
  </si>
  <si>
    <t>KCP KEDUNGDORO</t>
  </si>
  <si>
    <t>NOR BARU</t>
  </si>
  <si>
    <t>PARTO</t>
  </si>
  <si>
    <t>961551</t>
  </si>
  <si>
    <t>001652</t>
  </si>
  <si>
    <t>NGAISAH</t>
  </si>
  <si>
    <t>961554</t>
  </si>
  <si>
    <t>KCP GEMBLONGAN</t>
  </si>
  <si>
    <t>DARMA SETIAWAN</t>
  </si>
  <si>
    <t>961764</t>
  </si>
  <si>
    <t>001548</t>
  </si>
  <si>
    <t>RINI CHENDRASARI</t>
  </si>
  <si>
    <t>961866</t>
  </si>
  <si>
    <t>KCU DIPONEGORO</t>
  </si>
  <si>
    <t>AGUS MUSPE</t>
  </si>
  <si>
    <t>962121</t>
  </si>
  <si>
    <t>001783</t>
  </si>
  <si>
    <t>SHANTI KARTIKA</t>
  </si>
  <si>
    <t>962140</t>
  </si>
  <si>
    <t>001719</t>
  </si>
  <si>
    <t>FLORENCE S LEATEM</t>
  </si>
  <si>
    <t>962184</t>
  </si>
  <si>
    <t>009750</t>
  </si>
  <si>
    <t>STAF BCA M. DURYAT</t>
  </si>
  <si>
    <t>M. SAIROZI</t>
  </si>
  <si>
    <t>962291</t>
  </si>
  <si>
    <t>001511</t>
  </si>
  <si>
    <t>MARWOTO</t>
  </si>
  <si>
    <t>962293</t>
  </si>
  <si>
    <t>009463</t>
  </si>
  <si>
    <t>LISA KARTIKA</t>
  </si>
  <si>
    <t>962308</t>
  </si>
  <si>
    <t>006385</t>
  </si>
  <si>
    <t>RINDAWATI</t>
  </si>
  <si>
    <t>962353</t>
  </si>
  <si>
    <t>001812</t>
  </si>
  <si>
    <t>BCA GRS</t>
  </si>
  <si>
    <t>SUNARTO</t>
  </si>
  <si>
    <t>962409</t>
  </si>
  <si>
    <t>001764</t>
  </si>
  <si>
    <t>EMMY WIDAYATI</t>
  </si>
  <si>
    <t>962513</t>
  </si>
  <si>
    <t>010051</t>
  </si>
  <si>
    <t>TYAS ARDHYANA</t>
  </si>
  <si>
    <t>0962522</t>
  </si>
  <si>
    <t>010053</t>
  </si>
  <si>
    <t>KK PDK MUTIARA</t>
  </si>
  <si>
    <t>EKO R.A</t>
  </si>
  <si>
    <t>962717</t>
  </si>
  <si>
    <t>001423</t>
  </si>
  <si>
    <t>CECILIA E IRMAWATI</t>
  </si>
  <si>
    <t>962782</t>
  </si>
  <si>
    <t>009695</t>
  </si>
  <si>
    <t>EDY PRASETYO</t>
  </si>
  <si>
    <t>962793</t>
  </si>
  <si>
    <t>006224</t>
  </si>
  <si>
    <t>BCA MADIUN</t>
  </si>
  <si>
    <t>JENNY JULIATI</t>
  </si>
  <si>
    <t>962827</t>
  </si>
  <si>
    <t>BCA MEGA GROSIR</t>
  </si>
  <si>
    <t>SIGIT M. ALIM</t>
  </si>
  <si>
    <t>962920</t>
  </si>
  <si>
    <t>009577</t>
  </si>
  <si>
    <t>WAHINTON SUROYO</t>
  </si>
  <si>
    <t>962925</t>
  </si>
  <si>
    <t>008541</t>
  </si>
  <si>
    <t>BO BCA KRIAN</t>
  </si>
  <si>
    <t>RUDY TANJUNG</t>
  </si>
  <si>
    <t>962960</t>
  </si>
  <si>
    <t>001540</t>
  </si>
  <si>
    <t>RO BCA DARMO</t>
  </si>
  <si>
    <t>YULI LESMONO</t>
  </si>
  <si>
    <t>962991</t>
  </si>
  <si>
    <t>KCP PAKUWON CITY</t>
  </si>
  <si>
    <t>WIDIYANDARI</t>
  </si>
  <si>
    <t>962993</t>
  </si>
  <si>
    <t>010293</t>
  </si>
  <si>
    <t>FRANS WILASA S</t>
  </si>
  <si>
    <t>962995</t>
  </si>
  <si>
    <t>008559</t>
  </si>
  <si>
    <t>BCA PLASA MARINA</t>
  </si>
  <si>
    <t>TOMAS</t>
  </si>
  <si>
    <t>963175</t>
  </si>
  <si>
    <t>001411</t>
  </si>
  <si>
    <t>INSANI</t>
  </si>
  <si>
    <t>963185</t>
  </si>
  <si>
    <t>YANTI YURIKE T</t>
  </si>
  <si>
    <t>963290</t>
  </si>
  <si>
    <t>001767</t>
  </si>
  <si>
    <t>ANITA ANDRIYANI</t>
  </si>
  <si>
    <t>963318</t>
  </si>
  <si>
    <t>CSO MEGA GROSIR</t>
  </si>
  <si>
    <t>DWI ARTATI DYAH P</t>
  </si>
  <si>
    <t>963354</t>
  </si>
  <si>
    <t>001561</t>
  </si>
  <si>
    <t>RO BCA BOROBUDUR MLG</t>
  </si>
  <si>
    <t>MOCHAMAD ALVAN</t>
  </si>
  <si>
    <t>963721</t>
  </si>
  <si>
    <t>ATM KW3 BCA DARMO</t>
  </si>
  <si>
    <t>ENDANG PURWANINGSIH</t>
  </si>
  <si>
    <t>963723</t>
  </si>
  <si>
    <t>001558</t>
  </si>
  <si>
    <t>RIDA SHINTA SARI</t>
  </si>
  <si>
    <t>963734</t>
  </si>
  <si>
    <t>KCP KEDUNG DORO</t>
  </si>
  <si>
    <t>YOSEPHINE KARYANTI</t>
  </si>
  <si>
    <t>970056</t>
  </si>
  <si>
    <t>002139</t>
  </si>
  <si>
    <t>EMMA MARIA</t>
  </si>
  <si>
    <t>970174</t>
  </si>
  <si>
    <t>002184</t>
  </si>
  <si>
    <t>LOG KW3 BCA DARMO</t>
  </si>
  <si>
    <t>HASIM</t>
  </si>
  <si>
    <t>970187</t>
  </si>
  <si>
    <t>BCA UNDAAN</t>
  </si>
  <si>
    <t>VIVI HERLINAWATI</t>
  </si>
  <si>
    <t>970478</t>
  </si>
  <si>
    <t>AGUNG EKO B</t>
  </si>
  <si>
    <t>970678</t>
  </si>
  <si>
    <t>MAYA PUSPITA W</t>
  </si>
  <si>
    <t>971055</t>
  </si>
  <si>
    <t>010283</t>
  </si>
  <si>
    <t>RONA LAWALUNINGSIH</t>
  </si>
  <si>
    <t>971062</t>
  </si>
  <si>
    <t>009267</t>
  </si>
  <si>
    <t>LUJENG SUSSETIANINGSIH</t>
  </si>
  <si>
    <t>971064</t>
  </si>
  <si>
    <t>001702</t>
  </si>
  <si>
    <t>BCA PTC</t>
  </si>
  <si>
    <t>HADUN</t>
  </si>
  <si>
    <t>971143</t>
  </si>
  <si>
    <t>BCA BALIWERTI</t>
  </si>
  <si>
    <t>MUHAMMAD YUSUF</t>
  </si>
  <si>
    <t>971225</t>
  </si>
  <si>
    <t>002221</t>
  </si>
  <si>
    <t>DAHLIANA</t>
  </si>
  <si>
    <t>971302</t>
  </si>
  <si>
    <t>009243</t>
  </si>
  <si>
    <t>SRI DIARTI</t>
  </si>
  <si>
    <t>971326</t>
  </si>
  <si>
    <t>BCA MANGGA DUA S</t>
  </si>
  <si>
    <t>MARIA LOISE C</t>
  </si>
  <si>
    <t>971485</t>
  </si>
  <si>
    <t>001300</t>
  </si>
  <si>
    <t>HARYENI</t>
  </si>
  <si>
    <t>971739</t>
  </si>
  <si>
    <t>010094</t>
  </si>
  <si>
    <t>FRANSISCA MARIANI</t>
  </si>
  <si>
    <t>971751</t>
  </si>
  <si>
    <t>001636</t>
  </si>
  <si>
    <t>MARGARETHA HENNY K</t>
  </si>
  <si>
    <t>971772</t>
  </si>
  <si>
    <t>002025</t>
  </si>
  <si>
    <t>RENI OKTAVIA</t>
  </si>
  <si>
    <t>971863</t>
  </si>
  <si>
    <t>001522</t>
  </si>
  <si>
    <t>KTR KAS KH MANSYUR</t>
  </si>
  <si>
    <t>SISWI DAYAWATI</t>
  </si>
  <si>
    <t>971990</t>
  </si>
  <si>
    <t>005850</t>
  </si>
  <si>
    <t>ELLY FERIANI</t>
  </si>
  <si>
    <t>971994</t>
  </si>
  <si>
    <t>007556</t>
  </si>
  <si>
    <t>RR. DEWI CHAYORINI</t>
  </si>
  <si>
    <t>972192</t>
  </si>
  <si>
    <t>008678</t>
  </si>
  <si>
    <t>HERAWATI</t>
  </si>
  <si>
    <t>973102</t>
  </si>
  <si>
    <t>SUDARNI</t>
  </si>
  <si>
    <t>973103</t>
  </si>
  <si>
    <t>KCP PDK CHNDRA</t>
  </si>
  <si>
    <t>TITIN HERNANIK</t>
  </si>
  <si>
    <t>973145</t>
  </si>
  <si>
    <t>002044</t>
  </si>
  <si>
    <t>STAF APK BCA DARMO</t>
  </si>
  <si>
    <t>009882</t>
  </si>
  <si>
    <t>APK BCA DARMO</t>
  </si>
  <si>
    <t>HINDUN KURNIATI</t>
  </si>
  <si>
    <t>973154</t>
  </si>
  <si>
    <t>001564</t>
  </si>
  <si>
    <t>BCA KUPANG JAYA</t>
  </si>
  <si>
    <t>SRI ERNAWATI</t>
  </si>
  <si>
    <t>973160</t>
  </si>
  <si>
    <t>004014</t>
  </si>
  <si>
    <t>KK SUMBERREJO</t>
  </si>
  <si>
    <t>IZZUDIN ANANG</t>
  </si>
  <si>
    <t>973186</t>
  </si>
  <si>
    <t>002180</t>
  </si>
  <si>
    <t>YONATHAN KURNIAWAN</t>
  </si>
  <si>
    <t>973198</t>
  </si>
  <si>
    <t>008574</t>
  </si>
  <si>
    <t>BCA GOLDENCITY HRM</t>
  </si>
  <si>
    <t>WINDARIJATI</t>
  </si>
  <si>
    <t>973205</t>
  </si>
  <si>
    <t>009874</t>
  </si>
  <si>
    <t>AGUSTINA DEWI</t>
  </si>
  <si>
    <t>973207</t>
  </si>
  <si>
    <t>009180</t>
  </si>
  <si>
    <t>RAMINAH</t>
  </si>
  <si>
    <t>973208</t>
  </si>
  <si>
    <t>001301</t>
  </si>
  <si>
    <t>LINDA</t>
  </si>
  <si>
    <t>973226</t>
  </si>
  <si>
    <t>APK KCU DARMO</t>
  </si>
  <si>
    <t>FENNY MARLINA</t>
  </si>
  <si>
    <t>973239</t>
  </si>
  <si>
    <t>009758</t>
  </si>
  <si>
    <t>YANNY KUSRINI</t>
  </si>
  <si>
    <t>973262</t>
  </si>
  <si>
    <t>KCP KUSUMA BANGSA</t>
  </si>
  <si>
    <t>TRI MURTININGSIH</t>
  </si>
  <si>
    <t>973270</t>
  </si>
  <si>
    <t>001529</t>
  </si>
  <si>
    <t>IMAM MUSLIKUN</t>
  </si>
  <si>
    <t>973271</t>
  </si>
  <si>
    <t>008818</t>
  </si>
  <si>
    <t>RINDAYANI PETRUS TT</t>
  </si>
  <si>
    <t>973304</t>
  </si>
  <si>
    <t>BCA PERAK BARAT BARAT</t>
  </si>
  <si>
    <t>WITO VIDYA PUTRA</t>
  </si>
  <si>
    <t>973357</t>
  </si>
  <si>
    <t>ASTERIA ANDRI</t>
  </si>
  <si>
    <t>973623</t>
  </si>
  <si>
    <t>009942</t>
  </si>
  <si>
    <t>LAY NSBH KFCC SBY</t>
  </si>
  <si>
    <t>RINASARI NOVIANA</t>
  </si>
  <si>
    <t>973710</t>
  </si>
  <si>
    <t>009862</t>
  </si>
  <si>
    <t>TAN MEI LIE</t>
  </si>
  <si>
    <t>973719</t>
  </si>
  <si>
    <t>007771</t>
  </si>
  <si>
    <t>MAGDALENA</t>
  </si>
  <si>
    <t>973765</t>
  </si>
  <si>
    <t>SAMUEL RUDI Y</t>
  </si>
  <si>
    <t>973775</t>
  </si>
  <si>
    <t>001769</t>
  </si>
  <si>
    <t>BCA TANDES</t>
  </si>
  <si>
    <t>LINDA SRI HASTUTIK</t>
  </si>
  <si>
    <t>973782</t>
  </si>
  <si>
    <t>BAGUS SANTOSO</t>
  </si>
  <si>
    <t>973855</t>
  </si>
  <si>
    <t>DARMAWAN K</t>
  </si>
  <si>
    <t>973897</t>
  </si>
  <si>
    <t>001717</t>
  </si>
  <si>
    <t>BCA KPS KRAMPUNG</t>
  </si>
  <si>
    <t>WIDIYANTI</t>
  </si>
  <si>
    <t>973955</t>
  </si>
  <si>
    <t>009067</t>
  </si>
  <si>
    <t>MUK SIONG</t>
  </si>
  <si>
    <t>973959</t>
  </si>
  <si>
    <t>KCP GOLDEN CITY MALL</t>
  </si>
  <si>
    <t>LINA RATNA DEWI</t>
  </si>
  <si>
    <t>973961</t>
  </si>
  <si>
    <t>KCU INDRAPURA</t>
  </si>
  <si>
    <t>IN ANGGRAINI S</t>
  </si>
  <si>
    <t>974015</t>
  </si>
  <si>
    <t>002049</t>
  </si>
  <si>
    <t>UPPA KW3 BCA DARMO</t>
  </si>
  <si>
    <t>GUNAWAN</t>
  </si>
  <si>
    <t>974037</t>
  </si>
  <si>
    <t>010279</t>
  </si>
  <si>
    <t>WIDIYASTUTI</t>
  </si>
  <si>
    <t>974104</t>
  </si>
  <si>
    <t>HERLINA</t>
  </si>
  <si>
    <t>974168</t>
  </si>
  <si>
    <t>009571</t>
  </si>
  <si>
    <t>ELFIANI CHAIRIYAH</t>
  </si>
  <si>
    <t>974610</t>
  </si>
  <si>
    <t>001574</t>
  </si>
  <si>
    <t>LEONORA WILHELMINA</t>
  </si>
  <si>
    <t>974928</t>
  </si>
  <si>
    <t>INA ISMIATI</t>
  </si>
  <si>
    <t>975042</t>
  </si>
  <si>
    <t>RETNO PUJI L</t>
  </si>
  <si>
    <t>975136</t>
  </si>
  <si>
    <t>008723</t>
  </si>
  <si>
    <t>LAYANAN KREDIT BCA JOMBANG</t>
  </si>
  <si>
    <t>CHOIRIYA C</t>
  </si>
  <si>
    <t>975298</t>
  </si>
  <si>
    <t>009147</t>
  </si>
  <si>
    <t>MARGARETHA MAHULETTE</t>
  </si>
  <si>
    <t>975329</t>
  </si>
  <si>
    <t>001690</t>
  </si>
  <si>
    <t>VIVIAN R TJUNG</t>
  </si>
  <si>
    <t>975332</t>
  </si>
  <si>
    <t>009143</t>
  </si>
  <si>
    <t>AGUSTINUS HERU H</t>
  </si>
  <si>
    <t>975333</t>
  </si>
  <si>
    <t>DIDIK WAHYUDI</t>
  </si>
  <si>
    <t>975379</t>
  </si>
  <si>
    <t>DIAN ARMI UTARI</t>
  </si>
  <si>
    <t>975381</t>
  </si>
  <si>
    <t>009802</t>
  </si>
  <si>
    <t>WIDYASTUTI</t>
  </si>
  <si>
    <t>975386</t>
  </si>
  <si>
    <t>009705</t>
  </si>
  <si>
    <t>AO BCA GRESIK</t>
  </si>
  <si>
    <t>TITIES BUDHY DIAH M</t>
  </si>
  <si>
    <t>975388</t>
  </si>
  <si>
    <t>009148</t>
  </si>
  <si>
    <t>SULISTIOWATI</t>
  </si>
  <si>
    <t>975390</t>
  </si>
  <si>
    <t>001630</t>
  </si>
  <si>
    <t>FEBRILYANA MONAWATI</t>
  </si>
  <si>
    <t>975456</t>
  </si>
  <si>
    <t>FEMMY RAMONA</t>
  </si>
  <si>
    <t>975486</t>
  </si>
  <si>
    <t>009799</t>
  </si>
  <si>
    <t>ARYA FEBRIYANTO</t>
  </si>
  <si>
    <t>975770</t>
  </si>
  <si>
    <t>002286</t>
  </si>
  <si>
    <t>MESIYATI</t>
  </si>
  <si>
    <t>975797</t>
  </si>
  <si>
    <t>BCA PUCANG ANOM</t>
  </si>
  <si>
    <t>DEWI INDRA SARI</t>
  </si>
  <si>
    <t>975866</t>
  </si>
  <si>
    <t>008657</t>
  </si>
  <si>
    <t>FRANSISKUS</t>
  </si>
  <si>
    <t>975892</t>
  </si>
  <si>
    <t>SEMBODO</t>
  </si>
  <si>
    <t>975907</t>
  </si>
  <si>
    <t>009741</t>
  </si>
  <si>
    <t>SAMIADJI</t>
  </si>
  <si>
    <t>975908</t>
  </si>
  <si>
    <t>001371</t>
  </si>
  <si>
    <t>DJONO PRIBADI</t>
  </si>
  <si>
    <t>976554</t>
  </si>
  <si>
    <t>006023</t>
  </si>
  <si>
    <t>BCA BHYGKARA</t>
  </si>
  <si>
    <t>SONI DARMAWAN</t>
  </si>
  <si>
    <t>976587</t>
  </si>
  <si>
    <t>006767</t>
  </si>
  <si>
    <t>SONJA ESTHER P</t>
  </si>
  <si>
    <t>976608</t>
  </si>
  <si>
    <t>009922</t>
  </si>
  <si>
    <t>ADM KRDT KW3 DARMO</t>
  </si>
  <si>
    <t>CHRIESTIAN ARDHHY S</t>
  </si>
  <si>
    <t>976633</t>
  </si>
  <si>
    <t>KFCC SURABAYA</t>
  </si>
  <si>
    <t>PO JUNAEDI P</t>
  </si>
  <si>
    <t>977151</t>
  </si>
  <si>
    <t>001670</t>
  </si>
  <si>
    <t>SOW KW 3 DARMO</t>
  </si>
  <si>
    <t>SONY HENDRA W</t>
  </si>
  <si>
    <t>977380</t>
  </si>
  <si>
    <t>RUDY HARTONO</t>
  </si>
  <si>
    <t>980030</t>
  </si>
  <si>
    <t>009449</t>
  </si>
  <si>
    <t>DEKI SUSANTO S</t>
  </si>
  <si>
    <t>980484</t>
  </si>
  <si>
    <t>KCP KEMBANG JEPUN</t>
  </si>
  <si>
    <t>DIDIT HENDRO R</t>
  </si>
  <si>
    <t>990159</t>
  </si>
  <si>
    <t>008252</t>
  </si>
  <si>
    <t>FAUZI HADE</t>
  </si>
  <si>
    <t>990529</t>
  </si>
  <si>
    <t>009443</t>
  </si>
  <si>
    <t>PETER OCTAVIANUS S</t>
  </si>
  <si>
    <t>990648</t>
  </si>
  <si>
    <t>010062</t>
  </si>
  <si>
    <t>DIAH WISNU WARDHANI</t>
  </si>
  <si>
    <t>008543</t>
  </si>
  <si>
    <t>002344</t>
  </si>
  <si>
    <t>ANNY PUSPITA S</t>
  </si>
  <si>
    <t>912467</t>
  </si>
  <si>
    <t>002317</t>
  </si>
  <si>
    <t>AMARINA</t>
  </si>
  <si>
    <t>910065</t>
  </si>
  <si>
    <t>002570</t>
  </si>
  <si>
    <t>ANGGI VANDIKA P</t>
  </si>
  <si>
    <t>058501</t>
  </si>
  <si>
    <t>007865</t>
  </si>
  <si>
    <t>FX ANSELMUS</t>
  </si>
  <si>
    <t>901798</t>
  </si>
  <si>
    <t>002584</t>
  </si>
  <si>
    <t>BCA PLZ MARINA</t>
  </si>
  <si>
    <t>R. AYU EVA YUANITA</t>
  </si>
  <si>
    <t>009683</t>
  </si>
  <si>
    <t>002337</t>
  </si>
  <si>
    <t>SUSIANTO</t>
  </si>
  <si>
    <t>904182</t>
  </si>
  <si>
    <t>002582</t>
  </si>
  <si>
    <t>SOLIKHATI</t>
  </si>
  <si>
    <t>971238</t>
  </si>
  <si>
    <t>002361</t>
  </si>
  <si>
    <t>M. HARY KUSUMA</t>
  </si>
  <si>
    <t>962402</t>
  </si>
  <si>
    <t>002452</t>
  </si>
  <si>
    <t>I WAYAN MUDJIANTO</t>
  </si>
  <si>
    <t>913376</t>
  </si>
  <si>
    <t>002586</t>
  </si>
  <si>
    <t>SQW KW3 DARMO</t>
  </si>
  <si>
    <t>DAFTAR PINJAMAN POTONG BONUS-BONUS NORMATIF</t>
  </si>
  <si>
    <t>TGL PINJ</t>
  </si>
  <si>
    <t>POT APRIL</t>
  </si>
  <si>
    <t>POT THR</t>
  </si>
  <si>
    <t>POT TAT</t>
  </si>
  <si>
    <t>NO REK DBT</t>
  </si>
  <si>
    <t>LAKSMI M</t>
  </si>
  <si>
    <t>ARI WIDAYATI</t>
  </si>
  <si>
    <t>962338</t>
  </si>
  <si>
    <t>HERI WAHYUDI</t>
  </si>
  <si>
    <t>911193</t>
  </si>
  <si>
    <t>DAFTAR PINJAMAN NORMATIF BARANG TGL 23-28 PEBRUARI 2018 (SETELAH UPLOAD)</t>
  </si>
  <si>
    <t>MURIYANTINI HARTINI</t>
  </si>
  <si>
    <t>2 ALAT PIJAT</t>
  </si>
  <si>
    <t>001330</t>
  </si>
  <si>
    <t>KABAG LAY BCA SMRG SBY</t>
  </si>
  <si>
    <t>1 KOCHIPAN PRIMA BOGA</t>
  </si>
  <si>
    <t>AYU EVA Y</t>
  </si>
  <si>
    <t>001410</t>
  </si>
  <si>
    <t>STAF BCA SAMPANG</t>
  </si>
  <si>
    <t>PANCI MM2 1 UNIT</t>
  </si>
  <si>
    <t>HENGKY DARMAWAN</t>
  </si>
  <si>
    <t>002163</t>
  </si>
  <si>
    <t>AO BCA TUBAN</t>
  </si>
  <si>
    <t>HP OPPO F5 (BEZZ MART)</t>
  </si>
  <si>
    <t>2 UNIT DERMA WAND</t>
  </si>
  <si>
    <t>SIFERA TRISMINARTI</t>
  </si>
  <si>
    <t>010424</t>
  </si>
  <si>
    <t>010180</t>
  </si>
  <si>
    <t>ADM KRDT KW 3 DARMO</t>
  </si>
  <si>
    <t>CET WAFEL(PRIMA BOGA)</t>
  </si>
  <si>
    <t>001347</t>
  </si>
  <si>
    <t>SOK KW3 DARMO</t>
  </si>
  <si>
    <t>PANCI KC 3 (PRIMA BOGA RINDA)</t>
  </si>
  <si>
    <t>EDY ERYANTO</t>
  </si>
  <si>
    <t>010667</t>
  </si>
  <si>
    <t>POLYGON HELIOS C2O</t>
  </si>
  <si>
    <t>WIWID W</t>
  </si>
  <si>
    <t>030305</t>
  </si>
  <si>
    <t>001621</t>
  </si>
  <si>
    <t>KARY KOPERASI</t>
  </si>
  <si>
    <t>TABLET LENOVO</t>
  </si>
  <si>
    <t>GANDA SETIAWAN</t>
  </si>
  <si>
    <t>055028</t>
  </si>
  <si>
    <t>001357</t>
  </si>
  <si>
    <t>KEF BCA RGKT MPN</t>
  </si>
  <si>
    <t>1 ALAT PIJAT</t>
  </si>
  <si>
    <t>RUFI PURWANINGSIH</t>
  </si>
  <si>
    <t>055128</t>
  </si>
  <si>
    <t>010185</t>
  </si>
  <si>
    <t>STS SURABAYA</t>
  </si>
  <si>
    <t>HND VARIO 150 (EKA KARUNIA)</t>
  </si>
  <si>
    <t>ELISABETH L.</t>
  </si>
  <si>
    <t>010325</t>
  </si>
  <si>
    <t>KC 3 &amp; 2 GRILL PAN</t>
  </si>
  <si>
    <t>FARADISAH</t>
  </si>
  <si>
    <t>058524</t>
  </si>
  <si>
    <t>010332</t>
  </si>
  <si>
    <t>MM1 &amp; MM2</t>
  </si>
  <si>
    <t>DINDA AYU PRANITA</t>
  </si>
  <si>
    <t>001499</t>
  </si>
  <si>
    <t>KEF SOY KW 3 DARMO</t>
  </si>
  <si>
    <t>HONDA BEAT SPORTY CBS ISS</t>
  </si>
  <si>
    <t>ROSMADIANA</t>
  </si>
  <si>
    <t>896611</t>
  </si>
  <si>
    <t>006908</t>
  </si>
  <si>
    <t>BCA TROPODO</t>
  </si>
  <si>
    <t>OPTIK</t>
  </si>
  <si>
    <t>DJOKO SANTOSO</t>
  </si>
  <si>
    <t>897120</t>
  </si>
  <si>
    <t>001322</t>
  </si>
  <si>
    <t>KPO BCA GRESIK</t>
  </si>
  <si>
    <t>ALL NEW R15 155 WA</t>
  </si>
  <si>
    <t>DODY CATUR S</t>
  </si>
  <si>
    <t>897422</t>
  </si>
  <si>
    <t>010235</t>
  </si>
  <si>
    <t>CSO BCA DARMO</t>
  </si>
  <si>
    <t>SCOPY HONDA (EKA KARUNIA)</t>
  </si>
  <si>
    <t>001682</t>
  </si>
  <si>
    <t>PURNA KARY BCA</t>
  </si>
  <si>
    <t>LENOVO TAB3 7</t>
  </si>
  <si>
    <t>BAMBANG KURNIAWAN</t>
  </si>
  <si>
    <t>898803</t>
  </si>
  <si>
    <t>001531</t>
  </si>
  <si>
    <t>PIMP BCA NGORO</t>
  </si>
  <si>
    <t>HONDA BEAT SPORTY CBS</t>
  </si>
  <si>
    <t>DJOKO PRIYO U</t>
  </si>
  <si>
    <t>900257</t>
  </si>
  <si>
    <t>002155</t>
  </si>
  <si>
    <t>KABAG OPS BCA RUNGKUT</t>
  </si>
  <si>
    <t>MINICON 2 BUAH</t>
  </si>
  <si>
    <t>M. ARIEF KAPRAWI</t>
  </si>
  <si>
    <t>901149</t>
  </si>
  <si>
    <t>002579</t>
  </si>
  <si>
    <t>SOY KW III BCA DARMO</t>
  </si>
  <si>
    <t>HP OPPO F5 (GEMILANG CELL)</t>
  </si>
  <si>
    <t>Z. SRI RAHAJOE</t>
  </si>
  <si>
    <t>901689</t>
  </si>
  <si>
    <t>001336</t>
  </si>
  <si>
    <t>BCA MAKRO SIDOARJO</t>
  </si>
  <si>
    <t>1 GRILL PAN</t>
  </si>
  <si>
    <t>YOENARMIATI</t>
  </si>
  <si>
    <t>902327</t>
  </si>
  <si>
    <t>001354</t>
  </si>
  <si>
    <t>TELLER BCA RGKT MAPN</t>
  </si>
  <si>
    <t>010191</t>
  </si>
  <si>
    <t>PANCI PRIMA BOGA</t>
  </si>
  <si>
    <t>PRIYONO</t>
  </si>
  <si>
    <t>903065</t>
  </si>
  <si>
    <t>DRIVER BCA DARMO</t>
  </si>
  <si>
    <t>YAMAHA AEROX</t>
  </si>
  <si>
    <t>LANY. S. TEDJO</t>
  </si>
  <si>
    <t>903070</t>
  </si>
  <si>
    <t>010327</t>
  </si>
  <si>
    <t>WINARTI</t>
  </si>
  <si>
    <t>903998</t>
  </si>
  <si>
    <t>001837</t>
  </si>
  <si>
    <t>PIC JOMBANG</t>
  </si>
  <si>
    <t>HONDA VARIO 150 (EKA KARUNIA)</t>
  </si>
  <si>
    <t>001408</t>
  </si>
  <si>
    <t>PANCI KC3 1 UNIT</t>
  </si>
  <si>
    <t>ADANG SURADI</t>
  </si>
  <si>
    <t>910520</t>
  </si>
  <si>
    <t>002041</t>
  </si>
  <si>
    <t>BO KHASANAH BCA RUNGKUT</t>
  </si>
  <si>
    <t>MINICON+CAS 100.000</t>
  </si>
  <si>
    <t>I MADE SETIAWAN</t>
  </si>
  <si>
    <t>910549</t>
  </si>
  <si>
    <t>010333</t>
  </si>
  <si>
    <t>VERA M. KAUNANG</t>
  </si>
  <si>
    <t>010199</t>
  </si>
  <si>
    <t>GENTENGKALI</t>
  </si>
  <si>
    <t>KC3 (PRIMA BOGA)</t>
  </si>
  <si>
    <t>YOZIE SEPTEMBER</t>
  </si>
  <si>
    <t>001299</t>
  </si>
  <si>
    <t>CSO BCA NGINDEN</t>
  </si>
  <si>
    <t>BEAT (PT.EKA KARUNIA ABADI)</t>
  </si>
  <si>
    <t>MUH. YUSUF</t>
  </si>
  <si>
    <t>912195</t>
  </si>
  <si>
    <t>002024</t>
  </si>
  <si>
    <t>STAF BCA DIT</t>
  </si>
  <si>
    <t>OKTO STEM 35 (FIRAXIS)</t>
  </si>
  <si>
    <t>AGUS PURWANTO</t>
  </si>
  <si>
    <t>912784</t>
  </si>
  <si>
    <t>001328</t>
  </si>
  <si>
    <t>KTRKAS BCA MANUKAN</t>
  </si>
  <si>
    <t>1 KC3 &amp; 1 STOK POT PRIMBOG</t>
  </si>
  <si>
    <t>KEN FITRI NILUH W</t>
  </si>
  <si>
    <t>913364</t>
  </si>
  <si>
    <t>001815</t>
  </si>
  <si>
    <t>CSO BCA MEER</t>
  </si>
  <si>
    <t>1 YAMAHA N MAX ABS</t>
  </si>
  <si>
    <t>MARIA DEWI A</t>
  </si>
  <si>
    <t>913368</t>
  </si>
  <si>
    <t>001686</t>
  </si>
  <si>
    <t>SAMSUNG GLX J7 PRO</t>
  </si>
  <si>
    <t>DEWI USMAWATI</t>
  </si>
  <si>
    <t>913384</t>
  </si>
  <si>
    <t>010299</t>
  </si>
  <si>
    <t>KC 3 &amp; GRILL PAN</t>
  </si>
  <si>
    <t>MOCH ILYAS</t>
  </si>
  <si>
    <t>914011</t>
  </si>
  <si>
    <t>001653</t>
  </si>
  <si>
    <t>DRIVER BCA DIPONEGORO</t>
  </si>
  <si>
    <t>HP SAMSUNG GALAXY J7 PRO</t>
  </si>
  <si>
    <t>RIRIS NABABAN</t>
  </si>
  <si>
    <t>914076</t>
  </si>
  <si>
    <t>010202</t>
  </si>
  <si>
    <t>AO BCA VETERAN</t>
  </si>
  <si>
    <t>KACAMATA SUP ALFA OMEGA</t>
  </si>
  <si>
    <t>001556</t>
  </si>
  <si>
    <t>PRAMUKARYA GLX</t>
  </si>
  <si>
    <t>YAMAHA NEW MIO M3 125</t>
  </si>
  <si>
    <t>SETYO WIDARTI</t>
  </si>
  <si>
    <t>921694</t>
  </si>
  <si>
    <t>HP OPPO A37</t>
  </si>
  <si>
    <t>1 HP IPHONE 7 BLACK</t>
  </si>
  <si>
    <t>010328</t>
  </si>
  <si>
    <t>001402</t>
  </si>
  <si>
    <t>FERRY YOHANNES</t>
  </si>
  <si>
    <t>932120</t>
  </si>
  <si>
    <t>009667</t>
  </si>
  <si>
    <t>BO PDK CHANDRA</t>
  </si>
  <si>
    <t>HP OPPO F 1 S</t>
  </si>
  <si>
    <t>ANDRIYANTO</t>
  </si>
  <si>
    <t>940715</t>
  </si>
  <si>
    <t>002042</t>
  </si>
  <si>
    <t>ADM KREDIT KW3 DRMO</t>
  </si>
  <si>
    <t>MINICON</t>
  </si>
  <si>
    <t>HENDRA</t>
  </si>
  <si>
    <t>960196</t>
  </si>
  <si>
    <t>010049</t>
  </si>
  <si>
    <t>3 HP OPPO A37 (SUP INDRA)</t>
  </si>
  <si>
    <t>001971</t>
  </si>
  <si>
    <t>HP OPPO A37 (GEMILANG CELL)</t>
  </si>
  <si>
    <t>001355</t>
  </si>
  <si>
    <t>CS BCA PLASA MARINA</t>
  </si>
  <si>
    <t>HOT PILW+PILW MESSG+DERMWN</t>
  </si>
  <si>
    <t>ALINE PURNOMO</t>
  </si>
  <si>
    <t>963396</t>
  </si>
  <si>
    <t>001687</t>
  </si>
  <si>
    <t>KABAG KERTOPATEN</t>
  </si>
  <si>
    <t>OPPO F3 PLUS GOLD</t>
  </si>
  <si>
    <t>ARNOLD PRIAJAYA</t>
  </si>
  <si>
    <t>970270</t>
  </si>
  <si>
    <t>001351</t>
  </si>
  <si>
    <t>KABAG TELLER PRAPEN</t>
  </si>
  <si>
    <t>BTL HOT PILW+DERMAWAN</t>
  </si>
  <si>
    <t>001333</t>
  </si>
  <si>
    <t>KBG TELLER PRAPEN</t>
  </si>
  <si>
    <t>PANCI MM2 PRIMA BOGA</t>
  </si>
  <si>
    <t>JUNITA REBIKA WADJA</t>
  </si>
  <si>
    <t>970654</t>
  </si>
  <si>
    <t>001685</t>
  </si>
  <si>
    <t xml:space="preserve">DP HONDA SCOPY </t>
  </si>
  <si>
    <t>JUNITA REBIKA</t>
  </si>
  <si>
    <t>HONDA SCOPY BROWN</t>
  </si>
  <si>
    <t>DIDI RUSLI</t>
  </si>
  <si>
    <t>970664</t>
  </si>
  <si>
    <t>001481</t>
  </si>
  <si>
    <t>SENTRL LAY KW 3 DRM</t>
  </si>
  <si>
    <t>AEROX YAMAHA</t>
  </si>
  <si>
    <t>VARIO 150 HONDA</t>
  </si>
  <si>
    <t>MICHELSEN</t>
  </si>
  <si>
    <t>971755</t>
  </si>
  <si>
    <t>001287</t>
  </si>
  <si>
    <t>KBG TELLER  NGAGEL</t>
  </si>
  <si>
    <t>HP HUAWEY</t>
  </si>
  <si>
    <t>MARGARETHA H</t>
  </si>
  <si>
    <t>001353</t>
  </si>
  <si>
    <t>INGE SUPROBO</t>
  </si>
  <si>
    <t>972131</t>
  </si>
  <si>
    <t>001401</t>
  </si>
  <si>
    <t>PIK KW 3 DARMO</t>
  </si>
  <si>
    <t>HENI ISWINARTI</t>
  </si>
  <si>
    <t>973168</t>
  </si>
  <si>
    <t>001335</t>
  </si>
  <si>
    <t>BCA PRAPEN</t>
  </si>
  <si>
    <t>TJATUR IDA HARIYATI</t>
  </si>
  <si>
    <t>973171</t>
  </si>
  <si>
    <t>010175</t>
  </si>
  <si>
    <t>PENGWSN INTERN BCA GALAXY</t>
  </si>
  <si>
    <t>YMH AEROX(RODA SAKTI)</t>
  </si>
  <si>
    <t>RIYANTI WULANDARI</t>
  </si>
  <si>
    <t>973200</t>
  </si>
  <si>
    <t>SHIERLY</t>
  </si>
  <si>
    <t>973261</t>
  </si>
  <si>
    <t>010133</t>
  </si>
  <si>
    <t>RO BCA VETERAN</t>
  </si>
  <si>
    <t>HONDA VARIO 125 (GEBYAR KMS)</t>
  </si>
  <si>
    <t>001880</t>
  </si>
  <si>
    <t>NOVIA T</t>
  </si>
  <si>
    <t>975213</t>
  </si>
  <si>
    <t>010200</t>
  </si>
  <si>
    <t>MARGARETHA M</t>
  </si>
  <si>
    <t>010197</t>
  </si>
  <si>
    <t>PIC GRESIK</t>
  </si>
  <si>
    <t>RO, RS, RK (PRIMA BOGA)</t>
  </si>
  <si>
    <t>ANY IRMA H</t>
  </si>
  <si>
    <t>975350</t>
  </si>
  <si>
    <t>010196</t>
  </si>
  <si>
    <t>PEND OPS</t>
  </si>
  <si>
    <t>ANITA DYAH S</t>
  </si>
  <si>
    <t>975375</t>
  </si>
  <si>
    <t>010189</t>
  </si>
  <si>
    <t>GRESIK</t>
  </si>
  <si>
    <t>MM3 &amp; RO (PRIMA BOGA)</t>
  </si>
  <si>
    <t>RUDI HANDOKO</t>
  </si>
  <si>
    <t>977398</t>
  </si>
  <si>
    <t>009813</t>
  </si>
  <si>
    <t>HOT PILLOW CV.YASIIRA RIZKY</t>
  </si>
  <si>
    <t>M. RIRIN E</t>
  </si>
  <si>
    <t>980094</t>
  </si>
  <si>
    <t>001868</t>
  </si>
  <si>
    <t>BO BCA TANDES</t>
  </si>
  <si>
    <t>3 WOK JMA + 1 POT 28cm</t>
  </si>
  <si>
    <t>SRI SUMAJI</t>
  </si>
  <si>
    <t>910135</t>
  </si>
  <si>
    <t>002404</t>
  </si>
  <si>
    <t>KALUNG+GELANG KES (SUP RIADI)</t>
  </si>
  <si>
    <t>YOHANES ANDI S</t>
  </si>
  <si>
    <t>914072</t>
  </si>
  <si>
    <t>002405</t>
  </si>
  <si>
    <t>YAP TJUAN KIN</t>
  </si>
  <si>
    <t>973873</t>
  </si>
  <si>
    <t>002406</t>
  </si>
  <si>
    <t>WIWID</t>
  </si>
  <si>
    <t>002456</t>
  </si>
  <si>
    <t>HP POLYTRON</t>
  </si>
  <si>
    <t>DAFTAR DENDA PINJAMAN NORMATIF TGL 23-28 PEBRUARI 2018 (SETELAH UPLOAD)</t>
  </si>
  <si>
    <t>DENDA GGL DBT PINJ N PEB2017</t>
  </si>
  <si>
    <t>DENDA GGL DBT PINJ N MRT2017</t>
  </si>
  <si>
    <t>DENDA GGL DBT PINJ N APRL2017</t>
  </si>
  <si>
    <t>DENDA GGL DBT NOR MEI'17</t>
  </si>
  <si>
    <t>DENDA GGL DBT NOR JUNI'17</t>
  </si>
  <si>
    <t>DENDA GGL DBT NOR JULI'17</t>
  </si>
  <si>
    <t>BUNGA GGL DBT NOR AGTSI'17</t>
  </si>
  <si>
    <t>DEND GGL DBT PIJ NOR SEPT'17</t>
  </si>
  <si>
    <t>DEND GGL DBT PIJ NOR OKT'17</t>
  </si>
  <si>
    <t>DEND GGL DBT PIJ NOR NOP'17</t>
  </si>
  <si>
    <t>DEND GGL DBT PIJ NOR DES'17</t>
  </si>
  <si>
    <t>H. DANNY A</t>
  </si>
  <si>
    <t>962205</t>
  </si>
  <si>
    <t>DEND TAT'17 GGL DBT PIJ NOR DES'17</t>
  </si>
  <si>
    <t>RUDI KURNIAWAN</t>
  </si>
  <si>
    <t>973908</t>
  </si>
  <si>
    <t>DENDA GGL DBT PIJ POT THR JUNI 2016</t>
  </si>
  <si>
    <t>KOMARI</t>
  </si>
  <si>
    <t>976956</t>
  </si>
  <si>
    <t>DENDA PINJ TAT DES 2016</t>
  </si>
  <si>
    <t>DEND GGL DBT PIJ NOR JAN'18</t>
  </si>
  <si>
    <t>DAFTAR BUNGA PINJAMAN NORMATIF TGL 23-28 PEBRUARI 2018 (SETELAH UPLOAD)</t>
  </si>
  <si>
    <t>BUNGA POT TAT DES 2016</t>
  </si>
  <si>
    <t>BUNGA POT TAT JAN 2017</t>
  </si>
  <si>
    <t>BUNGA GGL DBT N PEB2017</t>
  </si>
  <si>
    <t>BUNGA PINJ TAT PEB 2017</t>
  </si>
  <si>
    <t>BUNGA PINJ TAT MRT 2017</t>
  </si>
  <si>
    <t>BUNGA PINJ TAT APRL 2017</t>
  </si>
  <si>
    <t>BUNGA GGL DBT N APRL2017</t>
  </si>
  <si>
    <t>BG GGL DBT POT TAT APRL2017</t>
  </si>
  <si>
    <t>BUNGA GGL DBT NOR MEI'17</t>
  </si>
  <si>
    <t>BG GGL DBT POT TAT JUNI'17</t>
  </si>
  <si>
    <t>BUNGA GGL DBT NOR JUNI'17</t>
  </si>
  <si>
    <t>BG GGL DBT POT TAT JULI'17</t>
  </si>
  <si>
    <t>BUNGA GGL DBT NOR JULI'17</t>
  </si>
  <si>
    <t>BUNGA TAT AGTS 2017</t>
  </si>
  <si>
    <t>BUNGA TAT SEPT 2017</t>
  </si>
  <si>
    <t>DENDA GGL DBT NOR AGTSI'17</t>
  </si>
  <si>
    <t>BG GGL DBT PIJ NOR SEPT'17</t>
  </si>
  <si>
    <t>BG GGL DBT POT PIJ TAT OKT'17</t>
  </si>
  <si>
    <t>BG GGL DBT PIJ NOR OKT'17</t>
  </si>
  <si>
    <t>BG GGL DBT POT PIJ TAT NOP'17</t>
  </si>
  <si>
    <t>BG GGL DBT POT PIJ TAT DES'17</t>
  </si>
  <si>
    <t>BG PIJ BRG NOR NOP'17</t>
  </si>
  <si>
    <t>BUNGA GGL DBT NORM DES2017</t>
  </si>
  <si>
    <t>BUNGA GGL DBT N MRT2017</t>
  </si>
  <si>
    <t>SULATIK</t>
  </si>
  <si>
    <t>920892</t>
  </si>
  <si>
    <t>BG GGL DBT PIJ POT BNS NOP'17</t>
  </si>
  <si>
    <t>BG GGL DBT PIJ POT BNS DES'17</t>
  </si>
  <si>
    <t>BUNGA APRIL'17 JAN2018</t>
  </si>
  <si>
    <t>BG PIJ BNS APRL SEPT 2016</t>
  </si>
  <si>
    <t>BUNGA POT THR NOP 2016</t>
  </si>
  <si>
    <t>BUNGA POT BNS APRL NOP 2016</t>
  </si>
  <si>
    <t>BUNGA POT THR DES 2016</t>
  </si>
  <si>
    <t>BUNGA POT BNS APRL DES 2016</t>
  </si>
  <si>
    <t>BUNGA POT THR JAN 2017</t>
  </si>
  <si>
    <t>BUNGA POT BNS APRIL JAN 2017</t>
  </si>
  <si>
    <t>BUNGA PINJ BNS APRL PEB 2017</t>
  </si>
  <si>
    <t>BUNGA PINJ THR PEB 2017</t>
  </si>
  <si>
    <t>BUNGA PINJ BNS APRL MRT 2017</t>
  </si>
  <si>
    <t>BUNGA PINJ THR MRT 2017</t>
  </si>
  <si>
    <t>BUNGA PINJ BNS APRL-APRL 2017</t>
  </si>
  <si>
    <t>BUNGA PINJ THR APRL 2017</t>
  </si>
  <si>
    <t>BG GGL DBT POT THR APRL2017</t>
  </si>
  <si>
    <t>BG GGL DBT POT BNS APRL2017</t>
  </si>
  <si>
    <t>BG GGL DBT POT BNS APRL JUNI'17</t>
  </si>
  <si>
    <t>BG GGL DBT POT BNS APRL JULI'17</t>
  </si>
  <si>
    <t>BUNGA BONUS APRIL AGTS 2017</t>
  </si>
  <si>
    <t>BUNGA BONUS APRIL SEPT 2017</t>
  </si>
  <si>
    <t>BUNGA THR 2017 SEPT 2017</t>
  </si>
  <si>
    <t>BG GGL DBT POT PIJ THR OKT'17</t>
  </si>
  <si>
    <t>BG GGL DBT PIJ POT BNS OKT'17</t>
  </si>
  <si>
    <t>BG GGL DBT POT PIJ THR NOP'17</t>
  </si>
  <si>
    <t>BG GGL DBT POT PIJ THR DES'17</t>
  </si>
  <si>
    <t>BUNGA THR'17 JAN2018</t>
  </si>
  <si>
    <t>AGUSTINA S</t>
  </si>
  <si>
    <t>976579</t>
  </si>
  <si>
    <t>AGUSTINA SUSANTI</t>
  </si>
  <si>
    <t>BUNGA PIJ KHS JAN2018</t>
  </si>
  <si>
    <t>BUNGA POT THR PEB 2016</t>
  </si>
  <si>
    <t>BUNGA PIJ POT TAT MRT 2016</t>
  </si>
  <si>
    <t>BUNGA POT THR APRL 2016</t>
  </si>
  <si>
    <t>BUNGA PIJ POT TAT APRL 2016</t>
  </si>
  <si>
    <t>BUNGA POT THR MEI 2016</t>
  </si>
  <si>
    <t>BUNGA POT THR JUNI 2016</t>
  </si>
  <si>
    <t>BUNGA PIJ POT TAT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</si>
  <si>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</si>
  <si>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</si>
  <si>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</si>
  <si>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</si>
  <si>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</si>
  <si>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</si>
  <si>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</si>
  <si>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GGL DBT THR NOR JULI'17</t>
  </si>
  <si>
    <t>BUNGA THR 2017 AGTS 2017</t>
  </si>
  <si>
    <t>BUNGA GGL DBT NORM JAN2018</t>
  </si>
  <si>
    <t>BUNGA TAT'17 PEB2018</t>
  </si>
  <si>
    <t>BUNGA THR'17 PEB2018</t>
  </si>
  <si>
    <t>BUNGA BNS APRIL 17 PEB2018</t>
  </si>
  <si>
    <t>SUBANDI</t>
  </si>
  <si>
    <t>912025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</si>
</sst>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[$Rp-421]* #,##0_);_([$Rp-421]* \(#,##0\);_([$Rp-421]* &quot;-&quot;_);_(@_)"/>
    <numFmt numFmtId="168" formatCode="_([$Rp-421]* #,##0.00_);_([$Rp-421]* \(#,##0.00\);_([$Rp-421]* &quot;-&quot;_);_(@_)"/>
  </numFmts>
  <fonts count="2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1"/>
      <name val="Calibri"/>
      <family val="2"/>
      <charset val="1"/>
      <scheme val="minor"/>
    </font>
    <font>
      <i/>
      <sz val="16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6"/>
      <name val="Times New Roman"/>
      <family val="1"/>
    </font>
    <font>
      <sz val="12"/>
      <color indexed="8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i/>
      <sz val="12"/>
      <color theme="1"/>
      <name val="Calibri"/>
      <family val="2"/>
      <charset val="1"/>
      <scheme val="minor"/>
    </font>
    <font>
      <i/>
      <sz val="8"/>
      <name val="Times New Roman"/>
      <family val="1"/>
    </font>
    <font>
      <i/>
      <sz val="1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i/>
      <sz val="11"/>
      <color theme="1"/>
      <name val="Times New Roman"/>
      <family val="1"/>
    </font>
    <font>
      <i/>
      <sz val="10"/>
      <name val="Times New Roman"/>
      <family val="1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4" fillId="0" borderId="0"/>
  </cellStyleXfs>
  <cellXfs count="345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right"/>
    </xf>
    <xf numFmtId="165" fontId="2" fillId="0" borderId="0" xfId="1" applyNumberFormat="1" applyFont="1" applyFill="1" applyBorder="1" applyAlignment="1"/>
    <xf numFmtId="43" fontId="2" fillId="0" borderId="0" xfId="1" applyFont="1" applyFill="1" applyBorder="1"/>
    <xf numFmtId="0" fontId="2" fillId="0" borderId="0" xfId="0" applyFont="1" applyFill="1" applyAlignment="1">
      <alignment horizontal="center"/>
    </xf>
    <xf numFmtId="39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43" fontId="2" fillId="0" borderId="0" xfId="1" applyFont="1" applyFill="1" applyBorder="1" applyAlignment="1"/>
    <xf numFmtId="43" fontId="2" fillId="0" borderId="1" xfId="2" applyNumberFormat="1" applyFont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43" fontId="4" fillId="0" borderId="3" xfId="1" quotePrefix="1" applyFont="1" applyFill="1" applyBorder="1" applyAlignment="1">
      <alignment horizontal="right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2" fillId="0" borderId="4" xfId="0" applyFont="1" applyFill="1" applyBorder="1"/>
    <xf numFmtId="0" fontId="5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quotePrefix="1" applyFont="1" applyBorder="1"/>
    <xf numFmtId="164" fontId="2" fillId="0" borderId="5" xfId="1" quotePrefix="1" applyNumberFormat="1" applyFont="1" applyFill="1" applyBorder="1" applyAlignment="1">
      <alignment horizontal="center"/>
    </xf>
    <xf numFmtId="165" fontId="2" fillId="0" borderId="5" xfId="2" applyNumberFormat="1" applyFont="1" applyBorder="1"/>
    <xf numFmtId="165" fontId="2" fillId="0" borderId="5" xfId="2" applyNumberFormat="1" applyFont="1" applyBorder="1" applyAlignment="1">
      <alignment horizontal="right"/>
    </xf>
    <xf numFmtId="43" fontId="2" fillId="0" borderId="5" xfId="2" applyNumberFormat="1" applyFont="1" applyBorder="1"/>
    <xf numFmtId="0" fontId="2" fillId="0" borderId="5" xfId="0" applyFont="1" applyBorder="1" applyAlignment="1">
      <alignment horizontal="center"/>
    </xf>
    <xf numFmtId="165" fontId="2" fillId="2" borderId="5" xfId="2" applyNumberFormat="1" applyFont="1" applyFill="1" applyBorder="1" applyAlignment="1">
      <alignment horizontal="right"/>
    </xf>
    <xf numFmtId="0" fontId="6" fillId="0" borderId="5" xfId="0" applyFont="1" applyBorder="1"/>
    <xf numFmtId="0" fontId="2" fillId="0" borderId="0" xfId="0" applyFont="1"/>
    <xf numFmtId="0" fontId="2" fillId="0" borderId="5" xfId="0" applyFont="1" applyFill="1" applyBorder="1" applyAlignment="1">
      <alignment horizontal="center"/>
    </xf>
    <xf numFmtId="43" fontId="2" fillId="0" borderId="5" xfId="1" applyFont="1" applyBorder="1"/>
    <xf numFmtId="0" fontId="2" fillId="0" borderId="5" xfId="0" quotePrefix="1" applyFont="1" applyBorder="1" applyAlignment="1">
      <alignment horizontal="center"/>
    </xf>
    <xf numFmtId="0" fontId="2" fillId="0" borderId="5" xfId="0" applyFont="1" applyFill="1" applyBorder="1"/>
    <xf numFmtId="0" fontId="2" fillId="0" borderId="5" xfId="0" quotePrefix="1" applyFont="1" applyFill="1" applyBorder="1"/>
    <xf numFmtId="0" fontId="2" fillId="0" borderId="5" xfId="0" quotePrefix="1" applyFont="1" applyFill="1" applyBorder="1" applyAlignment="1">
      <alignment horizontal="center"/>
    </xf>
    <xf numFmtId="43" fontId="2" fillId="0" borderId="5" xfId="1" applyFont="1" applyFill="1" applyBorder="1"/>
    <xf numFmtId="0" fontId="6" fillId="0" borderId="5" xfId="0" applyFont="1" applyFill="1" applyBorder="1"/>
    <xf numFmtId="0" fontId="2" fillId="0" borderId="0" xfId="0" applyFont="1" applyFill="1"/>
    <xf numFmtId="164" fontId="2" fillId="0" borderId="5" xfId="1" applyNumberFormat="1" applyFont="1" applyFill="1" applyBorder="1" applyAlignment="1">
      <alignment horizontal="center"/>
    </xf>
    <xf numFmtId="165" fontId="2" fillId="0" borderId="5" xfId="2" applyNumberFormat="1" applyFont="1" applyFill="1" applyBorder="1" applyAlignment="1">
      <alignment horizontal="right"/>
    </xf>
    <xf numFmtId="0" fontId="4" fillId="0" borderId="5" xfId="0" applyFont="1" applyBorder="1"/>
    <xf numFmtId="43" fontId="2" fillId="0" borderId="5" xfId="0" applyNumberFormat="1" applyFont="1" applyBorder="1"/>
    <xf numFmtId="0" fontId="7" fillId="0" borderId="0" xfId="0" applyFont="1"/>
    <xf numFmtId="43" fontId="0" fillId="0" borderId="0" xfId="0" applyNumberFormat="1"/>
    <xf numFmtId="0" fontId="2" fillId="0" borderId="0" xfId="0" applyFont="1" applyAlignment="1">
      <alignment horizontal="center"/>
    </xf>
    <xf numFmtId="41" fontId="2" fillId="0" borderId="5" xfId="2" quotePrefix="1" applyFont="1" applyBorder="1" applyAlignment="1">
      <alignment horizontal="center"/>
    </xf>
    <xf numFmtId="165" fontId="0" fillId="0" borderId="0" xfId="0" applyNumberFormat="1"/>
    <xf numFmtId="43" fontId="8" fillId="0" borderId="0" xfId="1" applyFont="1" applyFill="1" applyBorder="1"/>
    <xf numFmtId="43" fontId="2" fillId="0" borderId="0" xfId="1" applyFont="1" applyFill="1" applyBorder="1" applyAlignment="1">
      <alignment horizontal="center"/>
    </xf>
    <xf numFmtId="49" fontId="2" fillId="0" borderId="0" xfId="1" applyNumberFormat="1" applyFont="1" applyFill="1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left"/>
    </xf>
    <xf numFmtId="49" fontId="4" fillId="0" borderId="2" xfId="1" applyNumberFormat="1" applyFont="1" applyFill="1" applyBorder="1" applyAlignment="1">
      <alignment horizontal="center"/>
    </xf>
    <xf numFmtId="43" fontId="4" fillId="0" borderId="2" xfId="1" applyFont="1" applyFill="1" applyBorder="1"/>
    <xf numFmtId="43" fontId="4" fillId="0" borderId="0" xfId="1" applyFont="1" applyFill="1" applyBorder="1"/>
    <xf numFmtId="49" fontId="4" fillId="0" borderId="3" xfId="1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left"/>
    </xf>
    <xf numFmtId="43" fontId="4" fillId="0" borderId="4" xfId="1" applyFont="1" applyFill="1" applyBorder="1"/>
    <xf numFmtId="0" fontId="9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quotePrefix="1" applyFont="1" applyBorder="1" applyAlignment="1">
      <alignment horizontal="center"/>
    </xf>
    <xf numFmtId="165" fontId="9" fillId="0" borderId="5" xfId="2" applyNumberFormat="1" applyFont="1" applyBorder="1"/>
    <xf numFmtId="165" fontId="4" fillId="0" borderId="5" xfId="2" applyNumberFormat="1" applyFont="1" applyFill="1" applyBorder="1" applyAlignment="1">
      <alignment horizontal="center"/>
    </xf>
    <xf numFmtId="165" fontId="9" fillId="0" borderId="5" xfId="2" applyNumberFormat="1" applyFont="1" applyFill="1" applyBorder="1"/>
    <xf numFmtId="0" fontId="10" fillId="0" borderId="5" xfId="0" quotePrefix="1" applyFont="1" applyBorder="1"/>
    <xf numFmtId="43" fontId="0" fillId="0" borderId="5" xfId="0" applyNumberFormat="1" applyBorder="1"/>
    <xf numFmtId="0" fontId="9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5" xfId="0" quotePrefix="1" applyFont="1" applyFill="1" applyBorder="1" applyAlignment="1">
      <alignment horizontal="center"/>
    </xf>
    <xf numFmtId="0" fontId="0" fillId="0" borderId="0" xfId="0" quotePrefix="1" applyFill="1"/>
    <xf numFmtId="0" fontId="0" fillId="0" borderId="0" xfId="0" applyFill="1"/>
    <xf numFmtId="0" fontId="10" fillId="0" borderId="5" xfId="0" applyFont="1" applyBorder="1"/>
    <xf numFmtId="0" fontId="9" fillId="0" borderId="5" xfId="0" applyFont="1" applyBorder="1"/>
    <xf numFmtId="0" fontId="0" fillId="0" borderId="5" xfId="0" applyBorder="1"/>
    <xf numFmtId="165" fontId="9" fillId="0" borderId="5" xfId="0" applyNumberFormat="1" applyFont="1" applyBorder="1"/>
    <xf numFmtId="0" fontId="0" fillId="0" borderId="0" xfId="0" quotePrefix="1"/>
    <xf numFmtId="0" fontId="5" fillId="0" borderId="5" xfId="0" quotePrefix="1" applyFont="1" applyBorder="1"/>
    <xf numFmtId="41" fontId="9" fillId="0" borderId="5" xfId="2" applyFont="1" applyBorder="1"/>
    <xf numFmtId="165" fontId="9" fillId="2" borderId="5" xfId="2" applyNumberFormat="1" applyFont="1" applyFill="1" applyBorder="1"/>
    <xf numFmtId="0" fontId="0" fillId="0" borderId="0" xfId="0" applyAlignment="1">
      <alignment horizontal="center"/>
    </xf>
    <xf numFmtId="165" fontId="0" fillId="0" borderId="5" xfId="2" applyNumberFormat="1" applyFont="1" applyBorder="1"/>
    <xf numFmtId="0" fontId="11" fillId="0" borderId="0" xfId="0" applyFont="1" applyFill="1" applyBorder="1" applyAlignment="1">
      <alignment horizontal="left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0" fontId="8" fillId="0" borderId="0" xfId="0" applyFont="1" applyFill="1" applyBorder="1"/>
    <xf numFmtId="0" fontId="2" fillId="0" borderId="2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39" fontId="2" fillId="0" borderId="2" xfId="0" applyNumberFormat="1" applyFont="1" applyFill="1" applyBorder="1" applyAlignment="1">
      <alignment horizontal="center"/>
    </xf>
    <xf numFmtId="43" fontId="2" fillId="0" borderId="6" xfId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center"/>
    </xf>
    <xf numFmtId="39" fontId="2" fillId="3" borderId="2" xfId="2" applyNumberFormat="1" applyFont="1" applyFill="1" applyBorder="1" applyAlignment="1">
      <alignment horizontal="center"/>
    </xf>
    <xf numFmtId="39" fontId="4" fillId="0" borderId="6" xfId="2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center"/>
    </xf>
    <xf numFmtId="43" fontId="2" fillId="0" borderId="8" xfId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39" fontId="2" fillId="0" borderId="9" xfId="2" applyNumberFormat="1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center"/>
    </xf>
    <xf numFmtId="39" fontId="2" fillId="3" borderId="4" xfId="2" applyNumberFormat="1" applyFont="1" applyFill="1" applyBorder="1" applyAlignment="1">
      <alignment horizontal="center"/>
    </xf>
    <xf numFmtId="39" fontId="4" fillId="0" borderId="8" xfId="2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43" fontId="2" fillId="0" borderId="4" xfId="1" applyFont="1" applyFill="1" applyBorder="1" applyAlignment="1">
      <alignment horizontal="center"/>
    </xf>
    <xf numFmtId="43" fontId="2" fillId="0" borderId="5" xfId="2" applyNumberFormat="1" applyFont="1" applyFill="1" applyBorder="1"/>
    <xf numFmtId="0" fontId="2" fillId="0" borderId="5" xfId="1" applyNumberFormat="1" applyFont="1" applyFill="1" applyBorder="1" applyAlignment="1">
      <alignment horizontal="center"/>
    </xf>
    <xf numFmtId="165" fontId="2" fillId="4" borderId="5" xfId="2" applyNumberFormat="1" applyFont="1" applyFill="1" applyBorder="1" applyAlignment="1">
      <alignment horizontal="right"/>
    </xf>
    <xf numFmtId="39" fontId="2" fillId="0" borderId="5" xfId="0" applyNumberFormat="1" applyFont="1" applyFill="1" applyBorder="1" applyAlignment="1">
      <alignment horizontal="right"/>
    </xf>
    <xf numFmtId="43" fontId="2" fillId="0" borderId="5" xfId="0" applyNumberFormat="1" applyFont="1" applyFill="1" applyBorder="1"/>
    <xf numFmtId="43" fontId="2" fillId="0" borderId="5" xfId="1" quotePrefix="1" applyFont="1" applyFill="1" applyBorder="1" applyAlignment="1">
      <alignment horizontal="center"/>
    </xf>
    <xf numFmtId="43" fontId="2" fillId="0" borderId="5" xfId="1" applyFont="1" applyFill="1" applyBorder="1" applyAlignment="1">
      <alignment horizontal="right"/>
    </xf>
    <xf numFmtId="49" fontId="2" fillId="0" borderId="5" xfId="1" applyNumberFormat="1" applyFont="1" applyFill="1" applyBorder="1" applyAlignment="1">
      <alignment horizontal="center"/>
    </xf>
    <xf numFmtId="43" fontId="6" fillId="0" borderId="5" xfId="1" applyFont="1" applyFill="1" applyBorder="1" applyAlignment="1">
      <alignment horizontal="left"/>
    </xf>
    <xf numFmtId="15" fontId="2" fillId="0" borderId="5" xfId="0" applyNumberFormat="1" applyFont="1" applyFill="1" applyBorder="1" applyAlignment="1">
      <alignment horizontal="center"/>
    </xf>
    <xf numFmtId="39" fontId="2" fillId="0" borderId="5" xfId="0" applyNumberFormat="1" applyFont="1" applyFill="1" applyBorder="1" applyAlignment="1"/>
    <xf numFmtId="43" fontId="2" fillId="4" borderId="5" xfId="1" applyNumberFormat="1" applyFont="1" applyFill="1" applyBorder="1" applyAlignment="1">
      <alignment horizontal="right"/>
    </xf>
    <xf numFmtId="39" fontId="12" fillId="0" borderId="5" xfId="0" applyNumberFormat="1" applyFont="1" applyFill="1" applyBorder="1" applyAlignment="1">
      <alignment horizontal="right"/>
    </xf>
    <xf numFmtId="165" fontId="2" fillId="0" borderId="5" xfId="2" applyNumberFormat="1" applyFont="1" applyFill="1" applyBorder="1"/>
    <xf numFmtId="39" fontId="12" fillId="0" borderId="5" xfId="2" applyNumberFormat="1" applyFont="1" applyFill="1" applyBorder="1" applyAlignment="1">
      <alignment horizontal="right"/>
    </xf>
    <xf numFmtId="43" fontId="2" fillId="4" borderId="5" xfId="1" applyFont="1" applyFill="1" applyBorder="1"/>
    <xf numFmtId="43" fontId="2" fillId="0" borderId="0" xfId="1" applyFont="1" applyFill="1"/>
    <xf numFmtId="43" fontId="2" fillId="4" borderId="5" xfId="1" applyFont="1" applyFill="1" applyBorder="1" applyAlignment="1">
      <alignment horizontal="right"/>
    </xf>
    <xf numFmtId="43" fontId="2" fillId="0" borderId="5" xfId="0" applyNumberFormat="1" applyFont="1" applyBorder="1" applyAlignment="1">
      <alignment horizontal="right"/>
    </xf>
    <xf numFmtId="39" fontId="2" fillId="0" borderId="5" xfId="2" applyNumberFormat="1" applyFont="1" applyFill="1" applyBorder="1" applyAlignment="1">
      <alignment horizontal="right"/>
    </xf>
    <xf numFmtId="43" fontId="2" fillId="0" borderId="5" xfId="1" applyNumberFormat="1" applyFont="1" applyFill="1" applyBorder="1"/>
    <xf numFmtId="39" fontId="6" fillId="0" borderId="5" xfId="2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65" fontId="2" fillId="0" borderId="5" xfId="0" applyNumberFormat="1" applyFont="1" applyFill="1" applyBorder="1"/>
    <xf numFmtId="43" fontId="2" fillId="5" borderId="5" xfId="1" applyFont="1" applyFill="1" applyBorder="1"/>
    <xf numFmtId="43" fontId="2" fillId="5" borderId="5" xfId="1" applyNumberFormat="1" applyFont="1" applyFill="1" applyBorder="1" applyAlignment="1">
      <alignment horizontal="right"/>
    </xf>
    <xf numFmtId="0" fontId="2" fillId="6" borderId="5" xfId="0" applyFont="1" applyFill="1" applyBorder="1"/>
    <xf numFmtId="0" fontId="2" fillId="6" borderId="5" xfId="0" quotePrefix="1" applyFont="1" applyFill="1" applyBorder="1" applyAlignment="1">
      <alignment horizontal="center"/>
    </xf>
    <xf numFmtId="164" fontId="2" fillId="6" borderId="5" xfId="1" applyNumberFormat="1" applyFont="1" applyFill="1" applyBorder="1" applyAlignment="1">
      <alignment horizontal="center"/>
    </xf>
    <xf numFmtId="43" fontId="2" fillId="6" borderId="5" xfId="1" applyFont="1" applyFill="1" applyBorder="1"/>
    <xf numFmtId="43" fontId="2" fillId="6" borderId="5" xfId="1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1" applyNumberFormat="1" applyFont="1" applyFill="1" applyBorder="1" applyAlignment="1">
      <alignment horizontal="center"/>
    </xf>
    <xf numFmtId="0" fontId="2" fillId="6" borderId="5" xfId="0" quotePrefix="1" applyFont="1" applyFill="1" applyBorder="1"/>
    <xf numFmtId="165" fontId="2" fillId="6" borderId="5" xfId="2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left"/>
    </xf>
    <xf numFmtId="49" fontId="5" fillId="0" borderId="5" xfId="0" quotePrefix="1" applyNumberFormat="1" applyFont="1" applyFill="1" applyBorder="1" applyAlignment="1">
      <alignment horizontal="center"/>
    </xf>
    <xf numFmtId="43" fontId="2" fillId="5" borderId="5" xfId="1" applyFont="1" applyFill="1" applyBorder="1" applyAlignment="1">
      <alignment horizontal="right"/>
    </xf>
    <xf numFmtId="43" fontId="2" fillId="6" borderId="5" xfId="1" quotePrefix="1" applyFont="1" applyFill="1" applyBorder="1" applyAlignment="1">
      <alignment horizontal="center"/>
    </xf>
    <xf numFmtId="49" fontId="2" fillId="6" borderId="5" xfId="1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6" fillId="0" borderId="10" xfId="0" applyFont="1" applyBorder="1"/>
    <xf numFmtId="15" fontId="5" fillId="0" borderId="5" xfId="0" applyNumberFormat="1" applyFont="1" applyFill="1" applyBorder="1" applyAlignment="1">
      <alignment horizontal="center"/>
    </xf>
    <xf numFmtId="43" fontId="2" fillId="0" borderId="5" xfId="1" applyFont="1" applyFill="1" applyBorder="1" applyAlignment="1"/>
    <xf numFmtId="165" fontId="2" fillId="0" borderId="5" xfId="2" applyNumberFormat="1" applyFont="1" applyFill="1" applyBorder="1" applyAlignment="1">
      <alignment horizontal="center"/>
    </xf>
    <xf numFmtId="0" fontId="3" fillId="0" borderId="5" xfId="0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39" fontId="2" fillId="0" borderId="5" xfId="2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5" xfId="0" applyNumberFormat="1" applyFont="1" applyFill="1" applyBorder="1"/>
    <xf numFmtId="0" fontId="1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15" fontId="2" fillId="0" borderId="0" xfId="3" applyNumberFormat="1" applyFont="1" applyFill="1" applyBorder="1" applyAlignment="1">
      <alignment horizontal="center"/>
    </xf>
    <xf numFmtId="39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3" fontId="2" fillId="0" borderId="0" xfId="1" applyFont="1" applyFill="1" applyAlignment="1">
      <alignment horizontal="right"/>
    </xf>
    <xf numFmtId="43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5" fillId="0" borderId="5" xfId="0" applyFont="1" applyFill="1" applyBorder="1" applyAlignment="1">
      <alignment horizontal="center"/>
    </xf>
    <xf numFmtId="164" fontId="15" fillId="0" borderId="5" xfId="0" applyNumberFormat="1" applyFont="1" applyFill="1" applyBorder="1" applyAlignment="1">
      <alignment horizontal="center"/>
    </xf>
    <xf numFmtId="39" fontId="15" fillId="0" borderId="5" xfId="0" applyNumberFormat="1" applyFont="1" applyFill="1" applyBorder="1" applyAlignment="1">
      <alignment horizontal="center"/>
    </xf>
    <xf numFmtId="43" fontId="15" fillId="0" borderId="5" xfId="1" applyFont="1" applyFill="1" applyBorder="1" applyAlignment="1">
      <alignment horizontal="center"/>
    </xf>
    <xf numFmtId="39" fontId="2" fillId="3" borderId="0" xfId="2" applyNumberFormat="1" applyFont="1" applyFill="1" applyAlignment="1">
      <alignment horizontal="right"/>
    </xf>
    <xf numFmtId="0" fontId="2" fillId="3" borderId="0" xfId="0" applyFont="1" applyFill="1"/>
    <xf numFmtId="165" fontId="0" fillId="0" borderId="5" xfId="2" applyNumberFormat="1" applyFont="1" applyFill="1" applyBorder="1"/>
    <xf numFmtId="164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/>
    <xf numFmtId="0" fontId="16" fillId="0" borderId="2" xfId="0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39" fontId="16" fillId="0" borderId="2" xfId="0" applyNumberFormat="1" applyFont="1" applyFill="1" applyBorder="1" applyAlignment="1">
      <alignment horizontal="center"/>
    </xf>
    <xf numFmtId="43" fontId="16" fillId="0" borderId="2" xfId="1" applyFont="1" applyFill="1" applyBorder="1" applyAlignment="1">
      <alignment horizontal="center"/>
    </xf>
    <xf numFmtId="43" fontId="16" fillId="0" borderId="6" xfId="1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39" fontId="16" fillId="0" borderId="7" xfId="2" applyNumberFormat="1" applyFont="1" applyFill="1" applyBorder="1" applyAlignment="1">
      <alignment horizontal="center"/>
    </xf>
    <xf numFmtId="39" fontId="16" fillId="0" borderId="2" xfId="2" applyNumberFormat="1" applyFont="1" applyFill="1" applyBorder="1" applyAlignment="1">
      <alignment horizontal="center"/>
    </xf>
    <xf numFmtId="39" fontId="16" fillId="0" borderId="6" xfId="2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  <xf numFmtId="39" fontId="16" fillId="0" borderId="3" xfId="0" quotePrefix="1" applyNumberFormat="1" applyFont="1" applyFill="1" applyBorder="1" applyAlignment="1">
      <alignment horizontal="center"/>
    </xf>
    <xf numFmtId="39" fontId="16" fillId="0" borderId="3" xfId="0" applyNumberFormat="1" applyFont="1" applyFill="1" applyBorder="1" applyAlignment="1">
      <alignment horizontal="center"/>
    </xf>
    <xf numFmtId="43" fontId="16" fillId="0" borderId="3" xfId="1" applyFont="1" applyFill="1" applyBorder="1" applyAlignment="1">
      <alignment horizontal="center"/>
    </xf>
    <xf numFmtId="43" fontId="16" fillId="0" borderId="11" xfId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39" fontId="16" fillId="0" borderId="12" xfId="2" applyNumberFormat="1" applyFont="1" applyFill="1" applyBorder="1" applyAlignment="1">
      <alignment horizontal="center"/>
    </xf>
    <xf numFmtId="39" fontId="16" fillId="0" borderId="3" xfId="2" applyNumberFormat="1" applyFont="1" applyFill="1" applyBorder="1" applyAlignment="1">
      <alignment horizontal="center"/>
    </xf>
    <xf numFmtId="39" fontId="16" fillId="0" borderId="11" xfId="2" applyNumberFormat="1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0" fontId="9" fillId="0" borderId="5" xfId="0" applyFont="1" applyFill="1" applyBorder="1"/>
    <xf numFmtId="0" fontId="9" fillId="0" borderId="5" xfId="0" quotePrefix="1" applyFont="1" applyFill="1" applyBorder="1" applyAlignment="1">
      <alignment horizontal="center"/>
    </xf>
    <xf numFmtId="41" fontId="9" fillId="0" borderId="5" xfId="2" applyFont="1" applyFill="1" applyBorder="1"/>
    <xf numFmtId="43" fontId="9" fillId="0" borderId="5" xfId="2" applyNumberFormat="1" applyFont="1" applyFill="1" applyBorder="1"/>
    <xf numFmtId="0" fontId="10" fillId="0" borderId="5" xfId="0" quotePrefix="1" applyFont="1" applyFill="1" applyBorder="1"/>
    <xf numFmtId="165" fontId="9" fillId="0" borderId="5" xfId="2" applyNumberFormat="1" applyFont="1" applyBorder="1" applyAlignment="1">
      <alignment horizontal="right"/>
    </xf>
    <xf numFmtId="1" fontId="2" fillId="6" borderId="5" xfId="0" applyNumberFormat="1" applyFont="1" applyFill="1" applyBorder="1"/>
    <xf numFmtId="1" fontId="2" fillId="6" borderId="5" xfId="0" quotePrefix="1" applyNumberFormat="1" applyFont="1" applyFill="1" applyBorder="1" applyAlignment="1">
      <alignment horizontal="center"/>
    </xf>
    <xf numFmtId="15" fontId="2" fillId="6" borderId="5" xfId="0" applyNumberFormat="1" applyFont="1" applyFill="1" applyBorder="1" applyAlignment="1">
      <alignment horizontal="center"/>
    </xf>
    <xf numFmtId="39" fontId="2" fillId="6" borderId="5" xfId="0" applyNumberFormat="1" applyFont="1" applyFill="1" applyBorder="1" applyAlignment="1">
      <alignment horizontal="right"/>
    </xf>
    <xf numFmtId="39" fontId="2" fillId="6" borderId="5" xfId="0" applyNumberFormat="1" applyFont="1" applyFill="1" applyBorder="1" applyAlignment="1"/>
    <xf numFmtId="39" fontId="2" fillId="0" borderId="5" xfId="1" applyNumberFormat="1" applyFont="1" applyFill="1" applyBorder="1"/>
    <xf numFmtId="39" fontId="16" fillId="0" borderId="5" xfId="0" applyNumberFormat="1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165" fontId="9" fillId="2" borderId="5" xfId="2" applyNumberFormat="1" applyFont="1" applyFill="1" applyBorder="1" applyAlignment="1">
      <alignment horizontal="right"/>
    </xf>
    <xf numFmtId="0" fontId="9" fillId="6" borderId="5" xfId="0" applyFont="1" applyFill="1" applyBorder="1"/>
    <xf numFmtId="0" fontId="9" fillId="6" borderId="5" xfId="0" quotePrefix="1" applyFont="1" applyFill="1" applyBorder="1" applyAlignment="1">
      <alignment horizontal="center"/>
    </xf>
    <xf numFmtId="165" fontId="9" fillId="6" borderId="5" xfId="2" applyNumberFormat="1" applyFont="1" applyFill="1" applyBorder="1"/>
    <xf numFmtId="0" fontId="9" fillId="6" borderId="5" xfId="0" applyFont="1" applyFill="1" applyBorder="1" applyAlignment="1">
      <alignment horizontal="center"/>
    </xf>
    <xf numFmtId="0" fontId="10" fillId="0" borderId="5" xfId="0" applyFont="1" applyFill="1" applyBorder="1"/>
    <xf numFmtId="43" fontId="9" fillId="0" borderId="5" xfId="1" applyFont="1" applyFill="1" applyBorder="1"/>
    <xf numFmtId="165" fontId="9" fillId="4" borderId="5" xfId="2" applyNumberFormat="1" applyFont="1" applyFill="1" applyBorder="1"/>
    <xf numFmtId="0" fontId="17" fillId="0" borderId="5" xfId="0" applyFont="1" applyBorder="1"/>
    <xf numFmtId="165" fontId="5" fillId="4" borderId="5" xfId="2" applyNumberFormat="1" applyFont="1" applyFill="1" applyBorder="1" applyAlignment="1">
      <alignment horizontal="right"/>
    </xf>
    <xf numFmtId="0" fontId="17" fillId="0" borderId="5" xfId="0" quotePrefix="1" applyFont="1" applyBorder="1"/>
    <xf numFmtId="41" fontId="9" fillId="6" borderId="5" xfId="2" applyFont="1" applyFill="1" applyBorder="1"/>
    <xf numFmtId="43" fontId="9" fillId="2" borderId="5" xfId="0" applyNumberFormat="1" applyFont="1" applyFill="1" applyBorder="1"/>
    <xf numFmtId="39" fontId="2" fillId="0" borderId="6" xfId="2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39" fontId="2" fillId="0" borderId="3" xfId="0" quotePrefix="1" applyNumberFormat="1" applyFont="1" applyFill="1" applyBorder="1" applyAlignment="1">
      <alignment horizontal="center"/>
    </xf>
    <xf numFmtId="39" fontId="2" fillId="0" borderId="3" xfId="0" applyNumberFormat="1" applyFont="1" applyFill="1" applyBorder="1" applyAlignment="1">
      <alignment horizontal="center"/>
    </xf>
    <xf numFmtId="43" fontId="2" fillId="0" borderId="11" xfId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39" fontId="2" fillId="0" borderId="12" xfId="2" applyNumberFormat="1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39" fontId="2" fillId="0" borderId="11" xfId="2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6" borderId="5" xfId="0" applyFont="1" applyFill="1" applyBorder="1"/>
    <xf numFmtId="0" fontId="3" fillId="6" borderId="5" xfId="0" quotePrefix="1" applyFont="1" applyFill="1" applyBorder="1" applyAlignment="1">
      <alignment horizontal="center"/>
    </xf>
    <xf numFmtId="164" fontId="3" fillId="6" borderId="5" xfId="1" applyNumberFormat="1" applyFont="1" applyFill="1" applyBorder="1" applyAlignment="1">
      <alignment horizontal="center"/>
    </xf>
    <xf numFmtId="43" fontId="18" fillId="6" borderId="5" xfId="0" applyNumberFormat="1" applyFont="1" applyFill="1" applyBorder="1"/>
    <xf numFmtId="41" fontId="18" fillId="6" borderId="5" xfId="0" applyNumberFormat="1" applyFont="1" applyFill="1" applyBorder="1"/>
    <xf numFmtId="41" fontId="18" fillId="6" borderId="5" xfId="2" applyFont="1" applyFill="1" applyBorder="1"/>
    <xf numFmtId="0" fontId="18" fillId="6" borderId="5" xfId="0" applyFont="1" applyFill="1" applyBorder="1" applyAlignment="1">
      <alignment horizontal="center"/>
    </xf>
    <xf numFmtId="43" fontId="3" fillId="0" borderId="5" xfId="1" applyFont="1" applyFill="1" applyBorder="1"/>
    <xf numFmtId="41" fontId="3" fillId="0" borderId="5" xfId="2" applyFont="1" applyFill="1" applyBorder="1"/>
    <xf numFmtId="0" fontId="18" fillId="0" borderId="5" xfId="0" applyFont="1" applyBorder="1"/>
    <xf numFmtId="0" fontId="19" fillId="0" borderId="5" xfId="0" applyFont="1" applyFill="1" applyBorder="1"/>
    <xf numFmtId="0" fontId="20" fillId="0" borderId="0" xfId="0" applyFont="1" applyFill="1"/>
    <xf numFmtId="165" fontId="18" fillId="0" borderId="5" xfId="0" applyNumberFormat="1" applyFont="1" applyBorder="1"/>
    <xf numFmtId="41" fontId="18" fillId="0" borderId="5" xfId="2" applyFont="1" applyBorder="1"/>
    <xf numFmtId="43" fontId="21" fillId="6" borderId="5" xfId="0" applyNumberFormat="1" applyFont="1" applyFill="1" applyBorder="1"/>
    <xf numFmtId="39" fontId="3" fillId="6" borderId="5" xfId="0" applyNumberFormat="1" applyFont="1" applyFill="1" applyBorder="1" applyAlignment="1"/>
    <xf numFmtId="43" fontId="3" fillId="6" borderId="5" xfId="1" applyFont="1" applyFill="1" applyBorder="1"/>
    <xf numFmtId="39" fontId="3" fillId="6" borderId="5" xfId="0" applyNumberFormat="1" applyFont="1" applyFill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39" fontId="3" fillId="0" borderId="5" xfId="0" applyNumberFormat="1" applyFont="1" applyFill="1" applyBorder="1" applyAlignment="1">
      <alignment horizontal="left"/>
    </xf>
    <xf numFmtId="0" fontId="22" fillId="0" borderId="5" xfId="0" applyFont="1" applyFill="1" applyBorder="1" applyAlignment="1">
      <alignment horizontal="center"/>
    </xf>
    <xf numFmtId="165" fontId="20" fillId="6" borderId="5" xfId="0" applyNumberFormat="1" applyFont="1" applyFill="1" applyBorder="1"/>
    <xf numFmtId="0" fontId="3" fillId="0" borderId="0" xfId="0" applyFont="1" applyFill="1"/>
    <xf numFmtId="0" fontId="23" fillId="0" borderId="5" xfId="0" applyFont="1" applyFill="1" applyBorder="1"/>
    <xf numFmtId="43" fontId="20" fillId="6" borderId="5" xfId="0" applyNumberFormat="1" applyFont="1" applyFill="1" applyBorder="1"/>
    <xf numFmtId="165" fontId="3" fillId="6" borderId="5" xfId="1" applyNumberFormat="1" applyFont="1" applyFill="1" applyBorder="1" applyAlignment="1">
      <alignment horizontal="right"/>
    </xf>
    <xf numFmtId="39" fontId="3" fillId="0" borderId="5" xfId="0" applyNumberFormat="1" applyFont="1" applyFill="1" applyBorder="1" applyAlignment="1"/>
    <xf numFmtId="39" fontId="3" fillId="0" borderId="5" xfId="1" applyNumberFormat="1" applyFont="1" applyFill="1" applyBorder="1"/>
    <xf numFmtId="165" fontId="7" fillId="6" borderId="5" xfId="0" applyNumberFormat="1" applyFont="1" applyFill="1" applyBorder="1"/>
    <xf numFmtId="0" fontId="24" fillId="6" borderId="5" xfId="0" applyFont="1" applyFill="1" applyBorder="1" applyAlignment="1">
      <alignment horizontal="center"/>
    </xf>
    <xf numFmtId="41" fontId="2" fillId="0" borderId="5" xfId="2" applyFont="1" applyFill="1" applyBorder="1"/>
    <xf numFmtId="39" fontId="2" fillId="0" borderId="5" xfId="0" applyNumberFormat="1" applyFont="1" applyFill="1" applyBorder="1" applyAlignment="1">
      <alignment horizontal="left"/>
    </xf>
    <xf numFmtId="43" fontId="7" fillId="6" borderId="5" xfId="0" applyNumberFormat="1" applyFont="1" applyFill="1" applyBorder="1"/>
    <xf numFmtId="0" fontId="4" fillId="0" borderId="5" xfId="0" applyFont="1" applyFill="1" applyBorder="1"/>
    <xf numFmtId="165" fontId="2" fillId="6" borderId="5" xfId="1" applyNumberFormat="1" applyFont="1" applyFill="1" applyBorder="1" applyAlignment="1">
      <alignment horizontal="right"/>
    </xf>
    <xf numFmtId="0" fontId="2" fillId="6" borderId="0" xfId="0" applyFont="1" applyFill="1" applyBorder="1"/>
    <xf numFmtId="0" fontId="2" fillId="6" borderId="0" xfId="0" quotePrefix="1" applyFont="1" applyFill="1" applyBorder="1" applyAlignment="1">
      <alignment horizontal="center"/>
    </xf>
    <xf numFmtId="0" fontId="7" fillId="0" borderId="5" xfId="0" applyFont="1" applyFill="1" applyBorder="1"/>
    <xf numFmtId="164" fontId="2" fillId="6" borderId="5" xfId="0" applyNumberFormat="1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right"/>
    </xf>
    <xf numFmtId="43" fontId="2" fillId="6" borderId="5" xfId="1" applyFont="1" applyFill="1" applyBorder="1" applyAlignment="1"/>
    <xf numFmtId="43" fontId="0" fillId="6" borderId="5" xfId="0" applyNumberFormat="1" applyFill="1" applyBorder="1"/>
    <xf numFmtId="41" fontId="0" fillId="6" borderId="5" xfId="0" applyNumberFormat="1" applyFill="1" applyBorder="1"/>
    <xf numFmtId="41" fontId="0" fillId="6" borderId="5" xfId="2" applyFont="1" applyFill="1" applyBorder="1"/>
    <xf numFmtId="1" fontId="2" fillId="0" borderId="5" xfId="0" applyNumberFormat="1" applyFont="1" applyFill="1" applyBorder="1"/>
    <xf numFmtId="1" fontId="2" fillId="0" borderId="5" xfId="0" applyNumberFormat="1" applyFont="1" applyFill="1" applyBorder="1" applyAlignment="1">
      <alignment horizontal="center"/>
    </xf>
    <xf numFmtId="15" fontId="2" fillId="0" borderId="5" xfId="3" applyNumberFormat="1" applyFont="1" applyFill="1" applyBorder="1" applyAlignment="1">
      <alignment horizontal="center"/>
    </xf>
    <xf numFmtId="0" fontId="2" fillId="0" borderId="5" xfId="1" applyNumberFormat="1" applyFont="1" applyFill="1" applyBorder="1" applyAlignment="1">
      <alignment horizontal="right"/>
    </xf>
    <xf numFmtId="0" fontId="2" fillId="0" borderId="5" xfId="0" applyNumberFormat="1" applyFont="1" applyFill="1" applyBorder="1" applyAlignment="1">
      <alignment horizontal="left"/>
    </xf>
    <xf numFmtId="39" fontId="2" fillId="0" borderId="8" xfId="2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43" fontId="2" fillId="6" borderId="5" xfId="0" applyNumberFormat="1" applyFont="1" applyFill="1" applyBorder="1" applyAlignment="1">
      <alignment horizontal="right"/>
    </xf>
    <xf numFmtId="0" fontId="7" fillId="0" borderId="0" xfId="0" applyFont="1" applyFill="1"/>
    <xf numFmtId="167" fontId="2" fillId="6" borderId="5" xfId="0" applyNumberFormat="1" applyFont="1" applyFill="1" applyBorder="1" applyAlignment="1">
      <alignment horizontal="right"/>
    </xf>
    <xf numFmtId="49" fontId="2" fillId="6" borderId="5" xfId="3" quotePrefix="1" applyNumberFormat="1" applyFont="1" applyFill="1" applyBorder="1" applyAlignment="1">
      <alignment horizontal="center"/>
    </xf>
    <xf numFmtId="39" fontId="7" fillId="6" borderId="5" xfId="0" applyNumberFormat="1" applyFont="1" applyFill="1" applyBorder="1"/>
    <xf numFmtId="167" fontId="7" fillId="6" borderId="5" xfId="0" applyNumberFormat="1" applyFont="1" applyFill="1" applyBorder="1"/>
    <xf numFmtId="39" fontId="2" fillId="6" borderId="5" xfId="0" quotePrefix="1" applyNumberFormat="1" applyFont="1" applyFill="1" applyBorder="1" applyAlignment="1">
      <alignment horizontal="right"/>
    </xf>
    <xf numFmtId="39" fontId="2" fillId="6" borderId="5" xfId="1" applyNumberFormat="1" applyFont="1" applyFill="1" applyBorder="1" applyAlignment="1">
      <alignment horizontal="right"/>
    </xf>
    <xf numFmtId="43" fontId="3" fillId="6" borderId="5" xfId="0" applyNumberFormat="1" applyFont="1" applyFill="1" applyBorder="1" applyAlignment="1">
      <alignment horizontal="right"/>
    </xf>
    <xf numFmtId="39" fontId="3" fillId="0" borderId="5" xfId="2" applyNumberFormat="1" applyFont="1" applyFill="1" applyBorder="1" applyAlignment="1">
      <alignment horizontal="left"/>
    </xf>
    <xf numFmtId="43" fontId="3" fillId="6" borderId="5" xfId="0" quotePrefix="1" applyNumberFormat="1" applyFont="1" applyFill="1" applyBorder="1" applyAlignment="1">
      <alignment horizontal="right"/>
    </xf>
    <xf numFmtId="43" fontId="3" fillId="6" borderId="5" xfId="1" applyFont="1" applyFill="1" applyBorder="1" applyAlignment="1">
      <alignment horizontal="right"/>
    </xf>
    <xf numFmtId="167" fontId="2" fillId="6" borderId="5" xfId="1" applyNumberFormat="1" applyFont="1" applyFill="1" applyBorder="1" applyAlignment="1">
      <alignment horizontal="right"/>
    </xf>
    <xf numFmtId="168" fontId="7" fillId="6" borderId="5" xfId="0" applyNumberFormat="1" applyFont="1" applyFill="1" applyBorder="1"/>
    <xf numFmtId="0" fontId="25" fillId="0" borderId="5" xfId="0" applyFont="1" applyFill="1" applyBorder="1"/>
    <xf numFmtId="0" fontId="2" fillId="6" borderId="5" xfId="3" applyFont="1" applyFill="1" applyBorder="1"/>
    <xf numFmtId="0" fontId="2" fillId="6" borderId="5" xfId="3" quotePrefix="1" applyFont="1" applyFill="1" applyBorder="1" applyAlignment="1">
      <alignment horizontal="center"/>
    </xf>
    <xf numFmtId="167" fontId="5" fillId="6" borderId="5" xfId="0" applyNumberFormat="1" applyFont="1" applyFill="1" applyBorder="1" applyAlignment="1">
      <alignment horizontal="center"/>
    </xf>
    <xf numFmtId="0" fontId="2" fillId="6" borderId="2" xfId="0" applyFont="1" applyFill="1" applyBorder="1"/>
    <xf numFmtId="0" fontId="2" fillId="6" borderId="2" xfId="0" quotePrefix="1" applyFont="1" applyFill="1" applyBorder="1" applyAlignment="1">
      <alignment horizontal="center"/>
    </xf>
    <xf numFmtId="0" fontId="6" fillId="7" borderId="5" xfId="0" applyFont="1" applyFill="1" applyBorder="1"/>
    <xf numFmtId="43" fontId="2" fillId="6" borderId="0" xfId="0" applyNumberFormat="1" applyFont="1" applyFill="1" applyBorder="1" applyAlignment="1">
      <alignment horizontal="right"/>
    </xf>
    <xf numFmtId="39" fontId="2" fillId="6" borderId="2" xfId="0" applyNumberFormat="1" applyFont="1" applyFill="1" applyBorder="1" applyAlignment="1"/>
    <xf numFmtId="43" fontId="2" fillId="6" borderId="2" xfId="1" applyFont="1" applyFill="1" applyBorder="1"/>
    <xf numFmtId="39" fontId="2" fillId="6" borderId="2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center"/>
    </xf>
    <xf numFmtId="0" fontId="2" fillId="6" borderId="0" xfId="3" applyFont="1" applyFill="1" applyBorder="1"/>
    <xf numFmtId="0" fontId="2" fillId="6" borderId="0" xfId="3" quotePrefix="1" applyFont="1" applyFill="1" applyBorder="1" applyAlignment="1">
      <alignment horizontal="center"/>
    </xf>
    <xf numFmtId="39" fontId="2" fillId="6" borderId="0" xfId="0" applyNumberFormat="1" applyFont="1" applyFill="1" applyBorder="1" applyAlignment="1">
      <alignment horizontal="right"/>
    </xf>
    <xf numFmtId="43" fontId="2" fillId="0" borderId="2" xfId="1" applyFont="1" applyFill="1" applyBorder="1"/>
    <xf numFmtId="39" fontId="2" fillId="0" borderId="2" xfId="1" applyNumberFormat="1" applyFont="1" applyFill="1" applyBorder="1"/>
    <xf numFmtId="0" fontId="9" fillId="8" borderId="5" xfId="0" applyFont="1" applyFill="1" applyBorder="1" applyAlignment="1">
      <alignment horizontal="center"/>
    </xf>
    <xf numFmtId="0" fontId="5" fillId="8" borderId="5" xfId="0" applyFont="1" applyFill="1" applyBorder="1"/>
    <xf numFmtId="0" fontId="5" fillId="8" borderId="5" xfId="0" quotePrefix="1" applyFont="1" applyFill="1" applyBorder="1" applyAlignment="1">
      <alignment horizontal="center"/>
    </xf>
    <xf numFmtId="164" fontId="2" fillId="8" borderId="5" xfId="1" applyNumberFormat="1" applyFont="1" applyFill="1" applyBorder="1" applyAlignment="1">
      <alignment horizontal="center"/>
    </xf>
    <xf numFmtId="165" fontId="9" fillId="8" borderId="5" xfId="2" applyNumberFormat="1" applyFont="1" applyFill="1" applyBorder="1"/>
    <xf numFmtId="0" fontId="2" fillId="8" borderId="5" xfId="0" applyFont="1" applyFill="1" applyBorder="1" applyAlignment="1">
      <alignment horizontal="center"/>
    </xf>
    <xf numFmtId="165" fontId="4" fillId="8" borderId="5" xfId="2" applyNumberFormat="1" applyFont="1" applyFill="1" applyBorder="1" applyAlignment="1">
      <alignment horizontal="center"/>
    </xf>
    <xf numFmtId="0" fontId="10" fillId="8" borderId="5" xfId="0" applyFont="1" applyFill="1" applyBorder="1"/>
    <xf numFmtId="0" fontId="10" fillId="8" borderId="5" xfId="0" quotePrefix="1" applyFont="1" applyFill="1" applyBorder="1"/>
    <xf numFmtId="0" fontId="2" fillId="8" borderId="0" xfId="0" applyFont="1" applyFill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6"/>
  <sheetViews>
    <sheetView showGridLines="0" view="pageBreakPreview" zoomScaleSheetLayoutView="100" workbookViewId="0">
      <pane ySplit="4" topLeftCell="A5" activePane="bottomLeft" state="frozen"/>
      <selection pane="bottomLeft" activeCell="G10" sqref="G10"/>
    </sheetView>
  </sheetViews>
  <sheetFormatPr defaultRowHeight="15"/>
  <cols>
    <col min="1" max="1" width="9.42578125" bestFit="1" customWidth="1"/>
    <col min="2" max="2" width="26" style="49" customWidth="1"/>
    <col min="3" max="3" width="7.85546875" style="49" bestFit="1" customWidth="1"/>
    <col min="4" max="4" width="10.28515625" style="49" bestFit="1" customWidth="1"/>
    <col min="5" max="5" width="10.7109375" bestFit="1" customWidth="1"/>
    <col min="6" max="6" width="21.5703125" bestFit="1" customWidth="1"/>
    <col min="7" max="7" width="16.85546875" bestFit="1" customWidth="1"/>
    <col min="8" max="9" width="14.5703125" bestFit="1" customWidth="1"/>
    <col min="10" max="11" width="8.7109375" bestFit="1" customWidth="1"/>
    <col min="12" max="12" width="15.7109375" bestFit="1" customWidth="1"/>
    <col min="13" max="14" width="16.85546875" bestFit="1" customWidth="1"/>
    <col min="15" max="15" width="14.7109375" customWidth="1"/>
    <col min="16" max="16" width="27.85546875" bestFit="1" customWidth="1"/>
    <col min="17" max="17" width="15.7109375" bestFit="1" customWidth="1"/>
    <col min="18" max="18" width="12.42578125" bestFit="1" customWidth="1"/>
  </cols>
  <sheetData>
    <row r="1" spans="1:17" s="2" customFormat="1" ht="15.75">
      <c r="A1" s="1" t="s">
        <v>0</v>
      </c>
      <c r="C1" s="3"/>
      <c r="D1" s="4"/>
      <c r="E1" s="4"/>
      <c r="F1" s="5"/>
      <c r="G1" s="6"/>
      <c r="H1" s="7"/>
      <c r="I1" s="5"/>
      <c r="J1" s="8"/>
      <c r="K1" s="3"/>
      <c r="L1" s="7"/>
      <c r="M1" s="7"/>
      <c r="N1" s="7"/>
      <c r="O1" s="9"/>
      <c r="P1" s="1"/>
    </row>
    <row r="2" spans="1:17" s="2" customFormat="1" ht="15.75">
      <c r="A2" s="10" t="s">
        <v>1</v>
      </c>
      <c r="C2" s="3"/>
      <c r="D2" s="4"/>
      <c r="E2" s="4"/>
      <c r="F2" s="5"/>
      <c r="G2" s="11"/>
      <c r="H2" s="12"/>
      <c r="I2" s="12"/>
      <c r="J2" s="8"/>
      <c r="K2" s="3"/>
      <c r="L2" s="7"/>
      <c r="M2" s="7"/>
      <c r="N2" s="7"/>
      <c r="O2" s="9"/>
      <c r="P2" s="1"/>
    </row>
    <row r="3" spans="1:17" s="2" customFormat="1" ht="15.75">
      <c r="A3" s="13" t="s">
        <v>2</v>
      </c>
      <c r="B3" s="13" t="s">
        <v>3</v>
      </c>
      <c r="C3" s="13" t="s">
        <v>4</v>
      </c>
      <c r="D3" s="14" t="s">
        <v>2</v>
      </c>
      <c r="E3" s="14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3" t="s">
        <v>10</v>
      </c>
      <c r="K3" s="13" t="s">
        <v>11</v>
      </c>
      <c r="L3" s="15" t="s">
        <v>12</v>
      </c>
      <c r="M3" s="15" t="s">
        <v>13</v>
      </c>
      <c r="N3" s="15" t="s">
        <v>14</v>
      </c>
      <c r="O3" s="16" t="s">
        <v>15</v>
      </c>
      <c r="P3" s="13" t="s">
        <v>16</v>
      </c>
      <c r="Q3" s="17"/>
    </row>
    <row r="4" spans="1:17" s="2" customFormat="1" ht="15.75">
      <c r="A4" s="18"/>
      <c r="B4" s="18"/>
      <c r="C4" s="18"/>
      <c r="D4" s="19" t="s">
        <v>17</v>
      </c>
      <c r="E4" s="19" t="s">
        <v>18</v>
      </c>
      <c r="F4" s="20"/>
      <c r="G4" s="21" t="s">
        <v>6</v>
      </c>
      <c r="H4" s="21"/>
      <c r="I4" s="21"/>
      <c r="J4" s="18"/>
      <c r="K4" s="18" t="s">
        <v>19</v>
      </c>
      <c r="L4" s="21" t="s">
        <v>20</v>
      </c>
      <c r="M4" s="21" t="s">
        <v>9</v>
      </c>
      <c r="N4" s="21"/>
      <c r="O4" s="22"/>
      <c r="P4" s="23"/>
      <c r="Q4" s="24"/>
    </row>
    <row r="5" spans="1:17" s="35" customFormat="1" ht="15.75">
      <c r="A5" s="25">
        <v>1</v>
      </c>
      <c r="B5" s="26" t="s">
        <v>21</v>
      </c>
      <c r="C5" s="27" t="s">
        <v>22</v>
      </c>
      <c r="D5" s="28" t="s">
        <v>23</v>
      </c>
      <c r="E5" s="28">
        <v>43154</v>
      </c>
      <c r="F5" s="29">
        <f>9988000+249700+19762300</f>
        <v>30000000</v>
      </c>
      <c r="G5" s="30">
        <f>+J5*L5</f>
        <v>25200000</v>
      </c>
      <c r="H5" s="31">
        <f>700000-I5</f>
        <v>340000</v>
      </c>
      <c r="I5" s="31">
        <f t="shared" ref="I5:I15" si="0">+F5*1.2%</f>
        <v>360000</v>
      </c>
      <c r="J5" s="32">
        <v>36</v>
      </c>
      <c r="K5" s="32">
        <v>36</v>
      </c>
      <c r="L5" s="30">
        <f>+H5+I5</f>
        <v>700000</v>
      </c>
      <c r="M5" s="30">
        <f>+K5*L5</f>
        <v>25200000</v>
      </c>
      <c r="N5" s="33">
        <f t="shared" ref="N5:N15" si="1">F5-(H5*0)</f>
        <v>30000000</v>
      </c>
      <c r="O5" s="34" t="s">
        <v>24</v>
      </c>
      <c r="P5" s="34" t="s">
        <v>25</v>
      </c>
      <c r="Q5" s="29">
        <f>+F5-N5</f>
        <v>0</v>
      </c>
    </row>
    <row r="6" spans="1:17" s="35" customFormat="1" ht="15.75">
      <c r="A6" s="36">
        <f t="shared" ref="A6:A15" si="2">+A5+1</f>
        <v>2</v>
      </c>
      <c r="B6" s="26" t="s">
        <v>26</v>
      </c>
      <c r="C6" s="27" t="s">
        <v>27</v>
      </c>
      <c r="D6" s="28" t="s">
        <v>28</v>
      </c>
      <c r="E6" s="28">
        <v>43154</v>
      </c>
      <c r="F6" s="37">
        <f>20000000+500000+9500000</f>
        <v>30000000</v>
      </c>
      <c r="G6" s="30">
        <f t="shared" ref="G6:G15" si="3">+J6*L6</f>
        <v>42984000</v>
      </c>
      <c r="H6" s="31">
        <f>1194000-I6</f>
        <v>834000</v>
      </c>
      <c r="I6" s="31">
        <f t="shared" si="0"/>
        <v>360000</v>
      </c>
      <c r="J6" s="32">
        <v>36</v>
      </c>
      <c r="K6" s="32">
        <v>36</v>
      </c>
      <c r="L6" s="30">
        <f t="shared" ref="L6:L15" si="4">+H6+I6</f>
        <v>1194000</v>
      </c>
      <c r="M6" s="30">
        <f t="shared" ref="M6:M15" si="5">+K6*L6</f>
        <v>42984000</v>
      </c>
      <c r="N6" s="33">
        <f t="shared" si="1"/>
        <v>30000000</v>
      </c>
      <c r="O6" s="34" t="s">
        <v>29</v>
      </c>
      <c r="P6" s="34" t="s">
        <v>25</v>
      </c>
      <c r="Q6" s="29">
        <f t="shared" ref="Q6:Q15" si="6">+F6-N6</f>
        <v>0</v>
      </c>
    </row>
    <row r="7" spans="1:17" s="35" customFormat="1" ht="15.75">
      <c r="A7" s="36">
        <f t="shared" si="2"/>
        <v>3</v>
      </c>
      <c r="B7" s="26" t="s">
        <v>30</v>
      </c>
      <c r="C7" s="27" t="s">
        <v>31</v>
      </c>
      <c r="D7" s="28" t="s">
        <v>32</v>
      </c>
      <c r="E7" s="28">
        <v>43154</v>
      </c>
      <c r="F7" s="37">
        <f>24158500+603963+5237537</f>
        <v>30000000</v>
      </c>
      <c r="G7" s="30">
        <f t="shared" si="3"/>
        <v>42984000</v>
      </c>
      <c r="H7" s="31">
        <f>1194000-I7</f>
        <v>834000</v>
      </c>
      <c r="I7" s="31">
        <f t="shared" si="0"/>
        <v>360000</v>
      </c>
      <c r="J7" s="32">
        <v>36</v>
      </c>
      <c r="K7" s="32">
        <v>36</v>
      </c>
      <c r="L7" s="30">
        <f t="shared" si="4"/>
        <v>1194000</v>
      </c>
      <c r="M7" s="30">
        <f t="shared" si="5"/>
        <v>42984000</v>
      </c>
      <c r="N7" s="33">
        <f t="shared" si="1"/>
        <v>30000000</v>
      </c>
      <c r="O7" s="34" t="s">
        <v>33</v>
      </c>
      <c r="P7" s="34" t="s">
        <v>25</v>
      </c>
      <c r="Q7" s="29">
        <f t="shared" si="6"/>
        <v>0</v>
      </c>
    </row>
    <row r="8" spans="1:17" s="35" customFormat="1" ht="15.75">
      <c r="A8" s="36">
        <f t="shared" si="2"/>
        <v>4</v>
      </c>
      <c r="B8" s="26" t="s">
        <v>34</v>
      </c>
      <c r="C8" s="27" t="s">
        <v>35</v>
      </c>
      <c r="D8" s="38" t="s">
        <v>36</v>
      </c>
      <c r="E8" s="28">
        <v>43154</v>
      </c>
      <c r="F8" s="37">
        <f>6662000+166550+23171450</f>
        <v>30000000</v>
      </c>
      <c r="G8" s="30">
        <f t="shared" si="3"/>
        <v>42984000</v>
      </c>
      <c r="H8" s="31">
        <f>1194000-I8</f>
        <v>834000</v>
      </c>
      <c r="I8" s="31">
        <f t="shared" si="0"/>
        <v>360000</v>
      </c>
      <c r="J8" s="32">
        <v>36</v>
      </c>
      <c r="K8" s="32">
        <v>36</v>
      </c>
      <c r="L8" s="30">
        <f t="shared" si="4"/>
        <v>1194000</v>
      </c>
      <c r="M8" s="30">
        <f t="shared" si="5"/>
        <v>42984000</v>
      </c>
      <c r="N8" s="33">
        <f t="shared" si="1"/>
        <v>30000000</v>
      </c>
      <c r="O8" s="34" t="s">
        <v>37</v>
      </c>
      <c r="P8" s="34" t="s">
        <v>25</v>
      </c>
      <c r="Q8" s="29">
        <f t="shared" si="6"/>
        <v>0</v>
      </c>
    </row>
    <row r="9" spans="1:17" s="35" customFormat="1" ht="15.75">
      <c r="A9" s="36">
        <f t="shared" si="2"/>
        <v>5</v>
      </c>
      <c r="B9" s="26" t="s">
        <v>38</v>
      </c>
      <c r="C9" s="27" t="s">
        <v>39</v>
      </c>
      <c r="D9" s="38" t="s">
        <v>40</v>
      </c>
      <c r="E9" s="28">
        <v>43154</v>
      </c>
      <c r="F9" s="37">
        <f>19992000+499800+9508200</f>
        <v>30000000</v>
      </c>
      <c r="G9" s="30">
        <f t="shared" si="3"/>
        <v>42984000</v>
      </c>
      <c r="H9" s="31">
        <v>834000</v>
      </c>
      <c r="I9" s="31">
        <f t="shared" si="0"/>
        <v>360000</v>
      </c>
      <c r="J9" s="32">
        <v>36</v>
      </c>
      <c r="K9" s="32">
        <v>36</v>
      </c>
      <c r="L9" s="30">
        <f t="shared" si="4"/>
        <v>1194000</v>
      </c>
      <c r="M9" s="30">
        <f t="shared" si="5"/>
        <v>42984000</v>
      </c>
      <c r="N9" s="33">
        <f t="shared" si="1"/>
        <v>30000000</v>
      </c>
      <c r="O9" s="34" t="s">
        <v>41</v>
      </c>
      <c r="P9" s="34" t="s">
        <v>25</v>
      </c>
      <c r="Q9" s="29">
        <f t="shared" si="6"/>
        <v>0</v>
      </c>
    </row>
    <row r="10" spans="1:17" s="35" customFormat="1" ht="15.75">
      <c r="A10" s="36">
        <f t="shared" si="2"/>
        <v>6</v>
      </c>
      <c r="B10" s="26" t="s">
        <v>42</v>
      </c>
      <c r="C10" s="27" t="s">
        <v>43</v>
      </c>
      <c r="D10" s="38" t="s">
        <v>44</v>
      </c>
      <c r="E10" s="28">
        <v>43157</v>
      </c>
      <c r="F10" s="37">
        <f>15048375+376209+14575416</f>
        <v>30000000</v>
      </c>
      <c r="G10" s="30">
        <f t="shared" si="3"/>
        <v>42984000</v>
      </c>
      <c r="H10" s="31">
        <v>834000</v>
      </c>
      <c r="I10" s="31">
        <f t="shared" si="0"/>
        <v>360000</v>
      </c>
      <c r="J10" s="32">
        <v>36</v>
      </c>
      <c r="K10" s="32">
        <v>36</v>
      </c>
      <c r="L10" s="30">
        <f t="shared" si="4"/>
        <v>1194000</v>
      </c>
      <c r="M10" s="30">
        <f t="shared" si="5"/>
        <v>42984000</v>
      </c>
      <c r="N10" s="33">
        <f t="shared" si="1"/>
        <v>30000000</v>
      </c>
      <c r="O10" s="34" t="s">
        <v>45</v>
      </c>
      <c r="P10" s="34" t="s">
        <v>25</v>
      </c>
      <c r="Q10" s="29">
        <f t="shared" si="6"/>
        <v>0</v>
      </c>
    </row>
    <row r="11" spans="1:17" s="35" customFormat="1" ht="15.75">
      <c r="A11" s="36">
        <f t="shared" si="2"/>
        <v>7</v>
      </c>
      <c r="B11" s="26" t="s">
        <v>46</v>
      </c>
      <c r="C11" s="27" t="s">
        <v>47</v>
      </c>
      <c r="D11" s="38" t="s">
        <v>48</v>
      </c>
      <c r="E11" s="28">
        <v>43157</v>
      </c>
      <c r="F11" s="37">
        <f>4000000</f>
        <v>4000000</v>
      </c>
      <c r="G11" s="30">
        <f t="shared" si="3"/>
        <v>4290000</v>
      </c>
      <c r="H11" s="31">
        <v>667000</v>
      </c>
      <c r="I11" s="31">
        <f t="shared" si="0"/>
        <v>48000</v>
      </c>
      <c r="J11" s="32">
        <v>6</v>
      </c>
      <c r="K11" s="32">
        <v>6</v>
      </c>
      <c r="L11" s="30">
        <f t="shared" si="4"/>
        <v>715000</v>
      </c>
      <c r="M11" s="30">
        <f t="shared" si="5"/>
        <v>4290000</v>
      </c>
      <c r="N11" s="33">
        <f t="shared" si="1"/>
        <v>4000000</v>
      </c>
      <c r="O11" s="34" t="s">
        <v>49</v>
      </c>
      <c r="P11" s="34" t="s">
        <v>50</v>
      </c>
      <c r="Q11" s="29">
        <f t="shared" si="6"/>
        <v>0</v>
      </c>
    </row>
    <row r="12" spans="1:17" s="35" customFormat="1" ht="15.75">
      <c r="A12" s="36">
        <f t="shared" si="2"/>
        <v>8</v>
      </c>
      <c r="B12" s="26" t="s">
        <v>51</v>
      </c>
      <c r="C12" s="27" t="s">
        <v>52</v>
      </c>
      <c r="D12" s="38" t="s">
        <v>53</v>
      </c>
      <c r="E12" s="28">
        <v>43159</v>
      </c>
      <c r="F12" s="37">
        <f>10000000</f>
        <v>10000000</v>
      </c>
      <c r="G12" s="30">
        <f t="shared" si="3"/>
        <v>12888000</v>
      </c>
      <c r="H12" s="31">
        <v>417000</v>
      </c>
      <c r="I12" s="31">
        <f t="shared" si="0"/>
        <v>120000</v>
      </c>
      <c r="J12" s="32">
        <v>24</v>
      </c>
      <c r="K12" s="32">
        <v>24</v>
      </c>
      <c r="L12" s="30">
        <f t="shared" si="4"/>
        <v>537000</v>
      </c>
      <c r="M12" s="30">
        <f t="shared" si="5"/>
        <v>12888000</v>
      </c>
      <c r="N12" s="33">
        <f t="shared" si="1"/>
        <v>10000000</v>
      </c>
      <c r="O12" s="34" t="s">
        <v>54</v>
      </c>
      <c r="P12" s="34" t="s">
        <v>55</v>
      </c>
      <c r="Q12" s="29">
        <f t="shared" si="6"/>
        <v>0</v>
      </c>
    </row>
    <row r="13" spans="1:17" s="35" customFormat="1" ht="15.75">
      <c r="A13" s="36">
        <f t="shared" si="2"/>
        <v>9</v>
      </c>
      <c r="B13" s="26" t="s">
        <v>56</v>
      </c>
      <c r="C13" s="27" t="s">
        <v>57</v>
      </c>
      <c r="D13" s="38" t="s">
        <v>58</v>
      </c>
      <c r="E13" s="28">
        <v>43158</v>
      </c>
      <c r="F13" s="37">
        <f>30000000</f>
        <v>30000000</v>
      </c>
      <c r="G13" s="30">
        <f t="shared" si="3"/>
        <v>42984000</v>
      </c>
      <c r="H13" s="31">
        <v>834000</v>
      </c>
      <c r="I13" s="31">
        <f t="shared" si="0"/>
        <v>360000</v>
      </c>
      <c r="J13" s="32">
        <v>36</v>
      </c>
      <c r="K13" s="32">
        <v>36</v>
      </c>
      <c r="L13" s="30">
        <f t="shared" si="4"/>
        <v>1194000</v>
      </c>
      <c r="M13" s="30">
        <f t="shared" si="5"/>
        <v>42984000</v>
      </c>
      <c r="N13" s="33">
        <f t="shared" si="1"/>
        <v>30000000</v>
      </c>
      <c r="O13" s="34" t="s">
        <v>59</v>
      </c>
      <c r="P13" s="34" t="s">
        <v>55</v>
      </c>
      <c r="Q13" s="29">
        <f t="shared" si="6"/>
        <v>0</v>
      </c>
    </row>
    <row r="14" spans="1:17" s="44" customFormat="1" ht="15.75">
      <c r="A14" s="36">
        <f t="shared" si="2"/>
        <v>10</v>
      </c>
      <c r="B14" s="39" t="s">
        <v>60</v>
      </c>
      <c r="C14" s="40" t="s">
        <v>61</v>
      </c>
      <c r="D14" s="41" t="s">
        <v>62</v>
      </c>
      <c r="E14" s="28">
        <v>43158</v>
      </c>
      <c r="F14" s="42">
        <f>12077500+301938+2620562</f>
        <v>15000000</v>
      </c>
      <c r="G14" s="30">
        <f t="shared" si="3"/>
        <v>21492000</v>
      </c>
      <c r="H14" s="31">
        <v>417000</v>
      </c>
      <c r="I14" s="31">
        <f t="shared" si="0"/>
        <v>180000</v>
      </c>
      <c r="J14" s="32">
        <v>36</v>
      </c>
      <c r="K14" s="32">
        <v>36</v>
      </c>
      <c r="L14" s="30">
        <f t="shared" si="4"/>
        <v>597000</v>
      </c>
      <c r="M14" s="30">
        <f t="shared" si="5"/>
        <v>21492000</v>
      </c>
      <c r="N14" s="33">
        <f t="shared" si="1"/>
        <v>15000000</v>
      </c>
      <c r="O14" s="43" t="s">
        <v>63</v>
      </c>
      <c r="P14" s="43" t="s">
        <v>25</v>
      </c>
      <c r="Q14" s="29">
        <f t="shared" si="6"/>
        <v>0</v>
      </c>
    </row>
    <row r="15" spans="1:17" s="44" customFormat="1" ht="15.75">
      <c r="A15" s="36">
        <f t="shared" si="2"/>
        <v>11</v>
      </c>
      <c r="B15" s="39" t="s">
        <v>64</v>
      </c>
      <c r="C15" s="40" t="s">
        <v>65</v>
      </c>
      <c r="D15" s="41" t="s">
        <v>66</v>
      </c>
      <c r="E15" s="28">
        <v>43158</v>
      </c>
      <c r="F15" s="42">
        <f>18324000+458100+11217900</f>
        <v>30000000</v>
      </c>
      <c r="G15" s="30">
        <f t="shared" si="3"/>
        <v>42984000</v>
      </c>
      <c r="H15" s="31">
        <v>834000</v>
      </c>
      <c r="I15" s="31">
        <f t="shared" si="0"/>
        <v>360000</v>
      </c>
      <c r="J15" s="32">
        <v>36</v>
      </c>
      <c r="K15" s="32">
        <v>36</v>
      </c>
      <c r="L15" s="30">
        <f t="shared" si="4"/>
        <v>1194000</v>
      </c>
      <c r="M15" s="30">
        <f t="shared" si="5"/>
        <v>42984000</v>
      </c>
      <c r="N15" s="33">
        <f t="shared" si="1"/>
        <v>30000000</v>
      </c>
      <c r="O15" s="43" t="s">
        <v>67</v>
      </c>
      <c r="P15" s="43" t="s">
        <v>25</v>
      </c>
      <c r="Q15" s="29">
        <f t="shared" si="6"/>
        <v>0</v>
      </c>
    </row>
    <row r="16" spans="1:17" s="35" customFormat="1" ht="15.75">
      <c r="A16" s="36"/>
      <c r="B16" s="26"/>
      <c r="C16" s="27"/>
      <c r="D16" s="38"/>
      <c r="E16" s="45"/>
      <c r="F16" s="37"/>
      <c r="G16" s="30"/>
      <c r="H16" s="37"/>
      <c r="I16" s="37"/>
      <c r="J16" s="32"/>
      <c r="K16" s="32"/>
      <c r="L16" s="30"/>
      <c r="M16" s="30"/>
      <c r="N16" s="46"/>
      <c r="O16" s="26"/>
      <c r="P16" s="47"/>
      <c r="Q16" s="48"/>
    </row>
    <row r="17" spans="1:18" s="35" customFormat="1" ht="15.75">
      <c r="A17" s="36"/>
      <c r="B17" s="26" t="s">
        <v>7</v>
      </c>
      <c r="C17" s="27"/>
      <c r="D17" s="27"/>
      <c r="E17" s="45"/>
      <c r="F17" s="29">
        <f>SUM(F5:F16)</f>
        <v>269000000</v>
      </c>
      <c r="G17" s="29">
        <f t="shared" ref="G17:N17" si="7">SUM(G5:G16)</f>
        <v>364758000</v>
      </c>
      <c r="H17" s="29">
        <f t="shared" si="7"/>
        <v>7679000</v>
      </c>
      <c r="I17" s="29">
        <f t="shared" si="7"/>
        <v>3228000</v>
      </c>
      <c r="J17" s="29">
        <f t="shared" si="7"/>
        <v>354</v>
      </c>
      <c r="K17" s="29">
        <f t="shared" si="7"/>
        <v>354</v>
      </c>
      <c r="L17" s="29">
        <f t="shared" si="7"/>
        <v>10907000</v>
      </c>
      <c r="M17" s="29">
        <f t="shared" si="7"/>
        <v>364758000</v>
      </c>
      <c r="N17" s="29">
        <f t="shared" si="7"/>
        <v>269000000</v>
      </c>
      <c r="O17" s="26"/>
      <c r="P17" s="47"/>
      <c r="Q17" s="29">
        <f>SUM(Q5:Q16)</f>
        <v>0</v>
      </c>
    </row>
    <row r="18" spans="1:18">
      <c r="H18" s="50"/>
      <c r="I18" s="50"/>
    </row>
    <row r="19" spans="1:18" s="35" customFormat="1" ht="15.75">
      <c r="A19" s="44"/>
      <c r="F19" s="51" t="s">
        <v>68</v>
      </c>
      <c r="G19" s="51" t="s">
        <v>69</v>
      </c>
      <c r="H19" s="51" t="s">
        <v>70</v>
      </c>
    </row>
    <row r="20" spans="1:18" s="35" customFormat="1" ht="15.75">
      <c r="A20" s="25">
        <v>1</v>
      </c>
      <c r="B20" s="26" t="s">
        <v>21</v>
      </c>
      <c r="C20" s="27" t="s">
        <v>22</v>
      </c>
      <c r="D20" s="28" t="s">
        <v>23</v>
      </c>
      <c r="E20" s="28">
        <v>43154</v>
      </c>
      <c r="F20" s="30">
        <v>5000000</v>
      </c>
      <c r="G20" s="30">
        <v>0</v>
      </c>
      <c r="H20" s="30">
        <v>1000000</v>
      </c>
      <c r="I20" s="52"/>
    </row>
    <row r="21" spans="1:18" s="35" customFormat="1" ht="15.75">
      <c r="A21" s="25"/>
      <c r="B21" s="26"/>
      <c r="C21" s="27"/>
      <c r="D21" s="28"/>
      <c r="E21" s="45"/>
      <c r="F21" s="30">
        <v>0</v>
      </c>
      <c r="G21" s="30">
        <v>0</v>
      </c>
      <c r="H21" s="30">
        <v>0</v>
      </c>
      <c r="I21" s="52"/>
    </row>
    <row r="22" spans="1:18" s="35" customFormat="1" ht="15.75">
      <c r="A22" s="36"/>
      <c r="B22" s="26"/>
      <c r="C22" s="27"/>
      <c r="D22" s="28"/>
      <c r="E22" s="45"/>
      <c r="F22" s="30">
        <v>0</v>
      </c>
      <c r="G22" s="30">
        <v>0</v>
      </c>
      <c r="H22" s="30">
        <v>0</v>
      </c>
      <c r="I22" s="52"/>
    </row>
    <row r="23" spans="1:18">
      <c r="H23" s="53"/>
    </row>
    <row r="24" spans="1:18" s="7" customFormat="1" ht="20.25">
      <c r="A24" s="54" t="s">
        <v>71</v>
      </c>
      <c r="C24" s="55"/>
      <c r="D24" s="55"/>
      <c r="E24" s="55"/>
      <c r="F24" s="5"/>
      <c r="G24" s="11"/>
      <c r="I24" s="5"/>
      <c r="J24" s="56"/>
      <c r="K24" s="57"/>
      <c r="O24" s="58"/>
      <c r="P24" s="58"/>
    </row>
    <row r="25" spans="1:18" s="61" customFormat="1" ht="12.75">
      <c r="A25" s="15" t="s">
        <v>2</v>
      </c>
      <c r="B25" s="15" t="s">
        <v>3</v>
      </c>
      <c r="C25" s="15" t="s">
        <v>4</v>
      </c>
      <c r="D25" s="15" t="s">
        <v>72</v>
      </c>
      <c r="E25" s="15" t="s">
        <v>5</v>
      </c>
      <c r="F25" s="15" t="s">
        <v>6</v>
      </c>
      <c r="G25" s="15" t="s">
        <v>7</v>
      </c>
      <c r="H25" s="15" t="s">
        <v>8</v>
      </c>
      <c r="I25" s="15" t="s">
        <v>9</v>
      </c>
      <c r="J25" s="59" t="s">
        <v>10</v>
      </c>
      <c r="K25" s="59" t="s">
        <v>11</v>
      </c>
      <c r="L25" s="15" t="s">
        <v>12</v>
      </c>
      <c r="M25" s="15" t="s">
        <v>13</v>
      </c>
      <c r="N25" s="15" t="s">
        <v>14</v>
      </c>
      <c r="O25" s="15" t="s">
        <v>15</v>
      </c>
      <c r="P25" s="15" t="s">
        <v>16</v>
      </c>
      <c r="Q25" s="60"/>
    </row>
    <row r="26" spans="1:18" s="61" customFormat="1" ht="12.75">
      <c r="A26" s="21"/>
      <c r="B26" s="21"/>
      <c r="C26" s="21"/>
      <c r="D26" s="21"/>
      <c r="E26" s="21" t="s">
        <v>18</v>
      </c>
      <c r="F26" s="20"/>
      <c r="G26" s="21" t="s">
        <v>6</v>
      </c>
      <c r="H26" s="21"/>
      <c r="I26" s="21"/>
      <c r="J26" s="62"/>
      <c r="K26" s="62" t="s">
        <v>19</v>
      </c>
      <c r="L26" s="21" t="s">
        <v>20</v>
      </c>
      <c r="M26" s="21" t="s">
        <v>9</v>
      </c>
      <c r="N26" s="21"/>
      <c r="O26" s="63"/>
      <c r="P26" s="63"/>
      <c r="Q26" s="64"/>
    </row>
    <row r="27" spans="1:18" ht="15.75">
      <c r="A27" s="65">
        <f t="shared" ref="A27:A30" si="8">+A26+1</f>
        <v>1</v>
      </c>
      <c r="B27" s="66"/>
      <c r="C27" s="67"/>
      <c r="D27" s="67"/>
      <c r="E27" s="45"/>
      <c r="F27" s="68"/>
      <c r="G27" s="68" t="e">
        <f t="shared" ref="G27:G30" si="9">+J27*L27</f>
        <v>#DIV/0!</v>
      </c>
      <c r="H27" s="31" t="e">
        <f t="shared" ref="H27:H30" si="10">+F27/J27</f>
        <v>#DIV/0!</v>
      </c>
      <c r="I27" s="31">
        <f t="shared" ref="I27:I30" si="11">+F27*1.2%</f>
        <v>0</v>
      </c>
      <c r="J27" s="65"/>
      <c r="K27" s="65"/>
      <c r="L27" s="69" t="e">
        <f t="shared" ref="L27:L30" si="12">+H27+I27</f>
        <v>#DIV/0!</v>
      </c>
      <c r="M27" s="68" t="e">
        <f t="shared" ref="M27:M30" si="13">+K27*L27</f>
        <v>#DIV/0!</v>
      </c>
      <c r="N27" s="70" t="e">
        <f>+H27*K27</f>
        <v>#DIV/0!</v>
      </c>
      <c r="O27" s="71"/>
      <c r="P27" s="71"/>
      <c r="Q27" s="72" t="e">
        <f t="shared" ref="Q27:Q30" si="14">+F27-N27</f>
        <v>#DIV/0!</v>
      </c>
    </row>
    <row r="28" spans="1:18" s="77" customFormat="1" ht="15.75">
      <c r="A28" s="73">
        <f t="shared" si="8"/>
        <v>2</v>
      </c>
      <c r="B28" s="74"/>
      <c r="C28" s="75"/>
      <c r="D28" s="75"/>
      <c r="E28" s="45"/>
      <c r="F28" s="68"/>
      <c r="G28" s="68" t="e">
        <f t="shared" si="9"/>
        <v>#DIV/0!</v>
      </c>
      <c r="H28" s="31" t="e">
        <f t="shared" si="10"/>
        <v>#DIV/0!</v>
      </c>
      <c r="I28" s="31">
        <f t="shared" si="11"/>
        <v>0</v>
      </c>
      <c r="J28" s="65"/>
      <c r="K28" s="65"/>
      <c r="L28" s="69" t="e">
        <f t="shared" si="12"/>
        <v>#DIV/0!</v>
      </c>
      <c r="M28" s="68" t="e">
        <f t="shared" si="13"/>
        <v>#DIV/0!</v>
      </c>
      <c r="N28" s="70" t="e">
        <f>+H28*K28</f>
        <v>#DIV/0!</v>
      </c>
      <c r="O28" s="71"/>
      <c r="P28" s="71"/>
      <c r="Q28" s="72" t="e">
        <f t="shared" si="14"/>
        <v>#DIV/0!</v>
      </c>
      <c r="R28" s="76"/>
    </row>
    <row r="29" spans="1:18" ht="15.75">
      <c r="A29" s="73">
        <f t="shared" si="8"/>
        <v>3</v>
      </c>
      <c r="B29" s="66"/>
      <c r="C29" s="67"/>
      <c r="D29" s="67"/>
      <c r="E29" s="45"/>
      <c r="F29" s="68"/>
      <c r="G29" s="68" t="e">
        <f t="shared" si="9"/>
        <v>#DIV/0!</v>
      </c>
      <c r="H29" s="31" t="e">
        <f t="shared" si="10"/>
        <v>#DIV/0!</v>
      </c>
      <c r="I29" s="31">
        <f t="shared" si="11"/>
        <v>0</v>
      </c>
      <c r="J29" s="65"/>
      <c r="K29" s="65"/>
      <c r="L29" s="69" t="e">
        <f t="shared" si="12"/>
        <v>#DIV/0!</v>
      </c>
      <c r="M29" s="68" t="e">
        <f t="shared" si="13"/>
        <v>#DIV/0!</v>
      </c>
      <c r="N29" s="70" t="e">
        <f>+H29*K29</f>
        <v>#DIV/0!</v>
      </c>
      <c r="O29" s="71"/>
      <c r="P29" s="71"/>
      <c r="Q29" s="72" t="e">
        <f t="shared" si="14"/>
        <v>#DIV/0!</v>
      </c>
    </row>
    <row r="30" spans="1:18" ht="15.75">
      <c r="A30" s="73">
        <f t="shared" si="8"/>
        <v>4</v>
      </c>
      <c r="B30" s="66"/>
      <c r="C30" s="67"/>
      <c r="D30" s="67"/>
      <c r="E30" s="45"/>
      <c r="F30" s="68"/>
      <c r="G30" s="68" t="e">
        <f t="shared" si="9"/>
        <v>#DIV/0!</v>
      </c>
      <c r="H30" s="31" t="e">
        <f t="shared" si="10"/>
        <v>#DIV/0!</v>
      </c>
      <c r="I30" s="31">
        <f t="shared" si="11"/>
        <v>0</v>
      </c>
      <c r="J30" s="65"/>
      <c r="K30" s="65"/>
      <c r="L30" s="69" t="e">
        <f t="shared" si="12"/>
        <v>#DIV/0!</v>
      </c>
      <c r="M30" s="68" t="e">
        <f t="shared" si="13"/>
        <v>#DIV/0!</v>
      </c>
      <c r="N30" s="70" t="e">
        <f>+H30*K30</f>
        <v>#DIV/0!</v>
      </c>
      <c r="O30" s="78"/>
      <c r="P30" s="78"/>
      <c r="Q30" s="72" t="e">
        <f t="shared" si="14"/>
        <v>#DIV/0!</v>
      </c>
    </row>
    <row r="31" spans="1:18">
      <c r="A31" s="79"/>
      <c r="B31" s="66"/>
      <c r="C31" s="66"/>
      <c r="D31" s="66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8"/>
      <c r="Q31" s="80"/>
    </row>
    <row r="32" spans="1:18">
      <c r="A32" s="79"/>
      <c r="B32" s="66" t="s">
        <v>7</v>
      </c>
      <c r="C32" s="66"/>
      <c r="D32" s="66"/>
      <c r="E32" s="79"/>
      <c r="F32" s="81">
        <f>SUM(F27:F31)</f>
        <v>0</v>
      </c>
      <c r="G32" s="81" t="e">
        <f t="shared" ref="G32:N32" si="15">SUM(G27:G31)</f>
        <v>#DIV/0!</v>
      </c>
      <c r="H32" s="81" t="e">
        <f t="shared" si="15"/>
        <v>#DIV/0!</v>
      </c>
      <c r="I32" s="81">
        <f t="shared" si="15"/>
        <v>0</v>
      </c>
      <c r="J32" s="81">
        <f t="shared" si="15"/>
        <v>0</v>
      </c>
      <c r="K32" s="81">
        <f t="shared" si="15"/>
        <v>0</v>
      </c>
      <c r="L32" s="81" t="e">
        <f t="shared" si="15"/>
        <v>#DIV/0!</v>
      </c>
      <c r="M32" s="81" t="e">
        <f t="shared" si="15"/>
        <v>#DIV/0!</v>
      </c>
      <c r="N32" s="81" t="e">
        <f t="shared" si="15"/>
        <v>#DIV/0!</v>
      </c>
      <c r="O32" s="79"/>
      <c r="P32" s="79"/>
      <c r="Q32" s="81" t="e">
        <f t="shared" ref="Q32" si="16">SUM(Q27:Q29)</f>
        <v>#DIV/0!</v>
      </c>
    </row>
    <row r="34" spans="1:18" s="7" customFormat="1" ht="20.25">
      <c r="A34" s="54" t="s">
        <v>73</v>
      </c>
      <c r="C34" s="55"/>
      <c r="D34" s="55"/>
      <c r="E34" s="55"/>
      <c r="F34" s="5"/>
      <c r="G34" s="11"/>
      <c r="I34" s="5"/>
      <c r="J34" s="56"/>
      <c r="K34" s="57"/>
      <c r="O34" s="58"/>
      <c r="P34" s="58"/>
    </row>
    <row r="35" spans="1:18" s="61" customFormat="1" ht="12.75">
      <c r="A35" s="15" t="s">
        <v>2</v>
      </c>
      <c r="B35" s="15" t="s">
        <v>3</v>
      </c>
      <c r="C35" s="15" t="s">
        <v>4</v>
      </c>
      <c r="D35" s="15" t="s">
        <v>72</v>
      </c>
      <c r="E35" s="15" t="s">
        <v>5</v>
      </c>
      <c r="F35" s="15" t="s">
        <v>6</v>
      </c>
      <c r="G35" s="15" t="s">
        <v>7</v>
      </c>
      <c r="H35" s="15" t="s">
        <v>8</v>
      </c>
      <c r="I35" s="15" t="s">
        <v>9</v>
      </c>
      <c r="J35" s="59" t="s">
        <v>10</v>
      </c>
      <c r="K35" s="59" t="s">
        <v>11</v>
      </c>
      <c r="L35" s="15" t="s">
        <v>12</v>
      </c>
      <c r="M35" s="15" t="s">
        <v>13</v>
      </c>
      <c r="N35" s="15" t="s">
        <v>14</v>
      </c>
      <c r="O35" s="15" t="s">
        <v>15</v>
      </c>
      <c r="P35" s="15" t="s">
        <v>16</v>
      </c>
      <c r="Q35" s="60"/>
    </row>
    <row r="36" spans="1:18" s="61" customFormat="1" ht="12.75">
      <c r="A36" s="21"/>
      <c r="B36" s="21"/>
      <c r="C36" s="21"/>
      <c r="D36" s="21"/>
      <c r="E36" s="21" t="s">
        <v>18</v>
      </c>
      <c r="F36" s="20"/>
      <c r="G36" s="21" t="s">
        <v>6</v>
      </c>
      <c r="H36" s="21"/>
      <c r="I36" s="21"/>
      <c r="J36" s="62"/>
      <c r="K36" s="62" t="s">
        <v>19</v>
      </c>
      <c r="L36" s="21" t="s">
        <v>20</v>
      </c>
      <c r="M36" s="21" t="s">
        <v>9</v>
      </c>
      <c r="N36" s="21"/>
      <c r="O36" s="63"/>
      <c r="P36" s="63"/>
      <c r="Q36" s="64"/>
    </row>
    <row r="37" spans="1:18" ht="15.75">
      <c r="A37" s="65"/>
      <c r="B37" s="66"/>
      <c r="C37" s="67"/>
      <c r="D37" s="67"/>
      <c r="E37" s="45"/>
      <c r="F37" s="68"/>
      <c r="G37" s="68"/>
      <c r="H37" s="68"/>
      <c r="I37" s="68"/>
      <c r="J37" s="65"/>
      <c r="K37" s="65"/>
      <c r="L37" s="69"/>
      <c r="M37" s="68"/>
      <c r="N37" s="68"/>
      <c r="O37" s="78"/>
      <c r="P37" s="78"/>
      <c r="Q37" s="72"/>
      <c r="R37" s="82"/>
    </row>
    <row r="38" spans="1:18" ht="15.75">
      <c r="A38" s="65"/>
      <c r="B38" s="66"/>
      <c r="C38" s="67"/>
      <c r="D38" s="83"/>
      <c r="E38" s="45"/>
      <c r="F38" s="68"/>
      <c r="G38" s="68"/>
      <c r="H38" s="68"/>
      <c r="I38" s="84"/>
      <c r="J38" s="65"/>
      <c r="K38" s="65"/>
      <c r="L38" s="69"/>
      <c r="M38" s="68"/>
      <c r="N38" s="68"/>
      <c r="O38" s="78"/>
      <c r="P38" s="78"/>
      <c r="Q38" s="72"/>
    </row>
    <row r="39" spans="1:18" ht="15.75">
      <c r="A39" s="65"/>
      <c r="B39" s="66"/>
      <c r="C39" s="67"/>
      <c r="D39" s="83"/>
      <c r="E39" s="45"/>
      <c r="F39" s="68"/>
      <c r="G39" s="68"/>
      <c r="H39" s="68"/>
      <c r="I39" s="84"/>
      <c r="J39" s="65"/>
      <c r="K39" s="65"/>
      <c r="L39" s="69"/>
      <c r="M39" s="68"/>
      <c r="N39" s="68"/>
      <c r="O39" s="78"/>
      <c r="P39" s="78"/>
      <c r="Q39" s="72"/>
    </row>
    <row r="40" spans="1:18" ht="15.75">
      <c r="A40" s="65"/>
      <c r="B40" s="66"/>
      <c r="C40" s="67"/>
      <c r="D40" s="67"/>
      <c r="E40" s="45"/>
      <c r="F40" s="68"/>
      <c r="G40" s="68"/>
      <c r="H40" s="68"/>
      <c r="I40" s="84"/>
      <c r="J40" s="65"/>
      <c r="K40" s="65"/>
      <c r="L40" s="69"/>
      <c r="M40" s="68"/>
      <c r="N40" s="85"/>
      <c r="O40" s="78"/>
      <c r="P40" s="78"/>
      <c r="Q40" s="72"/>
    </row>
    <row r="41" spans="1:18">
      <c r="A41" s="79"/>
      <c r="B41" s="66"/>
      <c r="C41" s="66"/>
      <c r="D41" s="66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8"/>
      <c r="Q41" s="80"/>
    </row>
    <row r="42" spans="1:18">
      <c r="A42" s="79"/>
      <c r="B42" s="66" t="s">
        <v>7</v>
      </c>
      <c r="C42" s="66"/>
      <c r="D42" s="66"/>
      <c r="E42" s="79"/>
      <c r="F42" s="81">
        <f t="shared" ref="F42:N42" si="17">SUM(F37:F41)</f>
        <v>0</v>
      </c>
      <c r="G42" s="81">
        <f t="shared" si="17"/>
        <v>0</v>
      </c>
      <c r="H42" s="81">
        <f t="shared" si="17"/>
        <v>0</v>
      </c>
      <c r="I42" s="81">
        <f t="shared" si="17"/>
        <v>0</v>
      </c>
      <c r="J42" s="81">
        <f t="shared" si="17"/>
        <v>0</v>
      </c>
      <c r="K42" s="81">
        <f t="shared" si="17"/>
        <v>0</v>
      </c>
      <c r="L42" s="81">
        <f t="shared" si="17"/>
        <v>0</v>
      </c>
      <c r="M42" s="81">
        <f t="shared" si="17"/>
        <v>0</v>
      </c>
      <c r="N42" s="81">
        <f t="shared" si="17"/>
        <v>0</v>
      </c>
      <c r="O42" s="79"/>
      <c r="P42" s="79"/>
      <c r="Q42" s="81">
        <f>SUM(Q37:Q41)</f>
        <v>0</v>
      </c>
    </row>
    <row r="45" spans="1:18">
      <c r="F45" s="86" t="s">
        <v>74</v>
      </c>
      <c r="G45" s="86" t="s">
        <v>75</v>
      </c>
      <c r="H45" s="86" t="s">
        <v>76</v>
      </c>
    </row>
    <row r="46" spans="1:18" ht="15.75">
      <c r="A46" s="36">
        <f t="shared" ref="A46" si="18">+A45+1</f>
        <v>1</v>
      </c>
      <c r="B46" s="26"/>
      <c r="C46" s="27"/>
      <c r="D46" s="38"/>
      <c r="E46" s="28"/>
      <c r="F46" s="87">
        <v>0</v>
      </c>
      <c r="G46" s="87">
        <v>0</v>
      </c>
      <c r="H46" s="87">
        <v>0</v>
      </c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39"/>
  <sheetViews>
    <sheetView showGridLines="0" view="pageBreakPreview" zoomScaleSheetLayoutView="100" workbookViewId="0">
      <pane ySplit="4" topLeftCell="A407" activePane="bottomLeft" state="frozen"/>
      <selection pane="bottomLeft" activeCell="B418" sqref="B418"/>
    </sheetView>
  </sheetViews>
  <sheetFormatPr defaultRowHeight="15.75"/>
  <cols>
    <col min="1" max="1" width="10.5703125" style="8" bestFit="1" customWidth="1"/>
    <col min="2" max="2" width="33.42578125" style="44" bestFit="1" customWidth="1"/>
    <col min="3" max="4" width="9.28515625" style="8" bestFit="1" customWidth="1"/>
    <col min="5" max="5" width="13.7109375" style="187" bestFit="1" customWidth="1"/>
    <col min="6" max="6" width="19.42578125" style="173" bestFit="1" customWidth="1"/>
    <col min="7" max="7" width="20" style="173" bestFit="1" customWidth="1"/>
    <col min="8" max="8" width="17.5703125" style="174" bestFit="1" customWidth="1"/>
    <col min="9" max="9" width="17" style="175" bestFit="1" customWidth="1"/>
    <col min="10" max="10" width="10.5703125" style="8" bestFit="1" customWidth="1"/>
    <col min="11" max="11" width="10.5703125" style="44" bestFit="1" customWidth="1"/>
    <col min="12" max="12" width="17.5703125" style="177" bestFit="1" customWidth="1"/>
    <col min="13" max="13" width="18.7109375" style="177" bestFit="1" customWidth="1"/>
    <col min="14" max="14" width="18.7109375" style="184" bestFit="1" customWidth="1"/>
    <col min="15" max="15" width="28.28515625" style="178" bestFit="1" customWidth="1"/>
    <col min="16" max="16" width="28" style="179" customWidth="1"/>
    <col min="17" max="16384" width="9.140625" style="185"/>
  </cols>
  <sheetData>
    <row r="1" spans="1:16" s="44" customFormat="1" ht="20.25">
      <c r="A1" s="88" t="s">
        <v>0</v>
      </c>
      <c r="B1" s="2"/>
      <c r="C1" s="3"/>
      <c r="D1" s="3"/>
      <c r="E1" s="4"/>
      <c r="F1" s="89"/>
      <c r="G1" s="89"/>
      <c r="H1" s="90"/>
      <c r="I1" s="5"/>
      <c r="J1" s="8"/>
      <c r="L1" s="91"/>
      <c r="M1" s="91"/>
      <c r="N1" s="91"/>
      <c r="O1" s="92"/>
      <c r="P1" s="1"/>
    </row>
    <row r="2" spans="1:16" s="44" customFormat="1" ht="20.25">
      <c r="A2" s="93" t="s">
        <v>77</v>
      </c>
      <c r="B2" s="2"/>
      <c r="C2" s="3"/>
      <c r="D2" s="3"/>
      <c r="E2" s="4"/>
      <c r="F2" s="89"/>
      <c r="G2" s="89"/>
      <c r="H2" s="90"/>
      <c r="I2" s="5"/>
      <c r="J2" s="8"/>
      <c r="L2" s="91"/>
      <c r="M2" s="91"/>
      <c r="N2" s="91"/>
      <c r="O2" s="92"/>
      <c r="P2" s="1"/>
    </row>
    <row r="3" spans="1:16" s="105" customFormat="1">
      <c r="A3" s="94" t="s">
        <v>2</v>
      </c>
      <c r="B3" s="94" t="s">
        <v>3</v>
      </c>
      <c r="C3" s="94" t="s">
        <v>4</v>
      </c>
      <c r="D3" s="95" t="s">
        <v>72</v>
      </c>
      <c r="E3" s="96" t="s">
        <v>5</v>
      </c>
      <c r="F3" s="97" t="s">
        <v>6</v>
      </c>
      <c r="G3" s="97" t="s">
        <v>7</v>
      </c>
      <c r="H3" s="94" t="s">
        <v>8</v>
      </c>
      <c r="I3" s="98" t="s">
        <v>9</v>
      </c>
      <c r="J3" s="99" t="s">
        <v>78</v>
      </c>
      <c r="K3" s="94" t="s">
        <v>11</v>
      </c>
      <c r="L3" s="100" t="s">
        <v>12</v>
      </c>
      <c r="M3" s="101" t="s">
        <v>13</v>
      </c>
      <c r="N3" s="102" t="s">
        <v>14</v>
      </c>
      <c r="O3" s="103" t="s">
        <v>79</v>
      </c>
      <c r="P3" s="13" t="s">
        <v>80</v>
      </c>
    </row>
    <row r="4" spans="1:16" s="105" customFormat="1">
      <c r="A4" s="106"/>
      <c r="B4" s="106"/>
      <c r="C4" s="106"/>
      <c r="D4" s="107"/>
      <c r="E4" s="108" t="s">
        <v>18</v>
      </c>
      <c r="F4" s="109"/>
      <c r="G4" s="110" t="s">
        <v>6</v>
      </c>
      <c r="H4" s="106"/>
      <c r="I4" s="111"/>
      <c r="J4" s="112" t="s">
        <v>81</v>
      </c>
      <c r="K4" s="106" t="s">
        <v>19</v>
      </c>
      <c r="L4" s="113" t="s">
        <v>20</v>
      </c>
      <c r="M4" s="114" t="s">
        <v>9</v>
      </c>
      <c r="N4" s="115"/>
      <c r="O4" s="116"/>
      <c r="P4" s="117"/>
    </row>
    <row r="5" spans="1:16" s="44" customFormat="1">
      <c r="A5" s="36">
        <v>1</v>
      </c>
      <c r="B5" s="39" t="s">
        <v>82</v>
      </c>
      <c r="C5" s="40" t="s">
        <v>83</v>
      </c>
      <c r="D5" s="41" t="s">
        <v>84</v>
      </c>
      <c r="E5" s="45">
        <v>42944</v>
      </c>
      <c r="F5" s="42">
        <f>30000000</f>
        <v>30000000</v>
      </c>
      <c r="G5" s="46">
        <f t="shared" ref="G5:G68" si="0">+J5*L5</f>
        <v>43002000</v>
      </c>
      <c r="H5" s="119">
        <v>834500</v>
      </c>
      <c r="I5" s="42">
        <f t="shared" ref="I5:I15" si="1">+F5*1.2%</f>
        <v>360000</v>
      </c>
      <c r="J5" s="36">
        <v>36</v>
      </c>
      <c r="K5" s="120">
        <v>29</v>
      </c>
      <c r="L5" s="30">
        <f t="shared" ref="L5:L68" si="2">+H5+I5</f>
        <v>1194500</v>
      </c>
      <c r="M5" s="30">
        <f t="shared" ref="M5:M68" si="3">+K5*L5</f>
        <v>34640500</v>
      </c>
      <c r="N5" s="121">
        <f>F5-(H5*7)</f>
        <v>24158500</v>
      </c>
      <c r="O5" s="34" t="s">
        <v>85</v>
      </c>
      <c r="P5" s="34" t="s">
        <v>86</v>
      </c>
    </row>
    <row r="6" spans="1:16" s="44" customFormat="1">
      <c r="A6" s="36">
        <f t="shared" ref="A6:A69" si="4">+A5+1</f>
        <v>2</v>
      </c>
      <c r="B6" s="42" t="s">
        <v>87</v>
      </c>
      <c r="C6" s="124" t="s">
        <v>88</v>
      </c>
      <c r="D6" s="124"/>
      <c r="E6" s="45">
        <v>42655</v>
      </c>
      <c r="F6" s="125">
        <f>25000000</f>
        <v>25000000</v>
      </c>
      <c r="G6" s="122">
        <f t="shared" si="0"/>
        <v>32208000</v>
      </c>
      <c r="H6" s="42">
        <v>1042000</v>
      </c>
      <c r="I6" s="42">
        <f t="shared" si="1"/>
        <v>300000</v>
      </c>
      <c r="J6" s="126" t="s">
        <v>89</v>
      </c>
      <c r="K6" s="120">
        <v>7</v>
      </c>
      <c r="L6" s="30">
        <f t="shared" si="2"/>
        <v>1342000</v>
      </c>
      <c r="M6" s="42">
        <f t="shared" si="3"/>
        <v>9394000</v>
      </c>
      <c r="N6" s="121">
        <f>F6-(H6*17)</f>
        <v>7286000</v>
      </c>
      <c r="O6" s="127" t="s">
        <v>85</v>
      </c>
      <c r="P6" s="34" t="s">
        <v>86</v>
      </c>
    </row>
    <row r="7" spans="1:16" s="44" customFormat="1">
      <c r="A7" s="36">
        <f t="shared" si="4"/>
        <v>3</v>
      </c>
      <c r="B7" s="39" t="s">
        <v>90</v>
      </c>
      <c r="C7" s="40" t="s">
        <v>91</v>
      </c>
      <c r="D7" s="41" t="s">
        <v>92</v>
      </c>
      <c r="E7" s="28">
        <v>43111</v>
      </c>
      <c r="F7" s="42">
        <f>24158500+603963+255484+4982053</f>
        <v>30000000</v>
      </c>
      <c r="G7" s="46">
        <f t="shared" si="0"/>
        <v>42984000</v>
      </c>
      <c r="H7" s="119">
        <v>834000</v>
      </c>
      <c r="I7" s="119">
        <f t="shared" si="1"/>
        <v>360000</v>
      </c>
      <c r="J7" s="36">
        <v>36</v>
      </c>
      <c r="K7" s="120">
        <v>34</v>
      </c>
      <c r="L7" s="30">
        <f t="shared" si="2"/>
        <v>1194000</v>
      </c>
      <c r="M7" s="30">
        <f t="shared" si="3"/>
        <v>40596000</v>
      </c>
      <c r="N7" s="33">
        <f>F7-(H7*2)</f>
        <v>28332000</v>
      </c>
      <c r="O7" s="34" t="s">
        <v>93</v>
      </c>
      <c r="P7" s="34" t="s">
        <v>94</v>
      </c>
    </row>
    <row r="8" spans="1:16" s="44" customFormat="1">
      <c r="A8" s="36">
        <f t="shared" si="4"/>
        <v>4</v>
      </c>
      <c r="B8" s="39" t="s">
        <v>95</v>
      </c>
      <c r="C8" s="40" t="s">
        <v>96</v>
      </c>
      <c r="D8" s="41" t="s">
        <v>96</v>
      </c>
      <c r="E8" s="28">
        <v>43111</v>
      </c>
      <c r="F8" s="42">
        <f>15000000</f>
        <v>15000000</v>
      </c>
      <c r="G8" s="46">
        <f t="shared" si="0"/>
        <v>19320000</v>
      </c>
      <c r="H8" s="119">
        <f>+F8/J8</f>
        <v>625000</v>
      </c>
      <c r="I8" s="119">
        <f t="shared" si="1"/>
        <v>180000</v>
      </c>
      <c r="J8" s="36">
        <v>24</v>
      </c>
      <c r="K8" s="120">
        <v>22</v>
      </c>
      <c r="L8" s="30">
        <f t="shared" si="2"/>
        <v>805000</v>
      </c>
      <c r="M8" s="30">
        <f t="shared" si="3"/>
        <v>17710000</v>
      </c>
      <c r="N8" s="46">
        <f>+H8*K8</f>
        <v>13750000</v>
      </c>
      <c r="O8" s="34" t="s">
        <v>24</v>
      </c>
      <c r="P8" s="34" t="s">
        <v>86</v>
      </c>
    </row>
    <row r="9" spans="1:16" s="44" customFormat="1">
      <c r="A9" s="36">
        <f t="shared" si="4"/>
        <v>5</v>
      </c>
      <c r="B9" s="42" t="s">
        <v>97</v>
      </c>
      <c r="C9" s="124" t="s">
        <v>98</v>
      </c>
      <c r="D9" s="124"/>
      <c r="E9" s="45">
        <v>42674</v>
      </c>
      <c r="F9" s="125">
        <f>9167400+229185+20603415</f>
        <v>30000000</v>
      </c>
      <c r="G9" s="122">
        <f t="shared" si="0"/>
        <v>42984000</v>
      </c>
      <c r="H9" s="42">
        <f>1194000-I9</f>
        <v>834000</v>
      </c>
      <c r="I9" s="42">
        <f t="shared" si="1"/>
        <v>360000</v>
      </c>
      <c r="J9" s="126" t="s">
        <v>99</v>
      </c>
      <c r="K9" s="120">
        <v>20</v>
      </c>
      <c r="L9" s="30">
        <f t="shared" si="2"/>
        <v>1194000</v>
      </c>
      <c r="M9" s="42">
        <f t="shared" si="3"/>
        <v>23880000</v>
      </c>
      <c r="N9" s="121">
        <f>F9-(H9*16)</f>
        <v>16656000</v>
      </c>
      <c r="O9" s="127" t="s">
        <v>100</v>
      </c>
      <c r="P9" s="127" t="s">
        <v>101</v>
      </c>
    </row>
    <row r="10" spans="1:16" s="44" customFormat="1">
      <c r="A10" s="36">
        <f t="shared" si="4"/>
        <v>6</v>
      </c>
      <c r="B10" s="39" t="s">
        <v>102</v>
      </c>
      <c r="C10" s="40" t="s">
        <v>103</v>
      </c>
      <c r="D10" s="41" t="s">
        <v>104</v>
      </c>
      <c r="E10" s="28">
        <v>43111</v>
      </c>
      <c r="F10" s="42">
        <f>11579932+289498+193534+17937036</f>
        <v>30000000</v>
      </c>
      <c r="G10" s="46">
        <f t="shared" si="0"/>
        <v>42984000</v>
      </c>
      <c r="H10" s="119">
        <v>834000</v>
      </c>
      <c r="I10" s="119">
        <f t="shared" si="1"/>
        <v>360000</v>
      </c>
      <c r="J10" s="36">
        <v>36</v>
      </c>
      <c r="K10" s="120">
        <v>34</v>
      </c>
      <c r="L10" s="30">
        <f t="shared" si="2"/>
        <v>1194000</v>
      </c>
      <c r="M10" s="30">
        <f t="shared" si="3"/>
        <v>40596000</v>
      </c>
      <c r="N10" s="33">
        <f>F10-(H10*2)</f>
        <v>28332000</v>
      </c>
      <c r="O10" s="34" t="s">
        <v>105</v>
      </c>
      <c r="P10" s="34" t="s">
        <v>94</v>
      </c>
    </row>
    <row r="11" spans="1:16" s="44" customFormat="1">
      <c r="A11" s="36">
        <f t="shared" si="4"/>
        <v>7</v>
      </c>
      <c r="B11" s="42" t="s">
        <v>106</v>
      </c>
      <c r="C11" s="124" t="s">
        <v>107</v>
      </c>
      <c r="D11" s="124"/>
      <c r="E11" s="45">
        <v>42669</v>
      </c>
      <c r="F11" s="125">
        <f>30000000</f>
        <v>30000000</v>
      </c>
      <c r="G11" s="122">
        <f t="shared" si="0"/>
        <v>42984000</v>
      </c>
      <c r="H11" s="42">
        <v>834000</v>
      </c>
      <c r="I11" s="42">
        <f t="shared" si="1"/>
        <v>360000</v>
      </c>
      <c r="J11" s="36">
        <v>36</v>
      </c>
      <c r="K11" s="120">
        <v>20</v>
      </c>
      <c r="L11" s="30">
        <f t="shared" si="2"/>
        <v>1194000</v>
      </c>
      <c r="M11" s="42">
        <f t="shared" si="3"/>
        <v>23880000</v>
      </c>
      <c r="N11" s="121">
        <f>F11-(H11*16)</f>
        <v>16656000</v>
      </c>
      <c r="O11" s="127" t="s">
        <v>108</v>
      </c>
      <c r="P11" s="34" t="s">
        <v>86</v>
      </c>
    </row>
    <row r="12" spans="1:16" s="44" customFormat="1">
      <c r="A12" s="36">
        <f t="shared" si="4"/>
        <v>8</v>
      </c>
      <c r="B12" s="42" t="s">
        <v>109</v>
      </c>
      <c r="C12" s="124" t="s">
        <v>110</v>
      </c>
      <c r="D12" s="124"/>
      <c r="E12" s="128">
        <v>42394</v>
      </c>
      <c r="F12" s="125">
        <f>30000000</f>
        <v>30000000</v>
      </c>
      <c r="G12" s="129">
        <f t="shared" si="0"/>
        <v>42966000</v>
      </c>
      <c r="H12" s="42">
        <f>1193500-I12</f>
        <v>833500</v>
      </c>
      <c r="I12" s="125">
        <f t="shared" si="1"/>
        <v>360000</v>
      </c>
      <c r="J12" s="126" t="s">
        <v>99</v>
      </c>
      <c r="K12" s="120">
        <v>11</v>
      </c>
      <c r="L12" s="42">
        <f t="shared" si="2"/>
        <v>1193500</v>
      </c>
      <c r="M12" s="42">
        <f t="shared" si="3"/>
        <v>13128500</v>
      </c>
      <c r="N12" s="130">
        <f>F12-(H12*25)</f>
        <v>9162500</v>
      </c>
      <c r="O12" s="127" t="s">
        <v>111</v>
      </c>
      <c r="P12" s="127" t="s">
        <v>112</v>
      </c>
    </row>
    <row r="13" spans="1:16" s="44" customFormat="1">
      <c r="A13" s="36">
        <f t="shared" si="4"/>
        <v>9</v>
      </c>
      <c r="B13" s="42" t="s">
        <v>113</v>
      </c>
      <c r="C13" s="124" t="s">
        <v>114</v>
      </c>
      <c r="D13" s="124"/>
      <c r="E13" s="128">
        <v>42430</v>
      </c>
      <c r="F13" s="125">
        <f>1835040+45876+36056+18083028</f>
        <v>20000000</v>
      </c>
      <c r="G13" s="125">
        <f t="shared" si="0"/>
        <v>28641600</v>
      </c>
      <c r="H13" s="42">
        <f>795600-I13</f>
        <v>555600</v>
      </c>
      <c r="I13" s="125">
        <f t="shared" si="1"/>
        <v>240000</v>
      </c>
      <c r="J13" s="126" t="s">
        <v>99</v>
      </c>
      <c r="K13" s="120">
        <v>12</v>
      </c>
      <c r="L13" s="42">
        <f t="shared" si="2"/>
        <v>795600</v>
      </c>
      <c r="M13" s="42">
        <f t="shared" si="3"/>
        <v>9547200</v>
      </c>
      <c r="N13" s="130">
        <f>F13-(H13*24)</f>
        <v>6665600</v>
      </c>
      <c r="O13" s="127" t="s">
        <v>115</v>
      </c>
      <c r="P13" s="127" t="s">
        <v>112</v>
      </c>
    </row>
    <row r="14" spans="1:16" s="44" customFormat="1">
      <c r="A14" s="36">
        <f t="shared" si="4"/>
        <v>10</v>
      </c>
      <c r="B14" s="42" t="s">
        <v>116</v>
      </c>
      <c r="C14" s="124" t="s">
        <v>117</v>
      </c>
      <c r="D14" s="124"/>
      <c r="E14" s="128">
        <v>42522</v>
      </c>
      <c r="F14" s="125">
        <f>11666300+291658+117290+17924752</f>
        <v>30000000</v>
      </c>
      <c r="G14" s="131">
        <f t="shared" si="0"/>
        <v>42984000</v>
      </c>
      <c r="H14" s="132">
        <v>834000</v>
      </c>
      <c r="I14" s="46">
        <f t="shared" si="1"/>
        <v>360000</v>
      </c>
      <c r="J14" s="126" t="s">
        <v>99</v>
      </c>
      <c r="K14" s="120">
        <v>15</v>
      </c>
      <c r="L14" s="133">
        <f t="shared" si="2"/>
        <v>1194000</v>
      </c>
      <c r="M14" s="42">
        <f t="shared" si="3"/>
        <v>17910000</v>
      </c>
      <c r="N14" s="134">
        <f>F14-(H14*21)</f>
        <v>12486000</v>
      </c>
      <c r="O14" s="127" t="s">
        <v>118</v>
      </c>
      <c r="P14" s="127" t="s">
        <v>112</v>
      </c>
    </row>
    <row r="15" spans="1:16" s="44" customFormat="1">
      <c r="A15" s="36">
        <f t="shared" si="4"/>
        <v>11</v>
      </c>
      <c r="B15" s="39" t="s">
        <v>119</v>
      </c>
      <c r="C15" s="40" t="s">
        <v>120</v>
      </c>
      <c r="D15" s="41" t="s">
        <v>121</v>
      </c>
      <c r="E15" s="28">
        <v>43102</v>
      </c>
      <c r="F15" s="42">
        <f>19158000+478950+104516+10258534</f>
        <v>30000000</v>
      </c>
      <c r="G15" s="46">
        <f t="shared" si="0"/>
        <v>42984000</v>
      </c>
      <c r="H15" s="119">
        <v>834000</v>
      </c>
      <c r="I15" s="119">
        <f t="shared" si="1"/>
        <v>360000</v>
      </c>
      <c r="J15" s="36">
        <v>36</v>
      </c>
      <c r="K15" s="120">
        <v>34</v>
      </c>
      <c r="L15" s="30">
        <f t="shared" si="2"/>
        <v>1194000</v>
      </c>
      <c r="M15" s="30">
        <f t="shared" si="3"/>
        <v>40596000</v>
      </c>
      <c r="N15" s="33">
        <f>F15-(H15*2)</f>
        <v>28332000</v>
      </c>
      <c r="O15" s="34" t="s">
        <v>122</v>
      </c>
      <c r="P15" s="34" t="s">
        <v>94</v>
      </c>
    </row>
    <row r="16" spans="1:16" s="44" customFormat="1">
      <c r="A16" s="36">
        <f t="shared" si="4"/>
        <v>12</v>
      </c>
      <c r="B16" s="39" t="s">
        <v>123</v>
      </c>
      <c r="C16" s="40" t="s">
        <v>124</v>
      </c>
      <c r="D16" s="41" t="s">
        <v>125</v>
      </c>
      <c r="E16" s="45">
        <v>42992</v>
      </c>
      <c r="F16" s="42">
        <f>4000000</f>
        <v>4000000</v>
      </c>
      <c r="G16" s="46">
        <f t="shared" si="0"/>
        <v>4590000</v>
      </c>
      <c r="H16" s="132">
        <f>382500-I16</f>
        <v>334500</v>
      </c>
      <c r="I16" s="119">
        <f>F16*1.2%</f>
        <v>48000</v>
      </c>
      <c r="J16" s="36">
        <v>12</v>
      </c>
      <c r="K16" s="120">
        <v>6</v>
      </c>
      <c r="L16" s="30">
        <f t="shared" si="2"/>
        <v>382500</v>
      </c>
      <c r="M16" s="30">
        <f t="shared" si="3"/>
        <v>2295000</v>
      </c>
      <c r="N16" s="121">
        <f>F16-(H16*6)</f>
        <v>1993000</v>
      </c>
      <c r="O16" s="34" t="s">
        <v>126</v>
      </c>
      <c r="P16" s="34" t="s">
        <v>127</v>
      </c>
    </row>
    <row r="17" spans="1:16" s="44" customFormat="1">
      <c r="A17" s="36">
        <f t="shared" si="4"/>
        <v>13</v>
      </c>
      <c r="B17" s="42" t="s">
        <v>123</v>
      </c>
      <c r="C17" s="124" t="s">
        <v>124</v>
      </c>
      <c r="D17" s="124"/>
      <c r="E17" s="45">
        <v>42669</v>
      </c>
      <c r="F17" s="125">
        <v>10000000</v>
      </c>
      <c r="G17" s="122">
        <f t="shared" si="0"/>
        <v>14328000</v>
      </c>
      <c r="H17" s="42">
        <f>398000-I17</f>
        <v>278000</v>
      </c>
      <c r="I17" s="42">
        <f>+F17*1.2%</f>
        <v>120000</v>
      </c>
      <c r="J17" s="126" t="s">
        <v>99</v>
      </c>
      <c r="K17" s="120">
        <v>20</v>
      </c>
      <c r="L17" s="30">
        <f t="shared" si="2"/>
        <v>398000</v>
      </c>
      <c r="M17" s="42">
        <f t="shared" si="3"/>
        <v>7960000</v>
      </c>
      <c r="N17" s="121">
        <f>F17-(H17*16)</f>
        <v>5552000</v>
      </c>
      <c r="O17" s="127" t="s">
        <v>126</v>
      </c>
      <c r="P17" s="34" t="s">
        <v>101</v>
      </c>
    </row>
    <row r="18" spans="1:16" s="44" customFormat="1">
      <c r="A18" s="36">
        <f t="shared" si="4"/>
        <v>14</v>
      </c>
      <c r="B18" s="39" t="s">
        <v>123</v>
      </c>
      <c r="C18" s="40" t="s">
        <v>124</v>
      </c>
      <c r="D18" s="41" t="s">
        <v>128</v>
      </c>
      <c r="E18" s="45">
        <v>42983</v>
      </c>
      <c r="F18" s="42">
        <f>3610600+90265+102194+6196941</f>
        <v>10000000</v>
      </c>
      <c r="G18" s="46">
        <f t="shared" si="0"/>
        <v>14328000</v>
      </c>
      <c r="H18" s="132">
        <f>398000-I18</f>
        <v>278000</v>
      </c>
      <c r="I18" s="119">
        <f>F18*1.2%</f>
        <v>120000</v>
      </c>
      <c r="J18" s="36">
        <v>36</v>
      </c>
      <c r="K18" s="120">
        <v>30</v>
      </c>
      <c r="L18" s="30">
        <f t="shared" si="2"/>
        <v>398000</v>
      </c>
      <c r="M18" s="30">
        <f t="shared" si="3"/>
        <v>11940000</v>
      </c>
      <c r="N18" s="121">
        <f>F18-(H18*6)</f>
        <v>8332000</v>
      </c>
      <c r="O18" s="34" t="s">
        <v>126</v>
      </c>
      <c r="P18" s="34" t="s">
        <v>25</v>
      </c>
    </row>
    <row r="19" spans="1:16" s="44" customFormat="1">
      <c r="A19" s="36">
        <f t="shared" si="4"/>
        <v>15</v>
      </c>
      <c r="B19" s="39" t="s">
        <v>129</v>
      </c>
      <c r="C19" s="40" t="s">
        <v>130</v>
      </c>
      <c r="D19" s="41" t="s">
        <v>131</v>
      </c>
      <c r="E19" s="45">
        <v>42972</v>
      </c>
      <c r="F19" s="42">
        <f>8444100+211103+21344797</f>
        <v>30000000</v>
      </c>
      <c r="G19" s="46">
        <f t="shared" si="0"/>
        <v>42984000</v>
      </c>
      <c r="H19" s="132">
        <v>834000</v>
      </c>
      <c r="I19" s="119">
        <f>F19*1.2%</f>
        <v>360000</v>
      </c>
      <c r="J19" s="36">
        <v>36</v>
      </c>
      <c r="K19" s="120">
        <v>30</v>
      </c>
      <c r="L19" s="30">
        <f t="shared" si="2"/>
        <v>1194000</v>
      </c>
      <c r="M19" s="30">
        <f t="shared" si="3"/>
        <v>35820000</v>
      </c>
      <c r="N19" s="121">
        <f>F19-(H19*6)</f>
        <v>24996000</v>
      </c>
      <c r="O19" s="34" t="s">
        <v>132</v>
      </c>
      <c r="P19" s="34" t="s">
        <v>112</v>
      </c>
    </row>
    <row r="20" spans="1:16" s="44" customFormat="1">
      <c r="A20" s="36">
        <f t="shared" si="4"/>
        <v>16</v>
      </c>
      <c r="B20" s="39" t="s">
        <v>133</v>
      </c>
      <c r="C20" s="40" t="s">
        <v>134</v>
      </c>
      <c r="D20" s="41" t="s">
        <v>135</v>
      </c>
      <c r="E20" s="45">
        <v>42972</v>
      </c>
      <c r="F20" s="42">
        <f>30000000</f>
        <v>30000000</v>
      </c>
      <c r="G20" s="46">
        <f t="shared" si="0"/>
        <v>42984000</v>
      </c>
      <c r="H20" s="132">
        <v>834000</v>
      </c>
      <c r="I20" s="119">
        <f>F20*1.2%</f>
        <v>360000</v>
      </c>
      <c r="J20" s="36">
        <v>36</v>
      </c>
      <c r="K20" s="120">
        <v>30</v>
      </c>
      <c r="L20" s="30">
        <f t="shared" si="2"/>
        <v>1194000</v>
      </c>
      <c r="M20" s="30">
        <f t="shared" si="3"/>
        <v>35820000</v>
      </c>
      <c r="N20" s="121">
        <f>F20-(H20*6)</f>
        <v>24996000</v>
      </c>
      <c r="O20" s="34" t="s">
        <v>63</v>
      </c>
      <c r="P20" s="34" t="s">
        <v>86</v>
      </c>
    </row>
    <row r="21" spans="1:16" s="44" customFormat="1">
      <c r="A21" s="36">
        <f t="shared" si="4"/>
        <v>17</v>
      </c>
      <c r="B21" s="39" t="s">
        <v>136</v>
      </c>
      <c r="C21" s="40" t="s">
        <v>137</v>
      </c>
      <c r="D21" s="41" t="s">
        <v>138</v>
      </c>
      <c r="E21" s="28">
        <v>43129</v>
      </c>
      <c r="F21" s="42">
        <f>24993000+624825+4382175</f>
        <v>30000000</v>
      </c>
      <c r="G21" s="46">
        <f t="shared" si="0"/>
        <v>42984000</v>
      </c>
      <c r="H21" s="119">
        <f>1194000-I21</f>
        <v>834000</v>
      </c>
      <c r="I21" s="119">
        <f t="shared" ref="I21:I26" si="5">+F21*1.2%</f>
        <v>360000</v>
      </c>
      <c r="J21" s="36">
        <v>36</v>
      </c>
      <c r="K21" s="120">
        <v>35</v>
      </c>
      <c r="L21" s="30">
        <f t="shared" si="2"/>
        <v>1194000</v>
      </c>
      <c r="M21" s="30">
        <f t="shared" si="3"/>
        <v>41790000</v>
      </c>
      <c r="N21" s="33">
        <f>F21-(H21*1)</f>
        <v>29166000</v>
      </c>
      <c r="O21" s="34" t="s">
        <v>139</v>
      </c>
      <c r="P21" s="34" t="s">
        <v>112</v>
      </c>
    </row>
    <row r="22" spans="1:16" s="44" customFormat="1">
      <c r="A22" s="36">
        <f t="shared" si="4"/>
        <v>18</v>
      </c>
      <c r="B22" s="42" t="s">
        <v>140</v>
      </c>
      <c r="C22" s="124" t="s">
        <v>141</v>
      </c>
      <c r="D22" s="124"/>
      <c r="E22" s="128">
        <v>42486</v>
      </c>
      <c r="F22" s="125">
        <f>2800000+70000+10000000</f>
        <v>12870000</v>
      </c>
      <c r="G22" s="125">
        <f t="shared" si="0"/>
        <v>17503200</v>
      </c>
      <c r="H22" s="42">
        <f>+F22/J22</f>
        <v>429000</v>
      </c>
      <c r="I22" s="125">
        <f t="shared" si="5"/>
        <v>154440</v>
      </c>
      <c r="J22" s="126" t="s">
        <v>142</v>
      </c>
      <c r="K22" s="120">
        <v>8</v>
      </c>
      <c r="L22" s="42">
        <f t="shared" si="2"/>
        <v>583440</v>
      </c>
      <c r="M22" s="42">
        <f t="shared" si="3"/>
        <v>4667520</v>
      </c>
      <c r="N22" s="125">
        <f>+H22*K22</f>
        <v>3432000</v>
      </c>
      <c r="O22" s="127" t="s">
        <v>143</v>
      </c>
      <c r="P22" s="127" t="s">
        <v>112</v>
      </c>
    </row>
    <row r="23" spans="1:16" s="44" customFormat="1">
      <c r="A23" s="36">
        <f t="shared" si="4"/>
        <v>19</v>
      </c>
      <c r="B23" s="39" t="s">
        <v>140</v>
      </c>
      <c r="C23" s="40" t="s">
        <v>141</v>
      </c>
      <c r="D23" s="28" t="s">
        <v>144</v>
      </c>
      <c r="E23" s="45">
        <v>43063</v>
      </c>
      <c r="F23" s="42">
        <f>10000000</f>
        <v>10000000</v>
      </c>
      <c r="G23" s="46">
        <f t="shared" si="0"/>
        <v>11448000</v>
      </c>
      <c r="H23" s="119">
        <v>834000</v>
      </c>
      <c r="I23" s="119">
        <f t="shared" si="5"/>
        <v>120000</v>
      </c>
      <c r="J23" s="36">
        <v>12</v>
      </c>
      <c r="K23" s="120">
        <v>9</v>
      </c>
      <c r="L23" s="30">
        <f t="shared" si="2"/>
        <v>954000</v>
      </c>
      <c r="M23" s="30">
        <f t="shared" si="3"/>
        <v>8586000</v>
      </c>
      <c r="N23" s="33">
        <f>F23-(H23*3)</f>
        <v>7498000</v>
      </c>
      <c r="O23" s="34" t="s">
        <v>145</v>
      </c>
      <c r="P23" s="34" t="s">
        <v>146</v>
      </c>
    </row>
    <row r="24" spans="1:16" s="44" customFormat="1">
      <c r="A24" s="36">
        <f t="shared" si="4"/>
        <v>20</v>
      </c>
      <c r="B24" s="42" t="s">
        <v>147</v>
      </c>
      <c r="C24" s="124" t="s">
        <v>148</v>
      </c>
      <c r="D24" s="124"/>
      <c r="E24" s="45">
        <v>42333</v>
      </c>
      <c r="F24" s="125">
        <f>1944460+48612+23006928</f>
        <v>25000000</v>
      </c>
      <c r="G24" s="129">
        <f t="shared" si="0"/>
        <v>35802000</v>
      </c>
      <c r="H24" s="42">
        <v>694500</v>
      </c>
      <c r="I24" s="125">
        <f t="shared" si="5"/>
        <v>300000</v>
      </c>
      <c r="J24" s="126" t="s">
        <v>99</v>
      </c>
      <c r="K24" s="120">
        <v>9</v>
      </c>
      <c r="L24" s="42">
        <f t="shared" si="2"/>
        <v>994500</v>
      </c>
      <c r="M24" s="42">
        <f t="shared" si="3"/>
        <v>8950500</v>
      </c>
      <c r="N24" s="136">
        <f>F24-(H24*27)</f>
        <v>6248500</v>
      </c>
      <c r="O24" s="127" t="s">
        <v>149</v>
      </c>
      <c r="P24" s="127" t="s">
        <v>25</v>
      </c>
    </row>
    <row r="25" spans="1:16" s="44" customFormat="1">
      <c r="A25" s="36">
        <f t="shared" si="4"/>
        <v>21</v>
      </c>
      <c r="B25" s="42" t="s">
        <v>150</v>
      </c>
      <c r="C25" s="124" t="s">
        <v>151</v>
      </c>
      <c r="D25" s="124"/>
      <c r="E25" s="45">
        <v>42191</v>
      </c>
      <c r="F25" s="125">
        <f>3076420+76911+164876+26681793</f>
        <v>30000000</v>
      </c>
      <c r="G25" s="129">
        <f t="shared" si="0"/>
        <v>42962400</v>
      </c>
      <c r="H25" s="42">
        <v>833400</v>
      </c>
      <c r="I25" s="125">
        <f t="shared" si="5"/>
        <v>360000</v>
      </c>
      <c r="J25" s="126" t="s">
        <v>99</v>
      </c>
      <c r="K25" s="120">
        <v>4</v>
      </c>
      <c r="L25" s="42">
        <f t="shared" si="2"/>
        <v>1193400</v>
      </c>
      <c r="M25" s="42">
        <f t="shared" si="3"/>
        <v>4773600</v>
      </c>
      <c r="N25" s="134">
        <f>F25-(H25*32)</f>
        <v>3331200</v>
      </c>
      <c r="O25" s="127" t="s">
        <v>152</v>
      </c>
      <c r="P25" s="127" t="s">
        <v>112</v>
      </c>
    </row>
    <row r="26" spans="1:16" s="44" customFormat="1">
      <c r="A26" s="36">
        <f t="shared" si="4"/>
        <v>22</v>
      </c>
      <c r="B26" s="42" t="s">
        <v>153</v>
      </c>
      <c r="C26" s="124" t="s">
        <v>154</v>
      </c>
      <c r="D26" s="41" t="s">
        <v>155</v>
      </c>
      <c r="E26" s="45">
        <v>42881</v>
      </c>
      <c r="F26" s="132">
        <f>8750000+218750+21031250</f>
        <v>30000000</v>
      </c>
      <c r="G26" s="46">
        <f t="shared" si="0"/>
        <v>38640000</v>
      </c>
      <c r="H26" s="42">
        <f>+F26/J26</f>
        <v>1250000</v>
      </c>
      <c r="I26" s="42">
        <f t="shared" si="5"/>
        <v>360000</v>
      </c>
      <c r="J26" s="36">
        <v>24</v>
      </c>
      <c r="K26" s="120">
        <v>15</v>
      </c>
      <c r="L26" s="137">
        <f t="shared" si="2"/>
        <v>1610000</v>
      </c>
      <c r="M26" s="30">
        <f t="shared" si="3"/>
        <v>24150000</v>
      </c>
      <c r="N26" s="46">
        <f>+H26*K26</f>
        <v>18750000</v>
      </c>
      <c r="O26" s="34" t="s">
        <v>156</v>
      </c>
      <c r="P26" s="34" t="s">
        <v>112</v>
      </c>
    </row>
    <row r="27" spans="1:16" s="44" customFormat="1">
      <c r="A27" s="36">
        <f t="shared" si="4"/>
        <v>23</v>
      </c>
      <c r="B27" s="39" t="s">
        <v>157</v>
      </c>
      <c r="C27" s="40" t="s">
        <v>158</v>
      </c>
      <c r="D27" s="41" t="s">
        <v>159</v>
      </c>
      <c r="E27" s="45">
        <v>42972</v>
      </c>
      <c r="F27" s="42">
        <f>15830500+395763+13773737</f>
        <v>30000000</v>
      </c>
      <c r="G27" s="46">
        <f t="shared" si="0"/>
        <v>42984000</v>
      </c>
      <c r="H27" s="132">
        <v>834000</v>
      </c>
      <c r="I27" s="119">
        <f>F27*1.2%</f>
        <v>360000</v>
      </c>
      <c r="J27" s="36">
        <v>36</v>
      </c>
      <c r="K27" s="120">
        <v>30</v>
      </c>
      <c r="L27" s="30">
        <f t="shared" si="2"/>
        <v>1194000</v>
      </c>
      <c r="M27" s="30">
        <f t="shared" si="3"/>
        <v>35820000</v>
      </c>
      <c r="N27" s="121">
        <f>F27-(H27*6)</f>
        <v>24996000</v>
      </c>
      <c r="O27" s="34" t="s">
        <v>160</v>
      </c>
      <c r="P27" s="34" t="s">
        <v>112</v>
      </c>
    </row>
    <row r="28" spans="1:16" s="44" customFormat="1">
      <c r="A28" s="36">
        <f t="shared" si="4"/>
        <v>24</v>
      </c>
      <c r="B28" s="39" t="s">
        <v>161</v>
      </c>
      <c r="C28" s="40" t="s">
        <v>162</v>
      </c>
      <c r="D28" s="41" t="s">
        <v>163</v>
      </c>
      <c r="E28" s="45">
        <v>42968</v>
      </c>
      <c r="F28" s="42">
        <f>6000000</f>
        <v>6000000</v>
      </c>
      <c r="G28" s="46">
        <f t="shared" si="0"/>
        <v>6864000</v>
      </c>
      <c r="H28" s="42">
        <f>+F28/J28</f>
        <v>500000</v>
      </c>
      <c r="I28" s="42">
        <f>+F28*1.2%</f>
        <v>72000</v>
      </c>
      <c r="J28" s="36">
        <v>12</v>
      </c>
      <c r="K28" s="120">
        <v>5</v>
      </c>
      <c r="L28" s="30">
        <f t="shared" si="2"/>
        <v>572000</v>
      </c>
      <c r="M28" s="30">
        <f t="shared" si="3"/>
        <v>2860000</v>
      </c>
      <c r="N28" s="46">
        <f>+H28*K28</f>
        <v>2500000</v>
      </c>
      <c r="O28" s="34" t="s">
        <v>164</v>
      </c>
      <c r="P28" s="34" t="s">
        <v>86</v>
      </c>
    </row>
    <row r="29" spans="1:16" s="44" customFormat="1">
      <c r="A29" s="36">
        <f t="shared" si="4"/>
        <v>25</v>
      </c>
      <c r="B29" s="39" t="s">
        <v>161</v>
      </c>
      <c r="C29" s="40" t="s">
        <v>162</v>
      </c>
      <c r="D29" s="41" t="s">
        <v>165</v>
      </c>
      <c r="E29" s="28">
        <v>43084</v>
      </c>
      <c r="F29" s="42">
        <f>18000000</f>
        <v>18000000</v>
      </c>
      <c r="G29" s="46">
        <f t="shared" si="0"/>
        <v>20592000</v>
      </c>
      <c r="H29" s="119">
        <f>+F29/J29</f>
        <v>1500000</v>
      </c>
      <c r="I29" s="119">
        <f>+F29*1.2%</f>
        <v>216000</v>
      </c>
      <c r="J29" s="36">
        <v>12</v>
      </c>
      <c r="K29" s="120">
        <v>10</v>
      </c>
      <c r="L29" s="30">
        <f t="shared" si="2"/>
        <v>1716000</v>
      </c>
      <c r="M29" s="30">
        <f t="shared" si="3"/>
        <v>17160000</v>
      </c>
      <c r="N29" s="46">
        <f>+H29*K29</f>
        <v>15000000</v>
      </c>
      <c r="O29" s="34" t="s">
        <v>166</v>
      </c>
      <c r="P29" s="47" t="s">
        <v>167</v>
      </c>
    </row>
    <row r="30" spans="1:16" s="44" customFormat="1">
      <c r="A30" s="36">
        <f t="shared" si="4"/>
        <v>26</v>
      </c>
      <c r="B30" s="42" t="s">
        <v>168</v>
      </c>
      <c r="C30" s="124" t="s">
        <v>169</v>
      </c>
      <c r="D30" s="28" t="s">
        <v>170</v>
      </c>
      <c r="E30" s="45">
        <v>42702</v>
      </c>
      <c r="F30" s="125">
        <f>7221200+180530+12598270</f>
        <v>20000000</v>
      </c>
      <c r="G30" s="46">
        <f t="shared" si="0"/>
        <v>28656000</v>
      </c>
      <c r="H30" s="42">
        <v>556000</v>
      </c>
      <c r="I30" s="42">
        <f>+F30*1.2%</f>
        <v>240000</v>
      </c>
      <c r="J30" s="126" t="s">
        <v>99</v>
      </c>
      <c r="K30" s="120">
        <v>21</v>
      </c>
      <c r="L30" s="30">
        <f t="shared" si="2"/>
        <v>796000</v>
      </c>
      <c r="M30" s="42">
        <f t="shared" si="3"/>
        <v>16716000</v>
      </c>
      <c r="N30" s="121">
        <f>F30-(H30*15)</f>
        <v>11660000</v>
      </c>
      <c r="O30" s="127" t="s">
        <v>171</v>
      </c>
      <c r="P30" s="34" t="s">
        <v>25</v>
      </c>
    </row>
    <row r="31" spans="1:16" s="44" customFormat="1">
      <c r="A31" s="36">
        <f t="shared" si="4"/>
        <v>27</v>
      </c>
      <c r="B31" s="39" t="s">
        <v>172</v>
      </c>
      <c r="C31" s="40" t="s">
        <v>173</v>
      </c>
      <c r="D31" s="41" t="s">
        <v>174</v>
      </c>
      <c r="E31" s="45">
        <v>42972</v>
      </c>
      <c r="F31" s="42">
        <f>30000000</f>
        <v>30000000</v>
      </c>
      <c r="G31" s="46">
        <f t="shared" si="0"/>
        <v>42984000</v>
      </c>
      <c r="H31" s="132">
        <v>834000</v>
      </c>
      <c r="I31" s="119">
        <f>F31*1.2%</f>
        <v>360000</v>
      </c>
      <c r="J31" s="36">
        <v>36</v>
      </c>
      <c r="K31" s="120">
        <v>30</v>
      </c>
      <c r="L31" s="30">
        <f t="shared" si="2"/>
        <v>1194000</v>
      </c>
      <c r="M31" s="30">
        <f t="shared" si="3"/>
        <v>35820000</v>
      </c>
      <c r="N31" s="121">
        <f>F31-(H31*6)</f>
        <v>24996000</v>
      </c>
      <c r="O31" s="34" t="s">
        <v>67</v>
      </c>
      <c r="P31" s="34" t="s">
        <v>86</v>
      </c>
    </row>
    <row r="32" spans="1:16" s="44" customFormat="1">
      <c r="A32" s="36">
        <f t="shared" si="4"/>
        <v>28</v>
      </c>
      <c r="B32" s="39" t="s">
        <v>175</v>
      </c>
      <c r="C32" s="40" t="s">
        <v>176</v>
      </c>
      <c r="D32" s="41" t="s">
        <v>177</v>
      </c>
      <c r="E32" s="45">
        <v>42928</v>
      </c>
      <c r="F32" s="42">
        <f>6000000</f>
        <v>6000000</v>
      </c>
      <c r="G32" s="46">
        <f t="shared" si="0"/>
        <v>6864000</v>
      </c>
      <c r="H32" s="132">
        <f>F32/J32</f>
        <v>500000</v>
      </c>
      <c r="I32" s="42">
        <f>+F32*1.2%</f>
        <v>72000</v>
      </c>
      <c r="J32" s="36">
        <v>12</v>
      </c>
      <c r="K32" s="120">
        <v>4</v>
      </c>
      <c r="L32" s="30">
        <f t="shared" si="2"/>
        <v>572000</v>
      </c>
      <c r="M32" s="30">
        <f t="shared" si="3"/>
        <v>2288000</v>
      </c>
      <c r="N32" s="46">
        <f>+H32*K32</f>
        <v>2000000</v>
      </c>
      <c r="O32" s="34" t="s">
        <v>63</v>
      </c>
      <c r="P32" s="34" t="s">
        <v>178</v>
      </c>
    </row>
    <row r="33" spans="1:16" s="44" customFormat="1">
      <c r="A33" s="36">
        <f t="shared" si="4"/>
        <v>29</v>
      </c>
      <c r="B33" s="42" t="s">
        <v>175</v>
      </c>
      <c r="C33" s="124" t="s">
        <v>176</v>
      </c>
      <c r="D33" s="124"/>
      <c r="E33" s="128">
        <v>42612</v>
      </c>
      <c r="F33" s="125">
        <f>24244293+606107+0</f>
        <v>24850400</v>
      </c>
      <c r="G33" s="122">
        <f t="shared" si="0"/>
        <v>32016000</v>
      </c>
      <c r="H33" s="125">
        <f>1334000-I33</f>
        <v>1035795</v>
      </c>
      <c r="I33" s="125">
        <v>298205</v>
      </c>
      <c r="J33" s="126" t="s">
        <v>89</v>
      </c>
      <c r="K33" s="120">
        <v>6</v>
      </c>
      <c r="L33" s="138">
        <f t="shared" si="2"/>
        <v>1334000</v>
      </c>
      <c r="M33" s="42">
        <f t="shared" si="3"/>
        <v>8004000</v>
      </c>
      <c r="N33" s="136">
        <f>F33-(H33*18)</f>
        <v>6206090</v>
      </c>
      <c r="O33" s="127" t="s">
        <v>63</v>
      </c>
      <c r="P33" s="127" t="s">
        <v>179</v>
      </c>
    </row>
    <row r="34" spans="1:16" s="44" customFormat="1">
      <c r="A34" s="36">
        <f t="shared" si="4"/>
        <v>30</v>
      </c>
      <c r="B34" s="39" t="s">
        <v>180</v>
      </c>
      <c r="C34" s="40" t="s">
        <v>181</v>
      </c>
      <c r="D34" s="41" t="s">
        <v>182</v>
      </c>
      <c r="E34" s="45">
        <v>43018</v>
      </c>
      <c r="F34" s="42">
        <f>30000000</f>
        <v>30000000</v>
      </c>
      <c r="G34" s="46">
        <f t="shared" si="0"/>
        <v>42984000</v>
      </c>
      <c r="H34" s="119">
        <f>1194000-I34</f>
        <v>834000</v>
      </c>
      <c r="I34" s="119">
        <f>F34*1.2%</f>
        <v>360000</v>
      </c>
      <c r="J34" s="36">
        <v>36</v>
      </c>
      <c r="K34" s="120">
        <v>31</v>
      </c>
      <c r="L34" s="30">
        <f t="shared" si="2"/>
        <v>1194000</v>
      </c>
      <c r="M34" s="30">
        <f t="shared" si="3"/>
        <v>37014000</v>
      </c>
      <c r="N34" s="121">
        <f>F34-(H34*5)</f>
        <v>25830000</v>
      </c>
      <c r="O34" s="34" t="s">
        <v>108</v>
      </c>
      <c r="P34" s="34" t="s">
        <v>183</v>
      </c>
    </row>
    <row r="35" spans="1:16" s="44" customFormat="1">
      <c r="A35" s="36">
        <f t="shared" si="4"/>
        <v>31</v>
      </c>
      <c r="B35" s="42" t="s">
        <v>184</v>
      </c>
      <c r="C35" s="124" t="s">
        <v>185</v>
      </c>
      <c r="D35" s="124"/>
      <c r="E35" s="128">
        <v>42251</v>
      </c>
      <c r="F35" s="125">
        <f>1816200+45405+12929+1125466</f>
        <v>3000000</v>
      </c>
      <c r="G35" s="129">
        <f t="shared" si="0"/>
        <v>4302000</v>
      </c>
      <c r="H35" s="42">
        <v>83500</v>
      </c>
      <c r="I35" s="125">
        <f t="shared" ref="I35:I39" si="6">+F35*1.2%</f>
        <v>36000</v>
      </c>
      <c r="J35" s="126" t="s">
        <v>99</v>
      </c>
      <c r="K35" s="120">
        <f>6</f>
        <v>6</v>
      </c>
      <c r="L35" s="125">
        <f t="shared" si="2"/>
        <v>119500</v>
      </c>
      <c r="M35" s="125">
        <f t="shared" si="3"/>
        <v>717000</v>
      </c>
      <c r="N35" s="134">
        <f>F35-(H35*30)</f>
        <v>495000</v>
      </c>
      <c r="O35" s="127" t="s">
        <v>186</v>
      </c>
      <c r="P35" s="127" t="s">
        <v>187</v>
      </c>
    </row>
    <row r="36" spans="1:16" s="44" customFormat="1">
      <c r="A36" s="36">
        <f t="shared" si="4"/>
        <v>32</v>
      </c>
      <c r="B36" s="39" t="s">
        <v>188</v>
      </c>
      <c r="C36" s="40" t="s">
        <v>189</v>
      </c>
      <c r="D36" s="41" t="s">
        <v>190</v>
      </c>
      <c r="E36" s="28">
        <v>43097</v>
      </c>
      <c r="F36" s="42">
        <f>20000000</f>
        <v>20000000</v>
      </c>
      <c r="G36" s="46">
        <f t="shared" si="0"/>
        <v>22884000</v>
      </c>
      <c r="H36" s="119">
        <v>1667000</v>
      </c>
      <c r="I36" s="119">
        <f t="shared" si="6"/>
        <v>240000</v>
      </c>
      <c r="J36" s="36">
        <v>12</v>
      </c>
      <c r="K36" s="120">
        <v>10</v>
      </c>
      <c r="L36" s="30">
        <f t="shared" si="2"/>
        <v>1907000</v>
      </c>
      <c r="M36" s="30">
        <f t="shared" si="3"/>
        <v>19070000</v>
      </c>
      <c r="N36" s="33">
        <f>F36-(H36*2)</f>
        <v>16666000</v>
      </c>
      <c r="O36" s="34" t="s">
        <v>191</v>
      </c>
      <c r="P36" s="34" t="s">
        <v>86</v>
      </c>
    </row>
    <row r="37" spans="1:16" s="44" customFormat="1">
      <c r="A37" s="36">
        <f t="shared" si="4"/>
        <v>33</v>
      </c>
      <c r="B37" s="42" t="s">
        <v>192</v>
      </c>
      <c r="C37" s="124" t="s">
        <v>193</v>
      </c>
      <c r="D37" s="28" t="s">
        <v>194</v>
      </c>
      <c r="E37" s="45">
        <v>42723</v>
      </c>
      <c r="F37" s="125">
        <f>23332000+583300+6084700</f>
        <v>30000000</v>
      </c>
      <c r="G37" s="46">
        <f t="shared" si="0"/>
        <v>42984000</v>
      </c>
      <c r="H37" s="42">
        <v>834000</v>
      </c>
      <c r="I37" s="42">
        <f t="shared" si="6"/>
        <v>360000</v>
      </c>
      <c r="J37" s="36">
        <v>36</v>
      </c>
      <c r="K37" s="120">
        <v>22</v>
      </c>
      <c r="L37" s="30">
        <f t="shared" si="2"/>
        <v>1194000</v>
      </c>
      <c r="M37" s="42">
        <f t="shared" si="3"/>
        <v>26268000</v>
      </c>
      <c r="N37" s="121">
        <f>F37-(H37*14)</f>
        <v>18324000</v>
      </c>
      <c r="O37" s="127" t="s">
        <v>195</v>
      </c>
      <c r="P37" s="34" t="s">
        <v>112</v>
      </c>
    </row>
    <row r="38" spans="1:16" s="44" customFormat="1">
      <c r="A38" s="36">
        <f t="shared" si="4"/>
        <v>34</v>
      </c>
      <c r="B38" s="39" t="s">
        <v>196</v>
      </c>
      <c r="C38" s="40" t="s">
        <v>197</v>
      </c>
      <c r="D38" s="28" t="s">
        <v>198</v>
      </c>
      <c r="E38" s="45">
        <v>42886</v>
      </c>
      <c r="F38" s="42">
        <f>14000000</f>
        <v>14000000</v>
      </c>
      <c r="G38" s="46">
        <f t="shared" si="0"/>
        <v>17037000</v>
      </c>
      <c r="H38" s="42">
        <f>946500-I38</f>
        <v>778500</v>
      </c>
      <c r="I38" s="42">
        <f t="shared" si="6"/>
        <v>168000</v>
      </c>
      <c r="J38" s="36">
        <v>18</v>
      </c>
      <c r="K38" s="120">
        <v>9</v>
      </c>
      <c r="L38" s="30">
        <f t="shared" si="2"/>
        <v>946500</v>
      </c>
      <c r="M38" s="30">
        <f t="shared" si="3"/>
        <v>8518500</v>
      </c>
      <c r="N38" s="121">
        <f>F38-(H38*9)</f>
        <v>6993500</v>
      </c>
      <c r="O38" s="34" t="s">
        <v>199</v>
      </c>
      <c r="P38" s="34" t="s">
        <v>86</v>
      </c>
    </row>
    <row r="39" spans="1:16" s="44" customFormat="1">
      <c r="A39" s="36">
        <f t="shared" si="4"/>
        <v>35</v>
      </c>
      <c r="B39" s="39" t="s">
        <v>200</v>
      </c>
      <c r="C39" s="40" t="s">
        <v>201</v>
      </c>
      <c r="D39" s="40" t="s">
        <v>202</v>
      </c>
      <c r="E39" s="45">
        <v>42779</v>
      </c>
      <c r="F39" s="42">
        <f>13332000+333300+261290+16073410</f>
        <v>30000000</v>
      </c>
      <c r="G39" s="46">
        <f t="shared" si="0"/>
        <v>42984000</v>
      </c>
      <c r="H39" s="42">
        <f>1194000-I39</f>
        <v>834000</v>
      </c>
      <c r="I39" s="42">
        <f t="shared" si="6"/>
        <v>360000</v>
      </c>
      <c r="J39" s="36">
        <v>36</v>
      </c>
      <c r="K39" s="120">
        <v>23</v>
      </c>
      <c r="L39" s="30">
        <f t="shared" si="2"/>
        <v>1194000</v>
      </c>
      <c r="M39" s="30">
        <f t="shared" si="3"/>
        <v>27462000</v>
      </c>
      <c r="N39" s="121">
        <f>F39-(H39*13)</f>
        <v>19158000</v>
      </c>
      <c r="O39" s="34" t="s">
        <v>203</v>
      </c>
      <c r="P39" s="34" t="s">
        <v>112</v>
      </c>
    </row>
    <row r="40" spans="1:16" s="44" customFormat="1">
      <c r="A40" s="36">
        <f t="shared" si="4"/>
        <v>36</v>
      </c>
      <c r="B40" s="39" t="s">
        <v>204</v>
      </c>
      <c r="C40" s="40" t="s">
        <v>205</v>
      </c>
      <c r="D40" s="41" t="s">
        <v>206</v>
      </c>
      <c r="E40" s="45">
        <v>42991</v>
      </c>
      <c r="F40" s="42">
        <f>30000000</f>
        <v>30000000</v>
      </c>
      <c r="G40" s="46">
        <f t="shared" si="0"/>
        <v>38640000</v>
      </c>
      <c r="H40" s="132">
        <f>+F40/J40</f>
        <v>1250000</v>
      </c>
      <c r="I40" s="119">
        <f>F40*1.2%</f>
        <v>360000</v>
      </c>
      <c r="J40" s="36">
        <v>24</v>
      </c>
      <c r="K40" s="120">
        <v>18</v>
      </c>
      <c r="L40" s="30">
        <f t="shared" si="2"/>
        <v>1610000</v>
      </c>
      <c r="M40" s="30">
        <f t="shared" si="3"/>
        <v>28980000</v>
      </c>
      <c r="N40" s="46">
        <f>+H40*K40</f>
        <v>22500000</v>
      </c>
      <c r="O40" s="34" t="s">
        <v>207</v>
      </c>
      <c r="P40" s="34" t="s">
        <v>86</v>
      </c>
    </row>
    <row r="41" spans="1:16" s="44" customFormat="1">
      <c r="A41" s="36">
        <f t="shared" si="4"/>
        <v>37</v>
      </c>
      <c r="B41" s="39" t="s">
        <v>208</v>
      </c>
      <c r="C41" s="40" t="s">
        <v>209</v>
      </c>
      <c r="D41" s="41" t="s">
        <v>210</v>
      </c>
      <c r="E41" s="45">
        <v>42975</v>
      </c>
      <c r="F41" s="42">
        <f>19158000+478950+10363050</f>
        <v>30000000</v>
      </c>
      <c r="G41" s="46">
        <f t="shared" si="0"/>
        <v>42984000</v>
      </c>
      <c r="H41" s="132">
        <v>834000</v>
      </c>
      <c r="I41" s="119">
        <f>F41*1.2%</f>
        <v>360000</v>
      </c>
      <c r="J41" s="36">
        <v>36</v>
      </c>
      <c r="K41" s="120">
        <v>30</v>
      </c>
      <c r="L41" s="30">
        <f t="shared" si="2"/>
        <v>1194000</v>
      </c>
      <c r="M41" s="30">
        <f t="shared" si="3"/>
        <v>35820000</v>
      </c>
      <c r="N41" s="121">
        <f>F41-(H41*6)</f>
        <v>24996000</v>
      </c>
      <c r="O41" s="34" t="s">
        <v>211</v>
      </c>
      <c r="P41" s="34" t="s">
        <v>112</v>
      </c>
    </row>
    <row r="42" spans="1:16" s="44" customFormat="1">
      <c r="A42" s="36">
        <f t="shared" si="4"/>
        <v>38</v>
      </c>
      <c r="B42" s="42" t="s">
        <v>212</v>
      </c>
      <c r="C42" s="124" t="s">
        <v>213</v>
      </c>
      <c r="D42" s="124"/>
      <c r="E42" s="128">
        <v>42517</v>
      </c>
      <c r="F42" s="125">
        <f>19244592+481115+10274293</f>
        <v>30000000</v>
      </c>
      <c r="G42" s="125">
        <f t="shared" si="0"/>
        <v>38640000</v>
      </c>
      <c r="H42" s="42">
        <f>+F42/J42</f>
        <v>1250000</v>
      </c>
      <c r="I42" s="125">
        <f t="shared" ref="I42:I52" si="7">+F42*1.2%</f>
        <v>360000</v>
      </c>
      <c r="J42" s="126" t="s">
        <v>89</v>
      </c>
      <c r="K42" s="120">
        <v>3</v>
      </c>
      <c r="L42" s="42">
        <f t="shared" si="2"/>
        <v>1610000</v>
      </c>
      <c r="M42" s="42">
        <f t="shared" si="3"/>
        <v>4830000</v>
      </c>
      <c r="N42" s="42">
        <f>+H42*K42</f>
        <v>3750000</v>
      </c>
      <c r="O42" s="127" t="s">
        <v>214</v>
      </c>
      <c r="P42" s="127" t="s">
        <v>215</v>
      </c>
    </row>
    <row r="43" spans="1:16" s="44" customFormat="1">
      <c r="A43" s="36">
        <f t="shared" si="4"/>
        <v>39</v>
      </c>
      <c r="B43" s="39" t="s">
        <v>216</v>
      </c>
      <c r="C43" s="40" t="s">
        <v>217</v>
      </c>
      <c r="D43" s="41" t="s">
        <v>218</v>
      </c>
      <c r="E43" s="45">
        <v>42879</v>
      </c>
      <c r="F43" s="42">
        <f>1666700+41668+28291632</f>
        <v>30000000</v>
      </c>
      <c r="G43" s="46">
        <f t="shared" si="0"/>
        <v>43002000</v>
      </c>
      <c r="H43" s="42">
        <v>834500</v>
      </c>
      <c r="I43" s="42">
        <f t="shared" si="7"/>
        <v>360000</v>
      </c>
      <c r="J43" s="36">
        <v>36</v>
      </c>
      <c r="K43" s="120">
        <v>27</v>
      </c>
      <c r="L43" s="30">
        <f t="shared" si="2"/>
        <v>1194500</v>
      </c>
      <c r="M43" s="30">
        <f t="shared" si="3"/>
        <v>32251500</v>
      </c>
      <c r="N43" s="121">
        <f>F43-(H43*9)</f>
        <v>22489500</v>
      </c>
      <c r="O43" s="34" t="s">
        <v>219</v>
      </c>
      <c r="P43" s="34" t="s">
        <v>112</v>
      </c>
    </row>
    <row r="44" spans="1:16" s="44" customFormat="1">
      <c r="A44" s="36">
        <f t="shared" si="4"/>
        <v>40</v>
      </c>
      <c r="B44" s="42" t="s">
        <v>220</v>
      </c>
      <c r="C44" s="124" t="s">
        <v>221</v>
      </c>
      <c r="D44" s="124"/>
      <c r="E44" s="128">
        <v>42516</v>
      </c>
      <c r="F44" s="125">
        <f>130000+3250+14866750</f>
        <v>15000000</v>
      </c>
      <c r="G44" s="125">
        <f t="shared" si="0"/>
        <v>21492000</v>
      </c>
      <c r="H44" s="139">
        <f>597000-I44</f>
        <v>417000</v>
      </c>
      <c r="I44" s="125">
        <f t="shared" si="7"/>
        <v>180000</v>
      </c>
      <c r="J44" s="126" t="s">
        <v>99</v>
      </c>
      <c r="K44" s="120">
        <v>15</v>
      </c>
      <c r="L44" s="42">
        <f t="shared" si="2"/>
        <v>597000</v>
      </c>
      <c r="M44" s="42">
        <f t="shared" si="3"/>
        <v>8955000</v>
      </c>
      <c r="N44" s="134">
        <f>F44-(H44*21)</f>
        <v>6243000</v>
      </c>
      <c r="O44" s="127" t="s">
        <v>214</v>
      </c>
      <c r="P44" s="127" t="s">
        <v>215</v>
      </c>
    </row>
    <row r="45" spans="1:16" s="44" customFormat="1">
      <c r="A45" s="36">
        <f t="shared" si="4"/>
        <v>41</v>
      </c>
      <c r="B45" s="39" t="s">
        <v>222</v>
      </c>
      <c r="C45" s="40" t="s">
        <v>223</v>
      </c>
      <c r="D45" s="28" t="s">
        <v>224</v>
      </c>
      <c r="E45" s="45">
        <v>42818</v>
      </c>
      <c r="F45" s="42">
        <f>13332000+333300+16334700</f>
        <v>30000000</v>
      </c>
      <c r="G45" s="46">
        <f t="shared" si="0"/>
        <v>42984000</v>
      </c>
      <c r="H45" s="42">
        <v>834000</v>
      </c>
      <c r="I45" s="42">
        <f t="shared" si="7"/>
        <v>360000</v>
      </c>
      <c r="J45" s="36">
        <v>36</v>
      </c>
      <c r="K45" s="120">
        <v>25</v>
      </c>
      <c r="L45" s="30">
        <f t="shared" si="2"/>
        <v>1194000</v>
      </c>
      <c r="M45" s="30">
        <f t="shared" si="3"/>
        <v>29850000</v>
      </c>
      <c r="N45" s="121">
        <f>F45-(H45*11)</f>
        <v>20826000</v>
      </c>
      <c r="O45" s="34" t="s">
        <v>225</v>
      </c>
      <c r="P45" s="34" t="s">
        <v>112</v>
      </c>
    </row>
    <row r="46" spans="1:16" s="44" customFormat="1">
      <c r="A46" s="36">
        <f t="shared" si="4"/>
        <v>42</v>
      </c>
      <c r="B46" s="39" t="s">
        <v>226</v>
      </c>
      <c r="C46" s="41" t="s">
        <v>227</v>
      </c>
      <c r="D46" s="41"/>
      <c r="E46" s="45">
        <v>42307</v>
      </c>
      <c r="F46" s="42">
        <f>15000000</f>
        <v>15000000</v>
      </c>
      <c r="G46" s="129">
        <f t="shared" si="0"/>
        <v>21481200</v>
      </c>
      <c r="H46" s="42">
        <v>416700</v>
      </c>
      <c r="I46" s="125">
        <f t="shared" si="7"/>
        <v>180000</v>
      </c>
      <c r="J46" s="36">
        <v>36</v>
      </c>
      <c r="K46" s="120">
        <v>8</v>
      </c>
      <c r="L46" s="42">
        <f t="shared" si="2"/>
        <v>596700</v>
      </c>
      <c r="M46" s="42">
        <f t="shared" si="3"/>
        <v>4773600</v>
      </c>
      <c r="N46" s="136">
        <f>F46-(H46*28)</f>
        <v>3332400</v>
      </c>
      <c r="O46" s="43" t="s">
        <v>228</v>
      </c>
      <c r="P46" s="127" t="s">
        <v>86</v>
      </c>
    </row>
    <row r="47" spans="1:16" s="44" customFormat="1">
      <c r="A47" s="36">
        <f t="shared" si="4"/>
        <v>43</v>
      </c>
      <c r="B47" s="39" t="s">
        <v>229</v>
      </c>
      <c r="C47" s="40" t="s">
        <v>230</v>
      </c>
      <c r="D47" s="40" t="s">
        <v>231</v>
      </c>
      <c r="E47" s="45">
        <v>42810</v>
      </c>
      <c r="F47" s="42">
        <f>10000000</f>
        <v>10000000</v>
      </c>
      <c r="G47" s="46">
        <f t="shared" si="0"/>
        <v>12900000</v>
      </c>
      <c r="H47" s="42">
        <f>537500-I47</f>
        <v>417500</v>
      </c>
      <c r="I47" s="42">
        <f t="shared" si="7"/>
        <v>120000</v>
      </c>
      <c r="J47" s="36">
        <v>24</v>
      </c>
      <c r="K47" s="120">
        <v>12</v>
      </c>
      <c r="L47" s="30">
        <f t="shared" si="2"/>
        <v>537500</v>
      </c>
      <c r="M47" s="30">
        <f t="shared" si="3"/>
        <v>6450000</v>
      </c>
      <c r="N47" s="121">
        <f>F47-(H47*12)</f>
        <v>4990000</v>
      </c>
      <c r="O47" s="34" t="s">
        <v>232</v>
      </c>
      <c r="P47" s="34" t="s">
        <v>86</v>
      </c>
    </row>
    <row r="48" spans="1:16" s="44" customFormat="1">
      <c r="A48" s="36">
        <f t="shared" si="4"/>
        <v>44</v>
      </c>
      <c r="B48" s="39" t="s">
        <v>233</v>
      </c>
      <c r="C48" s="40" t="s">
        <v>234</v>
      </c>
      <c r="D48" s="28" t="s">
        <v>235</v>
      </c>
      <c r="E48" s="28">
        <v>43103</v>
      </c>
      <c r="F48" s="132">
        <f>9162000+229050+87097+5521853</f>
        <v>15000000</v>
      </c>
      <c r="G48" s="46">
        <f t="shared" si="0"/>
        <v>21492000</v>
      </c>
      <c r="H48" s="119">
        <f>597000-I48</f>
        <v>417000</v>
      </c>
      <c r="I48" s="119">
        <f t="shared" si="7"/>
        <v>180000</v>
      </c>
      <c r="J48" s="36">
        <v>36</v>
      </c>
      <c r="K48" s="120">
        <v>34</v>
      </c>
      <c r="L48" s="30">
        <f t="shared" si="2"/>
        <v>597000</v>
      </c>
      <c r="M48" s="30">
        <f t="shared" si="3"/>
        <v>20298000</v>
      </c>
      <c r="N48" s="33">
        <f>F48-(H48*2)</f>
        <v>14166000</v>
      </c>
      <c r="O48" s="34" t="s">
        <v>236</v>
      </c>
      <c r="P48" s="34" t="s">
        <v>94</v>
      </c>
    </row>
    <row r="49" spans="1:16" s="44" customFormat="1">
      <c r="A49" s="36">
        <f t="shared" si="4"/>
        <v>45</v>
      </c>
      <c r="B49" s="39" t="s">
        <v>237</v>
      </c>
      <c r="C49" s="40" t="s">
        <v>238</v>
      </c>
      <c r="D49" s="41" t="s">
        <v>239</v>
      </c>
      <c r="E49" s="28">
        <v>43108</v>
      </c>
      <c r="F49" s="42">
        <f>15000000</f>
        <v>15000000</v>
      </c>
      <c r="G49" s="46">
        <f t="shared" si="0"/>
        <v>21492000</v>
      </c>
      <c r="H49" s="119">
        <f>597000-I49</f>
        <v>417000</v>
      </c>
      <c r="I49" s="119">
        <f t="shared" si="7"/>
        <v>180000</v>
      </c>
      <c r="J49" s="36">
        <v>36</v>
      </c>
      <c r="K49" s="120">
        <v>34</v>
      </c>
      <c r="L49" s="30">
        <f t="shared" si="2"/>
        <v>597000</v>
      </c>
      <c r="M49" s="30">
        <f t="shared" si="3"/>
        <v>20298000</v>
      </c>
      <c r="N49" s="33">
        <f>F49-(H49*2)</f>
        <v>14166000</v>
      </c>
      <c r="O49" s="34" t="s">
        <v>240</v>
      </c>
      <c r="P49" s="34" t="s">
        <v>86</v>
      </c>
    </row>
    <row r="50" spans="1:16" s="44" customFormat="1">
      <c r="A50" s="36">
        <f t="shared" si="4"/>
        <v>46</v>
      </c>
      <c r="B50" s="39" t="s">
        <v>241</v>
      </c>
      <c r="C50" s="40" t="s">
        <v>242</v>
      </c>
      <c r="D50" s="28" t="s">
        <v>243</v>
      </c>
      <c r="E50" s="28">
        <v>43102</v>
      </c>
      <c r="F50" s="42">
        <f>16656000+416400+139355+12788245</f>
        <v>30000000</v>
      </c>
      <c r="G50" s="46">
        <f t="shared" si="0"/>
        <v>42984000</v>
      </c>
      <c r="H50" s="119">
        <f>1194000-I50</f>
        <v>834000</v>
      </c>
      <c r="I50" s="119">
        <f t="shared" si="7"/>
        <v>360000</v>
      </c>
      <c r="J50" s="36">
        <v>36</v>
      </c>
      <c r="K50" s="120">
        <v>34</v>
      </c>
      <c r="L50" s="30">
        <f t="shared" si="2"/>
        <v>1194000</v>
      </c>
      <c r="M50" s="30">
        <f t="shared" si="3"/>
        <v>40596000</v>
      </c>
      <c r="N50" s="33">
        <f>F50-(H50*2)</f>
        <v>28332000</v>
      </c>
      <c r="O50" s="34" t="s">
        <v>203</v>
      </c>
      <c r="P50" s="34" t="s">
        <v>94</v>
      </c>
    </row>
    <row r="51" spans="1:16" s="44" customFormat="1">
      <c r="A51" s="36">
        <f t="shared" si="4"/>
        <v>47</v>
      </c>
      <c r="B51" s="42" t="s">
        <v>244</v>
      </c>
      <c r="C51" s="124" t="s">
        <v>245</v>
      </c>
      <c r="D51" s="124"/>
      <c r="E51" s="128">
        <v>42615</v>
      </c>
      <c r="F51" s="125">
        <f>23332000+583300+141290+5943410</f>
        <v>30000000</v>
      </c>
      <c r="G51" s="122">
        <f t="shared" si="0"/>
        <v>42984000</v>
      </c>
      <c r="H51" s="42">
        <v>834000</v>
      </c>
      <c r="I51" s="125">
        <f t="shared" si="7"/>
        <v>360000</v>
      </c>
      <c r="J51" s="126" t="s">
        <v>99</v>
      </c>
      <c r="K51" s="120">
        <v>18</v>
      </c>
      <c r="L51" s="138">
        <f t="shared" si="2"/>
        <v>1194000</v>
      </c>
      <c r="M51" s="42">
        <f t="shared" si="3"/>
        <v>21492000</v>
      </c>
      <c r="N51" s="134">
        <f>F51-(H51*18)</f>
        <v>14988000</v>
      </c>
      <c r="O51" s="127" t="s">
        <v>246</v>
      </c>
      <c r="P51" s="127" t="s">
        <v>112</v>
      </c>
    </row>
    <row r="52" spans="1:16" s="44" customFormat="1">
      <c r="A52" s="36">
        <f t="shared" si="4"/>
        <v>48</v>
      </c>
      <c r="B52" s="39" t="s">
        <v>247</v>
      </c>
      <c r="C52" s="40" t="s">
        <v>248</v>
      </c>
      <c r="D52" s="41" t="s">
        <v>249</v>
      </c>
      <c r="E52" s="45">
        <v>43034</v>
      </c>
      <c r="F52" s="42">
        <f>24162000+604050+5233950</f>
        <v>30000000</v>
      </c>
      <c r="G52" s="46">
        <f t="shared" si="0"/>
        <v>42984000</v>
      </c>
      <c r="H52" s="119">
        <v>834000</v>
      </c>
      <c r="I52" s="119">
        <f t="shared" si="7"/>
        <v>360000</v>
      </c>
      <c r="J52" s="36">
        <v>36</v>
      </c>
      <c r="K52" s="120">
        <v>32</v>
      </c>
      <c r="L52" s="30">
        <f t="shared" si="2"/>
        <v>1194000</v>
      </c>
      <c r="M52" s="30">
        <f t="shared" si="3"/>
        <v>38208000</v>
      </c>
      <c r="N52" s="33">
        <f>F52-(H52*4)</f>
        <v>26664000</v>
      </c>
      <c r="O52" s="34" t="s">
        <v>240</v>
      </c>
      <c r="P52" s="34" t="s">
        <v>112</v>
      </c>
    </row>
    <row r="53" spans="1:16" s="44" customFormat="1">
      <c r="A53" s="36">
        <f t="shared" si="4"/>
        <v>49</v>
      </c>
      <c r="B53" s="39" t="s">
        <v>250</v>
      </c>
      <c r="C53" s="40" t="s">
        <v>251</v>
      </c>
      <c r="D53" s="41" t="s">
        <v>252</v>
      </c>
      <c r="E53" s="45">
        <v>42982</v>
      </c>
      <c r="F53" s="42">
        <f>6110000+152750+118194+13619056</f>
        <v>20000000</v>
      </c>
      <c r="G53" s="46">
        <f t="shared" si="0"/>
        <v>28656000</v>
      </c>
      <c r="H53" s="132">
        <f>796000-I53</f>
        <v>556000</v>
      </c>
      <c r="I53" s="119">
        <f>F53*1.2%</f>
        <v>240000</v>
      </c>
      <c r="J53" s="36">
        <v>36</v>
      </c>
      <c r="K53" s="120">
        <v>30</v>
      </c>
      <c r="L53" s="30">
        <f t="shared" si="2"/>
        <v>796000</v>
      </c>
      <c r="M53" s="30">
        <f t="shared" si="3"/>
        <v>23880000</v>
      </c>
      <c r="N53" s="121">
        <f>F53-(H53*6)</f>
        <v>16664000</v>
      </c>
      <c r="O53" s="34" t="s">
        <v>253</v>
      </c>
      <c r="P53" s="34" t="s">
        <v>25</v>
      </c>
    </row>
    <row r="54" spans="1:16" s="44" customFormat="1">
      <c r="A54" s="36">
        <f t="shared" si="4"/>
        <v>50</v>
      </c>
      <c r="B54" s="42" t="s">
        <v>254</v>
      </c>
      <c r="C54" s="124" t="s">
        <v>255</v>
      </c>
      <c r="D54" s="124"/>
      <c r="E54" s="45">
        <v>42636</v>
      </c>
      <c r="F54" s="125">
        <f>8750000+218750+6031250</f>
        <v>15000000</v>
      </c>
      <c r="G54" s="122">
        <f t="shared" si="0"/>
        <v>21492000</v>
      </c>
      <c r="H54" s="42">
        <v>417000</v>
      </c>
      <c r="I54" s="125">
        <f t="shared" ref="I54:I71" si="8">+F54*1.2%</f>
        <v>180000</v>
      </c>
      <c r="J54" s="126" t="s">
        <v>99</v>
      </c>
      <c r="K54" s="120">
        <v>19</v>
      </c>
      <c r="L54" s="30">
        <f t="shared" si="2"/>
        <v>597000</v>
      </c>
      <c r="M54" s="42">
        <f t="shared" si="3"/>
        <v>11343000</v>
      </c>
      <c r="N54" s="121">
        <f>F54-(H54*17)</f>
        <v>7911000</v>
      </c>
      <c r="O54" s="127" t="s">
        <v>256</v>
      </c>
      <c r="P54" s="127" t="s">
        <v>112</v>
      </c>
    </row>
    <row r="55" spans="1:16" s="44" customFormat="1">
      <c r="A55" s="36">
        <f t="shared" si="4"/>
        <v>51</v>
      </c>
      <c r="B55" s="39" t="s">
        <v>257</v>
      </c>
      <c r="C55" s="40" t="s">
        <v>258</v>
      </c>
      <c r="D55" s="41" t="s">
        <v>259</v>
      </c>
      <c r="E55" s="45">
        <v>43039</v>
      </c>
      <c r="F55" s="42">
        <f>15000000</f>
        <v>15000000</v>
      </c>
      <c r="G55" s="46">
        <f t="shared" si="0"/>
        <v>21492000</v>
      </c>
      <c r="H55" s="119">
        <f>597000-I55</f>
        <v>417000</v>
      </c>
      <c r="I55" s="119">
        <f t="shared" si="8"/>
        <v>180000</v>
      </c>
      <c r="J55" s="36">
        <v>36</v>
      </c>
      <c r="K55" s="120">
        <v>32</v>
      </c>
      <c r="L55" s="30">
        <f t="shared" si="2"/>
        <v>597000</v>
      </c>
      <c r="M55" s="30">
        <f t="shared" si="3"/>
        <v>19104000</v>
      </c>
      <c r="N55" s="33">
        <f>F55-(H55*4)</f>
        <v>13332000</v>
      </c>
      <c r="O55" s="34" t="s">
        <v>67</v>
      </c>
      <c r="P55" s="34" t="s">
        <v>86</v>
      </c>
    </row>
    <row r="56" spans="1:16" s="44" customFormat="1">
      <c r="A56" s="36">
        <f t="shared" si="4"/>
        <v>52</v>
      </c>
      <c r="B56" s="42" t="s">
        <v>260</v>
      </c>
      <c r="C56" s="124" t="s">
        <v>261</v>
      </c>
      <c r="D56" s="28" t="s">
        <v>262</v>
      </c>
      <c r="E56" s="45">
        <v>42725</v>
      </c>
      <c r="F56" s="125">
        <f>3125000+78125+11796875</f>
        <v>15000000</v>
      </c>
      <c r="G56" s="46">
        <f t="shared" si="0"/>
        <v>19320000</v>
      </c>
      <c r="H56" s="42">
        <f>+F56/J56</f>
        <v>625000</v>
      </c>
      <c r="I56" s="42">
        <f t="shared" si="8"/>
        <v>180000</v>
      </c>
      <c r="J56" s="126" t="s">
        <v>89</v>
      </c>
      <c r="K56" s="120">
        <v>10</v>
      </c>
      <c r="L56" s="30">
        <f t="shared" si="2"/>
        <v>805000</v>
      </c>
      <c r="M56" s="42">
        <f t="shared" si="3"/>
        <v>8050000</v>
      </c>
      <c r="N56" s="46">
        <f>+H56*K56</f>
        <v>6250000</v>
      </c>
      <c r="O56" s="127" t="s">
        <v>67</v>
      </c>
      <c r="P56" s="34" t="s">
        <v>112</v>
      </c>
    </row>
    <row r="57" spans="1:16" s="44" customFormat="1">
      <c r="A57" s="36">
        <f t="shared" si="4"/>
        <v>53</v>
      </c>
      <c r="B57" s="39" t="s">
        <v>263</v>
      </c>
      <c r="C57" s="40" t="s">
        <v>264</v>
      </c>
      <c r="D57" s="41" t="s">
        <v>265</v>
      </c>
      <c r="E57" s="28">
        <v>43087</v>
      </c>
      <c r="F57" s="42">
        <v>10000000</v>
      </c>
      <c r="G57" s="46">
        <f t="shared" si="0"/>
        <v>12888000</v>
      </c>
      <c r="H57" s="119">
        <f>537000-I57</f>
        <v>417000</v>
      </c>
      <c r="I57" s="119">
        <f t="shared" si="8"/>
        <v>120000</v>
      </c>
      <c r="J57" s="36">
        <v>24</v>
      </c>
      <c r="K57" s="120">
        <v>22</v>
      </c>
      <c r="L57" s="30">
        <f t="shared" si="2"/>
        <v>537000</v>
      </c>
      <c r="M57" s="30">
        <f t="shared" si="3"/>
        <v>11814000</v>
      </c>
      <c r="N57" s="33">
        <f>F57-(H57*2)</f>
        <v>9166000</v>
      </c>
      <c r="O57" s="34" t="s">
        <v>59</v>
      </c>
      <c r="P57" s="34" t="s">
        <v>86</v>
      </c>
    </row>
    <row r="58" spans="1:16" s="44" customFormat="1">
      <c r="A58" s="36">
        <f t="shared" si="4"/>
        <v>54</v>
      </c>
      <c r="B58" s="39" t="s">
        <v>266</v>
      </c>
      <c r="C58" s="40" t="s">
        <v>267</v>
      </c>
      <c r="D58" s="28" t="s">
        <v>268</v>
      </c>
      <c r="E58" s="45">
        <v>42888</v>
      </c>
      <c r="F58" s="42">
        <f>10000000</f>
        <v>10000000</v>
      </c>
      <c r="G58" s="46">
        <f t="shared" si="0"/>
        <v>12900000</v>
      </c>
      <c r="H58" s="42">
        <f>537500-I58</f>
        <v>417500</v>
      </c>
      <c r="I58" s="42">
        <f t="shared" si="8"/>
        <v>120000</v>
      </c>
      <c r="J58" s="36">
        <v>24</v>
      </c>
      <c r="K58" s="120">
        <v>15</v>
      </c>
      <c r="L58" s="30">
        <f t="shared" si="2"/>
        <v>537500</v>
      </c>
      <c r="M58" s="30">
        <f t="shared" si="3"/>
        <v>8062500</v>
      </c>
      <c r="N58" s="121">
        <f>F58-(H58*9)</f>
        <v>6242500</v>
      </c>
      <c r="O58" s="34" t="s">
        <v>269</v>
      </c>
      <c r="P58" s="34" t="s">
        <v>86</v>
      </c>
    </row>
    <row r="59" spans="1:16" s="44" customFormat="1">
      <c r="A59" s="36">
        <f t="shared" si="4"/>
        <v>55</v>
      </c>
      <c r="B59" s="39" t="s">
        <v>270</v>
      </c>
      <c r="C59" s="40" t="s">
        <v>271</v>
      </c>
      <c r="D59" s="41" t="s">
        <v>272</v>
      </c>
      <c r="E59" s="45">
        <v>42933</v>
      </c>
      <c r="F59" s="42">
        <f>7494000+187350+140710+7177940</f>
        <v>15000000</v>
      </c>
      <c r="G59" s="46">
        <f t="shared" si="0"/>
        <v>18261000</v>
      </c>
      <c r="H59" s="132">
        <f>1014500-I59</f>
        <v>834500</v>
      </c>
      <c r="I59" s="42">
        <f t="shared" si="8"/>
        <v>180000</v>
      </c>
      <c r="J59" s="36">
        <v>18</v>
      </c>
      <c r="K59" s="120">
        <v>10</v>
      </c>
      <c r="L59" s="30">
        <f t="shared" si="2"/>
        <v>1014500</v>
      </c>
      <c r="M59" s="30">
        <f t="shared" si="3"/>
        <v>10145000</v>
      </c>
      <c r="N59" s="121">
        <f>F59-(H59*8)</f>
        <v>8324000</v>
      </c>
      <c r="O59" s="34" t="s">
        <v>273</v>
      </c>
      <c r="P59" s="34" t="s">
        <v>112</v>
      </c>
    </row>
    <row r="60" spans="1:16" s="44" customFormat="1">
      <c r="A60" s="36">
        <f t="shared" si="4"/>
        <v>56</v>
      </c>
      <c r="B60" s="39" t="s">
        <v>274</v>
      </c>
      <c r="C60" s="41" t="s">
        <v>275</v>
      </c>
      <c r="D60" s="41"/>
      <c r="E60" s="128">
        <v>42566</v>
      </c>
      <c r="F60" s="122">
        <f>10000000</f>
        <v>10000000</v>
      </c>
      <c r="G60" s="122">
        <f t="shared" si="0"/>
        <v>12888000</v>
      </c>
      <c r="H60" s="125">
        <v>417000</v>
      </c>
      <c r="I60" s="125">
        <f t="shared" si="8"/>
        <v>120000</v>
      </c>
      <c r="J60" s="36">
        <v>24</v>
      </c>
      <c r="K60" s="120">
        <v>4</v>
      </c>
      <c r="L60" s="138">
        <f t="shared" si="2"/>
        <v>537000</v>
      </c>
      <c r="M60" s="42">
        <f t="shared" si="3"/>
        <v>2148000</v>
      </c>
      <c r="N60" s="134">
        <f>F60-(H60*20)</f>
        <v>1660000</v>
      </c>
      <c r="O60" s="140" t="s">
        <v>276</v>
      </c>
      <c r="P60" s="141" t="s">
        <v>178</v>
      </c>
    </row>
    <row r="61" spans="1:16" s="44" customFormat="1">
      <c r="A61" s="36">
        <f t="shared" si="4"/>
        <v>57</v>
      </c>
      <c r="B61" s="42" t="s">
        <v>277</v>
      </c>
      <c r="C61" s="124" t="s">
        <v>278</v>
      </c>
      <c r="D61" s="124"/>
      <c r="E61" s="45">
        <v>42149</v>
      </c>
      <c r="F61" s="125">
        <f>15000000</f>
        <v>15000000</v>
      </c>
      <c r="G61" s="129">
        <f t="shared" si="0"/>
        <v>21481200</v>
      </c>
      <c r="H61" s="42">
        <v>416700</v>
      </c>
      <c r="I61" s="125">
        <f t="shared" si="8"/>
        <v>180000</v>
      </c>
      <c r="J61" s="126" t="s">
        <v>99</v>
      </c>
      <c r="K61" s="120">
        <v>3</v>
      </c>
      <c r="L61" s="42">
        <f t="shared" si="2"/>
        <v>596700</v>
      </c>
      <c r="M61" s="42">
        <f t="shared" si="3"/>
        <v>1790100</v>
      </c>
      <c r="N61" s="134">
        <f>F61-(H61*33)</f>
        <v>1248900</v>
      </c>
      <c r="O61" s="127" t="s">
        <v>149</v>
      </c>
      <c r="P61" s="127" t="s">
        <v>183</v>
      </c>
    </row>
    <row r="62" spans="1:16" s="44" customFormat="1">
      <c r="A62" s="36">
        <f t="shared" si="4"/>
        <v>58</v>
      </c>
      <c r="B62" s="39" t="s">
        <v>279</v>
      </c>
      <c r="C62" s="40" t="s">
        <v>280</v>
      </c>
      <c r="D62" s="41" t="s">
        <v>281</v>
      </c>
      <c r="E62" s="45">
        <v>42944</v>
      </c>
      <c r="F62" s="42">
        <f>6250000+156250+8593750</f>
        <v>15000000</v>
      </c>
      <c r="G62" s="46">
        <f t="shared" si="0"/>
        <v>21510000</v>
      </c>
      <c r="H62" s="132">
        <f>597500-I62</f>
        <v>417500</v>
      </c>
      <c r="I62" s="42">
        <f t="shared" si="8"/>
        <v>180000</v>
      </c>
      <c r="J62" s="36">
        <v>36</v>
      </c>
      <c r="K62" s="120">
        <v>29</v>
      </c>
      <c r="L62" s="30">
        <f t="shared" si="2"/>
        <v>597500</v>
      </c>
      <c r="M62" s="30">
        <f t="shared" si="3"/>
        <v>17327500</v>
      </c>
      <c r="N62" s="121">
        <f>F62-(H62*7)</f>
        <v>12077500</v>
      </c>
      <c r="O62" s="34" t="s">
        <v>282</v>
      </c>
      <c r="P62" s="34" t="s">
        <v>112</v>
      </c>
    </row>
    <row r="63" spans="1:16" s="44" customFormat="1">
      <c r="A63" s="36">
        <f t="shared" si="4"/>
        <v>59</v>
      </c>
      <c r="B63" s="39" t="s">
        <v>283</v>
      </c>
      <c r="C63" s="40" t="s">
        <v>284</v>
      </c>
      <c r="D63" s="41" t="s">
        <v>285</v>
      </c>
      <c r="E63" s="45">
        <v>43063</v>
      </c>
      <c r="F63" s="42">
        <f>826000+20650+14153350</f>
        <v>15000000</v>
      </c>
      <c r="G63" s="46">
        <f t="shared" si="0"/>
        <v>19320000</v>
      </c>
      <c r="H63" s="119">
        <f>+F63/J63</f>
        <v>625000</v>
      </c>
      <c r="I63" s="119">
        <f t="shared" si="8"/>
        <v>180000</v>
      </c>
      <c r="J63" s="36">
        <v>24</v>
      </c>
      <c r="K63" s="120">
        <v>21</v>
      </c>
      <c r="L63" s="30">
        <f t="shared" si="2"/>
        <v>805000</v>
      </c>
      <c r="M63" s="30">
        <f t="shared" si="3"/>
        <v>16905000</v>
      </c>
      <c r="N63" s="46">
        <f>+H63*K63</f>
        <v>13125000</v>
      </c>
      <c r="O63" s="34" t="s">
        <v>225</v>
      </c>
      <c r="P63" s="47" t="s">
        <v>112</v>
      </c>
    </row>
    <row r="64" spans="1:16" s="44" customFormat="1">
      <c r="A64" s="36">
        <f t="shared" si="4"/>
        <v>60</v>
      </c>
      <c r="B64" s="39" t="s">
        <v>286</v>
      </c>
      <c r="C64" s="40" t="s">
        <v>287</v>
      </c>
      <c r="D64" s="41" t="s">
        <v>288</v>
      </c>
      <c r="E64" s="45">
        <v>42888</v>
      </c>
      <c r="F64" s="42">
        <f>10000000</f>
        <v>10000000</v>
      </c>
      <c r="G64" s="46">
        <f t="shared" si="0"/>
        <v>14346000</v>
      </c>
      <c r="H64" s="42">
        <f>398500-I64</f>
        <v>278500</v>
      </c>
      <c r="I64" s="42">
        <f t="shared" si="8"/>
        <v>120000</v>
      </c>
      <c r="J64" s="36">
        <v>36</v>
      </c>
      <c r="K64" s="120">
        <v>27</v>
      </c>
      <c r="L64" s="30">
        <f t="shared" si="2"/>
        <v>398500</v>
      </c>
      <c r="M64" s="30">
        <f t="shared" si="3"/>
        <v>10759500</v>
      </c>
      <c r="N64" s="121">
        <f>F64-(H64*9)</f>
        <v>7493500</v>
      </c>
      <c r="O64" s="34" t="s">
        <v>289</v>
      </c>
      <c r="P64" s="34" t="s">
        <v>86</v>
      </c>
    </row>
    <row r="65" spans="1:16" s="44" customFormat="1">
      <c r="A65" s="36">
        <f t="shared" si="4"/>
        <v>61</v>
      </c>
      <c r="B65" s="39" t="s">
        <v>290</v>
      </c>
      <c r="C65" s="40" t="s">
        <v>291</v>
      </c>
      <c r="D65" s="41" t="s">
        <v>292</v>
      </c>
      <c r="E65" s="45">
        <v>42926</v>
      </c>
      <c r="F65" s="42">
        <f>1666000+41650+82194+8210156</f>
        <v>10000000</v>
      </c>
      <c r="G65" s="46">
        <f t="shared" si="0"/>
        <v>12900000</v>
      </c>
      <c r="H65" s="42">
        <v>417500</v>
      </c>
      <c r="I65" s="42">
        <f t="shared" si="8"/>
        <v>120000</v>
      </c>
      <c r="J65" s="36">
        <v>24</v>
      </c>
      <c r="K65" s="120">
        <v>16</v>
      </c>
      <c r="L65" s="30">
        <f t="shared" si="2"/>
        <v>537500</v>
      </c>
      <c r="M65" s="30">
        <f t="shared" si="3"/>
        <v>8600000</v>
      </c>
      <c r="N65" s="121">
        <f>F65-(H65*8)</f>
        <v>6660000</v>
      </c>
      <c r="O65" s="34" t="s">
        <v>293</v>
      </c>
      <c r="P65" s="34" t="s">
        <v>112</v>
      </c>
    </row>
    <row r="66" spans="1:16" s="44" customFormat="1">
      <c r="A66" s="36">
        <f t="shared" si="4"/>
        <v>62</v>
      </c>
      <c r="B66" s="39" t="s">
        <v>294</v>
      </c>
      <c r="C66" s="40" t="s">
        <v>295</v>
      </c>
      <c r="D66" s="41" t="s">
        <v>296</v>
      </c>
      <c r="E66" s="45">
        <v>43063</v>
      </c>
      <c r="F66" s="42">
        <f>10412000+260300+4327700</f>
        <v>15000000</v>
      </c>
      <c r="G66" s="46">
        <f t="shared" si="0"/>
        <v>19320000</v>
      </c>
      <c r="H66" s="119">
        <f>+F66/J66</f>
        <v>625000</v>
      </c>
      <c r="I66" s="119">
        <f t="shared" si="8"/>
        <v>180000</v>
      </c>
      <c r="J66" s="36">
        <v>24</v>
      </c>
      <c r="K66" s="120">
        <v>21</v>
      </c>
      <c r="L66" s="30">
        <f t="shared" si="2"/>
        <v>805000</v>
      </c>
      <c r="M66" s="30">
        <f t="shared" si="3"/>
        <v>16905000</v>
      </c>
      <c r="N66" s="46">
        <f>+H66*K66</f>
        <v>13125000</v>
      </c>
      <c r="O66" s="34" t="s">
        <v>297</v>
      </c>
      <c r="P66" s="47" t="s">
        <v>112</v>
      </c>
    </row>
    <row r="67" spans="1:16" s="44" customFormat="1">
      <c r="A67" s="36">
        <f t="shared" si="4"/>
        <v>63</v>
      </c>
      <c r="B67" s="39" t="s">
        <v>298</v>
      </c>
      <c r="C67" s="40" t="s">
        <v>299</v>
      </c>
      <c r="D67" s="40" t="s">
        <v>300</v>
      </c>
      <c r="E67" s="45">
        <v>42775</v>
      </c>
      <c r="F67" s="132">
        <f>10000000</f>
        <v>10000000</v>
      </c>
      <c r="G67" s="46">
        <f t="shared" si="0"/>
        <v>12888000</v>
      </c>
      <c r="H67" s="42">
        <f>537000-I67</f>
        <v>417000</v>
      </c>
      <c r="I67" s="42">
        <f t="shared" si="8"/>
        <v>120000</v>
      </c>
      <c r="J67" s="36">
        <v>24</v>
      </c>
      <c r="K67" s="120">
        <v>11</v>
      </c>
      <c r="L67" s="30">
        <f t="shared" si="2"/>
        <v>537000</v>
      </c>
      <c r="M67" s="30">
        <f t="shared" si="3"/>
        <v>5907000</v>
      </c>
      <c r="N67" s="121">
        <f>F67-(H67*13)</f>
        <v>4579000</v>
      </c>
      <c r="O67" s="34" t="s">
        <v>225</v>
      </c>
      <c r="P67" s="34" t="s">
        <v>86</v>
      </c>
    </row>
    <row r="68" spans="1:16" s="44" customFormat="1">
      <c r="A68" s="36">
        <f t="shared" si="4"/>
        <v>64</v>
      </c>
      <c r="B68" s="42" t="s">
        <v>301</v>
      </c>
      <c r="C68" s="124" t="s">
        <v>302</v>
      </c>
      <c r="D68" s="45"/>
      <c r="E68" s="45">
        <v>42699</v>
      </c>
      <c r="F68" s="125">
        <f>3331000+83275+26585725</f>
        <v>30000000</v>
      </c>
      <c r="G68" s="46">
        <f t="shared" si="0"/>
        <v>16000000</v>
      </c>
      <c r="H68" s="42">
        <v>140000</v>
      </c>
      <c r="I68" s="42">
        <f t="shared" si="8"/>
        <v>360000</v>
      </c>
      <c r="J68" s="36">
        <v>32</v>
      </c>
      <c r="K68" s="120">
        <v>17</v>
      </c>
      <c r="L68" s="30">
        <f t="shared" si="2"/>
        <v>500000</v>
      </c>
      <c r="M68" s="42">
        <f t="shared" si="3"/>
        <v>8500000</v>
      </c>
      <c r="N68" s="121">
        <f>F68-(H68*15)-6500000-2000000</f>
        <v>19400000</v>
      </c>
      <c r="O68" s="127" t="s">
        <v>303</v>
      </c>
      <c r="P68" s="34" t="s">
        <v>25</v>
      </c>
    </row>
    <row r="69" spans="1:16" s="44" customFormat="1">
      <c r="A69" s="36">
        <f t="shared" si="4"/>
        <v>65</v>
      </c>
      <c r="B69" s="42" t="s">
        <v>304</v>
      </c>
      <c r="C69" s="124" t="s">
        <v>305</v>
      </c>
      <c r="D69" s="41" t="s">
        <v>306</v>
      </c>
      <c r="E69" s="45">
        <v>42881</v>
      </c>
      <c r="F69" s="132">
        <f>7082700+177068+7740232</f>
        <v>15000000</v>
      </c>
      <c r="G69" s="46">
        <f t="shared" ref="G69:G132" si="9">+J69*L69</f>
        <v>21510000</v>
      </c>
      <c r="H69" s="42">
        <f>597500-I69</f>
        <v>417500</v>
      </c>
      <c r="I69" s="42">
        <f t="shared" si="8"/>
        <v>180000</v>
      </c>
      <c r="J69" s="36">
        <v>36</v>
      </c>
      <c r="K69" s="120">
        <v>27</v>
      </c>
      <c r="L69" s="137">
        <f t="shared" ref="L69:L132" si="10">+H69+I69</f>
        <v>597500</v>
      </c>
      <c r="M69" s="30">
        <f t="shared" ref="M69:M132" si="11">+K69*L69</f>
        <v>16132500</v>
      </c>
      <c r="N69" s="121">
        <f>F69-(H69*9)</f>
        <v>11242500</v>
      </c>
      <c r="O69" s="34" t="s">
        <v>67</v>
      </c>
      <c r="P69" s="34" t="s">
        <v>112</v>
      </c>
    </row>
    <row r="70" spans="1:16" s="44" customFormat="1">
      <c r="A70" s="36">
        <f t="shared" ref="A70:A133" si="12">+A69+1</f>
        <v>66</v>
      </c>
      <c r="B70" s="39" t="s">
        <v>307</v>
      </c>
      <c r="C70" s="40" t="s">
        <v>308</v>
      </c>
      <c r="D70" s="28" t="s">
        <v>309</v>
      </c>
      <c r="E70" s="45">
        <v>42850</v>
      </c>
      <c r="F70" s="42">
        <f>6666000+166650+8167350</f>
        <v>15000000</v>
      </c>
      <c r="G70" s="46">
        <f t="shared" si="9"/>
        <v>21510000</v>
      </c>
      <c r="H70" s="42">
        <f>597500-I70</f>
        <v>417500</v>
      </c>
      <c r="I70" s="42">
        <f t="shared" si="8"/>
        <v>180000</v>
      </c>
      <c r="J70" s="36">
        <v>36</v>
      </c>
      <c r="K70" s="120">
        <v>26</v>
      </c>
      <c r="L70" s="30">
        <f t="shared" si="10"/>
        <v>597500</v>
      </c>
      <c r="M70" s="30">
        <f t="shared" si="11"/>
        <v>15535000</v>
      </c>
      <c r="N70" s="121">
        <f>F70-(H70*10)</f>
        <v>10825000</v>
      </c>
      <c r="O70" s="34" t="s">
        <v>203</v>
      </c>
      <c r="P70" s="34" t="s">
        <v>112</v>
      </c>
    </row>
    <row r="71" spans="1:16" s="44" customFormat="1">
      <c r="A71" s="36">
        <f t="shared" si="12"/>
        <v>67</v>
      </c>
      <c r="B71" s="39" t="s">
        <v>310</v>
      </c>
      <c r="C71" s="40" t="s">
        <v>311</v>
      </c>
      <c r="D71" s="41" t="s">
        <v>312</v>
      </c>
      <c r="E71" s="28">
        <v>43087</v>
      </c>
      <c r="F71" s="42">
        <v>10000000</v>
      </c>
      <c r="G71" s="46">
        <f t="shared" si="9"/>
        <v>11448000</v>
      </c>
      <c r="H71" s="119">
        <f>954000-I71</f>
        <v>834000</v>
      </c>
      <c r="I71" s="119">
        <f t="shared" si="8"/>
        <v>120000</v>
      </c>
      <c r="J71" s="36">
        <v>12</v>
      </c>
      <c r="K71" s="120">
        <v>10</v>
      </c>
      <c r="L71" s="30">
        <f t="shared" si="10"/>
        <v>954000</v>
      </c>
      <c r="M71" s="30">
        <f t="shared" si="11"/>
        <v>9540000</v>
      </c>
      <c r="N71" s="33">
        <f>F71-(H71*2)</f>
        <v>8332000</v>
      </c>
      <c r="O71" s="34" t="s">
        <v>37</v>
      </c>
      <c r="P71" s="34" t="s">
        <v>86</v>
      </c>
    </row>
    <row r="72" spans="1:16" s="44" customFormat="1">
      <c r="A72" s="36">
        <f t="shared" si="12"/>
        <v>68</v>
      </c>
      <c r="B72" s="39" t="s">
        <v>313</v>
      </c>
      <c r="C72" s="40" t="s">
        <v>314</v>
      </c>
      <c r="D72" s="28" t="s">
        <v>315</v>
      </c>
      <c r="E72" s="45">
        <v>42972</v>
      </c>
      <c r="F72" s="132">
        <f>4996000+124900+4879100</f>
        <v>10000000</v>
      </c>
      <c r="G72" s="46">
        <f t="shared" si="9"/>
        <v>11448000</v>
      </c>
      <c r="H72" s="132">
        <v>834000</v>
      </c>
      <c r="I72" s="119">
        <f>F72*1.2%</f>
        <v>120000</v>
      </c>
      <c r="J72" s="36">
        <v>12</v>
      </c>
      <c r="K72" s="120">
        <v>6</v>
      </c>
      <c r="L72" s="30">
        <f t="shared" si="10"/>
        <v>954000</v>
      </c>
      <c r="M72" s="30">
        <f t="shared" si="11"/>
        <v>5724000</v>
      </c>
      <c r="N72" s="121">
        <f>F72-(H72*6)</f>
        <v>4996000</v>
      </c>
      <c r="O72" s="34" t="s">
        <v>59</v>
      </c>
      <c r="P72" s="34" t="s">
        <v>112</v>
      </c>
    </row>
    <row r="73" spans="1:16" s="44" customFormat="1">
      <c r="A73" s="36">
        <f t="shared" si="12"/>
        <v>69</v>
      </c>
      <c r="B73" s="42" t="s">
        <v>316</v>
      </c>
      <c r="C73" s="124" t="s">
        <v>317</v>
      </c>
      <c r="D73" s="124"/>
      <c r="E73" s="128">
        <v>42583</v>
      </c>
      <c r="F73" s="125">
        <f>10000000</f>
        <v>10000000</v>
      </c>
      <c r="G73" s="122">
        <f t="shared" si="9"/>
        <v>12888000</v>
      </c>
      <c r="H73" s="42">
        <f>537000-I73</f>
        <v>417000</v>
      </c>
      <c r="I73" s="125">
        <f>+F73*1.2%</f>
        <v>120000</v>
      </c>
      <c r="J73" s="126" t="s">
        <v>89</v>
      </c>
      <c r="K73" s="120">
        <v>5</v>
      </c>
      <c r="L73" s="138">
        <f t="shared" si="10"/>
        <v>537000</v>
      </c>
      <c r="M73" s="42">
        <f t="shared" si="11"/>
        <v>2685000</v>
      </c>
      <c r="N73" s="136">
        <f>F73-(H73*19)</f>
        <v>2077000</v>
      </c>
      <c r="O73" s="127" t="s">
        <v>318</v>
      </c>
      <c r="P73" s="127" t="s">
        <v>86</v>
      </c>
    </row>
    <row r="74" spans="1:16" s="44" customFormat="1">
      <c r="A74" s="36">
        <f t="shared" si="12"/>
        <v>70</v>
      </c>
      <c r="B74" s="39" t="s">
        <v>319</v>
      </c>
      <c r="C74" s="41" t="s">
        <v>320</v>
      </c>
      <c r="D74" s="41" t="s">
        <v>321</v>
      </c>
      <c r="E74" s="45">
        <v>42978</v>
      </c>
      <c r="F74" s="142">
        <f>7081000+177025+87097+7654878</f>
        <v>15000000</v>
      </c>
      <c r="G74" s="46">
        <f t="shared" si="9"/>
        <v>21492000</v>
      </c>
      <c r="H74" s="119">
        <f>597000-I74</f>
        <v>417000</v>
      </c>
      <c r="I74" s="119">
        <f>+F74*1.2%</f>
        <v>180000</v>
      </c>
      <c r="J74" s="36">
        <v>36</v>
      </c>
      <c r="K74" s="120">
        <v>30</v>
      </c>
      <c r="L74" s="30">
        <f t="shared" si="10"/>
        <v>597000</v>
      </c>
      <c r="M74" s="29">
        <f t="shared" si="11"/>
        <v>17910000</v>
      </c>
      <c r="N74" s="121">
        <f>F74-(H74*6)</f>
        <v>12498000</v>
      </c>
      <c r="O74" s="43" t="s">
        <v>160</v>
      </c>
      <c r="P74" s="34" t="s">
        <v>322</v>
      </c>
    </row>
    <row r="75" spans="1:16" s="44" customFormat="1">
      <c r="A75" s="36">
        <f t="shared" si="12"/>
        <v>71</v>
      </c>
      <c r="B75" s="39" t="s">
        <v>323</v>
      </c>
      <c r="C75" s="40" t="s">
        <v>324</v>
      </c>
      <c r="D75" s="28" t="s">
        <v>325</v>
      </c>
      <c r="E75" s="45">
        <v>42941</v>
      </c>
      <c r="F75" s="132">
        <f>1660000+41500+8298500</f>
        <v>10000000</v>
      </c>
      <c r="G75" s="46">
        <f t="shared" si="9"/>
        <v>11454000</v>
      </c>
      <c r="H75" s="132">
        <f>954500-I75</f>
        <v>834500</v>
      </c>
      <c r="I75" s="119">
        <f>F75*1.2%</f>
        <v>120000</v>
      </c>
      <c r="J75" s="36">
        <v>12</v>
      </c>
      <c r="K75" s="120">
        <v>5</v>
      </c>
      <c r="L75" s="30">
        <f t="shared" si="10"/>
        <v>954500</v>
      </c>
      <c r="M75" s="29">
        <f t="shared" si="11"/>
        <v>4772500</v>
      </c>
      <c r="N75" s="121">
        <f>F75-(H75*7)</f>
        <v>4158500</v>
      </c>
      <c r="O75" s="34" t="s">
        <v>326</v>
      </c>
      <c r="P75" s="34" t="s">
        <v>112</v>
      </c>
    </row>
    <row r="76" spans="1:16" s="44" customFormat="1">
      <c r="A76" s="36">
        <f t="shared" si="12"/>
        <v>72</v>
      </c>
      <c r="B76" s="42" t="s">
        <v>327</v>
      </c>
      <c r="C76" s="124" t="s">
        <v>328</v>
      </c>
      <c r="D76" s="28" t="s">
        <v>329</v>
      </c>
      <c r="E76" s="45">
        <v>42702</v>
      </c>
      <c r="F76" s="125">
        <f>3750300+93758+11155942</f>
        <v>15000000</v>
      </c>
      <c r="G76" s="46">
        <f t="shared" si="9"/>
        <v>21492000</v>
      </c>
      <c r="H76" s="42">
        <v>417000</v>
      </c>
      <c r="I76" s="42">
        <f>+F76*1.2%</f>
        <v>180000</v>
      </c>
      <c r="J76" s="126" t="s">
        <v>99</v>
      </c>
      <c r="K76" s="120">
        <v>21</v>
      </c>
      <c r="L76" s="30">
        <f t="shared" si="10"/>
        <v>597000</v>
      </c>
      <c r="M76" s="42">
        <f t="shared" si="11"/>
        <v>12537000</v>
      </c>
      <c r="N76" s="121">
        <f>F76-(H76*15)</f>
        <v>8745000</v>
      </c>
      <c r="O76" s="127" t="s">
        <v>330</v>
      </c>
      <c r="P76" s="34" t="s">
        <v>25</v>
      </c>
    </row>
    <row r="77" spans="1:16" s="44" customFormat="1">
      <c r="A77" s="36">
        <f t="shared" si="12"/>
        <v>73</v>
      </c>
      <c r="B77" s="39" t="s">
        <v>331</v>
      </c>
      <c r="C77" s="40" t="s">
        <v>332</v>
      </c>
      <c r="D77" s="41" t="s">
        <v>333</v>
      </c>
      <c r="E77" s="45">
        <v>42892</v>
      </c>
      <c r="F77" s="42">
        <v>15000000</v>
      </c>
      <c r="G77" s="46">
        <f t="shared" si="9"/>
        <v>17160000</v>
      </c>
      <c r="H77" s="42">
        <f>+F77/J77</f>
        <v>1250000</v>
      </c>
      <c r="I77" s="42">
        <f>+F77*1.2%</f>
        <v>180000</v>
      </c>
      <c r="J77" s="36">
        <v>12</v>
      </c>
      <c r="K77" s="120">
        <v>3</v>
      </c>
      <c r="L77" s="30">
        <f t="shared" si="10"/>
        <v>1430000</v>
      </c>
      <c r="M77" s="30">
        <f t="shared" si="11"/>
        <v>4290000</v>
      </c>
      <c r="N77" s="46">
        <f>+H77*K77</f>
        <v>3750000</v>
      </c>
      <c r="O77" s="34" t="s">
        <v>334</v>
      </c>
      <c r="P77" s="34" t="s">
        <v>86</v>
      </c>
    </row>
    <row r="78" spans="1:16" s="44" customFormat="1">
      <c r="A78" s="36">
        <f t="shared" si="12"/>
        <v>74</v>
      </c>
      <c r="B78" s="39" t="s">
        <v>335</v>
      </c>
      <c r="C78" s="40" t="s">
        <v>336</v>
      </c>
      <c r="D78" s="28" t="s">
        <v>337</v>
      </c>
      <c r="E78" s="45">
        <v>42983</v>
      </c>
      <c r="F78" s="132">
        <f>7000000+175000+94194+12730806</f>
        <v>20000000</v>
      </c>
      <c r="G78" s="46">
        <f t="shared" si="9"/>
        <v>24800000</v>
      </c>
      <c r="H78" s="132">
        <f>+F78/J78</f>
        <v>1000000</v>
      </c>
      <c r="I78" s="119">
        <f>F78*1.2%</f>
        <v>240000</v>
      </c>
      <c r="J78" s="36">
        <v>20</v>
      </c>
      <c r="K78" s="120">
        <v>14</v>
      </c>
      <c r="L78" s="30">
        <f t="shared" si="10"/>
        <v>1240000</v>
      </c>
      <c r="M78" s="30">
        <f t="shared" si="11"/>
        <v>17360000</v>
      </c>
      <c r="N78" s="46">
        <f>+H78*K78</f>
        <v>14000000</v>
      </c>
      <c r="O78" s="34" t="s">
        <v>338</v>
      </c>
      <c r="P78" s="34" t="s">
        <v>25</v>
      </c>
    </row>
    <row r="79" spans="1:16" s="44" customFormat="1">
      <c r="A79" s="36">
        <f t="shared" si="12"/>
        <v>75</v>
      </c>
      <c r="B79" s="39" t="s">
        <v>339</v>
      </c>
      <c r="C79" s="40" t="s">
        <v>340</v>
      </c>
      <c r="D79" s="41" t="s">
        <v>341</v>
      </c>
      <c r="E79" s="28">
        <v>43131</v>
      </c>
      <c r="F79" s="42">
        <f>10000000</f>
        <v>10000000</v>
      </c>
      <c r="G79" s="46">
        <f t="shared" si="9"/>
        <v>12888000</v>
      </c>
      <c r="H79" s="119">
        <v>417000</v>
      </c>
      <c r="I79" s="119">
        <f>+F79*1.2%</f>
        <v>120000</v>
      </c>
      <c r="J79" s="36">
        <v>24</v>
      </c>
      <c r="K79" s="120">
        <v>23</v>
      </c>
      <c r="L79" s="30">
        <f t="shared" si="10"/>
        <v>537000</v>
      </c>
      <c r="M79" s="30">
        <f t="shared" si="11"/>
        <v>12351000</v>
      </c>
      <c r="N79" s="33">
        <f>F79-(H79*1)</f>
        <v>9583000</v>
      </c>
      <c r="O79" s="34" t="s">
        <v>342</v>
      </c>
      <c r="P79" s="34" t="s">
        <v>86</v>
      </c>
    </row>
    <row r="80" spans="1:16" s="44" customFormat="1">
      <c r="A80" s="36">
        <f t="shared" si="12"/>
        <v>76</v>
      </c>
      <c r="B80" s="39" t="s">
        <v>343</v>
      </c>
      <c r="C80" s="40" t="s">
        <v>344</v>
      </c>
      <c r="D80" s="41" t="s">
        <v>345</v>
      </c>
      <c r="E80" s="45">
        <v>43003</v>
      </c>
      <c r="F80" s="42">
        <f>832600+20815+9146585</f>
        <v>10000000</v>
      </c>
      <c r="G80" s="46">
        <f t="shared" si="9"/>
        <v>12888000</v>
      </c>
      <c r="H80" s="132">
        <f>537000-I80</f>
        <v>417000</v>
      </c>
      <c r="I80" s="119">
        <f>F80*1.2%</f>
        <v>120000</v>
      </c>
      <c r="J80" s="36">
        <v>24</v>
      </c>
      <c r="K80" s="120">
        <v>19</v>
      </c>
      <c r="L80" s="30">
        <f t="shared" si="10"/>
        <v>537000</v>
      </c>
      <c r="M80" s="30">
        <f t="shared" si="11"/>
        <v>10203000</v>
      </c>
      <c r="N80" s="121">
        <f>F80-(H80*5)</f>
        <v>7915000</v>
      </c>
      <c r="O80" s="34" t="s">
        <v>346</v>
      </c>
      <c r="P80" s="34" t="s">
        <v>94</v>
      </c>
    </row>
    <row r="81" spans="1:16" s="44" customFormat="1">
      <c r="A81" s="36">
        <f t="shared" si="12"/>
        <v>77</v>
      </c>
      <c r="B81" s="39" t="s">
        <v>347</v>
      </c>
      <c r="C81" s="40" t="s">
        <v>348</v>
      </c>
      <c r="D81" s="28" t="s">
        <v>349</v>
      </c>
      <c r="E81" s="45">
        <v>42747</v>
      </c>
      <c r="F81" s="42">
        <f>10000000</f>
        <v>10000000</v>
      </c>
      <c r="G81" s="46">
        <f t="shared" si="9"/>
        <v>12888000</v>
      </c>
      <c r="H81" s="42">
        <v>417000</v>
      </c>
      <c r="I81" s="42">
        <f t="shared" ref="I81:I88" si="13">+F81*1.2%</f>
        <v>120000</v>
      </c>
      <c r="J81" s="36">
        <v>24</v>
      </c>
      <c r="K81" s="120">
        <v>10</v>
      </c>
      <c r="L81" s="30">
        <f t="shared" si="10"/>
        <v>537000</v>
      </c>
      <c r="M81" s="30">
        <f t="shared" si="11"/>
        <v>5370000</v>
      </c>
      <c r="N81" s="121">
        <f>F81-(H81*14)</f>
        <v>4162000</v>
      </c>
      <c r="O81" s="34" t="s">
        <v>350</v>
      </c>
      <c r="P81" s="34" t="s">
        <v>351</v>
      </c>
    </row>
    <row r="82" spans="1:16" s="44" customFormat="1">
      <c r="A82" s="36">
        <f t="shared" si="12"/>
        <v>78</v>
      </c>
      <c r="B82" s="39" t="s">
        <v>352</v>
      </c>
      <c r="C82" s="40" t="s">
        <v>353</v>
      </c>
      <c r="D82" s="41" t="s">
        <v>354</v>
      </c>
      <c r="E82" s="45">
        <v>42950</v>
      </c>
      <c r="F82" s="42">
        <f>4582500+114563+63871+10239066</f>
        <v>15000000</v>
      </c>
      <c r="G82" s="46">
        <f t="shared" si="9"/>
        <v>21510000</v>
      </c>
      <c r="H82" s="132">
        <v>417500</v>
      </c>
      <c r="I82" s="42">
        <f t="shared" si="13"/>
        <v>180000</v>
      </c>
      <c r="J82" s="36">
        <v>36</v>
      </c>
      <c r="K82" s="120">
        <v>29</v>
      </c>
      <c r="L82" s="30">
        <f t="shared" si="10"/>
        <v>597500</v>
      </c>
      <c r="M82" s="30">
        <f t="shared" si="11"/>
        <v>17327500</v>
      </c>
      <c r="N82" s="121">
        <f>F82-(H82*7)</f>
        <v>12077500</v>
      </c>
      <c r="O82" s="34" t="s">
        <v>355</v>
      </c>
      <c r="P82" s="34" t="s">
        <v>112</v>
      </c>
    </row>
    <row r="83" spans="1:16" s="44" customFormat="1">
      <c r="A83" s="36">
        <f t="shared" si="12"/>
        <v>79</v>
      </c>
      <c r="B83" s="39" t="s">
        <v>356</v>
      </c>
      <c r="C83" s="40" t="s">
        <v>357</v>
      </c>
      <c r="D83" s="41" t="s">
        <v>358</v>
      </c>
      <c r="E83" s="45">
        <v>43035</v>
      </c>
      <c r="F83" s="42">
        <f>6249300+156233+8594467</f>
        <v>15000000</v>
      </c>
      <c r="G83" s="46">
        <f t="shared" si="9"/>
        <v>21492000</v>
      </c>
      <c r="H83" s="119">
        <f>597000-I83</f>
        <v>417000</v>
      </c>
      <c r="I83" s="119">
        <f t="shared" si="13"/>
        <v>180000</v>
      </c>
      <c r="J83" s="36">
        <v>36</v>
      </c>
      <c r="K83" s="120">
        <v>32</v>
      </c>
      <c r="L83" s="30">
        <f t="shared" si="10"/>
        <v>597000</v>
      </c>
      <c r="M83" s="30">
        <f t="shared" si="11"/>
        <v>19104000</v>
      </c>
      <c r="N83" s="33">
        <f>F83-(H83*4)</f>
        <v>13332000</v>
      </c>
      <c r="O83" s="34" t="s">
        <v>359</v>
      </c>
      <c r="P83" s="34" t="s">
        <v>94</v>
      </c>
    </row>
    <row r="84" spans="1:16" s="44" customFormat="1">
      <c r="A84" s="36">
        <f t="shared" si="12"/>
        <v>80</v>
      </c>
      <c r="B84" s="39" t="s">
        <v>360</v>
      </c>
      <c r="C84" s="40" t="s">
        <v>361</v>
      </c>
      <c r="D84" s="40" t="s">
        <v>362</v>
      </c>
      <c r="E84" s="45">
        <v>42747</v>
      </c>
      <c r="F84" s="132">
        <f>50000+14950000</f>
        <v>15000000</v>
      </c>
      <c r="G84" s="46">
        <f t="shared" si="9"/>
        <v>21492000</v>
      </c>
      <c r="H84" s="42">
        <v>417000</v>
      </c>
      <c r="I84" s="42">
        <f t="shared" si="13"/>
        <v>180000</v>
      </c>
      <c r="J84" s="36">
        <v>36</v>
      </c>
      <c r="K84" s="120">
        <v>22</v>
      </c>
      <c r="L84" s="30">
        <f t="shared" si="10"/>
        <v>597000</v>
      </c>
      <c r="M84" s="30">
        <f t="shared" si="11"/>
        <v>13134000</v>
      </c>
      <c r="N84" s="121">
        <f>F84-(H84*14)</f>
        <v>9162000</v>
      </c>
      <c r="O84" s="34" t="s">
        <v>363</v>
      </c>
      <c r="P84" s="34" t="s">
        <v>351</v>
      </c>
    </row>
    <row r="85" spans="1:16" s="44" customFormat="1">
      <c r="A85" s="36">
        <f t="shared" si="12"/>
        <v>81</v>
      </c>
      <c r="B85" s="42" t="s">
        <v>364</v>
      </c>
      <c r="C85" s="124" t="s">
        <v>365</v>
      </c>
      <c r="D85" s="124"/>
      <c r="E85" s="128">
        <v>42583</v>
      </c>
      <c r="F85" s="125">
        <f>15000000</f>
        <v>15000000</v>
      </c>
      <c r="G85" s="122">
        <f t="shared" si="9"/>
        <v>19320000</v>
      </c>
      <c r="H85" s="42">
        <f>+F85/J85</f>
        <v>625000</v>
      </c>
      <c r="I85" s="125">
        <f t="shared" si="13"/>
        <v>180000</v>
      </c>
      <c r="J85" s="126" t="s">
        <v>89</v>
      </c>
      <c r="K85" s="120">
        <v>5</v>
      </c>
      <c r="L85" s="138">
        <f t="shared" si="10"/>
        <v>805000</v>
      </c>
      <c r="M85" s="42">
        <f t="shared" si="11"/>
        <v>4025000</v>
      </c>
      <c r="N85" s="42">
        <f>+H85*K85</f>
        <v>3125000</v>
      </c>
      <c r="O85" s="127" t="s">
        <v>366</v>
      </c>
      <c r="P85" s="127" t="s">
        <v>86</v>
      </c>
    </row>
    <row r="86" spans="1:16" s="44" customFormat="1">
      <c r="A86" s="36">
        <f t="shared" si="12"/>
        <v>82</v>
      </c>
      <c r="B86" s="42" t="s">
        <v>367</v>
      </c>
      <c r="C86" s="124" t="s">
        <v>368</v>
      </c>
      <c r="D86" s="124"/>
      <c r="E86" s="45">
        <v>42118</v>
      </c>
      <c r="F86" s="125">
        <f>5000000</f>
        <v>5000000</v>
      </c>
      <c r="G86" s="129">
        <f t="shared" si="9"/>
        <v>7160400</v>
      </c>
      <c r="H86" s="42">
        <v>138900</v>
      </c>
      <c r="I86" s="125">
        <f t="shared" si="13"/>
        <v>60000</v>
      </c>
      <c r="J86" s="126" t="s">
        <v>99</v>
      </c>
      <c r="K86" s="120">
        <v>2</v>
      </c>
      <c r="L86" s="42">
        <f t="shared" si="10"/>
        <v>198900</v>
      </c>
      <c r="M86" s="42">
        <f t="shared" si="11"/>
        <v>397800</v>
      </c>
      <c r="N86" s="143">
        <f>F86-(H86*34)</f>
        <v>277400</v>
      </c>
      <c r="O86" s="127" t="s">
        <v>369</v>
      </c>
      <c r="P86" s="127" t="s">
        <v>112</v>
      </c>
    </row>
    <row r="87" spans="1:16" s="44" customFormat="1">
      <c r="A87" s="36">
        <f t="shared" si="12"/>
        <v>83</v>
      </c>
      <c r="B87" s="39" t="s">
        <v>370</v>
      </c>
      <c r="C87" s="40" t="s">
        <v>371</v>
      </c>
      <c r="D87" s="41" t="s">
        <v>372</v>
      </c>
      <c r="E87" s="45">
        <v>43063</v>
      </c>
      <c r="F87" s="42">
        <f>10000000</f>
        <v>10000000</v>
      </c>
      <c r="G87" s="46">
        <f t="shared" si="9"/>
        <v>14328000</v>
      </c>
      <c r="H87" s="119">
        <v>278000</v>
      </c>
      <c r="I87" s="119">
        <f t="shared" si="13"/>
        <v>120000</v>
      </c>
      <c r="J87" s="36">
        <v>36</v>
      </c>
      <c r="K87" s="120">
        <v>33</v>
      </c>
      <c r="L87" s="30">
        <f t="shared" si="10"/>
        <v>398000</v>
      </c>
      <c r="M87" s="30">
        <f t="shared" si="11"/>
        <v>13134000</v>
      </c>
      <c r="N87" s="33">
        <f>F87-(H87*3)</f>
        <v>9166000</v>
      </c>
      <c r="O87" s="34" t="s">
        <v>346</v>
      </c>
      <c r="P87" s="34" t="s">
        <v>86</v>
      </c>
    </row>
    <row r="88" spans="1:16" s="44" customFormat="1">
      <c r="A88" s="36">
        <f t="shared" si="12"/>
        <v>84</v>
      </c>
      <c r="B88" s="39" t="s">
        <v>373</v>
      </c>
      <c r="C88" s="40" t="s">
        <v>374</v>
      </c>
      <c r="D88" s="41" t="s">
        <v>375</v>
      </c>
      <c r="E88" s="28">
        <v>43087</v>
      </c>
      <c r="F88" s="42">
        <v>10000000</v>
      </c>
      <c r="G88" s="46">
        <f t="shared" si="9"/>
        <v>14328000</v>
      </c>
      <c r="H88" s="119">
        <v>278000</v>
      </c>
      <c r="I88" s="119">
        <f t="shared" si="13"/>
        <v>120000</v>
      </c>
      <c r="J88" s="36">
        <v>36</v>
      </c>
      <c r="K88" s="120">
        <v>34</v>
      </c>
      <c r="L88" s="30">
        <f t="shared" si="10"/>
        <v>398000</v>
      </c>
      <c r="M88" s="30">
        <f t="shared" si="11"/>
        <v>13532000</v>
      </c>
      <c r="N88" s="33">
        <f>F88-(H88*2)</f>
        <v>9444000</v>
      </c>
      <c r="O88" s="34" t="s">
        <v>376</v>
      </c>
      <c r="P88" s="34" t="s">
        <v>86</v>
      </c>
    </row>
    <row r="89" spans="1:16" s="44" customFormat="1">
      <c r="A89" s="36">
        <f t="shared" si="12"/>
        <v>85</v>
      </c>
      <c r="B89" s="39" t="s">
        <v>377</v>
      </c>
      <c r="C89" s="40" t="s">
        <v>378</v>
      </c>
      <c r="D89" s="40" t="s">
        <v>379</v>
      </c>
      <c r="E89" s="45">
        <v>42811</v>
      </c>
      <c r="F89" s="42">
        <f>7222000+180550+87235+15000000</f>
        <v>22489785</v>
      </c>
      <c r="G89" s="46">
        <f t="shared" si="9"/>
        <v>15600000</v>
      </c>
      <c r="H89" s="42">
        <v>330123</v>
      </c>
      <c r="I89" s="42">
        <v>269877</v>
      </c>
      <c r="J89" s="36">
        <v>26</v>
      </c>
      <c r="K89" s="120">
        <v>14</v>
      </c>
      <c r="L89" s="30">
        <f t="shared" si="10"/>
        <v>600000</v>
      </c>
      <c r="M89" s="30">
        <f t="shared" si="11"/>
        <v>8400000</v>
      </c>
      <c r="N89" s="121">
        <f>F89-(H89*12)-5000000</f>
        <v>13528309</v>
      </c>
      <c r="O89" s="34" t="s">
        <v>380</v>
      </c>
      <c r="P89" s="34" t="s">
        <v>112</v>
      </c>
    </row>
    <row r="90" spans="1:16" s="44" customFormat="1">
      <c r="A90" s="36">
        <f t="shared" si="12"/>
        <v>86</v>
      </c>
      <c r="B90" s="39" t="s">
        <v>381</v>
      </c>
      <c r="C90" s="40" t="s">
        <v>382</v>
      </c>
      <c r="D90" s="41" t="s">
        <v>383</v>
      </c>
      <c r="E90" s="45">
        <v>42961</v>
      </c>
      <c r="F90" s="42">
        <f>1660000+41500+81290+8217210</f>
        <v>10000000</v>
      </c>
      <c r="G90" s="46">
        <f t="shared" si="9"/>
        <v>11454000</v>
      </c>
      <c r="H90" s="132">
        <f>954500-I90</f>
        <v>834500</v>
      </c>
      <c r="I90" s="42">
        <f t="shared" ref="I90:I115" si="14">+F90*1.2%</f>
        <v>120000</v>
      </c>
      <c r="J90" s="36">
        <v>12</v>
      </c>
      <c r="K90" s="120">
        <v>5</v>
      </c>
      <c r="L90" s="30">
        <f t="shared" si="10"/>
        <v>954500</v>
      </c>
      <c r="M90" s="30">
        <f t="shared" si="11"/>
        <v>4772500</v>
      </c>
      <c r="N90" s="121">
        <f>F90-(H90*7)</f>
        <v>4158500</v>
      </c>
      <c r="O90" s="34" t="s">
        <v>297</v>
      </c>
      <c r="P90" s="34" t="s">
        <v>112</v>
      </c>
    </row>
    <row r="91" spans="1:16" s="44" customFormat="1">
      <c r="A91" s="36">
        <f t="shared" si="12"/>
        <v>87</v>
      </c>
      <c r="B91" s="39" t="s">
        <v>384</v>
      </c>
      <c r="C91" s="41" t="s">
        <v>385</v>
      </c>
      <c r="D91" s="41"/>
      <c r="E91" s="128">
        <v>42580</v>
      </c>
      <c r="F91" s="122">
        <f>10000000</f>
        <v>10000000</v>
      </c>
      <c r="G91" s="122">
        <f t="shared" si="9"/>
        <v>12888000</v>
      </c>
      <c r="H91" s="125">
        <f>537000-I91</f>
        <v>417000</v>
      </c>
      <c r="I91" s="125">
        <f t="shared" si="14"/>
        <v>120000</v>
      </c>
      <c r="J91" s="36">
        <v>24</v>
      </c>
      <c r="K91" s="120">
        <v>5</v>
      </c>
      <c r="L91" s="138">
        <f t="shared" si="10"/>
        <v>537000</v>
      </c>
      <c r="M91" s="42">
        <f t="shared" si="11"/>
        <v>2685000</v>
      </c>
      <c r="N91" s="136">
        <f>F91-(H91*19)</f>
        <v>2077000</v>
      </c>
      <c r="O91" s="140" t="s">
        <v>386</v>
      </c>
      <c r="P91" s="141" t="s">
        <v>86</v>
      </c>
    </row>
    <row r="92" spans="1:16" s="44" customFormat="1">
      <c r="A92" s="36">
        <f t="shared" si="12"/>
        <v>88</v>
      </c>
      <c r="B92" s="39" t="s">
        <v>387</v>
      </c>
      <c r="C92" s="40" t="s">
        <v>385</v>
      </c>
      <c r="D92" s="41" t="s">
        <v>388</v>
      </c>
      <c r="E92" s="28">
        <v>43111</v>
      </c>
      <c r="F92" s="42">
        <v>10000000</v>
      </c>
      <c r="G92" s="46">
        <f t="shared" si="9"/>
        <v>11448000</v>
      </c>
      <c r="H92" s="119">
        <f>954000-I92</f>
        <v>834000</v>
      </c>
      <c r="I92" s="119">
        <f t="shared" si="14"/>
        <v>120000</v>
      </c>
      <c r="J92" s="36">
        <v>12</v>
      </c>
      <c r="K92" s="120">
        <v>10</v>
      </c>
      <c r="L92" s="30">
        <f t="shared" si="10"/>
        <v>954000</v>
      </c>
      <c r="M92" s="30">
        <f t="shared" si="11"/>
        <v>9540000</v>
      </c>
      <c r="N92" s="33">
        <f>F92-(H92*2)</f>
        <v>8332000</v>
      </c>
      <c r="O92" s="34" t="s">
        <v>389</v>
      </c>
      <c r="P92" s="34" t="s">
        <v>86</v>
      </c>
    </row>
    <row r="93" spans="1:16" s="44" customFormat="1">
      <c r="A93" s="36">
        <f t="shared" si="12"/>
        <v>89</v>
      </c>
      <c r="B93" s="39" t="s">
        <v>390</v>
      </c>
      <c r="C93" s="40" t="s">
        <v>391</v>
      </c>
      <c r="D93" s="41" t="s">
        <v>392</v>
      </c>
      <c r="E93" s="45">
        <v>42908</v>
      </c>
      <c r="F93" s="42">
        <f>15000000</f>
        <v>15000000</v>
      </c>
      <c r="G93" s="46">
        <f t="shared" si="9"/>
        <v>21510000</v>
      </c>
      <c r="H93" s="132">
        <v>417500</v>
      </c>
      <c r="I93" s="42">
        <f t="shared" si="14"/>
        <v>180000</v>
      </c>
      <c r="J93" s="36">
        <v>36</v>
      </c>
      <c r="K93" s="120">
        <v>28</v>
      </c>
      <c r="L93" s="30">
        <f t="shared" si="10"/>
        <v>597500</v>
      </c>
      <c r="M93" s="30">
        <f t="shared" si="11"/>
        <v>16730000</v>
      </c>
      <c r="N93" s="121">
        <f>F93-(H93*8)</f>
        <v>11660000</v>
      </c>
      <c r="O93" s="34" t="s">
        <v>393</v>
      </c>
      <c r="P93" s="34" t="s">
        <v>86</v>
      </c>
    </row>
    <row r="94" spans="1:16" s="44" customFormat="1">
      <c r="A94" s="36">
        <f t="shared" si="12"/>
        <v>90</v>
      </c>
      <c r="B94" s="39" t="s">
        <v>394</v>
      </c>
      <c r="C94" s="40" t="s">
        <v>395</v>
      </c>
      <c r="D94" s="41" t="s">
        <v>396</v>
      </c>
      <c r="E94" s="45">
        <v>42961</v>
      </c>
      <c r="F94" s="42">
        <f>5413000+135325+85161+4366514</f>
        <v>10000000</v>
      </c>
      <c r="G94" s="46">
        <f t="shared" si="9"/>
        <v>12900000</v>
      </c>
      <c r="H94" s="132">
        <f>537500-I94</f>
        <v>417500</v>
      </c>
      <c r="I94" s="42">
        <f t="shared" si="14"/>
        <v>120000</v>
      </c>
      <c r="J94" s="36">
        <v>24</v>
      </c>
      <c r="K94" s="120">
        <v>17</v>
      </c>
      <c r="L94" s="30">
        <f t="shared" si="10"/>
        <v>537500</v>
      </c>
      <c r="M94" s="30">
        <f t="shared" si="11"/>
        <v>9137500</v>
      </c>
      <c r="N94" s="121">
        <f>F94-(H94*7)</f>
        <v>7077500</v>
      </c>
      <c r="O94" s="34" t="s">
        <v>350</v>
      </c>
      <c r="P94" s="34" t="s">
        <v>112</v>
      </c>
    </row>
    <row r="95" spans="1:16" s="44" customFormat="1">
      <c r="A95" s="36">
        <f t="shared" si="12"/>
        <v>91</v>
      </c>
      <c r="B95" s="39" t="s">
        <v>397</v>
      </c>
      <c r="C95" s="40" t="s">
        <v>398</v>
      </c>
      <c r="D95" s="28" t="s">
        <v>399</v>
      </c>
      <c r="E95" s="45">
        <v>42774</v>
      </c>
      <c r="F95" s="42">
        <f>10000000</f>
        <v>10000000</v>
      </c>
      <c r="G95" s="46">
        <f t="shared" si="9"/>
        <v>14328000</v>
      </c>
      <c r="H95" s="42">
        <f>398000-I95</f>
        <v>278000</v>
      </c>
      <c r="I95" s="42">
        <f t="shared" si="14"/>
        <v>120000</v>
      </c>
      <c r="J95" s="36">
        <v>36</v>
      </c>
      <c r="K95" s="120">
        <v>23</v>
      </c>
      <c r="L95" s="30">
        <f t="shared" si="10"/>
        <v>398000</v>
      </c>
      <c r="M95" s="30">
        <f t="shared" si="11"/>
        <v>9154000</v>
      </c>
      <c r="N95" s="121">
        <f>F95-(H95*13)</f>
        <v>6386000</v>
      </c>
      <c r="O95" s="34" t="s">
        <v>400</v>
      </c>
      <c r="P95" s="34" t="s">
        <v>86</v>
      </c>
    </row>
    <row r="96" spans="1:16" s="44" customFormat="1">
      <c r="A96" s="36">
        <f t="shared" si="12"/>
        <v>92</v>
      </c>
      <c r="B96" s="42" t="s">
        <v>401</v>
      </c>
      <c r="C96" s="124" t="s">
        <v>402</v>
      </c>
      <c r="D96" s="41" t="s">
        <v>403</v>
      </c>
      <c r="E96" s="45">
        <v>42837</v>
      </c>
      <c r="F96" s="132">
        <f>10000000</f>
        <v>10000000</v>
      </c>
      <c r="G96" s="132">
        <f t="shared" si="9"/>
        <v>14346000</v>
      </c>
      <c r="H96" s="42">
        <f>398500-I96</f>
        <v>278500</v>
      </c>
      <c r="I96" s="132">
        <f t="shared" si="14"/>
        <v>120000</v>
      </c>
      <c r="J96" s="36">
        <v>36</v>
      </c>
      <c r="K96" s="120">
        <v>25</v>
      </c>
      <c r="L96" s="48">
        <f t="shared" si="10"/>
        <v>398500</v>
      </c>
      <c r="M96" s="29">
        <f t="shared" si="11"/>
        <v>9962500</v>
      </c>
      <c r="N96" s="121">
        <f>F96-(H96*11)</f>
        <v>6936500</v>
      </c>
      <c r="O96" s="34" t="s">
        <v>203</v>
      </c>
      <c r="P96" s="34" t="s">
        <v>86</v>
      </c>
    </row>
    <row r="97" spans="1:16" s="44" customFormat="1">
      <c r="A97" s="36">
        <f t="shared" si="12"/>
        <v>93</v>
      </c>
      <c r="B97" s="42" t="s">
        <v>404</v>
      </c>
      <c r="C97" s="124" t="s">
        <v>405</v>
      </c>
      <c r="D97" s="124"/>
      <c r="E97" s="45">
        <v>42655</v>
      </c>
      <c r="F97" s="125">
        <f>10000000</f>
        <v>10000000</v>
      </c>
      <c r="G97" s="122">
        <f t="shared" si="9"/>
        <v>12168000</v>
      </c>
      <c r="H97" s="42">
        <f>676000-I97</f>
        <v>556000</v>
      </c>
      <c r="I97" s="42">
        <f t="shared" si="14"/>
        <v>120000</v>
      </c>
      <c r="J97" s="126" t="s">
        <v>406</v>
      </c>
      <c r="K97" s="120">
        <v>1</v>
      </c>
      <c r="L97" s="30">
        <f t="shared" si="10"/>
        <v>676000</v>
      </c>
      <c r="M97" s="42">
        <f t="shared" si="11"/>
        <v>676000</v>
      </c>
      <c r="N97" s="121">
        <f>F97-(H97*17)</f>
        <v>548000</v>
      </c>
      <c r="O97" s="127" t="s">
        <v>407</v>
      </c>
      <c r="P97" s="34" t="s">
        <v>86</v>
      </c>
    </row>
    <row r="98" spans="1:16" s="44" customFormat="1">
      <c r="A98" s="36">
        <f t="shared" si="12"/>
        <v>94</v>
      </c>
      <c r="B98" s="39" t="s">
        <v>408</v>
      </c>
      <c r="C98" s="40" t="s">
        <v>409</v>
      </c>
      <c r="D98" s="41" t="s">
        <v>410</v>
      </c>
      <c r="E98" s="45">
        <v>42950</v>
      </c>
      <c r="F98" s="42">
        <f>10000000</f>
        <v>10000000</v>
      </c>
      <c r="G98" s="46">
        <f t="shared" si="9"/>
        <v>12900000</v>
      </c>
      <c r="H98" s="119">
        <v>417500</v>
      </c>
      <c r="I98" s="42">
        <f t="shared" si="14"/>
        <v>120000</v>
      </c>
      <c r="J98" s="36">
        <v>24</v>
      </c>
      <c r="K98" s="120">
        <v>17</v>
      </c>
      <c r="L98" s="30">
        <f t="shared" si="10"/>
        <v>537500</v>
      </c>
      <c r="M98" s="30">
        <f t="shared" si="11"/>
        <v>9137500</v>
      </c>
      <c r="N98" s="121">
        <f>F98-(H98*7)</f>
        <v>7077500</v>
      </c>
      <c r="O98" s="34" t="s">
        <v>411</v>
      </c>
      <c r="P98" s="34" t="s">
        <v>86</v>
      </c>
    </row>
    <row r="99" spans="1:16" s="44" customFormat="1">
      <c r="A99" s="36">
        <f t="shared" si="12"/>
        <v>95</v>
      </c>
      <c r="B99" s="39" t="s">
        <v>412</v>
      </c>
      <c r="C99" s="40" t="s">
        <v>413</v>
      </c>
      <c r="D99" s="28" t="s">
        <v>414</v>
      </c>
      <c r="E99" s="45">
        <v>42746</v>
      </c>
      <c r="F99" s="42">
        <f>5416300+135408+77419+4370873</f>
        <v>10000000</v>
      </c>
      <c r="G99" s="46">
        <f t="shared" si="9"/>
        <v>14328000</v>
      </c>
      <c r="H99" s="42">
        <v>278000</v>
      </c>
      <c r="I99" s="42">
        <f t="shared" si="14"/>
        <v>120000</v>
      </c>
      <c r="J99" s="36">
        <v>36</v>
      </c>
      <c r="K99" s="120">
        <v>22</v>
      </c>
      <c r="L99" s="30">
        <f t="shared" si="10"/>
        <v>398000</v>
      </c>
      <c r="M99" s="30">
        <f t="shared" si="11"/>
        <v>8756000</v>
      </c>
      <c r="N99" s="121">
        <f>F99-(H99*14)</f>
        <v>6108000</v>
      </c>
      <c r="O99" s="34" t="s">
        <v>415</v>
      </c>
      <c r="P99" s="34" t="s">
        <v>416</v>
      </c>
    </row>
    <row r="100" spans="1:16" s="44" customFormat="1">
      <c r="A100" s="36">
        <f t="shared" si="12"/>
        <v>96</v>
      </c>
      <c r="B100" s="39" t="s">
        <v>417</v>
      </c>
      <c r="C100" s="40" t="s">
        <v>418</v>
      </c>
      <c r="D100" s="41" t="s">
        <v>419</v>
      </c>
      <c r="E100" s="45">
        <v>43063</v>
      </c>
      <c r="F100" s="42">
        <f>9000000</f>
        <v>9000000</v>
      </c>
      <c r="G100" s="46">
        <f t="shared" si="9"/>
        <v>9648000</v>
      </c>
      <c r="H100" s="119">
        <f>+F100/J100</f>
        <v>1500000</v>
      </c>
      <c r="I100" s="119">
        <f t="shared" si="14"/>
        <v>108000</v>
      </c>
      <c r="J100" s="36">
        <v>6</v>
      </c>
      <c r="K100" s="120">
        <v>3</v>
      </c>
      <c r="L100" s="30">
        <f t="shared" si="10"/>
        <v>1608000</v>
      </c>
      <c r="M100" s="30">
        <f t="shared" si="11"/>
        <v>4824000</v>
      </c>
      <c r="N100" s="46">
        <f>+H100*K100</f>
        <v>4500000</v>
      </c>
      <c r="O100" s="34" t="s">
        <v>29</v>
      </c>
      <c r="P100" s="34" t="s">
        <v>86</v>
      </c>
    </row>
    <row r="101" spans="1:16" s="44" customFormat="1">
      <c r="A101" s="36">
        <f t="shared" si="12"/>
        <v>97</v>
      </c>
      <c r="B101" s="42" t="s">
        <v>420</v>
      </c>
      <c r="C101" s="124" t="s">
        <v>421</v>
      </c>
      <c r="D101" s="124"/>
      <c r="E101" s="45">
        <v>42639</v>
      </c>
      <c r="F101" s="125">
        <f>5000000</f>
        <v>5000000</v>
      </c>
      <c r="G101" s="122">
        <f t="shared" si="9"/>
        <v>7164000</v>
      </c>
      <c r="H101" s="42">
        <v>139000</v>
      </c>
      <c r="I101" s="125">
        <f t="shared" si="14"/>
        <v>60000</v>
      </c>
      <c r="J101" s="126" t="s">
        <v>99</v>
      </c>
      <c r="K101" s="120">
        <v>19</v>
      </c>
      <c r="L101" s="30">
        <f t="shared" si="10"/>
        <v>199000</v>
      </c>
      <c r="M101" s="42">
        <f t="shared" si="11"/>
        <v>3781000</v>
      </c>
      <c r="N101" s="121">
        <f>F101-(H101*17)</f>
        <v>2637000</v>
      </c>
      <c r="O101" s="127" t="s">
        <v>225</v>
      </c>
      <c r="P101" s="127" t="s">
        <v>86</v>
      </c>
    </row>
    <row r="102" spans="1:16" s="44" customFormat="1">
      <c r="A102" s="36">
        <f t="shared" si="12"/>
        <v>98</v>
      </c>
      <c r="B102" s="39" t="s">
        <v>422</v>
      </c>
      <c r="C102" s="40" t="s">
        <v>423</v>
      </c>
      <c r="D102" s="41" t="s">
        <v>424</v>
      </c>
      <c r="E102" s="28">
        <v>43089</v>
      </c>
      <c r="F102" s="42">
        <f>10000000</f>
        <v>10000000</v>
      </c>
      <c r="G102" s="46">
        <f t="shared" si="9"/>
        <v>12400000</v>
      </c>
      <c r="H102" s="119">
        <f>+F102/J102</f>
        <v>500000</v>
      </c>
      <c r="I102" s="119">
        <f t="shared" si="14"/>
        <v>120000</v>
      </c>
      <c r="J102" s="36">
        <v>20</v>
      </c>
      <c r="K102" s="120">
        <v>18</v>
      </c>
      <c r="L102" s="30">
        <f t="shared" si="10"/>
        <v>620000</v>
      </c>
      <c r="M102" s="30">
        <f t="shared" si="11"/>
        <v>11160000</v>
      </c>
      <c r="N102" s="46">
        <f>+H102*K102</f>
        <v>9000000</v>
      </c>
      <c r="O102" s="34" t="s">
        <v>156</v>
      </c>
      <c r="P102" s="34" t="s">
        <v>86</v>
      </c>
    </row>
    <row r="103" spans="1:16" s="44" customFormat="1">
      <c r="A103" s="36">
        <f t="shared" si="12"/>
        <v>99</v>
      </c>
      <c r="B103" s="42" t="s">
        <v>425</v>
      </c>
      <c r="C103" s="124" t="s">
        <v>426</v>
      </c>
      <c r="D103" s="124"/>
      <c r="E103" s="128">
        <v>42543</v>
      </c>
      <c r="F103" s="125">
        <f>10000000</f>
        <v>10000000</v>
      </c>
      <c r="G103" s="122">
        <f t="shared" si="9"/>
        <v>12888000</v>
      </c>
      <c r="H103" s="132">
        <v>417000</v>
      </c>
      <c r="I103" s="46">
        <f t="shared" si="14"/>
        <v>120000</v>
      </c>
      <c r="J103" s="126" t="s">
        <v>89</v>
      </c>
      <c r="K103" s="120">
        <v>4</v>
      </c>
      <c r="L103" s="138">
        <f t="shared" si="10"/>
        <v>537000</v>
      </c>
      <c r="M103" s="42">
        <f t="shared" si="11"/>
        <v>2148000</v>
      </c>
      <c r="N103" s="143">
        <f>F103-(H103*20)</f>
        <v>1660000</v>
      </c>
      <c r="O103" s="127" t="s">
        <v>427</v>
      </c>
      <c r="P103" s="127" t="s">
        <v>428</v>
      </c>
    </row>
    <row r="104" spans="1:16" s="44" customFormat="1">
      <c r="A104" s="36">
        <f t="shared" si="12"/>
        <v>100</v>
      </c>
      <c r="B104" s="39" t="s">
        <v>429</v>
      </c>
      <c r="C104" s="40" t="s">
        <v>430</v>
      </c>
      <c r="D104" s="41" t="s">
        <v>431</v>
      </c>
      <c r="E104" s="45">
        <v>42950</v>
      </c>
      <c r="F104" s="42">
        <f>10000000</f>
        <v>10000000</v>
      </c>
      <c r="G104" s="46">
        <f t="shared" si="9"/>
        <v>12900000</v>
      </c>
      <c r="H104" s="119">
        <v>417500</v>
      </c>
      <c r="I104" s="42">
        <f t="shared" si="14"/>
        <v>120000</v>
      </c>
      <c r="J104" s="36">
        <v>24</v>
      </c>
      <c r="K104" s="120">
        <v>17</v>
      </c>
      <c r="L104" s="30">
        <f t="shared" si="10"/>
        <v>537500</v>
      </c>
      <c r="M104" s="30">
        <f t="shared" si="11"/>
        <v>9137500</v>
      </c>
      <c r="N104" s="121">
        <f>F104-(H104*7)</f>
        <v>7077500</v>
      </c>
      <c r="O104" s="34" t="s">
        <v>411</v>
      </c>
      <c r="P104" s="34" t="s">
        <v>86</v>
      </c>
    </row>
    <row r="105" spans="1:16" s="44" customFormat="1">
      <c r="A105" s="36">
        <f t="shared" si="12"/>
        <v>101</v>
      </c>
      <c r="B105" s="39" t="s">
        <v>432</v>
      </c>
      <c r="C105" s="40" t="s">
        <v>433</v>
      </c>
      <c r="D105" s="41" t="s">
        <v>434</v>
      </c>
      <c r="E105" s="45">
        <v>42907</v>
      </c>
      <c r="F105" s="42">
        <f>3000000</f>
        <v>3000000</v>
      </c>
      <c r="G105" s="46">
        <f t="shared" si="9"/>
        <v>3360000</v>
      </c>
      <c r="H105" s="132">
        <f>F105/J105</f>
        <v>300000</v>
      </c>
      <c r="I105" s="42">
        <f t="shared" si="14"/>
        <v>36000</v>
      </c>
      <c r="J105" s="36">
        <v>10</v>
      </c>
      <c r="K105" s="120">
        <v>2</v>
      </c>
      <c r="L105" s="30">
        <f t="shared" si="10"/>
        <v>336000</v>
      </c>
      <c r="M105" s="30">
        <f t="shared" si="11"/>
        <v>672000</v>
      </c>
      <c r="N105" s="46">
        <f>+H105*K105</f>
        <v>600000</v>
      </c>
      <c r="O105" s="34" t="s">
        <v>186</v>
      </c>
      <c r="P105" s="34" t="s">
        <v>86</v>
      </c>
    </row>
    <row r="106" spans="1:16" s="44" customFormat="1">
      <c r="A106" s="36">
        <f t="shared" si="12"/>
        <v>102</v>
      </c>
      <c r="B106" s="42" t="s">
        <v>435</v>
      </c>
      <c r="C106" s="124" t="s">
        <v>436</v>
      </c>
      <c r="D106" s="124"/>
      <c r="E106" s="128">
        <v>42614</v>
      </c>
      <c r="F106" s="125">
        <f>10000000</f>
        <v>10000000</v>
      </c>
      <c r="G106" s="122">
        <f t="shared" si="9"/>
        <v>12888000</v>
      </c>
      <c r="H106" s="42">
        <v>417000</v>
      </c>
      <c r="I106" s="125">
        <f t="shared" si="14"/>
        <v>120000</v>
      </c>
      <c r="J106" s="126" t="s">
        <v>89</v>
      </c>
      <c r="K106" s="120">
        <v>6</v>
      </c>
      <c r="L106" s="138">
        <f t="shared" si="10"/>
        <v>537000</v>
      </c>
      <c r="M106" s="42">
        <f t="shared" si="11"/>
        <v>3222000</v>
      </c>
      <c r="N106" s="134">
        <f>F106-(H106*18)</f>
        <v>2494000</v>
      </c>
      <c r="O106" s="127" t="s">
        <v>191</v>
      </c>
      <c r="P106" s="127" t="s">
        <v>86</v>
      </c>
    </row>
    <row r="107" spans="1:16" s="44" customFormat="1">
      <c r="A107" s="36">
        <f t="shared" si="12"/>
        <v>103</v>
      </c>
      <c r="B107" s="39" t="s">
        <v>437</v>
      </c>
      <c r="C107" s="40" t="s">
        <v>438</v>
      </c>
      <c r="D107" s="41" t="s">
        <v>439</v>
      </c>
      <c r="E107" s="45">
        <v>43042</v>
      </c>
      <c r="F107" s="42">
        <f>3328000+83200+51097+11537703</f>
        <v>15000000</v>
      </c>
      <c r="G107" s="46">
        <f t="shared" si="9"/>
        <v>17160000</v>
      </c>
      <c r="H107" s="119">
        <f>+F107/J107</f>
        <v>1250000</v>
      </c>
      <c r="I107" s="119">
        <f t="shared" si="14"/>
        <v>180000</v>
      </c>
      <c r="J107" s="36">
        <v>12</v>
      </c>
      <c r="K107" s="120">
        <v>8</v>
      </c>
      <c r="L107" s="30">
        <f t="shared" si="10"/>
        <v>1430000</v>
      </c>
      <c r="M107" s="30">
        <f t="shared" si="11"/>
        <v>11440000</v>
      </c>
      <c r="N107" s="46">
        <f>+H107*K107</f>
        <v>10000000</v>
      </c>
      <c r="O107" s="34" t="s">
        <v>440</v>
      </c>
      <c r="P107" s="34" t="s">
        <v>94</v>
      </c>
    </row>
    <row r="108" spans="1:16" s="44" customFormat="1">
      <c r="A108" s="36">
        <f t="shared" si="12"/>
        <v>104</v>
      </c>
      <c r="B108" s="39" t="s">
        <v>441</v>
      </c>
      <c r="C108" s="40" t="s">
        <v>442</v>
      </c>
      <c r="D108" s="28" t="s">
        <v>443</v>
      </c>
      <c r="E108" s="45">
        <v>42824</v>
      </c>
      <c r="F108" s="42">
        <f>10000000</f>
        <v>10000000</v>
      </c>
      <c r="G108" s="46">
        <f t="shared" si="9"/>
        <v>14346000</v>
      </c>
      <c r="H108" s="42">
        <v>278500</v>
      </c>
      <c r="I108" s="42">
        <f t="shared" si="14"/>
        <v>120000</v>
      </c>
      <c r="J108" s="36">
        <v>36</v>
      </c>
      <c r="K108" s="120">
        <v>25</v>
      </c>
      <c r="L108" s="30">
        <f t="shared" si="10"/>
        <v>398500</v>
      </c>
      <c r="M108" s="30">
        <f t="shared" si="11"/>
        <v>9962500</v>
      </c>
      <c r="N108" s="121">
        <f>F108-(H108*11)</f>
        <v>6936500</v>
      </c>
      <c r="O108" s="34" t="s">
        <v>444</v>
      </c>
      <c r="P108" s="34" t="s">
        <v>86</v>
      </c>
    </row>
    <row r="109" spans="1:16" s="44" customFormat="1">
      <c r="A109" s="36">
        <f t="shared" si="12"/>
        <v>105</v>
      </c>
      <c r="B109" s="42" t="s">
        <v>445</v>
      </c>
      <c r="C109" s="124" t="s">
        <v>446</v>
      </c>
      <c r="D109" s="124" t="s">
        <v>447</v>
      </c>
      <c r="E109" s="45">
        <v>42702</v>
      </c>
      <c r="F109" s="125">
        <f>7500000</f>
        <v>7500000</v>
      </c>
      <c r="G109" s="46">
        <f t="shared" si="9"/>
        <v>9126000</v>
      </c>
      <c r="H109" s="42">
        <v>417000</v>
      </c>
      <c r="I109" s="42">
        <f t="shared" si="14"/>
        <v>90000</v>
      </c>
      <c r="J109" s="126" t="s">
        <v>406</v>
      </c>
      <c r="K109" s="120">
        <v>3</v>
      </c>
      <c r="L109" s="30">
        <f t="shared" si="10"/>
        <v>507000</v>
      </c>
      <c r="M109" s="42">
        <f t="shared" si="11"/>
        <v>1521000</v>
      </c>
      <c r="N109" s="121">
        <f>F109-(H109*15)</f>
        <v>1245000</v>
      </c>
      <c r="O109" s="127" t="s">
        <v>444</v>
      </c>
      <c r="P109" s="127" t="s">
        <v>183</v>
      </c>
    </row>
    <row r="110" spans="1:16" s="44" customFormat="1">
      <c r="A110" s="36">
        <f t="shared" si="12"/>
        <v>106</v>
      </c>
      <c r="B110" s="42" t="s">
        <v>448</v>
      </c>
      <c r="C110" s="124" t="s">
        <v>449</v>
      </c>
      <c r="D110" s="124"/>
      <c r="E110" s="128">
        <v>42587</v>
      </c>
      <c r="F110" s="125">
        <f>10000000</f>
        <v>10000000</v>
      </c>
      <c r="G110" s="122">
        <f t="shared" si="9"/>
        <v>14328000</v>
      </c>
      <c r="H110" s="42">
        <f>398000-I110</f>
        <v>278000</v>
      </c>
      <c r="I110" s="125">
        <f t="shared" si="14"/>
        <v>120000</v>
      </c>
      <c r="J110" s="126" t="s">
        <v>99</v>
      </c>
      <c r="K110" s="120">
        <v>17</v>
      </c>
      <c r="L110" s="138">
        <f t="shared" si="10"/>
        <v>398000</v>
      </c>
      <c r="M110" s="42">
        <f t="shared" si="11"/>
        <v>6766000</v>
      </c>
      <c r="N110" s="136">
        <f>F110-(H110*19)</f>
        <v>4718000</v>
      </c>
      <c r="O110" s="127" t="s">
        <v>330</v>
      </c>
      <c r="P110" s="127" t="s">
        <v>86</v>
      </c>
    </row>
    <row r="111" spans="1:16" s="44" customFormat="1">
      <c r="A111" s="36">
        <f t="shared" si="12"/>
        <v>107</v>
      </c>
      <c r="B111" s="42" t="s">
        <v>450</v>
      </c>
      <c r="C111" s="124" t="s">
        <v>451</v>
      </c>
      <c r="D111" s="124"/>
      <c r="E111" s="128">
        <v>42608</v>
      </c>
      <c r="F111" s="125">
        <f>10000000</f>
        <v>10000000</v>
      </c>
      <c r="G111" s="122">
        <f t="shared" si="9"/>
        <v>12888000</v>
      </c>
      <c r="H111" s="125">
        <v>417000</v>
      </c>
      <c r="I111" s="125">
        <f t="shared" si="14"/>
        <v>120000</v>
      </c>
      <c r="J111" s="126" t="s">
        <v>89</v>
      </c>
      <c r="K111" s="120">
        <v>6</v>
      </c>
      <c r="L111" s="138">
        <f t="shared" si="10"/>
        <v>537000</v>
      </c>
      <c r="M111" s="42">
        <f t="shared" si="11"/>
        <v>3222000</v>
      </c>
      <c r="N111" s="136">
        <f>F111-(H111*18)</f>
        <v>2494000</v>
      </c>
      <c r="O111" s="127" t="s">
        <v>452</v>
      </c>
      <c r="P111" s="141" t="s">
        <v>178</v>
      </c>
    </row>
    <row r="112" spans="1:16" s="44" customFormat="1">
      <c r="A112" s="36">
        <f t="shared" si="12"/>
        <v>108</v>
      </c>
      <c r="B112" s="39" t="s">
        <v>453</v>
      </c>
      <c r="C112" s="40" t="s">
        <v>454</v>
      </c>
      <c r="D112" s="41" t="s">
        <v>455</v>
      </c>
      <c r="E112" s="45">
        <v>42943</v>
      </c>
      <c r="F112" s="42">
        <f>4871464+121787+10006749</f>
        <v>15000000</v>
      </c>
      <c r="G112" s="46">
        <f t="shared" si="9"/>
        <v>21510000</v>
      </c>
      <c r="H112" s="132">
        <f>597500-I112</f>
        <v>417500</v>
      </c>
      <c r="I112" s="42">
        <f t="shared" si="14"/>
        <v>180000</v>
      </c>
      <c r="J112" s="36">
        <v>36</v>
      </c>
      <c r="K112" s="120">
        <v>29</v>
      </c>
      <c r="L112" s="30">
        <f t="shared" si="10"/>
        <v>597500</v>
      </c>
      <c r="M112" s="30">
        <f t="shared" si="11"/>
        <v>17327500</v>
      </c>
      <c r="N112" s="121">
        <f>F112-(H112*7)</f>
        <v>12077500</v>
      </c>
      <c r="O112" s="34" t="s">
        <v>240</v>
      </c>
      <c r="P112" s="34" t="s">
        <v>112</v>
      </c>
    </row>
    <row r="113" spans="1:16" s="44" customFormat="1">
      <c r="A113" s="36">
        <f t="shared" si="12"/>
        <v>109</v>
      </c>
      <c r="B113" s="39" t="s">
        <v>456</v>
      </c>
      <c r="C113" s="40" t="s">
        <v>457</v>
      </c>
      <c r="D113" s="41" t="s">
        <v>458</v>
      </c>
      <c r="E113" s="45">
        <v>43063</v>
      </c>
      <c r="F113" s="42">
        <f>10000000</f>
        <v>10000000</v>
      </c>
      <c r="G113" s="46">
        <f t="shared" si="9"/>
        <v>5880000</v>
      </c>
      <c r="H113" s="119">
        <f>245000-I113</f>
        <v>125000</v>
      </c>
      <c r="I113" s="119">
        <f t="shared" si="14"/>
        <v>120000</v>
      </c>
      <c r="J113" s="36">
        <v>24</v>
      </c>
      <c r="K113" s="120">
        <v>21</v>
      </c>
      <c r="L113" s="30">
        <f t="shared" si="10"/>
        <v>245000</v>
      </c>
      <c r="M113" s="30">
        <f t="shared" si="11"/>
        <v>5145000</v>
      </c>
      <c r="N113" s="33">
        <f>F113-(H113*3)-(2000000)</f>
        <v>7625000</v>
      </c>
      <c r="O113" s="34" t="s">
        <v>67</v>
      </c>
      <c r="P113" s="34" t="s">
        <v>86</v>
      </c>
    </row>
    <row r="114" spans="1:16" s="44" customFormat="1">
      <c r="A114" s="36">
        <f t="shared" si="12"/>
        <v>110</v>
      </c>
      <c r="B114" s="39" t="s">
        <v>459</v>
      </c>
      <c r="C114" s="40" t="s">
        <v>460</v>
      </c>
      <c r="D114" s="28" t="s">
        <v>461</v>
      </c>
      <c r="E114" s="45">
        <v>43041</v>
      </c>
      <c r="F114" s="42">
        <f>10000000</f>
        <v>10000000</v>
      </c>
      <c r="G114" s="46">
        <f t="shared" si="9"/>
        <v>12888000</v>
      </c>
      <c r="H114" s="119">
        <f>537000-I114</f>
        <v>417000</v>
      </c>
      <c r="I114" s="119">
        <f t="shared" si="14"/>
        <v>120000</v>
      </c>
      <c r="J114" s="36">
        <v>24</v>
      </c>
      <c r="K114" s="120">
        <v>20</v>
      </c>
      <c r="L114" s="30">
        <f t="shared" si="10"/>
        <v>537000</v>
      </c>
      <c r="M114" s="30">
        <f t="shared" si="11"/>
        <v>10740000</v>
      </c>
      <c r="N114" s="33">
        <f>F114-(H114*4)</f>
        <v>8332000</v>
      </c>
      <c r="O114" s="34" t="s">
        <v>41</v>
      </c>
      <c r="P114" s="34" t="s">
        <v>86</v>
      </c>
    </row>
    <row r="115" spans="1:16" s="44" customFormat="1">
      <c r="A115" s="36">
        <f t="shared" si="12"/>
        <v>111</v>
      </c>
      <c r="B115" s="39" t="s">
        <v>462</v>
      </c>
      <c r="C115" s="40" t="s">
        <v>463</v>
      </c>
      <c r="D115" s="28" t="s">
        <v>464</v>
      </c>
      <c r="E115" s="45">
        <v>42865</v>
      </c>
      <c r="F115" s="42">
        <f>10000000</f>
        <v>10000000</v>
      </c>
      <c r="G115" s="46">
        <f t="shared" si="9"/>
        <v>11454000</v>
      </c>
      <c r="H115" s="42">
        <f>954500-I115</f>
        <v>834500</v>
      </c>
      <c r="I115" s="42">
        <f t="shared" si="14"/>
        <v>120000</v>
      </c>
      <c r="J115" s="36">
        <v>12</v>
      </c>
      <c r="K115" s="120">
        <v>2</v>
      </c>
      <c r="L115" s="30">
        <f t="shared" si="10"/>
        <v>954500</v>
      </c>
      <c r="M115" s="30">
        <f t="shared" si="11"/>
        <v>1909000</v>
      </c>
      <c r="N115" s="121">
        <f>F115-(H115*10)</f>
        <v>1655000</v>
      </c>
      <c r="O115" s="34" t="s">
        <v>465</v>
      </c>
      <c r="P115" s="34" t="s">
        <v>86</v>
      </c>
    </row>
    <row r="116" spans="1:16" s="44" customFormat="1">
      <c r="A116" s="36">
        <f t="shared" si="12"/>
        <v>112</v>
      </c>
      <c r="B116" s="39" t="s">
        <v>466</v>
      </c>
      <c r="C116" s="40" t="s">
        <v>467</v>
      </c>
      <c r="D116" s="41" t="s">
        <v>468</v>
      </c>
      <c r="E116" s="45">
        <v>43006</v>
      </c>
      <c r="F116" s="42">
        <f>10000000</f>
        <v>10000000</v>
      </c>
      <c r="G116" s="46">
        <f t="shared" si="9"/>
        <v>12888000</v>
      </c>
      <c r="H116" s="132">
        <v>417000</v>
      </c>
      <c r="I116" s="119">
        <f>F116*1.2%</f>
        <v>120000</v>
      </c>
      <c r="J116" s="36">
        <v>24</v>
      </c>
      <c r="K116" s="120">
        <v>19</v>
      </c>
      <c r="L116" s="30">
        <f t="shared" si="10"/>
        <v>537000</v>
      </c>
      <c r="M116" s="30">
        <f t="shared" si="11"/>
        <v>10203000</v>
      </c>
      <c r="N116" s="121">
        <f>F116-(H116*5)</f>
        <v>7915000</v>
      </c>
      <c r="O116" s="34" t="s">
        <v>469</v>
      </c>
      <c r="P116" s="34" t="s">
        <v>86</v>
      </c>
    </row>
    <row r="117" spans="1:16" s="44" customFormat="1">
      <c r="A117" s="36">
        <f t="shared" si="12"/>
        <v>113</v>
      </c>
      <c r="B117" s="42" t="s">
        <v>470</v>
      </c>
      <c r="C117" s="124" t="s">
        <v>471</v>
      </c>
      <c r="D117" s="41" t="s">
        <v>472</v>
      </c>
      <c r="E117" s="45">
        <v>42871</v>
      </c>
      <c r="F117" s="132">
        <f>10000000</f>
        <v>10000000</v>
      </c>
      <c r="G117" s="46">
        <f t="shared" si="9"/>
        <v>12900000</v>
      </c>
      <c r="H117" s="42">
        <v>417500</v>
      </c>
      <c r="I117" s="42">
        <f>+F117*1.2%</f>
        <v>120000</v>
      </c>
      <c r="J117" s="36">
        <v>24</v>
      </c>
      <c r="K117" s="120">
        <v>14</v>
      </c>
      <c r="L117" s="137">
        <f t="shared" si="10"/>
        <v>537500</v>
      </c>
      <c r="M117" s="30">
        <f t="shared" si="11"/>
        <v>7525000</v>
      </c>
      <c r="N117" s="121">
        <f>F117-(H117*10)</f>
        <v>5825000</v>
      </c>
      <c r="O117" s="34" t="s">
        <v>473</v>
      </c>
      <c r="P117" s="34" t="s">
        <v>86</v>
      </c>
    </row>
    <row r="118" spans="1:16" s="44" customFormat="1">
      <c r="A118" s="36">
        <f t="shared" si="12"/>
        <v>114</v>
      </c>
      <c r="B118" s="39" t="s">
        <v>474</v>
      </c>
      <c r="C118" s="40" t="s">
        <v>475</v>
      </c>
      <c r="D118" s="41" t="s">
        <v>476</v>
      </c>
      <c r="E118" s="28">
        <v>43130</v>
      </c>
      <c r="F118" s="42">
        <v>16000000</v>
      </c>
      <c r="G118" s="46">
        <f t="shared" si="9"/>
        <v>22932000</v>
      </c>
      <c r="H118" s="119">
        <f>637000-I118</f>
        <v>445000</v>
      </c>
      <c r="I118" s="119">
        <f>+F118*1.2%</f>
        <v>192000</v>
      </c>
      <c r="J118" s="36">
        <v>36</v>
      </c>
      <c r="K118" s="120">
        <v>35</v>
      </c>
      <c r="L118" s="30">
        <f t="shared" si="10"/>
        <v>637000</v>
      </c>
      <c r="M118" s="30">
        <f t="shared" si="11"/>
        <v>22295000</v>
      </c>
      <c r="N118" s="33">
        <f>F118-(H118*1)</f>
        <v>15555000</v>
      </c>
      <c r="O118" s="34" t="s">
        <v>477</v>
      </c>
      <c r="P118" s="34" t="s">
        <v>178</v>
      </c>
    </row>
    <row r="119" spans="1:16" s="44" customFormat="1">
      <c r="A119" s="36">
        <f t="shared" si="12"/>
        <v>115</v>
      </c>
      <c r="B119" s="39" t="s">
        <v>478</v>
      </c>
      <c r="C119" s="40" t="s">
        <v>479</v>
      </c>
      <c r="D119" s="41" t="s">
        <v>480</v>
      </c>
      <c r="E119" s="45">
        <v>43059</v>
      </c>
      <c r="F119" s="42">
        <f>700000+17500+10710+1500000</f>
        <v>2228210</v>
      </c>
      <c r="G119" s="46">
        <f t="shared" si="9"/>
        <v>2550000</v>
      </c>
      <c r="H119" s="119">
        <f>212500-I119</f>
        <v>185761</v>
      </c>
      <c r="I119" s="119">
        <v>26739</v>
      </c>
      <c r="J119" s="36">
        <v>12</v>
      </c>
      <c r="K119" s="120">
        <f>8</f>
        <v>8</v>
      </c>
      <c r="L119" s="30">
        <f t="shared" si="10"/>
        <v>212500</v>
      </c>
      <c r="M119" s="30">
        <f t="shared" si="11"/>
        <v>1700000</v>
      </c>
      <c r="N119" s="33">
        <f>F119-(H119*4)</f>
        <v>1485166</v>
      </c>
      <c r="O119" s="34" t="s">
        <v>481</v>
      </c>
      <c r="P119" s="34" t="s">
        <v>94</v>
      </c>
    </row>
    <row r="120" spans="1:16" s="44" customFormat="1">
      <c r="A120" s="36">
        <f t="shared" si="12"/>
        <v>116</v>
      </c>
      <c r="B120" s="39" t="s">
        <v>482</v>
      </c>
      <c r="C120" s="40" t="s">
        <v>483</v>
      </c>
      <c r="D120" s="28" t="s">
        <v>484</v>
      </c>
      <c r="E120" s="45">
        <v>42921</v>
      </c>
      <c r="F120" s="132">
        <f>10831800+270795+142065+18755340</f>
        <v>30000000</v>
      </c>
      <c r="G120" s="46">
        <f t="shared" si="9"/>
        <v>38640000</v>
      </c>
      <c r="H120" s="132">
        <f>+F120/J120</f>
        <v>1250000</v>
      </c>
      <c r="I120" s="119">
        <f>F120*1.2%</f>
        <v>360000</v>
      </c>
      <c r="J120" s="36">
        <v>24</v>
      </c>
      <c r="K120" s="120">
        <v>16</v>
      </c>
      <c r="L120" s="30">
        <f t="shared" si="10"/>
        <v>1610000</v>
      </c>
      <c r="M120" s="29">
        <f t="shared" si="11"/>
        <v>25760000</v>
      </c>
      <c r="N120" s="46">
        <f>+H120*K120</f>
        <v>20000000</v>
      </c>
      <c r="O120" s="34"/>
      <c r="P120" s="34" t="s">
        <v>112</v>
      </c>
    </row>
    <row r="121" spans="1:16" s="44" customFormat="1">
      <c r="A121" s="36">
        <f t="shared" si="12"/>
        <v>117</v>
      </c>
      <c r="B121" s="39" t="s">
        <v>485</v>
      </c>
      <c r="C121" s="40" t="s">
        <v>486</v>
      </c>
      <c r="D121" s="28" t="s">
        <v>487</v>
      </c>
      <c r="E121" s="45">
        <v>42800</v>
      </c>
      <c r="F121" s="42">
        <f>16664000+416600+133963+12785437</f>
        <v>30000000</v>
      </c>
      <c r="G121" s="46">
        <f t="shared" si="9"/>
        <v>42984000</v>
      </c>
      <c r="H121" s="42">
        <f>1194000-I121</f>
        <v>834000</v>
      </c>
      <c r="I121" s="42">
        <f t="shared" ref="I121:I133" si="15">+F121*1.2%</f>
        <v>360000</v>
      </c>
      <c r="J121" s="36">
        <v>36</v>
      </c>
      <c r="K121" s="120">
        <v>24</v>
      </c>
      <c r="L121" s="30">
        <f t="shared" si="10"/>
        <v>1194000</v>
      </c>
      <c r="M121" s="30">
        <f t="shared" si="11"/>
        <v>28656000</v>
      </c>
      <c r="N121" s="121">
        <f>F121-(H121*12)</f>
        <v>19992000</v>
      </c>
      <c r="O121" s="34" t="s">
        <v>488</v>
      </c>
      <c r="P121" s="34" t="s">
        <v>112</v>
      </c>
    </row>
    <row r="122" spans="1:16" s="44" customFormat="1">
      <c r="A122" s="36">
        <f t="shared" si="12"/>
        <v>118</v>
      </c>
      <c r="B122" s="42" t="s">
        <v>489</v>
      </c>
      <c r="C122" s="124" t="s">
        <v>490</v>
      </c>
      <c r="D122" s="124"/>
      <c r="E122" s="128">
        <v>42548</v>
      </c>
      <c r="F122" s="125">
        <f>4166700+104168+25729132</f>
        <v>30000000</v>
      </c>
      <c r="G122" s="122">
        <f t="shared" si="9"/>
        <v>42984000</v>
      </c>
      <c r="H122" s="132">
        <v>834000</v>
      </c>
      <c r="I122" s="46">
        <f t="shared" si="15"/>
        <v>360000</v>
      </c>
      <c r="J122" s="126" t="s">
        <v>99</v>
      </c>
      <c r="K122" s="120">
        <v>16</v>
      </c>
      <c r="L122" s="138">
        <f t="shared" si="10"/>
        <v>1194000</v>
      </c>
      <c r="M122" s="42">
        <f t="shared" si="11"/>
        <v>19104000</v>
      </c>
      <c r="N122" s="143">
        <f>F122-(H122*20)</f>
        <v>13320000</v>
      </c>
      <c r="O122" s="127" t="s">
        <v>491</v>
      </c>
      <c r="P122" s="127" t="s">
        <v>101</v>
      </c>
    </row>
    <row r="123" spans="1:16" s="44" customFormat="1">
      <c r="A123" s="36">
        <f t="shared" si="12"/>
        <v>119</v>
      </c>
      <c r="B123" s="42" t="s">
        <v>492</v>
      </c>
      <c r="C123" s="124" t="s">
        <v>493</v>
      </c>
      <c r="D123" s="124"/>
      <c r="E123" s="128">
        <v>42397</v>
      </c>
      <c r="F123" s="125">
        <f>10221500+255538+56596+9466366</f>
        <v>20000000</v>
      </c>
      <c r="G123" s="129">
        <f t="shared" si="9"/>
        <v>28641600</v>
      </c>
      <c r="H123" s="42">
        <f>795600-I123</f>
        <v>555600</v>
      </c>
      <c r="I123" s="125">
        <f t="shared" si="15"/>
        <v>240000</v>
      </c>
      <c r="J123" s="126" t="s">
        <v>99</v>
      </c>
      <c r="K123" s="120">
        <v>11</v>
      </c>
      <c r="L123" s="42">
        <f t="shared" si="10"/>
        <v>795600</v>
      </c>
      <c r="M123" s="42">
        <f t="shared" si="11"/>
        <v>8751600</v>
      </c>
      <c r="N123" s="144">
        <f>F123-(H123*25)</f>
        <v>6110000</v>
      </c>
      <c r="O123" s="127" t="s">
        <v>494</v>
      </c>
      <c r="P123" s="127" t="s">
        <v>112</v>
      </c>
    </row>
    <row r="124" spans="1:16" s="44" customFormat="1">
      <c r="A124" s="36">
        <f t="shared" si="12"/>
        <v>120</v>
      </c>
      <c r="B124" s="39" t="s">
        <v>495</v>
      </c>
      <c r="C124" s="40" t="s">
        <v>496</v>
      </c>
      <c r="D124" s="41" t="s">
        <v>497</v>
      </c>
      <c r="E124" s="45">
        <v>42851</v>
      </c>
      <c r="F124" s="42">
        <f>16000000+400000+13600000</f>
        <v>30000000</v>
      </c>
      <c r="G124" s="46">
        <f t="shared" si="9"/>
        <v>38640000</v>
      </c>
      <c r="H124" s="42">
        <f>+F124/J124</f>
        <v>1250000</v>
      </c>
      <c r="I124" s="42">
        <f t="shared" si="15"/>
        <v>360000</v>
      </c>
      <c r="J124" s="36">
        <v>24</v>
      </c>
      <c r="K124" s="120">
        <v>14</v>
      </c>
      <c r="L124" s="30">
        <f t="shared" si="10"/>
        <v>1610000</v>
      </c>
      <c r="M124" s="30">
        <f t="shared" si="11"/>
        <v>22540000</v>
      </c>
      <c r="N124" s="46">
        <f>+H124*K124</f>
        <v>17500000</v>
      </c>
      <c r="O124" s="34" t="s">
        <v>37</v>
      </c>
      <c r="P124" s="34" t="s">
        <v>86</v>
      </c>
    </row>
    <row r="125" spans="1:16" s="44" customFormat="1">
      <c r="A125" s="36">
        <f t="shared" si="12"/>
        <v>121</v>
      </c>
      <c r="B125" s="39" t="s">
        <v>498</v>
      </c>
      <c r="C125" s="40" t="s">
        <v>499</v>
      </c>
      <c r="D125" s="41" t="s">
        <v>500</v>
      </c>
      <c r="E125" s="45">
        <v>43035</v>
      </c>
      <c r="F125" s="42">
        <f>25827500+645688+3526812</f>
        <v>30000000</v>
      </c>
      <c r="G125" s="46">
        <f t="shared" si="9"/>
        <v>42984000</v>
      </c>
      <c r="H125" s="119">
        <v>834000</v>
      </c>
      <c r="I125" s="119">
        <f t="shared" si="15"/>
        <v>360000</v>
      </c>
      <c r="J125" s="36">
        <v>36</v>
      </c>
      <c r="K125" s="120">
        <v>32</v>
      </c>
      <c r="L125" s="30">
        <f t="shared" si="10"/>
        <v>1194000</v>
      </c>
      <c r="M125" s="30">
        <f t="shared" si="11"/>
        <v>38208000</v>
      </c>
      <c r="N125" s="33">
        <f>F125-(H125*4)</f>
        <v>26664000</v>
      </c>
      <c r="O125" s="34" t="s">
        <v>501</v>
      </c>
      <c r="P125" s="34" t="s">
        <v>94</v>
      </c>
    </row>
    <row r="126" spans="1:16" s="44" customFormat="1">
      <c r="A126" s="36">
        <f t="shared" si="12"/>
        <v>122</v>
      </c>
      <c r="B126" s="39" t="s">
        <v>502</v>
      </c>
      <c r="C126" s="40" t="s">
        <v>503</v>
      </c>
      <c r="D126" s="41" t="s">
        <v>504</v>
      </c>
      <c r="E126" s="45">
        <v>43041</v>
      </c>
      <c r="F126" s="42">
        <f>23328000+583200+117290+5971510</f>
        <v>30000000</v>
      </c>
      <c r="G126" s="46">
        <f t="shared" si="9"/>
        <v>42984000</v>
      </c>
      <c r="H126" s="119">
        <f>1194000-I126</f>
        <v>834000</v>
      </c>
      <c r="I126" s="119">
        <f t="shared" si="15"/>
        <v>360000</v>
      </c>
      <c r="J126" s="36">
        <v>36</v>
      </c>
      <c r="K126" s="120">
        <v>32</v>
      </c>
      <c r="L126" s="30">
        <f t="shared" si="10"/>
        <v>1194000</v>
      </c>
      <c r="M126" s="30">
        <f t="shared" si="11"/>
        <v>38208000</v>
      </c>
      <c r="N126" s="33">
        <f>F126-(H126*4)</f>
        <v>26664000</v>
      </c>
      <c r="O126" s="34" t="s">
        <v>505</v>
      </c>
      <c r="P126" s="34" t="s">
        <v>94</v>
      </c>
    </row>
    <row r="127" spans="1:16" s="44" customFormat="1">
      <c r="A127" s="36">
        <f t="shared" si="12"/>
        <v>123</v>
      </c>
      <c r="B127" s="42" t="s">
        <v>506</v>
      </c>
      <c r="C127" s="124" t="s">
        <v>507</v>
      </c>
      <c r="D127" s="124"/>
      <c r="E127" s="45">
        <v>42244</v>
      </c>
      <c r="F127" s="125">
        <f>17500140+437504+12062356</f>
        <v>30000000</v>
      </c>
      <c r="G127" s="129">
        <f t="shared" si="9"/>
        <v>42962400</v>
      </c>
      <c r="H127" s="42">
        <v>833400</v>
      </c>
      <c r="I127" s="125">
        <f t="shared" si="15"/>
        <v>360000</v>
      </c>
      <c r="J127" s="126" t="s">
        <v>99</v>
      </c>
      <c r="K127" s="120">
        <v>6</v>
      </c>
      <c r="L127" s="42">
        <f t="shared" si="10"/>
        <v>1193400</v>
      </c>
      <c r="M127" s="42">
        <f t="shared" si="11"/>
        <v>7160400</v>
      </c>
      <c r="N127" s="143">
        <f>F127-(H127*30)</f>
        <v>4998000</v>
      </c>
      <c r="O127" s="127" t="s">
        <v>508</v>
      </c>
      <c r="P127" s="127" t="s">
        <v>112</v>
      </c>
    </row>
    <row r="128" spans="1:16" s="135" customFormat="1">
      <c r="A128" s="36">
        <f t="shared" si="12"/>
        <v>124</v>
      </c>
      <c r="B128" s="42" t="s">
        <v>509</v>
      </c>
      <c r="C128" s="124" t="s">
        <v>510</v>
      </c>
      <c r="D128" s="124"/>
      <c r="E128" s="128">
        <v>42516</v>
      </c>
      <c r="F128" s="125">
        <f>18332400+458310+11209290</f>
        <v>30000000</v>
      </c>
      <c r="G128" s="125">
        <f t="shared" si="9"/>
        <v>42984000</v>
      </c>
      <c r="H128" s="139">
        <f>1194000-I128</f>
        <v>834000</v>
      </c>
      <c r="I128" s="125">
        <f t="shared" si="15"/>
        <v>360000</v>
      </c>
      <c r="J128" s="126" t="s">
        <v>99</v>
      </c>
      <c r="K128" s="120">
        <v>15</v>
      </c>
      <c r="L128" s="42">
        <f t="shared" si="10"/>
        <v>1194000</v>
      </c>
      <c r="M128" s="42">
        <f t="shared" si="11"/>
        <v>17910000</v>
      </c>
      <c r="N128" s="134">
        <f>F128-(H128*21)</f>
        <v>12486000</v>
      </c>
      <c r="O128" s="127" t="s">
        <v>511</v>
      </c>
      <c r="P128" s="127" t="s">
        <v>215</v>
      </c>
    </row>
    <row r="129" spans="1:16" s="135" customFormat="1">
      <c r="A129" s="36">
        <f t="shared" si="12"/>
        <v>125</v>
      </c>
      <c r="B129" s="39" t="s">
        <v>512</v>
      </c>
      <c r="C129" s="40" t="s">
        <v>513</v>
      </c>
      <c r="D129" s="41" t="s">
        <v>514</v>
      </c>
      <c r="E129" s="45">
        <v>42961</v>
      </c>
      <c r="F129" s="42">
        <f>5830500+145763+162581+23861156</f>
        <v>30000000</v>
      </c>
      <c r="G129" s="46">
        <f t="shared" si="9"/>
        <v>38640000</v>
      </c>
      <c r="H129" s="132">
        <f>+F129/J129</f>
        <v>1250000</v>
      </c>
      <c r="I129" s="42">
        <f t="shared" si="15"/>
        <v>360000</v>
      </c>
      <c r="J129" s="36">
        <v>24</v>
      </c>
      <c r="K129" s="120">
        <v>17</v>
      </c>
      <c r="L129" s="30">
        <f t="shared" si="10"/>
        <v>1610000</v>
      </c>
      <c r="M129" s="30">
        <f t="shared" si="11"/>
        <v>27370000</v>
      </c>
      <c r="N129" s="46">
        <f>+H129*K129</f>
        <v>21250000</v>
      </c>
      <c r="O129" s="34" t="s">
        <v>400</v>
      </c>
      <c r="P129" s="34" t="s">
        <v>112</v>
      </c>
    </row>
    <row r="130" spans="1:16" s="44" customFormat="1">
      <c r="A130" s="36">
        <f t="shared" si="12"/>
        <v>126</v>
      </c>
      <c r="B130" s="42" t="s">
        <v>515</v>
      </c>
      <c r="C130" s="124" t="s">
        <v>516</v>
      </c>
      <c r="D130" s="124" t="s">
        <v>517</v>
      </c>
      <c r="E130" s="45">
        <v>42702</v>
      </c>
      <c r="F130" s="125">
        <f>30000000</f>
        <v>30000000</v>
      </c>
      <c r="G130" s="46">
        <f t="shared" si="9"/>
        <v>42984000</v>
      </c>
      <c r="H130" s="42">
        <v>834000</v>
      </c>
      <c r="I130" s="42">
        <f t="shared" si="15"/>
        <v>360000</v>
      </c>
      <c r="J130" s="126" t="s">
        <v>99</v>
      </c>
      <c r="K130" s="120">
        <v>21</v>
      </c>
      <c r="L130" s="30">
        <f t="shared" si="10"/>
        <v>1194000</v>
      </c>
      <c r="M130" s="42">
        <f t="shared" si="11"/>
        <v>25074000</v>
      </c>
      <c r="N130" s="121">
        <f>F130-(H130*15)</f>
        <v>17490000</v>
      </c>
      <c r="O130" s="127" t="s">
        <v>518</v>
      </c>
      <c r="P130" s="127" t="s">
        <v>183</v>
      </c>
    </row>
    <row r="131" spans="1:16" s="44" customFormat="1">
      <c r="A131" s="36">
        <f t="shared" si="12"/>
        <v>127</v>
      </c>
      <c r="B131" s="39" t="s">
        <v>519</v>
      </c>
      <c r="C131" s="40" t="s">
        <v>520</v>
      </c>
      <c r="D131" s="41" t="s">
        <v>521</v>
      </c>
      <c r="E131" s="28">
        <v>43129</v>
      </c>
      <c r="F131" s="42">
        <f>30000000</f>
        <v>30000000</v>
      </c>
      <c r="G131" s="46">
        <f t="shared" si="9"/>
        <v>42984000</v>
      </c>
      <c r="H131" s="119">
        <f>1194000-I131</f>
        <v>834000</v>
      </c>
      <c r="I131" s="119">
        <f t="shared" si="15"/>
        <v>360000</v>
      </c>
      <c r="J131" s="36">
        <v>36</v>
      </c>
      <c r="K131" s="120">
        <v>35</v>
      </c>
      <c r="L131" s="30">
        <f t="shared" si="10"/>
        <v>1194000</v>
      </c>
      <c r="M131" s="30">
        <f t="shared" si="11"/>
        <v>41790000</v>
      </c>
      <c r="N131" s="33">
        <f>F131-(H131*1)</f>
        <v>29166000</v>
      </c>
      <c r="O131" s="34" t="s">
        <v>522</v>
      </c>
      <c r="P131" s="34" t="s">
        <v>86</v>
      </c>
    </row>
    <row r="132" spans="1:16" s="44" customFormat="1">
      <c r="A132" s="36">
        <f t="shared" si="12"/>
        <v>128</v>
      </c>
      <c r="B132" s="39" t="s">
        <v>523</v>
      </c>
      <c r="C132" s="40" t="s">
        <v>524</v>
      </c>
      <c r="D132" s="41" t="s">
        <v>525</v>
      </c>
      <c r="E132" s="45">
        <v>42958</v>
      </c>
      <c r="F132" s="42">
        <f>20000000</f>
        <v>20000000</v>
      </c>
      <c r="G132" s="46">
        <f t="shared" si="9"/>
        <v>25788000</v>
      </c>
      <c r="H132" s="132">
        <f>1074500-I132</f>
        <v>834500</v>
      </c>
      <c r="I132" s="42">
        <f t="shared" si="15"/>
        <v>240000</v>
      </c>
      <c r="J132" s="36">
        <v>24</v>
      </c>
      <c r="K132" s="120">
        <v>17</v>
      </c>
      <c r="L132" s="30">
        <f t="shared" si="10"/>
        <v>1074500</v>
      </c>
      <c r="M132" s="30">
        <f t="shared" si="11"/>
        <v>18266500</v>
      </c>
      <c r="N132" s="121">
        <f>F132-(H132*7)</f>
        <v>14158500</v>
      </c>
      <c r="O132" s="34" t="s">
        <v>171</v>
      </c>
      <c r="P132" s="34" t="s">
        <v>86</v>
      </c>
    </row>
    <row r="133" spans="1:16" s="44" customFormat="1">
      <c r="A133" s="36">
        <f t="shared" si="12"/>
        <v>129</v>
      </c>
      <c r="B133" s="39" t="s">
        <v>526</v>
      </c>
      <c r="C133" s="40" t="s">
        <v>527</v>
      </c>
      <c r="D133" s="28" t="s">
        <v>528</v>
      </c>
      <c r="E133" s="45">
        <v>42922</v>
      </c>
      <c r="F133" s="42">
        <f>30000000</f>
        <v>30000000</v>
      </c>
      <c r="G133" s="46">
        <f t="shared" ref="G133:G196" si="16">+J133*L133</f>
        <v>43002000</v>
      </c>
      <c r="H133" s="42">
        <f>1194500-I133</f>
        <v>834500</v>
      </c>
      <c r="I133" s="42">
        <f t="shared" si="15"/>
        <v>360000</v>
      </c>
      <c r="J133" s="36">
        <v>36</v>
      </c>
      <c r="K133" s="120">
        <v>28</v>
      </c>
      <c r="L133" s="30">
        <f t="shared" ref="L133:L196" si="17">+H133+I133</f>
        <v>1194500</v>
      </c>
      <c r="M133" s="30">
        <f t="shared" ref="M133:M196" si="18">+K133*L133</f>
        <v>33446000</v>
      </c>
      <c r="N133" s="121">
        <f>F133-(H133*8)</f>
        <v>23324000</v>
      </c>
      <c r="O133" s="34" t="s">
        <v>529</v>
      </c>
      <c r="P133" s="34" t="s">
        <v>86</v>
      </c>
    </row>
    <row r="134" spans="1:16" s="44" customFormat="1">
      <c r="A134" s="36">
        <f t="shared" ref="A134:A197" si="19">+A133+1</f>
        <v>130</v>
      </c>
      <c r="B134" s="39" t="s">
        <v>530</v>
      </c>
      <c r="C134" s="40" t="s">
        <v>531</v>
      </c>
      <c r="D134" s="28" t="s">
        <v>532</v>
      </c>
      <c r="E134" s="28">
        <v>43126</v>
      </c>
      <c r="F134" s="132">
        <f>16656000+416400+10000000</f>
        <v>27072400</v>
      </c>
      <c r="G134" s="46">
        <f t="shared" si="16"/>
        <v>38772000</v>
      </c>
      <c r="H134" s="119">
        <f>1077000-I134</f>
        <v>752131</v>
      </c>
      <c r="I134" s="119">
        <v>324869</v>
      </c>
      <c r="J134" s="36">
        <v>36</v>
      </c>
      <c r="K134" s="120">
        <v>35</v>
      </c>
      <c r="L134" s="30">
        <f t="shared" si="17"/>
        <v>1077000</v>
      </c>
      <c r="M134" s="30">
        <f t="shared" si="18"/>
        <v>37695000</v>
      </c>
      <c r="N134" s="33">
        <f>F134-(H134*1)</f>
        <v>26320269</v>
      </c>
      <c r="O134" s="34" t="s">
        <v>29</v>
      </c>
      <c r="P134" s="34" t="s">
        <v>112</v>
      </c>
    </row>
    <row r="135" spans="1:16" s="44" customFormat="1">
      <c r="A135" s="36">
        <f t="shared" si="19"/>
        <v>131</v>
      </c>
      <c r="B135" s="39" t="s">
        <v>533</v>
      </c>
      <c r="C135" s="40" t="s">
        <v>534</v>
      </c>
      <c r="D135" s="41" t="s">
        <v>535</v>
      </c>
      <c r="E135" s="45">
        <v>42892</v>
      </c>
      <c r="F135" s="42">
        <f>22241208+556030+174935+7027827</f>
        <v>30000000</v>
      </c>
      <c r="G135" s="46">
        <f t="shared" si="16"/>
        <v>43002000</v>
      </c>
      <c r="H135" s="42">
        <f>1194500-I135</f>
        <v>834500</v>
      </c>
      <c r="I135" s="42">
        <f>+F135*1.2%</f>
        <v>360000</v>
      </c>
      <c r="J135" s="36">
        <v>36</v>
      </c>
      <c r="K135" s="120">
        <v>27</v>
      </c>
      <c r="L135" s="30">
        <f t="shared" si="17"/>
        <v>1194500</v>
      </c>
      <c r="M135" s="30">
        <f t="shared" si="18"/>
        <v>32251500</v>
      </c>
      <c r="N135" s="121">
        <f>F135-(H135*9)</f>
        <v>22489500</v>
      </c>
      <c r="O135" s="34" t="s">
        <v>536</v>
      </c>
      <c r="P135" s="34" t="s">
        <v>112</v>
      </c>
    </row>
    <row r="136" spans="1:16" s="44" customFormat="1">
      <c r="A136" s="36">
        <f t="shared" si="19"/>
        <v>132</v>
      </c>
      <c r="B136" s="145" t="s">
        <v>537</v>
      </c>
      <c r="C136" s="146" t="s">
        <v>538</v>
      </c>
      <c r="D136" s="146"/>
      <c r="E136" s="147">
        <v>42494</v>
      </c>
      <c r="F136" s="148">
        <f>5000000</f>
        <v>5000000</v>
      </c>
      <c r="G136" s="149">
        <f t="shared" si="16"/>
        <v>5600000</v>
      </c>
      <c r="H136" s="148">
        <f>+F136/J136</f>
        <v>500000</v>
      </c>
      <c r="I136" s="149">
        <f>+F136*1.2%</f>
        <v>60000</v>
      </c>
      <c r="J136" s="150">
        <v>10</v>
      </c>
      <c r="K136" s="151">
        <f>2+1</f>
        <v>3</v>
      </c>
      <c r="L136" s="42">
        <f t="shared" si="17"/>
        <v>560000</v>
      </c>
      <c r="M136" s="42">
        <f t="shared" si="18"/>
        <v>1680000</v>
      </c>
      <c r="N136" s="37">
        <f>+H136*K136</f>
        <v>1500000</v>
      </c>
      <c r="O136" s="34" t="s">
        <v>539</v>
      </c>
      <c r="P136" s="127" t="s">
        <v>183</v>
      </c>
    </row>
    <row r="137" spans="1:16" s="44" customFormat="1">
      <c r="A137" s="36">
        <f t="shared" si="19"/>
        <v>133</v>
      </c>
      <c r="B137" s="39" t="s">
        <v>540</v>
      </c>
      <c r="C137" s="40" t="s">
        <v>541</v>
      </c>
      <c r="D137" s="41" t="s">
        <v>542</v>
      </c>
      <c r="E137" s="45">
        <v>43014</v>
      </c>
      <c r="F137" s="42">
        <f>3992500+99813+50271+4000000</f>
        <v>8142584</v>
      </c>
      <c r="G137" s="46">
        <f t="shared" si="16"/>
        <v>9324000</v>
      </c>
      <c r="H137" s="119">
        <v>679289</v>
      </c>
      <c r="I137" s="119">
        <v>97711</v>
      </c>
      <c r="J137" s="36">
        <v>12</v>
      </c>
      <c r="K137" s="120">
        <v>7</v>
      </c>
      <c r="L137" s="30">
        <f t="shared" si="17"/>
        <v>777000</v>
      </c>
      <c r="M137" s="30">
        <f t="shared" si="18"/>
        <v>5439000</v>
      </c>
      <c r="N137" s="121">
        <f>F137-(H137*5)</f>
        <v>4746139</v>
      </c>
      <c r="O137" s="34" t="s">
        <v>543</v>
      </c>
      <c r="P137" s="34" t="s">
        <v>25</v>
      </c>
    </row>
    <row r="138" spans="1:16" s="44" customFormat="1">
      <c r="A138" s="36">
        <f t="shared" si="19"/>
        <v>134</v>
      </c>
      <c r="B138" s="42" t="s">
        <v>544</v>
      </c>
      <c r="C138" s="124" t="s">
        <v>545</v>
      </c>
      <c r="D138" s="124" t="s">
        <v>546</v>
      </c>
      <c r="E138" s="45">
        <v>42734</v>
      </c>
      <c r="F138" s="125">
        <f>22498500+562463+6000000</f>
        <v>29060963</v>
      </c>
      <c r="G138" s="46">
        <f t="shared" si="16"/>
        <v>41616000</v>
      </c>
      <c r="H138" s="42">
        <v>807268</v>
      </c>
      <c r="I138" s="42">
        <v>348732</v>
      </c>
      <c r="J138" s="126" t="s">
        <v>99</v>
      </c>
      <c r="K138" s="120">
        <v>22</v>
      </c>
      <c r="L138" s="30">
        <f t="shared" si="17"/>
        <v>1156000</v>
      </c>
      <c r="M138" s="42">
        <f t="shared" si="18"/>
        <v>25432000</v>
      </c>
      <c r="N138" s="121">
        <f>F138-(H138*14)</f>
        <v>17759211</v>
      </c>
      <c r="O138" s="127" t="s">
        <v>536</v>
      </c>
      <c r="P138" s="127" t="s">
        <v>112</v>
      </c>
    </row>
    <row r="139" spans="1:16" s="44" customFormat="1">
      <c r="A139" s="36">
        <f t="shared" si="19"/>
        <v>135</v>
      </c>
      <c r="B139" s="42" t="s">
        <v>547</v>
      </c>
      <c r="C139" s="124" t="s">
        <v>548</v>
      </c>
      <c r="D139" s="124"/>
      <c r="E139" s="128">
        <v>42516</v>
      </c>
      <c r="F139" s="125">
        <f>30000000</f>
        <v>30000000</v>
      </c>
      <c r="G139" s="125">
        <f t="shared" si="16"/>
        <v>42984000</v>
      </c>
      <c r="H139" s="139">
        <f>1194000-I139</f>
        <v>834000</v>
      </c>
      <c r="I139" s="125">
        <f>+F139*1.2%</f>
        <v>360000</v>
      </c>
      <c r="J139" s="126" t="s">
        <v>99</v>
      </c>
      <c r="K139" s="120">
        <v>15</v>
      </c>
      <c r="L139" s="42">
        <f t="shared" si="17"/>
        <v>1194000</v>
      </c>
      <c r="M139" s="42">
        <f t="shared" si="18"/>
        <v>17910000</v>
      </c>
      <c r="N139" s="134">
        <f>F139-(H139*21)</f>
        <v>12486000</v>
      </c>
      <c r="O139" s="127" t="s">
        <v>549</v>
      </c>
      <c r="P139" s="127" t="s">
        <v>351</v>
      </c>
    </row>
    <row r="140" spans="1:16" s="44" customFormat="1">
      <c r="A140" s="36">
        <f t="shared" si="19"/>
        <v>136</v>
      </c>
      <c r="B140" s="42" t="s">
        <v>550</v>
      </c>
      <c r="C140" s="124" t="s">
        <v>551</v>
      </c>
      <c r="D140" s="124"/>
      <c r="E140" s="45">
        <v>42453</v>
      </c>
      <c r="F140" s="125">
        <f>21250000+531250+8218750</f>
        <v>30000000</v>
      </c>
      <c r="G140" s="125">
        <f t="shared" si="16"/>
        <v>38640000</v>
      </c>
      <c r="H140" s="132">
        <f>+F140/J140</f>
        <v>1250000</v>
      </c>
      <c r="I140" s="125">
        <f>+F140*1.2%</f>
        <v>360000</v>
      </c>
      <c r="J140" s="126" t="s">
        <v>89</v>
      </c>
      <c r="K140" s="120">
        <v>1</v>
      </c>
      <c r="L140" s="42">
        <f t="shared" si="17"/>
        <v>1610000</v>
      </c>
      <c r="M140" s="42">
        <f t="shared" si="18"/>
        <v>1610000</v>
      </c>
      <c r="N140" s="125">
        <f>+H140*K140</f>
        <v>1250000</v>
      </c>
      <c r="O140" s="127" t="s">
        <v>203</v>
      </c>
      <c r="P140" s="127" t="s">
        <v>101</v>
      </c>
    </row>
    <row r="141" spans="1:16" s="44" customFormat="1">
      <c r="A141" s="36">
        <f t="shared" si="19"/>
        <v>137</v>
      </c>
      <c r="B141" s="39" t="s">
        <v>552</v>
      </c>
      <c r="C141" s="40" t="s">
        <v>553</v>
      </c>
      <c r="D141" s="41" t="s">
        <v>554</v>
      </c>
      <c r="E141" s="45">
        <v>43003</v>
      </c>
      <c r="F141" s="42">
        <f>21660000+541500+7798500</f>
        <v>30000000</v>
      </c>
      <c r="G141" s="46">
        <f t="shared" si="16"/>
        <v>42984000</v>
      </c>
      <c r="H141" s="119">
        <v>834000</v>
      </c>
      <c r="I141" s="119">
        <f>F141*1.2%</f>
        <v>360000</v>
      </c>
      <c r="J141" s="36">
        <v>36</v>
      </c>
      <c r="K141" s="120">
        <v>31</v>
      </c>
      <c r="L141" s="30">
        <f t="shared" si="17"/>
        <v>1194000</v>
      </c>
      <c r="M141" s="30">
        <f t="shared" si="18"/>
        <v>37014000</v>
      </c>
      <c r="N141" s="121">
        <f>F141-(H141*5)</f>
        <v>25830000</v>
      </c>
      <c r="O141" s="34" t="s">
        <v>555</v>
      </c>
      <c r="P141" s="34" t="s">
        <v>94</v>
      </c>
    </row>
    <row r="142" spans="1:16" s="44" customFormat="1">
      <c r="A142" s="36">
        <f t="shared" si="19"/>
        <v>138</v>
      </c>
      <c r="B142" s="39" t="s">
        <v>556</v>
      </c>
      <c r="C142" s="40" t="s">
        <v>557</v>
      </c>
      <c r="D142" s="41" t="s">
        <v>558</v>
      </c>
      <c r="E142" s="28">
        <v>43111</v>
      </c>
      <c r="F142" s="42">
        <f>6664800+166620+255484+22913096</f>
        <v>30000000</v>
      </c>
      <c r="G142" s="46">
        <f t="shared" si="16"/>
        <v>42984000</v>
      </c>
      <c r="H142" s="119">
        <v>834000</v>
      </c>
      <c r="I142" s="119">
        <f>+F142*1.2%</f>
        <v>360000</v>
      </c>
      <c r="J142" s="36">
        <v>36</v>
      </c>
      <c r="K142" s="120">
        <v>34</v>
      </c>
      <c r="L142" s="30">
        <f t="shared" si="17"/>
        <v>1194000</v>
      </c>
      <c r="M142" s="30">
        <f t="shared" si="18"/>
        <v>40596000</v>
      </c>
      <c r="N142" s="33">
        <f>F142-(H142*2)</f>
        <v>28332000</v>
      </c>
      <c r="O142" s="34" t="s">
        <v>559</v>
      </c>
      <c r="P142" s="34" t="s">
        <v>94</v>
      </c>
    </row>
    <row r="143" spans="1:16" s="44" customFormat="1">
      <c r="A143" s="36">
        <f t="shared" si="19"/>
        <v>139</v>
      </c>
      <c r="B143" s="39" t="s">
        <v>560</v>
      </c>
      <c r="C143" s="40" t="s">
        <v>561</v>
      </c>
      <c r="D143" s="40" t="s">
        <v>562</v>
      </c>
      <c r="E143" s="45">
        <v>42879</v>
      </c>
      <c r="F143" s="42">
        <f>15000000</f>
        <v>15000000</v>
      </c>
      <c r="G143" s="46">
        <f t="shared" si="16"/>
        <v>18261000</v>
      </c>
      <c r="H143" s="42">
        <f>1014500-I143</f>
        <v>834500</v>
      </c>
      <c r="I143" s="42">
        <f>+F143*1.2%</f>
        <v>180000</v>
      </c>
      <c r="J143" s="36">
        <v>18</v>
      </c>
      <c r="K143" s="120">
        <v>9</v>
      </c>
      <c r="L143" s="30">
        <f t="shared" si="17"/>
        <v>1014500</v>
      </c>
      <c r="M143" s="30">
        <f t="shared" si="18"/>
        <v>9130500</v>
      </c>
      <c r="N143" s="121">
        <f>F143-(H143*9)</f>
        <v>7489500</v>
      </c>
      <c r="O143" s="34" t="s">
        <v>563</v>
      </c>
      <c r="P143" s="34" t="s">
        <v>86</v>
      </c>
    </row>
    <row r="144" spans="1:16" s="44" customFormat="1">
      <c r="A144" s="36">
        <f t="shared" si="19"/>
        <v>140</v>
      </c>
      <c r="B144" s="42" t="s">
        <v>564</v>
      </c>
      <c r="C144" s="124" t="s">
        <v>565</v>
      </c>
      <c r="D144" s="124"/>
      <c r="E144" s="45">
        <v>42180</v>
      </c>
      <c r="F144" s="125">
        <f>20833750+520844+8645406</f>
        <v>30000000</v>
      </c>
      <c r="G144" s="129">
        <f t="shared" si="16"/>
        <v>24966000</v>
      </c>
      <c r="H144" s="42">
        <v>333500</v>
      </c>
      <c r="I144" s="125">
        <v>360000</v>
      </c>
      <c r="J144" s="126" t="s">
        <v>99</v>
      </c>
      <c r="K144" s="120">
        <v>4</v>
      </c>
      <c r="L144" s="42">
        <f t="shared" si="17"/>
        <v>693500</v>
      </c>
      <c r="M144" s="42">
        <f t="shared" si="18"/>
        <v>2774000</v>
      </c>
      <c r="N144" s="143">
        <f>F144-(H144*32)-6000000-6000000</f>
        <v>7328000</v>
      </c>
      <c r="O144" s="127" t="s">
        <v>566</v>
      </c>
      <c r="P144" s="127" t="s">
        <v>112</v>
      </c>
    </row>
    <row r="145" spans="1:16" s="44" customFormat="1">
      <c r="A145" s="36">
        <f t="shared" si="19"/>
        <v>141</v>
      </c>
      <c r="B145" s="39" t="s">
        <v>567</v>
      </c>
      <c r="C145" s="40" t="s">
        <v>568</v>
      </c>
      <c r="D145" s="41" t="s">
        <v>569</v>
      </c>
      <c r="E145" s="45">
        <v>42975</v>
      </c>
      <c r="F145" s="42">
        <f>21660000+541500+7798500</f>
        <v>30000000</v>
      </c>
      <c r="G145" s="46">
        <f t="shared" si="16"/>
        <v>42984000</v>
      </c>
      <c r="H145" s="132">
        <v>834000</v>
      </c>
      <c r="I145" s="119">
        <f>F145*1.2%</f>
        <v>360000</v>
      </c>
      <c r="J145" s="36">
        <v>36</v>
      </c>
      <c r="K145" s="120">
        <v>30</v>
      </c>
      <c r="L145" s="30">
        <f t="shared" si="17"/>
        <v>1194000</v>
      </c>
      <c r="M145" s="30">
        <f t="shared" si="18"/>
        <v>35820000</v>
      </c>
      <c r="N145" s="121">
        <f>F145-(H145*6)</f>
        <v>24996000</v>
      </c>
      <c r="O145" s="34" t="s">
        <v>24</v>
      </c>
      <c r="P145" s="34" t="s">
        <v>112</v>
      </c>
    </row>
    <row r="146" spans="1:16" s="44" customFormat="1">
      <c r="A146" s="36">
        <f t="shared" si="19"/>
        <v>142</v>
      </c>
      <c r="B146" s="39" t="s">
        <v>570</v>
      </c>
      <c r="C146" s="40" t="s">
        <v>571</v>
      </c>
      <c r="D146" s="28" t="s">
        <v>572</v>
      </c>
      <c r="E146" s="45">
        <v>42949</v>
      </c>
      <c r="F146" s="42">
        <f>30000000</f>
        <v>30000000</v>
      </c>
      <c r="G146" s="46">
        <f t="shared" si="16"/>
        <v>38640000</v>
      </c>
      <c r="H146" s="132">
        <f>+F146/J146</f>
        <v>1250000</v>
      </c>
      <c r="I146" s="42">
        <f>+F146*1.2%</f>
        <v>360000</v>
      </c>
      <c r="J146" s="36">
        <v>24</v>
      </c>
      <c r="K146" s="120">
        <v>17</v>
      </c>
      <c r="L146" s="30">
        <f t="shared" si="17"/>
        <v>1610000</v>
      </c>
      <c r="M146" s="30">
        <f t="shared" si="18"/>
        <v>27370000</v>
      </c>
      <c r="N146" s="46">
        <f>+H146*K146</f>
        <v>21250000</v>
      </c>
      <c r="O146" s="34" t="s">
        <v>573</v>
      </c>
      <c r="P146" s="34" t="s">
        <v>86</v>
      </c>
    </row>
    <row r="147" spans="1:16" s="44" customFormat="1">
      <c r="A147" s="36">
        <f t="shared" si="19"/>
        <v>143</v>
      </c>
      <c r="B147" s="39" t="s">
        <v>574</v>
      </c>
      <c r="C147" s="40" t="s">
        <v>575</v>
      </c>
      <c r="D147" s="41" t="s">
        <v>576</v>
      </c>
      <c r="E147" s="45">
        <v>43003</v>
      </c>
      <c r="F147" s="42">
        <f>2500000+62500+27437500</f>
        <v>30000000</v>
      </c>
      <c r="G147" s="46">
        <f t="shared" si="16"/>
        <v>34320000</v>
      </c>
      <c r="H147" s="132">
        <f>+F147/J147</f>
        <v>2500000</v>
      </c>
      <c r="I147" s="119">
        <f>F147*1.2%</f>
        <v>360000</v>
      </c>
      <c r="J147" s="36">
        <v>12</v>
      </c>
      <c r="K147" s="120">
        <v>7</v>
      </c>
      <c r="L147" s="30">
        <f t="shared" si="17"/>
        <v>2860000</v>
      </c>
      <c r="M147" s="30">
        <f t="shared" si="18"/>
        <v>20020000</v>
      </c>
      <c r="N147" s="46">
        <f>+H147*K147</f>
        <v>17500000</v>
      </c>
      <c r="O147" s="34" t="s">
        <v>24</v>
      </c>
      <c r="P147" s="34" t="s">
        <v>94</v>
      </c>
    </row>
    <row r="148" spans="1:16" s="44" customFormat="1">
      <c r="A148" s="36">
        <f t="shared" si="19"/>
        <v>144</v>
      </c>
      <c r="B148" s="42" t="s">
        <v>577</v>
      </c>
      <c r="C148" s="124" t="s">
        <v>578</v>
      </c>
      <c r="D148" s="28" t="s">
        <v>579</v>
      </c>
      <c r="E148" s="45">
        <v>42702</v>
      </c>
      <c r="F148" s="125">
        <f>4861150+121529+25017321</f>
        <v>30000000</v>
      </c>
      <c r="G148" s="46">
        <f t="shared" si="16"/>
        <v>20298000</v>
      </c>
      <c r="H148" s="42">
        <v>834000</v>
      </c>
      <c r="I148" s="42">
        <f t="shared" ref="I148:I155" si="20">+F148*1.2%</f>
        <v>360000</v>
      </c>
      <c r="J148" s="126" t="s">
        <v>580</v>
      </c>
      <c r="K148" s="120">
        <v>2</v>
      </c>
      <c r="L148" s="30">
        <f t="shared" si="17"/>
        <v>1194000</v>
      </c>
      <c r="M148" s="42">
        <f t="shared" si="18"/>
        <v>2388000</v>
      </c>
      <c r="N148" s="121">
        <f>F148-(H148*15)-10000000</f>
        <v>7490000</v>
      </c>
      <c r="O148" s="127" t="s">
        <v>581</v>
      </c>
      <c r="P148" s="34" t="s">
        <v>25</v>
      </c>
    </row>
    <row r="149" spans="1:16" s="44" customFormat="1">
      <c r="A149" s="36">
        <f t="shared" si="19"/>
        <v>145</v>
      </c>
      <c r="B149" s="39" t="s">
        <v>582</v>
      </c>
      <c r="C149" s="40" t="s">
        <v>583</v>
      </c>
      <c r="D149" s="41" t="s">
        <v>584</v>
      </c>
      <c r="E149" s="28">
        <v>43130</v>
      </c>
      <c r="F149" s="42">
        <f>9721000+243025+20035975</f>
        <v>30000000</v>
      </c>
      <c r="G149" s="46">
        <f t="shared" si="16"/>
        <v>42984000</v>
      </c>
      <c r="H149" s="119">
        <f>1194000-I149</f>
        <v>834000</v>
      </c>
      <c r="I149" s="119">
        <f t="shared" si="20"/>
        <v>360000</v>
      </c>
      <c r="J149" s="36">
        <v>36</v>
      </c>
      <c r="K149" s="120">
        <v>35</v>
      </c>
      <c r="L149" s="30">
        <f t="shared" si="17"/>
        <v>1194000</v>
      </c>
      <c r="M149" s="30">
        <f t="shared" si="18"/>
        <v>41790000</v>
      </c>
      <c r="N149" s="33">
        <f>F149-(H149*1)</f>
        <v>29166000</v>
      </c>
      <c r="O149" s="34" t="s">
        <v>585</v>
      </c>
      <c r="P149" s="34" t="s">
        <v>112</v>
      </c>
    </row>
    <row r="150" spans="1:16" s="44" customFormat="1">
      <c r="A150" s="36">
        <f t="shared" si="19"/>
        <v>146</v>
      </c>
      <c r="B150" s="42" t="s">
        <v>586</v>
      </c>
      <c r="C150" s="124" t="s">
        <v>587</v>
      </c>
      <c r="D150" s="124"/>
      <c r="E150" s="128">
        <v>42521</v>
      </c>
      <c r="F150" s="125">
        <f>30000000</f>
        <v>30000000</v>
      </c>
      <c r="G150" s="125">
        <f t="shared" si="16"/>
        <v>42984000</v>
      </c>
      <c r="H150" s="139">
        <f>1194000-I150</f>
        <v>834000</v>
      </c>
      <c r="I150" s="125">
        <f t="shared" si="20"/>
        <v>360000</v>
      </c>
      <c r="J150" s="126" t="s">
        <v>99</v>
      </c>
      <c r="K150" s="120">
        <v>15</v>
      </c>
      <c r="L150" s="42">
        <f t="shared" si="17"/>
        <v>1194000</v>
      </c>
      <c r="M150" s="42">
        <f t="shared" si="18"/>
        <v>17910000</v>
      </c>
      <c r="N150" s="134">
        <f>F150-(H150*21)</f>
        <v>12486000</v>
      </c>
      <c r="O150" s="127" t="s">
        <v>588</v>
      </c>
      <c r="P150" s="127" t="s">
        <v>351</v>
      </c>
    </row>
    <row r="151" spans="1:16" s="44" customFormat="1">
      <c r="A151" s="36">
        <f t="shared" si="19"/>
        <v>147</v>
      </c>
      <c r="B151" s="42" t="s">
        <v>589</v>
      </c>
      <c r="C151" s="124" t="s">
        <v>590</v>
      </c>
      <c r="D151" s="28" t="s">
        <v>591</v>
      </c>
      <c r="E151" s="45">
        <v>42723</v>
      </c>
      <c r="F151" s="125">
        <f>2400+29997600</f>
        <v>30000000</v>
      </c>
      <c r="G151" s="46">
        <f t="shared" si="16"/>
        <v>38640000</v>
      </c>
      <c r="H151" s="42">
        <f>+F151/J151</f>
        <v>1250000</v>
      </c>
      <c r="I151" s="42">
        <f t="shared" si="20"/>
        <v>360000</v>
      </c>
      <c r="J151" s="36">
        <v>24</v>
      </c>
      <c r="K151" s="120">
        <v>10</v>
      </c>
      <c r="L151" s="30">
        <f t="shared" si="17"/>
        <v>1610000</v>
      </c>
      <c r="M151" s="42">
        <f t="shared" si="18"/>
        <v>16100000</v>
      </c>
      <c r="N151" s="46">
        <f>+H151*K151</f>
        <v>12500000</v>
      </c>
      <c r="O151" s="127" t="s">
        <v>592</v>
      </c>
      <c r="P151" s="34" t="s">
        <v>86</v>
      </c>
    </row>
    <row r="152" spans="1:16" s="44" customFormat="1">
      <c r="A152" s="36">
        <f t="shared" si="19"/>
        <v>148</v>
      </c>
      <c r="B152" s="145" t="s">
        <v>593</v>
      </c>
      <c r="C152" s="152" t="s">
        <v>594</v>
      </c>
      <c r="D152" s="146" t="s">
        <v>595</v>
      </c>
      <c r="E152" s="147">
        <v>42867</v>
      </c>
      <c r="F152" s="148">
        <f>5000000</f>
        <v>5000000</v>
      </c>
      <c r="G152" s="153">
        <f t="shared" si="16"/>
        <v>5730000</v>
      </c>
      <c r="H152" s="148">
        <f>477500-I152</f>
        <v>417500</v>
      </c>
      <c r="I152" s="148">
        <f t="shared" si="20"/>
        <v>60000</v>
      </c>
      <c r="J152" s="150">
        <v>12</v>
      </c>
      <c r="K152" s="151">
        <f>9+1</f>
        <v>10</v>
      </c>
      <c r="L152" s="30">
        <f t="shared" si="17"/>
        <v>477500</v>
      </c>
      <c r="M152" s="30">
        <f t="shared" si="18"/>
        <v>4775000</v>
      </c>
      <c r="N152" s="121">
        <f>F152-(H152*2)</f>
        <v>4165000</v>
      </c>
      <c r="O152" s="34" t="s">
        <v>596</v>
      </c>
      <c r="P152" s="34" t="s">
        <v>86</v>
      </c>
    </row>
    <row r="153" spans="1:16" s="44" customFormat="1">
      <c r="A153" s="36">
        <f t="shared" si="19"/>
        <v>149</v>
      </c>
      <c r="B153" s="39" t="s">
        <v>597</v>
      </c>
      <c r="C153" s="40" t="s">
        <v>598</v>
      </c>
      <c r="D153" s="41" t="s">
        <v>599</v>
      </c>
      <c r="E153" s="45">
        <v>42961</v>
      </c>
      <c r="F153" s="42">
        <f>30000000</f>
        <v>30000000</v>
      </c>
      <c r="G153" s="46">
        <f t="shared" si="16"/>
        <v>43002000</v>
      </c>
      <c r="H153" s="132">
        <f>1194500-I153</f>
        <v>834500</v>
      </c>
      <c r="I153" s="42">
        <f t="shared" si="20"/>
        <v>360000</v>
      </c>
      <c r="J153" s="36">
        <v>36</v>
      </c>
      <c r="K153" s="120">
        <v>29</v>
      </c>
      <c r="L153" s="30">
        <f t="shared" si="17"/>
        <v>1194500</v>
      </c>
      <c r="M153" s="30">
        <f t="shared" si="18"/>
        <v>34640500</v>
      </c>
      <c r="N153" s="121">
        <f>F153-(H153*7)</f>
        <v>24158500</v>
      </c>
      <c r="O153" s="34" t="s">
        <v>600</v>
      </c>
      <c r="P153" s="34" t="s">
        <v>86</v>
      </c>
    </row>
    <row r="154" spans="1:16" s="44" customFormat="1">
      <c r="A154" s="36">
        <f t="shared" si="19"/>
        <v>150</v>
      </c>
      <c r="B154" s="42" t="s">
        <v>601</v>
      </c>
      <c r="C154" s="124" t="s">
        <v>602</v>
      </c>
      <c r="D154" s="124"/>
      <c r="E154" s="45">
        <v>42668</v>
      </c>
      <c r="F154" s="125">
        <f>1388900+34723+23576377</f>
        <v>25000000</v>
      </c>
      <c r="G154" s="122">
        <f t="shared" si="16"/>
        <v>35820000</v>
      </c>
      <c r="H154" s="42">
        <v>695000</v>
      </c>
      <c r="I154" s="42">
        <f t="shared" si="20"/>
        <v>300000</v>
      </c>
      <c r="J154" s="36">
        <v>36</v>
      </c>
      <c r="K154" s="120">
        <v>20</v>
      </c>
      <c r="L154" s="30">
        <f t="shared" si="17"/>
        <v>995000</v>
      </c>
      <c r="M154" s="42">
        <f t="shared" si="18"/>
        <v>19900000</v>
      </c>
      <c r="N154" s="121">
        <f>F154-(H154*16)</f>
        <v>13880000</v>
      </c>
      <c r="O154" s="127" t="s">
        <v>600</v>
      </c>
      <c r="P154" s="34" t="s">
        <v>101</v>
      </c>
    </row>
    <row r="155" spans="1:16" s="44" customFormat="1">
      <c r="A155" s="36">
        <f t="shared" si="19"/>
        <v>151</v>
      </c>
      <c r="B155" s="39" t="s">
        <v>603</v>
      </c>
      <c r="C155" s="40" t="s">
        <v>604</v>
      </c>
      <c r="D155" s="41" t="s">
        <v>605</v>
      </c>
      <c r="E155" s="45">
        <v>43048</v>
      </c>
      <c r="F155" s="42">
        <f>30000000</f>
        <v>30000000</v>
      </c>
      <c r="G155" s="46">
        <f t="shared" si="16"/>
        <v>38640000</v>
      </c>
      <c r="H155" s="119">
        <f>+F155/J155</f>
        <v>1250000</v>
      </c>
      <c r="I155" s="119">
        <f t="shared" si="20"/>
        <v>360000</v>
      </c>
      <c r="J155" s="36">
        <v>24</v>
      </c>
      <c r="K155" s="120">
        <v>20</v>
      </c>
      <c r="L155" s="30">
        <f t="shared" si="17"/>
        <v>1610000</v>
      </c>
      <c r="M155" s="30">
        <f t="shared" si="18"/>
        <v>32200000</v>
      </c>
      <c r="N155" s="46">
        <f>+H155*K155</f>
        <v>25000000</v>
      </c>
      <c r="O155" s="34" t="s">
        <v>346</v>
      </c>
      <c r="P155" s="34" t="s">
        <v>86</v>
      </c>
    </row>
    <row r="156" spans="1:16" s="44" customFormat="1">
      <c r="A156" s="36">
        <f t="shared" si="19"/>
        <v>152</v>
      </c>
      <c r="B156" s="39" t="s">
        <v>606</v>
      </c>
      <c r="C156" s="40" t="s">
        <v>607</v>
      </c>
      <c r="D156" s="41" t="s">
        <v>608</v>
      </c>
      <c r="E156" s="45">
        <v>43005</v>
      </c>
      <c r="F156" s="42">
        <f>555600+13890+29430510</f>
        <v>30000000</v>
      </c>
      <c r="G156" s="46">
        <f t="shared" si="16"/>
        <v>42984000</v>
      </c>
      <c r="H156" s="119">
        <v>834000</v>
      </c>
      <c r="I156" s="119">
        <f>F156*1.2%</f>
        <v>360000</v>
      </c>
      <c r="J156" s="36">
        <v>36</v>
      </c>
      <c r="K156" s="120">
        <v>31</v>
      </c>
      <c r="L156" s="30">
        <f t="shared" si="17"/>
        <v>1194000</v>
      </c>
      <c r="M156" s="30">
        <f t="shared" si="18"/>
        <v>37014000</v>
      </c>
      <c r="N156" s="121">
        <f>F156-(H156*5)</f>
        <v>25830000</v>
      </c>
      <c r="O156" s="34" t="s">
        <v>609</v>
      </c>
      <c r="P156" s="34" t="s">
        <v>94</v>
      </c>
    </row>
    <row r="157" spans="1:16" s="44" customFormat="1">
      <c r="A157" s="36">
        <f t="shared" si="19"/>
        <v>153</v>
      </c>
      <c r="B157" s="39" t="s">
        <v>610</v>
      </c>
      <c r="C157" s="40" t="s">
        <v>611</v>
      </c>
      <c r="D157" s="41" t="s">
        <v>612</v>
      </c>
      <c r="E157" s="28">
        <v>43090</v>
      </c>
      <c r="F157" s="42">
        <f>20000000</f>
        <v>20000000</v>
      </c>
      <c r="G157" s="46">
        <f t="shared" si="16"/>
        <v>28656000</v>
      </c>
      <c r="H157" s="119">
        <v>556000</v>
      </c>
      <c r="I157" s="119">
        <f>+F157*1.2%</f>
        <v>240000</v>
      </c>
      <c r="J157" s="36">
        <v>36</v>
      </c>
      <c r="K157" s="120">
        <v>34</v>
      </c>
      <c r="L157" s="30">
        <f t="shared" si="17"/>
        <v>796000</v>
      </c>
      <c r="M157" s="30">
        <f t="shared" si="18"/>
        <v>27064000</v>
      </c>
      <c r="N157" s="33">
        <f>F157-(H157*2)</f>
        <v>18888000</v>
      </c>
      <c r="O157" s="34" t="s">
        <v>613</v>
      </c>
      <c r="P157" s="34" t="s">
        <v>86</v>
      </c>
    </row>
    <row r="158" spans="1:16" s="44" customFormat="1">
      <c r="A158" s="36">
        <f t="shared" si="19"/>
        <v>154</v>
      </c>
      <c r="B158" s="39" t="s">
        <v>614</v>
      </c>
      <c r="C158" s="40" t="s">
        <v>615</v>
      </c>
      <c r="D158" s="28" t="s">
        <v>616</v>
      </c>
      <c r="E158" s="45">
        <v>42941</v>
      </c>
      <c r="F158" s="42">
        <f>1694650+42366+28262984</f>
        <v>30000000</v>
      </c>
      <c r="G158" s="46">
        <f t="shared" si="16"/>
        <v>43002000</v>
      </c>
      <c r="H158" s="132">
        <f>1194500-I158</f>
        <v>834500</v>
      </c>
      <c r="I158" s="42">
        <f>+F158*1.2%</f>
        <v>360000</v>
      </c>
      <c r="J158" s="36">
        <v>36</v>
      </c>
      <c r="K158" s="120">
        <v>29</v>
      </c>
      <c r="L158" s="30">
        <f t="shared" si="17"/>
        <v>1194500</v>
      </c>
      <c r="M158" s="30">
        <f t="shared" si="18"/>
        <v>34640500</v>
      </c>
      <c r="N158" s="121">
        <f>F158-(H158*7)</f>
        <v>24158500</v>
      </c>
      <c r="O158" s="34" t="s">
        <v>59</v>
      </c>
      <c r="P158" s="34" t="s">
        <v>112</v>
      </c>
    </row>
    <row r="159" spans="1:16" s="44" customFormat="1">
      <c r="A159" s="36">
        <f t="shared" si="19"/>
        <v>155</v>
      </c>
      <c r="B159" s="39" t="s">
        <v>617</v>
      </c>
      <c r="C159" s="40" t="s">
        <v>618</v>
      </c>
      <c r="D159" s="28" t="s">
        <v>619</v>
      </c>
      <c r="E159" s="45">
        <v>43010</v>
      </c>
      <c r="F159" s="132">
        <f>15000000</f>
        <v>15000000</v>
      </c>
      <c r="G159" s="46">
        <f t="shared" si="16"/>
        <v>19320000</v>
      </c>
      <c r="H159" s="119">
        <f>+F159/J159</f>
        <v>625000</v>
      </c>
      <c r="I159" s="119">
        <f>F159*1.2%</f>
        <v>180000</v>
      </c>
      <c r="J159" s="36">
        <v>24</v>
      </c>
      <c r="K159" s="120">
        <v>19</v>
      </c>
      <c r="L159" s="30">
        <f t="shared" si="17"/>
        <v>805000</v>
      </c>
      <c r="M159" s="30">
        <f t="shared" si="18"/>
        <v>15295000</v>
      </c>
      <c r="N159" s="46">
        <f>+H159*K159</f>
        <v>11875000</v>
      </c>
      <c r="O159" s="34" t="s">
        <v>620</v>
      </c>
      <c r="P159" s="34" t="s">
        <v>183</v>
      </c>
    </row>
    <row r="160" spans="1:16" s="44" customFormat="1">
      <c r="A160" s="36">
        <f t="shared" si="19"/>
        <v>156</v>
      </c>
      <c r="B160" s="42" t="s">
        <v>621</v>
      </c>
      <c r="C160" s="124" t="s">
        <v>622</v>
      </c>
      <c r="D160" s="41" t="s">
        <v>623</v>
      </c>
      <c r="E160" s="45">
        <v>42832</v>
      </c>
      <c r="F160" s="132">
        <f>2000000</f>
        <v>2000000</v>
      </c>
      <c r="G160" s="132">
        <f t="shared" si="16"/>
        <v>2604000</v>
      </c>
      <c r="H160" s="132">
        <f>108500-I160</f>
        <v>84500</v>
      </c>
      <c r="I160" s="132">
        <f t="shared" ref="I160:I168" si="21">+F160*1.2%</f>
        <v>24000</v>
      </c>
      <c r="J160" s="36">
        <v>24</v>
      </c>
      <c r="K160" s="120">
        <v>13</v>
      </c>
      <c r="L160" s="48">
        <f t="shared" si="17"/>
        <v>108500</v>
      </c>
      <c r="M160" s="29">
        <f t="shared" si="18"/>
        <v>1410500</v>
      </c>
      <c r="N160" s="121">
        <f>F160-(H160*11)</f>
        <v>1070500</v>
      </c>
      <c r="O160" s="34" t="s">
        <v>624</v>
      </c>
      <c r="P160" s="34" t="s">
        <v>178</v>
      </c>
    </row>
    <row r="161" spans="1:16" s="44" customFormat="1">
      <c r="A161" s="36">
        <f t="shared" si="19"/>
        <v>157</v>
      </c>
      <c r="B161" s="39" t="s">
        <v>621</v>
      </c>
      <c r="C161" s="40" t="s">
        <v>622</v>
      </c>
      <c r="D161" s="28" t="s">
        <v>625</v>
      </c>
      <c r="E161" s="45">
        <v>43033</v>
      </c>
      <c r="F161" s="132">
        <f>832600+20815+9146585</f>
        <v>10000000</v>
      </c>
      <c r="G161" s="46">
        <f t="shared" si="16"/>
        <v>12888000</v>
      </c>
      <c r="H161" s="119">
        <v>417000</v>
      </c>
      <c r="I161" s="119">
        <f t="shared" si="21"/>
        <v>120000</v>
      </c>
      <c r="J161" s="36">
        <v>24</v>
      </c>
      <c r="K161" s="120">
        <v>20</v>
      </c>
      <c r="L161" s="30">
        <f t="shared" si="17"/>
        <v>537000</v>
      </c>
      <c r="M161" s="30">
        <f t="shared" si="18"/>
        <v>10740000</v>
      </c>
      <c r="N161" s="33">
        <f>F161-(H161*4)</f>
        <v>8332000</v>
      </c>
      <c r="O161" s="34" t="s">
        <v>626</v>
      </c>
      <c r="P161" s="34" t="s">
        <v>112</v>
      </c>
    </row>
    <row r="162" spans="1:16" s="44" customFormat="1">
      <c r="A162" s="36">
        <f t="shared" si="19"/>
        <v>158</v>
      </c>
      <c r="B162" s="39" t="s">
        <v>627</v>
      </c>
      <c r="C162" s="40" t="s">
        <v>628</v>
      </c>
      <c r="D162" s="41" t="s">
        <v>629</v>
      </c>
      <c r="E162" s="45">
        <v>43047</v>
      </c>
      <c r="F162" s="42">
        <f>30000000</f>
        <v>30000000</v>
      </c>
      <c r="G162" s="46">
        <f t="shared" si="16"/>
        <v>38640000</v>
      </c>
      <c r="H162" s="119">
        <f>+F162/J162</f>
        <v>1250000</v>
      </c>
      <c r="I162" s="119">
        <f t="shared" si="21"/>
        <v>360000</v>
      </c>
      <c r="J162" s="36">
        <v>24</v>
      </c>
      <c r="K162" s="120">
        <v>20</v>
      </c>
      <c r="L162" s="30">
        <f t="shared" si="17"/>
        <v>1610000</v>
      </c>
      <c r="M162" s="30">
        <f t="shared" si="18"/>
        <v>32200000</v>
      </c>
      <c r="N162" s="46">
        <f>+H162*K162</f>
        <v>25000000</v>
      </c>
      <c r="O162" s="34" t="s">
        <v>630</v>
      </c>
      <c r="P162" s="34" t="s">
        <v>86</v>
      </c>
    </row>
    <row r="163" spans="1:16" s="44" customFormat="1">
      <c r="A163" s="36">
        <f t="shared" si="19"/>
        <v>159</v>
      </c>
      <c r="B163" s="39" t="s">
        <v>631</v>
      </c>
      <c r="C163" s="40" t="s">
        <v>632</v>
      </c>
      <c r="D163" s="40" t="s">
        <v>633</v>
      </c>
      <c r="E163" s="45">
        <v>42802</v>
      </c>
      <c r="F163" s="132">
        <f>17497500+437438+157189+11907873</f>
        <v>30000000</v>
      </c>
      <c r="G163" s="46">
        <f t="shared" si="16"/>
        <v>42984000</v>
      </c>
      <c r="H163" s="42">
        <f>1194000-I163</f>
        <v>834000</v>
      </c>
      <c r="I163" s="42">
        <f t="shared" si="21"/>
        <v>360000</v>
      </c>
      <c r="J163" s="36">
        <v>36</v>
      </c>
      <c r="K163" s="120">
        <v>24</v>
      </c>
      <c r="L163" s="30">
        <f t="shared" si="17"/>
        <v>1194000</v>
      </c>
      <c r="M163" s="30">
        <f t="shared" si="18"/>
        <v>28656000</v>
      </c>
      <c r="N163" s="121">
        <f>F163-(H163*12)</f>
        <v>19992000</v>
      </c>
      <c r="O163" s="34" t="s">
        <v>634</v>
      </c>
      <c r="P163" s="34" t="s">
        <v>112</v>
      </c>
    </row>
    <row r="164" spans="1:16" s="44" customFormat="1">
      <c r="A164" s="36">
        <f t="shared" si="19"/>
        <v>160</v>
      </c>
      <c r="B164" s="39" t="s">
        <v>635</v>
      </c>
      <c r="C164" s="40" t="s">
        <v>636</v>
      </c>
      <c r="D164" s="41" t="s">
        <v>637</v>
      </c>
      <c r="E164" s="45">
        <v>42761</v>
      </c>
      <c r="F164" s="42">
        <f>12486225+312156+17201619</f>
        <v>30000000</v>
      </c>
      <c r="G164" s="46">
        <f t="shared" si="16"/>
        <v>42984000</v>
      </c>
      <c r="H164" s="42">
        <f>1194000-I164</f>
        <v>834000</v>
      </c>
      <c r="I164" s="42">
        <f t="shared" si="21"/>
        <v>360000</v>
      </c>
      <c r="J164" s="36">
        <v>36</v>
      </c>
      <c r="K164" s="120">
        <v>23</v>
      </c>
      <c r="L164" s="30">
        <f t="shared" si="17"/>
        <v>1194000</v>
      </c>
      <c r="M164" s="30">
        <f t="shared" si="18"/>
        <v>27462000</v>
      </c>
      <c r="N164" s="121">
        <f>F164-(H164*13)</f>
        <v>19158000</v>
      </c>
      <c r="O164" s="34" t="s">
        <v>232</v>
      </c>
      <c r="P164" s="34" t="s">
        <v>112</v>
      </c>
    </row>
    <row r="165" spans="1:16" s="44" customFormat="1">
      <c r="A165" s="36">
        <f t="shared" si="19"/>
        <v>161</v>
      </c>
      <c r="B165" s="39" t="s">
        <v>638</v>
      </c>
      <c r="C165" s="40" t="s">
        <v>639</v>
      </c>
      <c r="D165" s="40" t="s">
        <v>640</v>
      </c>
      <c r="E165" s="45">
        <v>42850</v>
      </c>
      <c r="F165" s="42">
        <f>30000000</f>
        <v>30000000</v>
      </c>
      <c r="G165" s="46">
        <f t="shared" si="16"/>
        <v>43002000</v>
      </c>
      <c r="H165" s="42">
        <f>1194500-I165</f>
        <v>834500</v>
      </c>
      <c r="I165" s="42">
        <f t="shared" si="21"/>
        <v>360000</v>
      </c>
      <c r="J165" s="36">
        <v>36</v>
      </c>
      <c r="K165" s="120">
        <v>26</v>
      </c>
      <c r="L165" s="30">
        <f t="shared" si="17"/>
        <v>1194500</v>
      </c>
      <c r="M165" s="30">
        <f t="shared" si="18"/>
        <v>31057000</v>
      </c>
      <c r="N165" s="121">
        <f>F165-(H165*10)</f>
        <v>21655000</v>
      </c>
      <c r="O165" s="34" t="s">
        <v>225</v>
      </c>
      <c r="P165" s="34" t="s">
        <v>86</v>
      </c>
    </row>
    <row r="166" spans="1:16" s="44" customFormat="1">
      <c r="A166" s="36">
        <f t="shared" si="19"/>
        <v>162</v>
      </c>
      <c r="B166" s="42" t="s">
        <v>641</v>
      </c>
      <c r="C166" s="124" t="s">
        <v>642</v>
      </c>
      <c r="D166" s="124"/>
      <c r="E166" s="128">
        <v>42411</v>
      </c>
      <c r="F166" s="125">
        <f>30000000</f>
        <v>30000000</v>
      </c>
      <c r="G166" s="129">
        <f t="shared" si="16"/>
        <v>42966000</v>
      </c>
      <c r="H166" s="42">
        <v>833500</v>
      </c>
      <c r="I166" s="125">
        <f t="shared" si="21"/>
        <v>360000</v>
      </c>
      <c r="J166" s="126" t="s">
        <v>99</v>
      </c>
      <c r="K166" s="120">
        <v>11</v>
      </c>
      <c r="L166" s="42">
        <f t="shared" si="17"/>
        <v>1193500</v>
      </c>
      <c r="M166" s="42">
        <f t="shared" si="18"/>
        <v>13128500</v>
      </c>
      <c r="N166" s="144">
        <f>F166-(H166*25)</f>
        <v>9162500</v>
      </c>
      <c r="O166" s="127" t="s">
        <v>549</v>
      </c>
      <c r="P166" s="127" t="s">
        <v>86</v>
      </c>
    </row>
    <row r="167" spans="1:16" s="44" customFormat="1">
      <c r="A167" s="36">
        <f t="shared" si="19"/>
        <v>163</v>
      </c>
      <c r="B167" s="154" t="s">
        <v>643</v>
      </c>
      <c r="C167" s="155" t="s">
        <v>644</v>
      </c>
      <c r="D167" s="155"/>
      <c r="E167" s="128">
        <v>42577</v>
      </c>
      <c r="F167" s="122">
        <f>20000000</f>
        <v>20000000</v>
      </c>
      <c r="G167" s="122">
        <f t="shared" si="16"/>
        <v>25776000</v>
      </c>
      <c r="H167" s="125">
        <f>1074000-I167</f>
        <v>834000</v>
      </c>
      <c r="I167" s="125">
        <f t="shared" si="21"/>
        <v>240000</v>
      </c>
      <c r="J167" s="36">
        <v>24</v>
      </c>
      <c r="K167" s="120">
        <v>5</v>
      </c>
      <c r="L167" s="138">
        <f t="shared" si="17"/>
        <v>1074000</v>
      </c>
      <c r="M167" s="42">
        <f t="shared" si="18"/>
        <v>5370000</v>
      </c>
      <c r="N167" s="136">
        <f>F167-(H167*19)</f>
        <v>4154000</v>
      </c>
      <c r="O167" s="140" t="s">
        <v>645</v>
      </c>
      <c r="P167" s="141" t="s">
        <v>86</v>
      </c>
    </row>
    <row r="168" spans="1:16" s="44" customFormat="1">
      <c r="A168" s="36">
        <f t="shared" si="19"/>
        <v>164</v>
      </c>
      <c r="B168" s="39" t="s">
        <v>646</v>
      </c>
      <c r="C168" s="40" t="s">
        <v>647</v>
      </c>
      <c r="D168" s="45"/>
      <c r="E168" s="45">
        <v>42699</v>
      </c>
      <c r="F168" s="42">
        <f>4166700+104168+25729132</f>
        <v>30000000</v>
      </c>
      <c r="G168" s="46">
        <f t="shared" si="16"/>
        <v>42984000</v>
      </c>
      <c r="H168" s="42">
        <v>834000</v>
      </c>
      <c r="I168" s="42">
        <f t="shared" si="21"/>
        <v>360000</v>
      </c>
      <c r="J168" s="36">
        <v>36</v>
      </c>
      <c r="K168" s="120">
        <v>21</v>
      </c>
      <c r="L168" s="30">
        <f t="shared" si="17"/>
        <v>1194000</v>
      </c>
      <c r="M168" s="30">
        <f t="shared" si="18"/>
        <v>25074000</v>
      </c>
      <c r="N168" s="121">
        <f>F168-(H168*15)</f>
        <v>17490000</v>
      </c>
      <c r="O168" s="34" t="s">
        <v>648</v>
      </c>
      <c r="P168" s="34" t="s">
        <v>25</v>
      </c>
    </row>
    <row r="169" spans="1:16" s="44" customFormat="1">
      <c r="A169" s="36">
        <f t="shared" si="19"/>
        <v>165</v>
      </c>
      <c r="B169" s="39" t="s">
        <v>649</v>
      </c>
      <c r="C169" s="40" t="s">
        <v>650</v>
      </c>
      <c r="D169" s="41" t="s">
        <v>651</v>
      </c>
      <c r="E169" s="45">
        <v>42972</v>
      </c>
      <c r="F169" s="42">
        <f>10000000</f>
        <v>10000000</v>
      </c>
      <c r="G169" s="46">
        <f t="shared" si="16"/>
        <v>11448000</v>
      </c>
      <c r="H169" s="132">
        <v>834000</v>
      </c>
      <c r="I169" s="119">
        <f>F169*1.2%</f>
        <v>120000</v>
      </c>
      <c r="J169" s="36">
        <v>12</v>
      </c>
      <c r="K169" s="120">
        <v>6</v>
      </c>
      <c r="L169" s="30">
        <f t="shared" si="17"/>
        <v>954000</v>
      </c>
      <c r="M169" s="30">
        <f t="shared" si="18"/>
        <v>5724000</v>
      </c>
      <c r="N169" s="121">
        <f>F169-(H169*6)</f>
        <v>4996000</v>
      </c>
      <c r="O169" s="34" t="s">
        <v>581</v>
      </c>
      <c r="P169" s="34" t="s">
        <v>86</v>
      </c>
    </row>
    <row r="170" spans="1:16" s="44" customFormat="1">
      <c r="A170" s="36">
        <f t="shared" si="19"/>
        <v>166</v>
      </c>
      <c r="B170" s="42" t="s">
        <v>652</v>
      </c>
      <c r="C170" s="124" t="s">
        <v>653</v>
      </c>
      <c r="D170" s="124"/>
      <c r="E170" s="45">
        <v>42184</v>
      </c>
      <c r="F170" s="125">
        <f>277780+6945+24715275</f>
        <v>25000000</v>
      </c>
      <c r="G170" s="129">
        <f t="shared" si="16"/>
        <v>35802000</v>
      </c>
      <c r="H170" s="42">
        <v>694500</v>
      </c>
      <c r="I170" s="125">
        <f>+F170*1.2%</f>
        <v>300000</v>
      </c>
      <c r="J170" s="126" t="s">
        <v>99</v>
      </c>
      <c r="K170" s="120">
        <v>4</v>
      </c>
      <c r="L170" s="42">
        <f t="shared" si="17"/>
        <v>994500</v>
      </c>
      <c r="M170" s="42">
        <f t="shared" si="18"/>
        <v>3978000</v>
      </c>
      <c r="N170" s="143">
        <f>F170-(H170*32)</f>
        <v>2776000</v>
      </c>
      <c r="O170" s="127" t="s">
        <v>654</v>
      </c>
      <c r="P170" s="127" t="s">
        <v>112</v>
      </c>
    </row>
    <row r="171" spans="1:16" s="44" customFormat="1">
      <c r="A171" s="36">
        <f t="shared" si="19"/>
        <v>167</v>
      </c>
      <c r="B171" s="42" t="s">
        <v>655</v>
      </c>
      <c r="C171" s="124" t="s">
        <v>656</v>
      </c>
      <c r="D171" s="124"/>
      <c r="E171" s="45">
        <v>42300</v>
      </c>
      <c r="F171" s="125">
        <f>3217830+80446+19701724</f>
        <v>23000000</v>
      </c>
      <c r="G171" s="129">
        <f t="shared" si="16"/>
        <v>32936400</v>
      </c>
      <c r="H171" s="42">
        <v>638900</v>
      </c>
      <c r="I171" s="125">
        <f>+F171*1.2%</f>
        <v>276000</v>
      </c>
      <c r="J171" s="126" t="s">
        <v>99</v>
      </c>
      <c r="K171" s="120">
        <v>8</v>
      </c>
      <c r="L171" s="42">
        <f t="shared" si="17"/>
        <v>914900</v>
      </c>
      <c r="M171" s="42">
        <f t="shared" si="18"/>
        <v>7319200</v>
      </c>
      <c r="N171" s="156">
        <f>F171-(H171*28)</f>
        <v>5110800</v>
      </c>
      <c r="O171" s="127" t="s">
        <v>508</v>
      </c>
      <c r="P171" s="127" t="s">
        <v>112</v>
      </c>
    </row>
    <row r="172" spans="1:16" s="44" customFormat="1">
      <c r="A172" s="36">
        <f t="shared" si="19"/>
        <v>168</v>
      </c>
      <c r="B172" s="39" t="s">
        <v>657</v>
      </c>
      <c r="C172" s="40" t="s">
        <v>658</v>
      </c>
      <c r="D172" s="28" t="s">
        <v>659</v>
      </c>
      <c r="E172" s="45">
        <v>42818</v>
      </c>
      <c r="F172" s="42">
        <f>1863500+46588+13089912</f>
        <v>15000000</v>
      </c>
      <c r="G172" s="46">
        <f t="shared" si="16"/>
        <v>21510000</v>
      </c>
      <c r="H172" s="42">
        <v>417500</v>
      </c>
      <c r="I172" s="42">
        <f>+F172*1.2%</f>
        <v>180000</v>
      </c>
      <c r="J172" s="36">
        <v>36</v>
      </c>
      <c r="K172" s="120">
        <v>25</v>
      </c>
      <c r="L172" s="30">
        <f t="shared" si="17"/>
        <v>597500</v>
      </c>
      <c r="M172" s="30">
        <f t="shared" si="18"/>
        <v>14937500</v>
      </c>
      <c r="N172" s="121">
        <f>F172-(H172*11)</f>
        <v>10407500</v>
      </c>
      <c r="O172" s="34" t="s">
        <v>400</v>
      </c>
      <c r="P172" s="34" t="s">
        <v>112</v>
      </c>
    </row>
    <row r="173" spans="1:16" s="44" customFormat="1">
      <c r="A173" s="36">
        <f t="shared" si="19"/>
        <v>169</v>
      </c>
      <c r="B173" s="39" t="s">
        <v>660</v>
      </c>
      <c r="C173" s="40" t="s">
        <v>661</v>
      </c>
      <c r="D173" s="41" t="s">
        <v>662</v>
      </c>
      <c r="E173" s="45">
        <v>42942</v>
      </c>
      <c r="F173" s="42">
        <f>30000000</f>
        <v>30000000</v>
      </c>
      <c r="G173" s="46">
        <f t="shared" si="16"/>
        <v>43002000</v>
      </c>
      <c r="H173" s="119">
        <v>834500</v>
      </c>
      <c r="I173" s="42">
        <f>+F173*1.2%</f>
        <v>360000</v>
      </c>
      <c r="J173" s="36">
        <v>36</v>
      </c>
      <c r="K173" s="120">
        <v>29</v>
      </c>
      <c r="L173" s="30">
        <f t="shared" si="17"/>
        <v>1194500</v>
      </c>
      <c r="M173" s="30">
        <f t="shared" si="18"/>
        <v>34640500</v>
      </c>
      <c r="N173" s="121">
        <f>F173-(H173*7)</f>
        <v>24158500</v>
      </c>
      <c r="O173" s="34" t="s">
        <v>663</v>
      </c>
      <c r="P173" s="34" t="s">
        <v>86</v>
      </c>
    </row>
    <row r="174" spans="1:16" s="44" customFormat="1">
      <c r="A174" s="36">
        <f t="shared" si="19"/>
        <v>170</v>
      </c>
      <c r="B174" s="39" t="s">
        <v>664</v>
      </c>
      <c r="C174" s="40" t="s">
        <v>665</v>
      </c>
      <c r="D174" s="41" t="s">
        <v>666</v>
      </c>
      <c r="E174" s="28">
        <v>43096</v>
      </c>
      <c r="F174" s="42">
        <f>12927952+323199+16748849</f>
        <v>30000000</v>
      </c>
      <c r="G174" s="46">
        <f t="shared" si="16"/>
        <v>42984000</v>
      </c>
      <c r="H174" s="119">
        <v>834000</v>
      </c>
      <c r="I174" s="119">
        <f>+F174*1.2%</f>
        <v>360000</v>
      </c>
      <c r="J174" s="36">
        <v>36</v>
      </c>
      <c r="K174" s="120">
        <v>34</v>
      </c>
      <c r="L174" s="30">
        <f t="shared" si="17"/>
        <v>1194000</v>
      </c>
      <c r="M174" s="30">
        <f t="shared" si="18"/>
        <v>40596000</v>
      </c>
      <c r="N174" s="33">
        <f>F174-(H174*2)</f>
        <v>28332000</v>
      </c>
      <c r="O174" s="34" t="s">
        <v>667</v>
      </c>
      <c r="P174" s="34" t="s">
        <v>94</v>
      </c>
    </row>
    <row r="175" spans="1:16" s="44" customFormat="1">
      <c r="A175" s="36">
        <f t="shared" si="19"/>
        <v>171</v>
      </c>
      <c r="B175" s="39" t="s">
        <v>668</v>
      </c>
      <c r="C175" s="40" t="s">
        <v>669</v>
      </c>
      <c r="D175" s="28" t="s">
        <v>670</v>
      </c>
      <c r="E175" s="45">
        <v>43012</v>
      </c>
      <c r="F175" s="42">
        <f>25000000</f>
        <v>25000000</v>
      </c>
      <c r="G175" s="46">
        <f t="shared" si="16"/>
        <v>35820000</v>
      </c>
      <c r="H175" s="119">
        <f>995000-I175</f>
        <v>695000</v>
      </c>
      <c r="I175" s="119">
        <f>F175*1.2%</f>
        <v>300000</v>
      </c>
      <c r="J175" s="36">
        <v>36</v>
      </c>
      <c r="K175" s="120">
        <v>31</v>
      </c>
      <c r="L175" s="30">
        <f t="shared" si="17"/>
        <v>995000</v>
      </c>
      <c r="M175" s="30">
        <f t="shared" si="18"/>
        <v>30845000</v>
      </c>
      <c r="N175" s="121">
        <f>F175-(H175*5)</f>
        <v>21525000</v>
      </c>
      <c r="O175" s="34" t="s">
        <v>671</v>
      </c>
      <c r="P175" s="34" t="s">
        <v>183</v>
      </c>
    </row>
    <row r="176" spans="1:16" s="44" customFormat="1">
      <c r="A176" s="36">
        <f t="shared" si="19"/>
        <v>172</v>
      </c>
      <c r="B176" s="39" t="s">
        <v>672</v>
      </c>
      <c r="C176" s="40" t="s">
        <v>673</v>
      </c>
      <c r="D176" s="41" t="s">
        <v>674</v>
      </c>
      <c r="E176" s="45">
        <v>43069</v>
      </c>
      <c r="F176" s="42">
        <f>9941635+248541+15000000</f>
        <v>25190176</v>
      </c>
      <c r="G176" s="46">
        <f t="shared" si="16"/>
        <v>32448000</v>
      </c>
      <c r="H176" s="42">
        <v>1049718</v>
      </c>
      <c r="I176" s="119">
        <v>302282</v>
      </c>
      <c r="J176" s="36">
        <v>24</v>
      </c>
      <c r="K176" s="120">
        <v>21</v>
      </c>
      <c r="L176" s="30">
        <f t="shared" si="17"/>
        <v>1352000</v>
      </c>
      <c r="M176" s="30">
        <f t="shared" si="18"/>
        <v>28392000</v>
      </c>
      <c r="N176" s="33">
        <f>F176-(H176*3)</f>
        <v>22041022</v>
      </c>
      <c r="O176" s="34" t="s">
        <v>675</v>
      </c>
      <c r="P176" s="47" t="s">
        <v>112</v>
      </c>
    </row>
    <row r="177" spans="1:16" s="44" customFormat="1">
      <c r="A177" s="36">
        <f t="shared" si="19"/>
        <v>173</v>
      </c>
      <c r="B177" s="39" t="s">
        <v>676</v>
      </c>
      <c r="C177" s="40" t="s">
        <v>677</v>
      </c>
      <c r="D177" s="41" t="s">
        <v>678</v>
      </c>
      <c r="E177" s="45">
        <v>43033</v>
      </c>
      <c r="F177" s="42">
        <f>23328000+583200+6088800</f>
        <v>30000000</v>
      </c>
      <c r="G177" s="46">
        <f t="shared" si="16"/>
        <v>42984000</v>
      </c>
      <c r="H177" s="119">
        <v>834000</v>
      </c>
      <c r="I177" s="119">
        <f>+F177*1.2%</f>
        <v>360000</v>
      </c>
      <c r="J177" s="36">
        <v>36</v>
      </c>
      <c r="K177" s="120">
        <v>32</v>
      </c>
      <c r="L177" s="30">
        <f t="shared" si="17"/>
        <v>1194000</v>
      </c>
      <c r="M177" s="30">
        <f t="shared" si="18"/>
        <v>38208000</v>
      </c>
      <c r="N177" s="33">
        <f>F177-(H177*4)</f>
        <v>26664000</v>
      </c>
      <c r="O177" s="34" t="s">
        <v>679</v>
      </c>
      <c r="P177" s="34" t="s">
        <v>112</v>
      </c>
    </row>
    <row r="178" spans="1:16" s="44" customFormat="1">
      <c r="A178" s="36">
        <f t="shared" si="19"/>
        <v>174</v>
      </c>
      <c r="B178" s="42" t="s">
        <v>680</v>
      </c>
      <c r="C178" s="124" t="s">
        <v>681</v>
      </c>
      <c r="D178" s="124"/>
      <c r="E178" s="45">
        <v>42304</v>
      </c>
      <c r="F178" s="125">
        <f>25000000</f>
        <v>25000000</v>
      </c>
      <c r="G178" s="129">
        <f t="shared" si="16"/>
        <v>35802000</v>
      </c>
      <c r="H178" s="42">
        <v>694500</v>
      </c>
      <c r="I178" s="125">
        <f>+F178*1.2%</f>
        <v>300000</v>
      </c>
      <c r="J178" s="126" t="s">
        <v>99</v>
      </c>
      <c r="K178" s="120">
        <v>8</v>
      </c>
      <c r="L178" s="42">
        <f t="shared" si="17"/>
        <v>994500</v>
      </c>
      <c r="M178" s="42">
        <f t="shared" si="18"/>
        <v>7956000</v>
      </c>
      <c r="N178" s="156">
        <f>F178-(H178*28)</f>
        <v>5554000</v>
      </c>
      <c r="O178" s="127" t="s">
        <v>682</v>
      </c>
      <c r="P178" s="127" t="s">
        <v>86</v>
      </c>
    </row>
    <row r="179" spans="1:16" s="44" customFormat="1">
      <c r="A179" s="36">
        <f t="shared" si="19"/>
        <v>175</v>
      </c>
      <c r="B179" s="39" t="s">
        <v>683</v>
      </c>
      <c r="C179" s="40" t="s">
        <v>684</v>
      </c>
      <c r="D179" s="40" t="s">
        <v>685</v>
      </c>
      <c r="E179" s="45">
        <v>42790</v>
      </c>
      <c r="F179" s="42">
        <f>14165400+354135+15480465</f>
        <v>30000000</v>
      </c>
      <c r="G179" s="46">
        <f t="shared" si="16"/>
        <v>42984000</v>
      </c>
      <c r="H179" s="42">
        <f>1194000-I179</f>
        <v>834000</v>
      </c>
      <c r="I179" s="42">
        <f>+F179*1.2%</f>
        <v>360000</v>
      </c>
      <c r="J179" s="36">
        <v>36</v>
      </c>
      <c r="K179" s="120">
        <v>24</v>
      </c>
      <c r="L179" s="30">
        <f t="shared" si="17"/>
        <v>1194000</v>
      </c>
      <c r="M179" s="30">
        <f t="shared" si="18"/>
        <v>28656000</v>
      </c>
      <c r="N179" s="121">
        <f>F179-(H179*12)</f>
        <v>19992000</v>
      </c>
      <c r="O179" s="34" t="s">
        <v>232</v>
      </c>
      <c r="P179" s="34" t="s">
        <v>112</v>
      </c>
    </row>
    <row r="180" spans="1:16" s="44" customFormat="1">
      <c r="A180" s="36">
        <f t="shared" si="19"/>
        <v>176</v>
      </c>
      <c r="B180" s="39" t="s">
        <v>686</v>
      </c>
      <c r="C180" s="40" t="s">
        <v>687</v>
      </c>
      <c r="D180" s="41" t="s">
        <v>688</v>
      </c>
      <c r="E180" s="45">
        <v>42972</v>
      </c>
      <c r="F180" s="42">
        <f>24162000+604050+5233950</f>
        <v>30000000</v>
      </c>
      <c r="G180" s="46">
        <f t="shared" si="16"/>
        <v>42984000</v>
      </c>
      <c r="H180" s="132">
        <v>834000</v>
      </c>
      <c r="I180" s="119">
        <f>F180*1.2%</f>
        <v>360000</v>
      </c>
      <c r="J180" s="36">
        <v>36</v>
      </c>
      <c r="K180" s="120">
        <v>30</v>
      </c>
      <c r="L180" s="30">
        <f t="shared" si="17"/>
        <v>1194000</v>
      </c>
      <c r="M180" s="30">
        <f t="shared" si="18"/>
        <v>35820000</v>
      </c>
      <c r="N180" s="121">
        <f>F180-(H180*6)</f>
        <v>24996000</v>
      </c>
      <c r="O180" s="34" t="s">
        <v>689</v>
      </c>
      <c r="P180" s="34" t="s">
        <v>112</v>
      </c>
    </row>
    <row r="181" spans="1:16" s="44" customFormat="1">
      <c r="A181" s="36">
        <f t="shared" si="19"/>
        <v>177</v>
      </c>
      <c r="B181" s="39" t="s">
        <v>690</v>
      </c>
      <c r="C181" s="40" t="s">
        <v>691</v>
      </c>
      <c r="D181" s="41" t="s">
        <v>692</v>
      </c>
      <c r="E181" s="45">
        <v>43033</v>
      </c>
      <c r="F181" s="42">
        <f>9162500+229063+20608437</f>
        <v>30000000</v>
      </c>
      <c r="G181" s="46">
        <f t="shared" si="16"/>
        <v>42984000</v>
      </c>
      <c r="H181" s="119">
        <v>834000</v>
      </c>
      <c r="I181" s="119">
        <f t="shared" ref="I181:I186" si="22">+F181*1.2%</f>
        <v>360000</v>
      </c>
      <c r="J181" s="36">
        <v>36</v>
      </c>
      <c r="K181" s="120">
        <v>32</v>
      </c>
      <c r="L181" s="30">
        <f t="shared" si="17"/>
        <v>1194000</v>
      </c>
      <c r="M181" s="30">
        <f t="shared" si="18"/>
        <v>38208000</v>
      </c>
      <c r="N181" s="33">
        <f>F181-(H181*4)</f>
        <v>26664000</v>
      </c>
      <c r="O181" s="34" t="s">
        <v>693</v>
      </c>
      <c r="P181" s="34" t="s">
        <v>112</v>
      </c>
    </row>
    <row r="182" spans="1:16" s="44" customFormat="1">
      <c r="A182" s="36">
        <f t="shared" si="19"/>
        <v>178</v>
      </c>
      <c r="B182" s="42" t="s">
        <v>694</v>
      </c>
      <c r="C182" s="124" t="s">
        <v>695</v>
      </c>
      <c r="D182" s="124" t="s">
        <v>696</v>
      </c>
      <c r="E182" s="45">
        <v>42702</v>
      </c>
      <c r="F182" s="125">
        <f>30000000</f>
        <v>30000000</v>
      </c>
      <c r="G182" s="46">
        <f t="shared" si="16"/>
        <v>38640000</v>
      </c>
      <c r="H182" s="42">
        <f>+F182/J182</f>
        <v>1250000</v>
      </c>
      <c r="I182" s="42">
        <f t="shared" si="22"/>
        <v>360000</v>
      </c>
      <c r="J182" s="126" t="s">
        <v>89</v>
      </c>
      <c r="K182" s="120">
        <v>9</v>
      </c>
      <c r="L182" s="30">
        <f t="shared" si="17"/>
        <v>1610000</v>
      </c>
      <c r="M182" s="42">
        <f t="shared" si="18"/>
        <v>14490000</v>
      </c>
      <c r="N182" s="42">
        <f>+H182*K182</f>
        <v>11250000</v>
      </c>
      <c r="O182" s="127" t="s">
        <v>697</v>
      </c>
      <c r="P182" s="127" t="s">
        <v>183</v>
      </c>
    </row>
    <row r="183" spans="1:16" s="44" customFormat="1">
      <c r="A183" s="36">
        <f t="shared" si="19"/>
        <v>179</v>
      </c>
      <c r="B183" s="39" t="s">
        <v>698</v>
      </c>
      <c r="C183" s="40" t="s">
        <v>699</v>
      </c>
      <c r="D183" s="28" t="s">
        <v>700</v>
      </c>
      <c r="E183" s="45">
        <v>42801</v>
      </c>
      <c r="F183" s="42">
        <f>30000000</f>
        <v>30000000</v>
      </c>
      <c r="G183" s="46">
        <f t="shared" si="16"/>
        <v>38640000</v>
      </c>
      <c r="H183" s="42">
        <f>+F183/J183</f>
        <v>1250000</v>
      </c>
      <c r="I183" s="42">
        <f t="shared" si="22"/>
        <v>360000</v>
      </c>
      <c r="J183" s="36">
        <v>24</v>
      </c>
      <c r="K183" s="120">
        <v>12</v>
      </c>
      <c r="L183" s="30">
        <f t="shared" si="17"/>
        <v>1610000</v>
      </c>
      <c r="M183" s="30">
        <f t="shared" si="18"/>
        <v>19320000</v>
      </c>
      <c r="N183" s="46">
        <f>+H183*K183</f>
        <v>15000000</v>
      </c>
      <c r="O183" s="34" t="s">
        <v>701</v>
      </c>
      <c r="P183" s="34" t="s">
        <v>86</v>
      </c>
    </row>
    <row r="184" spans="1:16" s="44" customFormat="1">
      <c r="A184" s="36">
        <f t="shared" si="19"/>
        <v>180</v>
      </c>
      <c r="B184" s="42" t="s">
        <v>702</v>
      </c>
      <c r="C184" s="124" t="s">
        <v>703</v>
      </c>
      <c r="D184" s="28" t="s">
        <v>704</v>
      </c>
      <c r="E184" s="45">
        <v>42702</v>
      </c>
      <c r="F184" s="125">
        <f>20831500+520788+8647712</f>
        <v>30000000</v>
      </c>
      <c r="G184" s="46">
        <f t="shared" si="16"/>
        <v>42984000</v>
      </c>
      <c r="H184" s="42">
        <v>834000</v>
      </c>
      <c r="I184" s="42">
        <f t="shared" si="22"/>
        <v>360000</v>
      </c>
      <c r="J184" s="126" t="s">
        <v>99</v>
      </c>
      <c r="K184" s="120">
        <v>21</v>
      </c>
      <c r="L184" s="30">
        <f t="shared" si="17"/>
        <v>1194000</v>
      </c>
      <c r="M184" s="42">
        <f t="shared" si="18"/>
        <v>25074000</v>
      </c>
      <c r="N184" s="121">
        <f>F184-(H184*15)</f>
        <v>17490000</v>
      </c>
      <c r="O184" s="127" t="s">
        <v>505</v>
      </c>
      <c r="P184" s="34" t="s">
        <v>25</v>
      </c>
    </row>
    <row r="185" spans="1:16" s="44" customFormat="1">
      <c r="A185" s="36">
        <f t="shared" si="19"/>
        <v>181</v>
      </c>
      <c r="B185" s="42" t="s">
        <v>705</v>
      </c>
      <c r="C185" s="124" t="s">
        <v>706</v>
      </c>
      <c r="D185" s="28" t="s">
        <v>707</v>
      </c>
      <c r="E185" s="45">
        <v>42726</v>
      </c>
      <c r="F185" s="125">
        <f>19164500+479113+10356387</f>
        <v>30000000</v>
      </c>
      <c r="G185" s="46">
        <f t="shared" si="16"/>
        <v>42984000</v>
      </c>
      <c r="H185" s="42">
        <v>834000</v>
      </c>
      <c r="I185" s="42">
        <f t="shared" si="22"/>
        <v>360000</v>
      </c>
      <c r="J185" s="36">
        <v>36</v>
      </c>
      <c r="K185" s="120">
        <v>22</v>
      </c>
      <c r="L185" s="30">
        <f t="shared" si="17"/>
        <v>1194000</v>
      </c>
      <c r="M185" s="42">
        <f t="shared" si="18"/>
        <v>26268000</v>
      </c>
      <c r="N185" s="121">
        <f>F185-(H185*14)</f>
        <v>18324000</v>
      </c>
      <c r="O185" s="127" t="s">
        <v>297</v>
      </c>
      <c r="P185" s="34" t="s">
        <v>112</v>
      </c>
    </row>
    <row r="186" spans="1:16" s="44" customFormat="1">
      <c r="A186" s="36">
        <f t="shared" si="19"/>
        <v>182</v>
      </c>
      <c r="B186" s="39" t="s">
        <v>708</v>
      </c>
      <c r="C186" s="40" t="s">
        <v>709</v>
      </c>
      <c r="D186" s="28" t="s">
        <v>710</v>
      </c>
      <c r="E186" s="45">
        <v>42829</v>
      </c>
      <c r="F186" s="42">
        <f>2500000</f>
        <v>2500000</v>
      </c>
      <c r="G186" s="46">
        <f t="shared" si="16"/>
        <v>3252000</v>
      </c>
      <c r="H186" s="42">
        <f>135500-I186</f>
        <v>105500</v>
      </c>
      <c r="I186" s="42">
        <f t="shared" si="22"/>
        <v>30000</v>
      </c>
      <c r="J186" s="36">
        <v>24</v>
      </c>
      <c r="K186" s="120">
        <v>13</v>
      </c>
      <c r="L186" s="30">
        <f t="shared" si="17"/>
        <v>135500</v>
      </c>
      <c r="M186" s="30">
        <f t="shared" si="18"/>
        <v>1761500</v>
      </c>
      <c r="N186" s="121">
        <f>F186-(H186*11)</f>
        <v>1339500</v>
      </c>
      <c r="O186" s="34" t="s">
        <v>711</v>
      </c>
      <c r="P186" s="34" t="s">
        <v>178</v>
      </c>
    </row>
    <row r="187" spans="1:16" s="44" customFormat="1">
      <c r="A187" s="36">
        <f t="shared" si="19"/>
        <v>183</v>
      </c>
      <c r="B187" s="39" t="s">
        <v>708</v>
      </c>
      <c r="C187" s="40" t="s">
        <v>709</v>
      </c>
      <c r="D187" s="41" t="s">
        <v>712</v>
      </c>
      <c r="E187" s="45">
        <v>43021</v>
      </c>
      <c r="F187" s="42">
        <f>5000000</f>
        <v>5000000</v>
      </c>
      <c r="G187" s="46">
        <f t="shared" si="16"/>
        <v>6456000</v>
      </c>
      <c r="H187" s="119">
        <f>269000-I187</f>
        <v>209000</v>
      </c>
      <c r="I187" s="119">
        <f>F187*1.2%</f>
        <v>60000</v>
      </c>
      <c r="J187" s="36">
        <v>24</v>
      </c>
      <c r="K187" s="120">
        <v>19</v>
      </c>
      <c r="L187" s="30">
        <f t="shared" si="17"/>
        <v>269000</v>
      </c>
      <c r="M187" s="30">
        <f t="shared" si="18"/>
        <v>5111000</v>
      </c>
      <c r="N187" s="121">
        <f>F187-(H187*5)</f>
        <v>3955000</v>
      </c>
      <c r="O187" s="34" t="s">
        <v>713</v>
      </c>
      <c r="P187" s="34" t="s">
        <v>714</v>
      </c>
    </row>
    <row r="188" spans="1:16" s="44" customFormat="1">
      <c r="A188" s="36">
        <f t="shared" si="19"/>
        <v>184</v>
      </c>
      <c r="B188" s="39" t="s">
        <v>708</v>
      </c>
      <c r="C188" s="40" t="s">
        <v>709</v>
      </c>
      <c r="D188" s="40" t="s">
        <v>715</v>
      </c>
      <c r="E188" s="45">
        <v>42810</v>
      </c>
      <c r="F188" s="42">
        <f>5204613+130115+102192+14563080</f>
        <v>20000000</v>
      </c>
      <c r="G188" s="46">
        <f t="shared" si="16"/>
        <v>28674000</v>
      </c>
      <c r="H188" s="42">
        <f>796500-I188</f>
        <v>556500</v>
      </c>
      <c r="I188" s="42">
        <f>+F188*1.2%</f>
        <v>240000</v>
      </c>
      <c r="J188" s="36">
        <v>36</v>
      </c>
      <c r="K188" s="120">
        <v>24</v>
      </c>
      <c r="L188" s="30">
        <f t="shared" si="17"/>
        <v>796500</v>
      </c>
      <c r="M188" s="30">
        <f t="shared" si="18"/>
        <v>19116000</v>
      </c>
      <c r="N188" s="121">
        <f>F188-(H188*12)</f>
        <v>13322000</v>
      </c>
      <c r="O188" s="34" t="s">
        <v>716</v>
      </c>
      <c r="P188" s="34" t="s">
        <v>112</v>
      </c>
    </row>
    <row r="189" spans="1:16" s="44" customFormat="1">
      <c r="A189" s="36">
        <f t="shared" si="19"/>
        <v>185</v>
      </c>
      <c r="B189" s="39" t="s">
        <v>717</v>
      </c>
      <c r="C189" s="40" t="s">
        <v>718</v>
      </c>
      <c r="D189" s="41" t="s">
        <v>719</v>
      </c>
      <c r="E189" s="45">
        <v>42982</v>
      </c>
      <c r="F189" s="42">
        <f>9165000+229125+261290+20344585</f>
        <v>30000000</v>
      </c>
      <c r="G189" s="46">
        <f t="shared" si="16"/>
        <v>42984000</v>
      </c>
      <c r="H189" s="132">
        <f>1194000-I189</f>
        <v>834000</v>
      </c>
      <c r="I189" s="119">
        <f>F189*1.2%</f>
        <v>360000</v>
      </c>
      <c r="J189" s="36">
        <v>36</v>
      </c>
      <c r="K189" s="120">
        <v>30</v>
      </c>
      <c r="L189" s="30">
        <f t="shared" si="17"/>
        <v>1194000</v>
      </c>
      <c r="M189" s="30">
        <f t="shared" si="18"/>
        <v>35820000</v>
      </c>
      <c r="N189" s="121">
        <f>F189-(H189*6)</f>
        <v>24996000</v>
      </c>
      <c r="O189" s="34" t="s">
        <v>350</v>
      </c>
      <c r="P189" s="34" t="s">
        <v>25</v>
      </c>
    </row>
    <row r="190" spans="1:16" s="44" customFormat="1">
      <c r="A190" s="36">
        <f t="shared" si="19"/>
        <v>186</v>
      </c>
      <c r="B190" s="39" t="s">
        <v>720</v>
      </c>
      <c r="C190" s="40" t="s">
        <v>721</v>
      </c>
      <c r="D190" s="41" t="s">
        <v>722</v>
      </c>
      <c r="E190" s="45">
        <v>42824</v>
      </c>
      <c r="F190" s="132">
        <f>30000000</f>
        <v>30000000</v>
      </c>
      <c r="G190" s="46">
        <f t="shared" si="16"/>
        <v>42984000</v>
      </c>
      <c r="H190" s="42">
        <v>834000</v>
      </c>
      <c r="I190" s="42">
        <f>+F190*1.2%</f>
        <v>360000</v>
      </c>
      <c r="J190" s="36">
        <v>36</v>
      </c>
      <c r="K190" s="120">
        <v>25</v>
      </c>
      <c r="L190" s="30">
        <f t="shared" si="17"/>
        <v>1194000</v>
      </c>
      <c r="M190" s="30">
        <f t="shared" si="18"/>
        <v>29850000</v>
      </c>
      <c r="N190" s="121">
        <f>F190-(H190*11)</f>
        <v>20826000</v>
      </c>
      <c r="O190" s="34" t="s">
        <v>191</v>
      </c>
      <c r="P190" s="34" t="s">
        <v>86</v>
      </c>
    </row>
    <row r="191" spans="1:16" s="44" customFormat="1">
      <c r="A191" s="36">
        <f t="shared" si="19"/>
        <v>187</v>
      </c>
      <c r="B191" s="39" t="s">
        <v>723</v>
      </c>
      <c r="C191" s="40" t="s">
        <v>724</v>
      </c>
      <c r="D191" s="28" t="s">
        <v>725</v>
      </c>
      <c r="E191" s="45">
        <v>42774</v>
      </c>
      <c r="F191" s="42">
        <f>20000000</f>
        <v>20000000</v>
      </c>
      <c r="G191" s="46">
        <f t="shared" si="16"/>
        <v>25776000</v>
      </c>
      <c r="H191" s="42">
        <f>1074000-I191</f>
        <v>834000</v>
      </c>
      <c r="I191" s="42">
        <f>+F191*1.2%</f>
        <v>240000</v>
      </c>
      <c r="J191" s="36">
        <v>24</v>
      </c>
      <c r="K191" s="120">
        <v>11</v>
      </c>
      <c r="L191" s="30">
        <f t="shared" si="17"/>
        <v>1074000</v>
      </c>
      <c r="M191" s="30">
        <f t="shared" si="18"/>
        <v>11814000</v>
      </c>
      <c r="N191" s="121">
        <f>F191-(H191*13)</f>
        <v>9158000</v>
      </c>
      <c r="O191" s="34" t="s">
        <v>37</v>
      </c>
      <c r="P191" s="34" t="s">
        <v>86</v>
      </c>
    </row>
    <row r="192" spans="1:16" s="44" customFormat="1">
      <c r="A192" s="36">
        <f t="shared" si="19"/>
        <v>188</v>
      </c>
      <c r="B192" s="39" t="s">
        <v>726</v>
      </c>
      <c r="C192" s="40" t="s">
        <v>727</v>
      </c>
      <c r="D192" s="40" t="s">
        <v>728</v>
      </c>
      <c r="E192" s="45">
        <v>42790</v>
      </c>
      <c r="F192" s="42">
        <f>187515+29812485</f>
        <v>30000000</v>
      </c>
      <c r="G192" s="46">
        <f t="shared" si="16"/>
        <v>42984000</v>
      </c>
      <c r="H192" s="42">
        <f>1194000-I192</f>
        <v>834000</v>
      </c>
      <c r="I192" s="42">
        <f>+F192*1.2%</f>
        <v>360000</v>
      </c>
      <c r="J192" s="36">
        <v>36</v>
      </c>
      <c r="K192" s="120">
        <v>24</v>
      </c>
      <c r="L192" s="30">
        <f t="shared" si="17"/>
        <v>1194000</v>
      </c>
      <c r="M192" s="30">
        <f t="shared" si="18"/>
        <v>28656000</v>
      </c>
      <c r="N192" s="121">
        <f>F192-(H192*12)</f>
        <v>19992000</v>
      </c>
      <c r="O192" s="34" t="s">
        <v>473</v>
      </c>
      <c r="P192" s="34" t="s">
        <v>86</v>
      </c>
    </row>
    <row r="193" spans="1:16" s="44" customFormat="1">
      <c r="A193" s="36">
        <f t="shared" si="19"/>
        <v>189</v>
      </c>
      <c r="B193" s="39" t="s">
        <v>729</v>
      </c>
      <c r="C193" s="40" t="s">
        <v>730</v>
      </c>
      <c r="D193" s="28" t="s">
        <v>731</v>
      </c>
      <c r="E193" s="45">
        <v>42949</v>
      </c>
      <c r="F193" s="132">
        <f>20000000</f>
        <v>20000000</v>
      </c>
      <c r="G193" s="46">
        <f t="shared" si="16"/>
        <v>22890000</v>
      </c>
      <c r="H193" s="132">
        <v>1667500</v>
      </c>
      <c r="I193" s="119">
        <f>F193*1.2%</f>
        <v>240000</v>
      </c>
      <c r="J193" s="36">
        <v>12</v>
      </c>
      <c r="K193" s="120">
        <v>5</v>
      </c>
      <c r="L193" s="30">
        <f t="shared" si="17"/>
        <v>1907500</v>
      </c>
      <c r="M193" s="29">
        <f t="shared" si="18"/>
        <v>9537500</v>
      </c>
      <c r="N193" s="121">
        <f>F193-(H193*7)</f>
        <v>8327500</v>
      </c>
      <c r="O193" s="34" t="s">
        <v>732</v>
      </c>
      <c r="P193" s="34" t="s">
        <v>86</v>
      </c>
    </row>
    <row r="194" spans="1:16" s="44" customFormat="1">
      <c r="A194" s="36">
        <f t="shared" si="19"/>
        <v>190</v>
      </c>
      <c r="B194" s="39" t="s">
        <v>733</v>
      </c>
      <c r="C194" s="40" t="s">
        <v>734</v>
      </c>
      <c r="D194" s="41" t="s">
        <v>735</v>
      </c>
      <c r="E194" s="45">
        <v>42761</v>
      </c>
      <c r="F194" s="132">
        <f>30000000</f>
        <v>30000000</v>
      </c>
      <c r="G194" s="46">
        <f t="shared" si="16"/>
        <v>42984000</v>
      </c>
      <c r="H194" s="42">
        <f>1194000-I194</f>
        <v>834000</v>
      </c>
      <c r="I194" s="42">
        <f t="shared" ref="I194:I199" si="23">+F194*1.2%</f>
        <v>360000</v>
      </c>
      <c r="J194" s="36">
        <v>36</v>
      </c>
      <c r="K194" s="120">
        <v>23</v>
      </c>
      <c r="L194" s="30">
        <f t="shared" si="17"/>
        <v>1194000</v>
      </c>
      <c r="M194" s="30">
        <f t="shared" si="18"/>
        <v>27462000</v>
      </c>
      <c r="N194" s="121">
        <f>F194-(H194*13)</f>
        <v>19158000</v>
      </c>
      <c r="O194" s="34" t="s">
        <v>736</v>
      </c>
      <c r="P194" s="34" t="s">
        <v>86</v>
      </c>
    </row>
    <row r="195" spans="1:16" s="44" customFormat="1">
      <c r="A195" s="36">
        <f t="shared" si="19"/>
        <v>191</v>
      </c>
      <c r="B195" s="39" t="s">
        <v>737</v>
      </c>
      <c r="C195" s="40" t="s">
        <v>738</v>
      </c>
      <c r="D195" s="28" t="s">
        <v>739</v>
      </c>
      <c r="E195" s="28">
        <v>43125</v>
      </c>
      <c r="F195" s="42">
        <f>14988000+374700+14637300</f>
        <v>30000000</v>
      </c>
      <c r="G195" s="46">
        <f t="shared" si="16"/>
        <v>42984000</v>
      </c>
      <c r="H195" s="119">
        <f>1194000-I195</f>
        <v>834000</v>
      </c>
      <c r="I195" s="119">
        <f t="shared" si="23"/>
        <v>360000</v>
      </c>
      <c r="J195" s="36">
        <v>36</v>
      </c>
      <c r="K195" s="120">
        <v>35</v>
      </c>
      <c r="L195" s="30">
        <f t="shared" si="17"/>
        <v>1194000</v>
      </c>
      <c r="M195" s="30">
        <f t="shared" si="18"/>
        <v>41790000</v>
      </c>
      <c r="N195" s="33">
        <f>F195-(H195*1)</f>
        <v>29166000</v>
      </c>
      <c r="O195" s="34" t="s">
        <v>536</v>
      </c>
      <c r="P195" s="34" t="s">
        <v>112</v>
      </c>
    </row>
    <row r="196" spans="1:16" s="44" customFormat="1">
      <c r="A196" s="36">
        <f t="shared" si="19"/>
        <v>192</v>
      </c>
      <c r="B196" s="39" t="s">
        <v>740</v>
      </c>
      <c r="C196" s="40" t="s">
        <v>741</v>
      </c>
      <c r="D196" s="41" t="s">
        <v>742</v>
      </c>
      <c r="E196" s="45">
        <v>42899</v>
      </c>
      <c r="F196" s="42">
        <f>3000000</f>
        <v>3000000</v>
      </c>
      <c r="G196" s="46">
        <f t="shared" si="16"/>
        <v>3432000</v>
      </c>
      <c r="H196" s="42">
        <f>+F196/J196</f>
        <v>250000</v>
      </c>
      <c r="I196" s="42">
        <f t="shared" si="23"/>
        <v>36000</v>
      </c>
      <c r="J196" s="36">
        <v>12</v>
      </c>
      <c r="K196" s="120">
        <v>3</v>
      </c>
      <c r="L196" s="30">
        <f t="shared" si="17"/>
        <v>286000</v>
      </c>
      <c r="M196" s="30">
        <f t="shared" si="18"/>
        <v>858000</v>
      </c>
      <c r="N196" s="46">
        <f>+H196*K196</f>
        <v>750000</v>
      </c>
      <c r="O196" s="34" t="s">
        <v>743</v>
      </c>
      <c r="P196" s="34" t="s">
        <v>86</v>
      </c>
    </row>
    <row r="197" spans="1:16" s="44" customFormat="1">
      <c r="A197" s="36">
        <f t="shared" si="19"/>
        <v>193</v>
      </c>
      <c r="B197" s="39" t="s">
        <v>744</v>
      </c>
      <c r="C197" s="40" t="s">
        <v>745</v>
      </c>
      <c r="D197" s="41" t="s">
        <v>746</v>
      </c>
      <c r="E197" s="45">
        <v>42954</v>
      </c>
      <c r="F197" s="42">
        <f>12496500+312413+174194+17016893</f>
        <v>30000000</v>
      </c>
      <c r="G197" s="46">
        <f t="shared" ref="G197:G260" si="24">+J197*L197</f>
        <v>38640000</v>
      </c>
      <c r="H197" s="132">
        <f>+F197/J197</f>
        <v>1250000</v>
      </c>
      <c r="I197" s="42">
        <f t="shared" si="23"/>
        <v>360000</v>
      </c>
      <c r="J197" s="36">
        <v>24</v>
      </c>
      <c r="K197" s="120">
        <v>17</v>
      </c>
      <c r="L197" s="30">
        <f t="shared" ref="L197:L260" si="25">+H197+I197</f>
        <v>1610000</v>
      </c>
      <c r="M197" s="30">
        <f t="shared" ref="M197:M260" si="26">+K197*L197</f>
        <v>27370000</v>
      </c>
      <c r="N197" s="46">
        <f>+H197*K197</f>
        <v>21250000</v>
      </c>
      <c r="O197" s="34" t="s">
        <v>225</v>
      </c>
      <c r="P197" s="34" t="s">
        <v>112</v>
      </c>
    </row>
    <row r="198" spans="1:16" s="44" customFormat="1">
      <c r="A198" s="36">
        <f t="shared" ref="A198:A261" si="27">+A197+1</f>
        <v>194</v>
      </c>
      <c r="B198" s="42" t="s">
        <v>747</v>
      </c>
      <c r="C198" s="124" t="s">
        <v>748</v>
      </c>
      <c r="D198" s="124"/>
      <c r="E198" s="128">
        <v>42587</v>
      </c>
      <c r="F198" s="125">
        <f>9166850+229171+139355+20464624</f>
        <v>30000000</v>
      </c>
      <c r="G198" s="122">
        <f t="shared" si="24"/>
        <v>42984000</v>
      </c>
      <c r="H198" s="42">
        <f>1194000-I198</f>
        <v>834000</v>
      </c>
      <c r="I198" s="125">
        <f t="shared" si="23"/>
        <v>360000</v>
      </c>
      <c r="J198" s="126" t="s">
        <v>99</v>
      </c>
      <c r="K198" s="120">
        <v>17</v>
      </c>
      <c r="L198" s="138">
        <f t="shared" si="25"/>
        <v>1194000</v>
      </c>
      <c r="M198" s="42">
        <f t="shared" si="26"/>
        <v>20298000</v>
      </c>
      <c r="N198" s="136">
        <f>F198-(H198*19)</f>
        <v>14154000</v>
      </c>
      <c r="O198" s="127" t="s">
        <v>689</v>
      </c>
      <c r="P198" s="127" t="s">
        <v>101</v>
      </c>
    </row>
    <row r="199" spans="1:16" s="44" customFormat="1">
      <c r="A199" s="36">
        <f t="shared" si="27"/>
        <v>195</v>
      </c>
      <c r="B199" s="39" t="s">
        <v>749</v>
      </c>
      <c r="C199" s="40" t="s">
        <v>750</v>
      </c>
      <c r="D199" s="41" t="s">
        <v>751</v>
      </c>
      <c r="E199" s="45">
        <v>42963</v>
      </c>
      <c r="F199" s="42">
        <f>20000000</f>
        <v>20000000</v>
      </c>
      <c r="G199" s="46">
        <f t="shared" si="24"/>
        <v>25788000</v>
      </c>
      <c r="H199" s="132">
        <f>1074500-I199</f>
        <v>834500</v>
      </c>
      <c r="I199" s="42">
        <f t="shared" si="23"/>
        <v>240000</v>
      </c>
      <c r="J199" s="36">
        <v>24</v>
      </c>
      <c r="K199" s="120">
        <v>17</v>
      </c>
      <c r="L199" s="30">
        <f t="shared" si="25"/>
        <v>1074500</v>
      </c>
      <c r="M199" s="30">
        <f t="shared" si="26"/>
        <v>18266500</v>
      </c>
      <c r="N199" s="121">
        <f>F199-(H199*7)</f>
        <v>14158500</v>
      </c>
      <c r="O199" s="34" t="s">
        <v>37</v>
      </c>
      <c r="P199" s="34" t="s">
        <v>86</v>
      </c>
    </row>
    <row r="200" spans="1:16" s="44" customFormat="1">
      <c r="A200" s="36">
        <f t="shared" si="27"/>
        <v>196</v>
      </c>
      <c r="B200" s="39" t="s">
        <v>752</v>
      </c>
      <c r="C200" s="40" t="s">
        <v>753</v>
      </c>
      <c r="D200" s="41" t="s">
        <v>754</v>
      </c>
      <c r="E200" s="45">
        <v>42972</v>
      </c>
      <c r="F200" s="42">
        <f>7498200+187455+22314345</f>
        <v>30000000</v>
      </c>
      <c r="G200" s="46">
        <f t="shared" si="24"/>
        <v>42984000</v>
      </c>
      <c r="H200" s="132">
        <v>834000</v>
      </c>
      <c r="I200" s="119">
        <f>F200*1.2%</f>
        <v>360000</v>
      </c>
      <c r="J200" s="36">
        <v>36</v>
      </c>
      <c r="K200" s="120">
        <v>30</v>
      </c>
      <c r="L200" s="30">
        <f t="shared" si="25"/>
        <v>1194000</v>
      </c>
      <c r="M200" s="30">
        <f t="shared" si="26"/>
        <v>35820000</v>
      </c>
      <c r="N200" s="121">
        <f>F200-(H200*6)</f>
        <v>24996000</v>
      </c>
      <c r="O200" s="34" t="s">
        <v>755</v>
      </c>
      <c r="P200" s="34" t="s">
        <v>112</v>
      </c>
    </row>
    <row r="201" spans="1:16" s="44" customFormat="1">
      <c r="A201" s="36">
        <f t="shared" si="27"/>
        <v>197</v>
      </c>
      <c r="B201" s="39" t="s">
        <v>756</v>
      </c>
      <c r="C201" s="40" t="s">
        <v>757</v>
      </c>
      <c r="D201" s="41" t="s">
        <v>758</v>
      </c>
      <c r="E201" s="45">
        <v>42942</v>
      </c>
      <c r="F201" s="42">
        <f>1164000+29100+6806900</f>
        <v>8000000</v>
      </c>
      <c r="G201" s="46">
        <f t="shared" si="24"/>
        <v>10332000</v>
      </c>
      <c r="H201" s="119">
        <v>334500</v>
      </c>
      <c r="I201" s="42">
        <f>+F201*1.2%</f>
        <v>96000</v>
      </c>
      <c r="J201" s="36">
        <v>24</v>
      </c>
      <c r="K201" s="120">
        <v>17</v>
      </c>
      <c r="L201" s="30">
        <f t="shared" si="25"/>
        <v>430500</v>
      </c>
      <c r="M201" s="30">
        <f t="shared" si="26"/>
        <v>7318500</v>
      </c>
      <c r="N201" s="121">
        <f>F201-(H201*7)</f>
        <v>5658500</v>
      </c>
      <c r="O201" s="34" t="s">
        <v>759</v>
      </c>
      <c r="P201" s="34" t="s">
        <v>112</v>
      </c>
    </row>
    <row r="202" spans="1:16" s="44" customFormat="1">
      <c r="A202" s="36">
        <f t="shared" si="27"/>
        <v>198</v>
      </c>
      <c r="B202" s="39" t="s">
        <v>760</v>
      </c>
      <c r="C202" s="40" t="s">
        <v>761</v>
      </c>
      <c r="D202" s="40" t="s">
        <v>762</v>
      </c>
      <c r="E202" s="45">
        <v>42790</v>
      </c>
      <c r="F202" s="132">
        <f>511445+12786+19475769</f>
        <v>20000000</v>
      </c>
      <c r="G202" s="46">
        <f t="shared" si="24"/>
        <v>28656000</v>
      </c>
      <c r="H202" s="42">
        <f>796000-I202</f>
        <v>556000</v>
      </c>
      <c r="I202" s="42">
        <f>+F202*1.2%</f>
        <v>240000</v>
      </c>
      <c r="J202" s="36">
        <v>36</v>
      </c>
      <c r="K202" s="120">
        <v>24</v>
      </c>
      <c r="L202" s="30">
        <f t="shared" si="25"/>
        <v>796000</v>
      </c>
      <c r="M202" s="30">
        <f t="shared" si="26"/>
        <v>19104000</v>
      </c>
      <c r="N202" s="121">
        <f>F202-(H202*12)</f>
        <v>13328000</v>
      </c>
      <c r="O202" s="34" t="s">
        <v>763</v>
      </c>
      <c r="P202" s="34" t="s">
        <v>112</v>
      </c>
    </row>
    <row r="203" spans="1:16" s="44" customFormat="1">
      <c r="A203" s="36">
        <f t="shared" si="27"/>
        <v>199</v>
      </c>
      <c r="B203" s="39" t="s">
        <v>764</v>
      </c>
      <c r="C203" s="40" t="s">
        <v>765</v>
      </c>
      <c r="D203" s="28" t="s">
        <v>766</v>
      </c>
      <c r="E203" s="45">
        <v>42775</v>
      </c>
      <c r="F203" s="42">
        <f>6667200+166680+209862+22956258</f>
        <v>30000000</v>
      </c>
      <c r="G203" s="46">
        <f t="shared" si="24"/>
        <v>42984000</v>
      </c>
      <c r="H203" s="42">
        <f>1194000-I203</f>
        <v>834000</v>
      </c>
      <c r="I203" s="42">
        <f>+F203*1.2%</f>
        <v>360000</v>
      </c>
      <c r="J203" s="36">
        <v>36</v>
      </c>
      <c r="K203" s="120">
        <v>23</v>
      </c>
      <c r="L203" s="30">
        <f t="shared" si="25"/>
        <v>1194000</v>
      </c>
      <c r="M203" s="30">
        <f t="shared" si="26"/>
        <v>27462000</v>
      </c>
      <c r="N203" s="121">
        <f>F203-(H203*13)</f>
        <v>19158000</v>
      </c>
      <c r="O203" s="34" t="s">
        <v>767</v>
      </c>
      <c r="P203" s="34" t="s">
        <v>112</v>
      </c>
    </row>
    <row r="204" spans="1:16" s="44" customFormat="1">
      <c r="A204" s="36">
        <f t="shared" si="27"/>
        <v>200</v>
      </c>
      <c r="B204" s="42" t="s">
        <v>768</v>
      </c>
      <c r="C204" s="124" t="s">
        <v>769</v>
      </c>
      <c r="D204" s="124"/>
      <c r="E204" s="45">
        <v>42501</v>
      </c>
      <c r="F204" s="125">
        <f>7311600+182790+391489+20000000</f>
        <v>27885879</v>
      </c>
      <c r="G204" s="125">
        <f t="shared" si="24"/>
        <v>35918400</v>
      </c>
      <c r="H204" s="42">
        <f>1496600-I204</f>
        <v>1161969</v>
      </c>
      <c r="I204" s="125">
        <v>334631</v>
      </c>
      <c r="J204" s="126" t="s">
        <v>89</v>
      </c>
      <c r="K204" s="120">
        <v>2</v>
      </c>
      <c r="L204" s="42">
        <f t="shared" si="25"/>
        <v>1496600</v>
      </c>
      <c r="M204" s="42">
        <f t="shared" si="26"/>
        <v>2993200</v>
      </c>
      <c r="N204" s="134">
        <f>F204-(H204*22)</f>
        <v>2322561</v>
      </c>
      <c r="O204" s="127" t="s">
        <v>770</v>
      </c>
      <c r="P204" s="127" t="s">
        <v>25</v>
      </c>
    </row>
    <row r="205" spans="1:16" s="44" customFormat="1">
      <c r="A205" s="36">
        <f t="shared" si="27"/>
        <v>201</v>
      </c>
      <c r="B205" s="39" t="s">
        <v>771</v>
      </c>
      <c r="C205" s="40" t="s">
        <v>772</v>
      </c>
      <c r="D205" s="41" t="s">
        <v>773</v>
      </c>
      <c r="E205" s="28">
        <v>43130</v>
      </c>
      <c r="F205" s="42">
        <f>15000000</f>
        <v>15000000</v>
      </c>
      <c r="G205" s="46">
        <f t="shared" si="24"/>
        <v>17160000</v>
      </c>
      <c r="H205" s="119">
        <f>+F205/J205</f>
        <v>1250000</v>
      </c>
      <c r="I205" s="119">
        <f t="shared" ref="I205:I214" si="28">+F205*1.2%</f>
        <v>180000</v>
      </c>
      <c r="J205" s="36">
        <v>12</v>
      </c>
      <c r="K205" s="120">
        <v>11</v>
      </c>
      <c r="L205" s="30">
        <f t="shared" si="25"/>
        <v>1430000</v>
      </c>
      <c r="M205" s="30">
        <f t="shared" si="26"/>
        <v>15730000</v>
      </c>
      <c r="N205" s="46">
        <f>+H205*K205</f>
        <v>13750000</v>
      </c>
      <c r="O205" s="34" t="s">
        <v>675</v>
      </c>
      <c r="P205" s="34" t="s">
        <v>86</v>
      </c>
    </row>
    <row r="206" spans="1:16" s="44" customFormat="1">
      <c r="A206" s="36">
        <f t="shared" si="27"/>
        <v>202</v>
      </c>
      <c r="B206" s="39" t="s">
        <v>774</v>
      </c>
      <c r="C206" s="40" t="s">
        <v>775</v>
      </c>
      <c r="D206" s="28" t="s">
        <v>776</v>
      </c>
      <c r="E206" s="45">
        <v>42790</v>
      </c>
      <c r="F206" s="42">
        <f>16664000+416600+12919400</f>
        <v>30000000</v>
      </c>
      <c r="G206" s="46">
        <f t="shared" si="24"/>
        <v>42984000</v>
      </c>
      <c r="H206" s="42">
        <f>1194000-I206</f>
        <v>834000</v>
      </c>
      <c r="I206" s="42">
        <f t="shared" si="28"/>
        <v>360000</v>
      </c>
      <c r="J206" s="36">
        <v>36</v>
      </c>
      <c r="K206" s="120">
        <v>24</v>
      </c>
      <c r="L206" s="30">
        <f t="shared" si="25"/>
        <v>1194000</v>
      </c>
      <c r="M206" s="30">
        <f t="shared" si="26"/>
        <v>28656000</v>
      </c>
      <c r="N206" s="121">
        <f>F206-(H206*12)</f>
        <v>19992000</v>
      </c>
      <c r="O206" s="34" t="s">
        <v>24</v>
      </c>
      <c r="P206" s="34" t="s">
        <v>112</v>
      </c>
    </row>
    <row r="207" spans="1:16" s="44" customFormat="1">
      <c r="A207" s="36">
        <f t="shared" si="27"/>
        <v>203</v>
      </c>
      <c r="B207" s="39" t="s">
        <v>777</v>
      </c>
      <c r="C207" s="40" t="s">
        <v>778</v>
      </c>
      <c r="D207" s="41" t="s">
        <v>779</v>
      </c>
      <c r="E207" s="45">
        <v>42853</v>
      </c>
      <c r="F207" s="42">
        <f>6664800+166620+23168580</f>
        <v>30000000</v>
      </c>
      <c r="G207" s="46">
        <f t="shared" si="24"/>
        <v>43002000</v>
      </c>
      <c r="H207" s="42">
        <f>1194500-I207</f>
        <v>834500</v>
      </c>
      <c r="I207" s="42">
        <f t="shared" si="28"/>
        <v>360000</v>
      </c>
      <c r="J207" s="36">
        <v>36</v>
      </c>
      <c r="K207" s="120">
        <v>26</v>
      </c>
      <c r="L207" s="30">
        <f t="shared" si="25"/>
        <v>1194500</v>
      </c>
      <c r="M207" s="30">
        <f t="shared" si="26"/>
        <v>31057000</v>
      </c>
      <c r="N207" s="121">
        <f>F207-(H207*10)</f>
        <v>21655000</v>
      </c>
      <c r="O207" s="34" t="s">
        <v>59</v>
      </c>
      <c r="P207" s="34" t="s">
        <v>112</v>
      </c>
    </row>
    <row r="208" spans="1:16" s="44" customFormat="1">
      <c r="A208" s="36">
        <f t="shared" si="27"/>
        <v>204</v>
      </c>
      <c r="B208" s="42" t="s">
        <v>780</v>
      </c>
      <c r="C208" s="124" t="s">
        <v>781</v>
      </c>
      <c r="D208" s="28" t="s">
        <v>782</v>
      </c>
      <c r="E208" s="45">
        <v>42710</v>
      </c>
      <c r="F208" s="125">
        <f>19998000+499950+153290+9348760</f>
        <v>30000000</v>
      </c>
      <c r="G208" s="46">
        <f t="shared" si="24"/>
        <v>42984000</v>
      </c>
      <c r="H208" s="42">
        <f>1194000-I208</f>
        <v>834000</v>
      </c>
      <c r="I208" s="42">
        <f t="shared" si="28"/>
        <v>360000</v>
      </c>
      <c r="J208" s="126" t="s">
        <v>99</v>
      </c>
      <c r="K208" s="120">
        <v>21</v>
      </c>
      <c r="L208" s="30">
        <f t="shared" si="25"/>
        <v>1194000</v>
      </c>
      <c r="M208" s="42">
        <f t="shared" si="26"/>
        <v>25074000</v>
      </c>
      <c r="N208" s="121">
        <f>F208-(H208*15)</f>
        <v>17490000</v>
      </c>
      <c r="O208" s="127" t="s">
        <v>783</v>
      </c>
      <c r="P208" s="34" t="s">
        <v>25</v>
      </c>
    </row>
    <row r="209" spans="1:16" s="44" customFormat="1">
      <c r="A209" s="36">
        <f t="shared" si="27"/>
        <v>205</v>
      </c>
      <c r="B209" s="39" t="s">
        <v>784</v>
      </c>
      <c r="C209" s="40" t="s">
        <v>785</v>
      </c>
      <c r="D209" s="40" t="s">
        <v>786</v>
      </c>
      <c r="E209" s="45">
        <v>42747</v>
      </c>
      <c r="F209" s="132">
        <f>19164500+479113+267097+10089290</f>
        <v>30000000</v>
      </c>
      <c r="G209" s="46">
        <f t="shared" si="24"/>
        <v>42984000</v>
      </c>
      <c r="H209" s="42">
        <v>834000</v>
      </c>
      <c r="I209" s="42">
        <f t="shared" si="28"/>
        <v>360000</v>
      </c>
      <c r="J209" s="36">
        <v>36</v>
      </c>
      <c r="K209" s="120">
        <v>22</v>
      </c>
      <c r="L209" s="30">
        <f t="shared" si="25"/>
        <v>1194000</v>
      </c>
      <c r="M209" s="30">
        <f t="shared" si="26"/>
        <v>26268000</v>
      </c>
      <c r="N209" s="121">
        <f>F209-(H209*14)</f>
        <v>18324000</v>
      </c>
      <c r="O209" s="34" t="s">
        <v>400</v>
      </c>
      <c r="P209" s="34" t="s">
        <v>416</v>
      </c>
    </row>
    <row r="210" spans="1:16" s="44" customFormat="1">
      <c r="A210" s="36">
        <f t="shared" si="27"/>
        <v>206</v>
      </c>
      <c r="B210" s="39" t="s">
        <v>787</v>
      </c>
      <c r="C210" s="40" t="s">
        <v>788</v>
      </c>
      <c r="D210" s="28" t="s">
        <v>789</v>
      </c>
      <c r="E210" s="45">
        <v>42790</v>
      </c>
      <c r="F210" s="42">
        <f>16664000+416600+12919400</f>
        <v>30000000</v>
      </c>
      <c r="G210" s="46">
        <f t="shared" si="24"/>
        <v>42984000</v>
      </c>
      <c r="H210" s="42">
        <f>1194000-I210</f>
        <v>834000</v>
      </c>
      <c r="I210" s="42">
        <f t="shared" si="28"/>
        <v>360000</v>
      </c>
      <c r="J210" s="36">
        <v>36</v>
      </c>
      <c r="K210" s="120">
        <v>24</v>
      </c>
      <c r="L210" s="30">
        <f t="shared" si="25"/>
        <v>1194000</v>
      </c>
      <c r="M210" s="30">
        <f t="shared" si="26"/>
        <v>28656000</v>
      </c>
      <c r="N210" s="121">
        <f>F210-(H210*12)</f>
        <v>19992000</v>
      </c>
      <c r="O210" s="34" t="s">
        <v>790</v>
      </c>
      <c r="P210" s="34" t="s">
        <v>112</v>
      </c>
    </row>
    <row r="211" spans="1:16" s="44" customFormat="1">
      <c r="A211" s="36">
        <f t="shared" si="27"/>
        <v>207</v>
      </c>
      <c r="B211" s="39" t="s">
        <v>791</v>
      </c>
      <c r="C211" s="40" t="s">
        <v>792</v>
      </c>
      <c r="D211" s="28" t="s">
        <v>793</v>
      </c>
      <c r="E211" s="45">
        <v>42761</v>
      </c>
      <c r="F211" s="42">
        <f>15000000</f>
        <v>15000000</v>
      </c>
      <c r="G211" s="46">
        <f t="shared" si="24"/>
        <v>19320000</v>
      </c>
      <c r="H211" s="42">
        <f>+F211/J211</f>
        <v>625000</v>
      </c>
      <c r="I211" s="42">
        <f t="shared" si="28"/>
        <v>180000</v>
      </c>
      <c r="J211" s="36">
        <v>24</v>
      </c>
      <c r="K211" s="120">
        <v>11</v>
      </c>
      <c r="L211" s="30">
        <f t="shared" si="25"/>
        <v>805000</v>
      </c>
      <c r="M211" s="30">
        <f t="shared" si="26"/>
        <v>8855000</v>
      </c>
      <c r="N211" s="46">
        <f>+H211*K211</f>
        <v>6875000</v>
      </c>
      <c r="O211" s="34" t="s">
        <v>711</v>
      </c>
      <c r="P211" s="34" t="s">
        <v>86</v>
      </c>
    </row>
    <row r="212" spans="1:16" s="44" customFormat="1">
      <c r="A212" s="36">
        <f t="shared" si="27"/>
        <v>208</v>
      </c>
      <c r="B212" s="39" t="s">
        <v>794</v>
      </c>
      <c r="C212" s="40" t="s">
        <v>795</v>
      </c>
      <c r="D212" s="41" t="s">
        <v>796</v>
      </c>
      <c r="E212" s="45">
        <v>42950</v>
      </c>
      <c r="F212" s="42">
        <f>22494000+562350+162581+6781069</f>
        <v>30000000</v>
      </c>
      <c r="G212" s="46">
        <f t="shared" si="24"/>
        <v>43002000</v>
      </c>
      <c r="H212" s="132">
        <v>834500</v>
      </c>
      <c r="I212" s="42">
        <f t="shared" si="28"/>
        <v>360000</v>
      </c>
      <c r="J212" s="36">
        <v>36</v>
      </c>
      <c r="K212" s="120">
        <v>29</v>
      </c>
      <c r="L212" s="30">
        <f t="shared" si="25"/>
        <v>1194500</v>
      </c>
      <c r="M212" s="30">
        <f t="shared" si="26"/>
        <v>34640500</v>
      </c>
      <c r="N212" s="121">
        <f>F212-(H212*7)</f>
        <v>24158500</v>
      </c>
      <c r="O212" s="34" t="s">
        <v>797</v>
      </c>
      <c r="P212" s="34" t="s">
        <v>112</v>
      </c>
    </row>
    <row r="213" spans="1:16" s="44" customFormat="1">
      <c r="A213" s="36">
        <f t="shared" si="27"/>
        <v>209</v>
      </c>
      <c r="B213" s="42" t="s">
        <v>798</v>
      </c>
      <c r="C213" s="124" t="s">
        <v>799</v>
      </c>
      <c r="D213" s="124"/>
      <c r="E213" s="45">
        <v>42639</v>
      </c>
      <c r="F213" s="125">
        <f>30000000</f>
        <v>30000000</v>
      </c>
      <c r="G213" s="122">
        <f t="shared" si="24"/>
        <v>38640000</v>
      </c>
      <c r="H213" s="42">
        <f>+F213/J213</f>
        <v>1250000</v>
      </c>
      <c r="I213" s="125">
        <f t="shared" si="28"/>
        <v>360000</v>
      </c>
      <c r="J213" s="126" t="s">
        <v>89</v>
      </c>
      <c r="K213" s="120">
        <v>7</v>
      </c>
      <c r="L213" s="30">
        <f t="shared" si="25"/>
        <v>1610000</v>
      </c>
      <c r="M213" s="42">
        <f t="shared" si="26"/>
        <v>11270000</v>
      </c>
      <c r="N213" s="42">
        <f>+H213*K213</f>
        <v>8750000</v>
      </c>
      <c r="O213" s="127" t="s">
        <v>800</v>
      </c>
      <c r="P213" s="127" t="s">
        <v>112</v>
      </c>
    </row>
    <row r="214" spans="1:16" s="44" customFormat="1">
      <c r="A214" s="36">
        <f t="shared" si="27"/>
        <v>210</v>
      </c>
      <c r="B214" s="39" t="s">
        <v>801</v>
      </c>
      <c r="C214" s="40" t="s">
        <v>802</v>
      </c>
      <c r="D214" s="28" t="s">
        <v>803</v>
      </c>
      <c r="E214" s="45">
        <v>42850</v>
      </c>
      <c r="F214" s="42">
        <f>9998400+249960+19751640</f>
        <v>30000000</v>
      </c>
      <c r="G214" s="46">
        <f t="shared" si="24"/>
        <v>43002000</v>
      </c>
      <c r="H214" s="42">
        <f>1194500-I214</f>
        <v>834500</v>
      </c>
      <c r="I214" s="42">
        <f t="shared" si="28"/>
        <v>360000</v>
      </c>
      <c r="J214" s="36">
        <v>36</v>
      </c>
      <c r="K214" s="120">
        <v>26</v>
      </c>
      <c r="L214" s="30">
        <f t="shared" si="25"/>
        <v>1194500</v>
      </c>
      <c r="M214" s="30">
        <f t="shared" si="26"/>
        <v>31057000</v>
      </c>
      <c r="N214" s="121">
        <f>F214-(H214*10)</f>
        <v>21655000</v>
      </c>
      <c r="O214" s="34" t="s">
        <v>45</v>
      </c>
      <c r="P214" s="34" t="s">
        <v>112</v>
      </c>
    </row>
    <row r="215" spans="1:16" s="44" customFormat="1">
      <c r="A215" s="36">
        <f t="shared" si="27"/>
        <v>211</v>
      </c>
      <c r="B215" s="39" t="s">
        <v>804</v>
      </c>
      <c r="C215" s="40" t="s">
        <v>805</v>
      </c>
      <c r="D215" s="41" t="s">
        <v>806</v>
      </c>
      <c r="E215" s="45">
        <v>42927</v>
      </c>
      <c r="F215" s="42">
        <f>17497500+437438+234968+4000000</f>
        <v>22169906</v>
      </c>
      <c r="G215" s="46">
        <f t="shared" si="24"/>
        <v>26973000</v>
      </c>
      <c r="H215" s="42">
        <v>1232461</v>
      </c>
      <c r="I215" s="42">
        <v>266039</v>
      </c>
      <c r="J215" s="36">
        <v>18</v>
      </c>
      <c r="K215" s="120">
        <v>10</v>
      </c>
      <c r="L215" s="30">
        <f t="shared" si="25"/>
        <v>1498500</v>
      </c>
      <c r="M215" s="30">
        <f t="shared" si="26"/>
        <v>14985000</v>
      </c>
      <c r="N215" s="121">
        <f>F215-(H215*8)</f>
        <v>12310218</v>
      </c>
      <c r="O215" s="34" t="s">
        <v>807</v>
      </c>
      <c r="P215" s="34" t="s">
        <v>112</v>
      </c>
    </row>
    <row r="216" spans="1:16" s="44" customFormat="1">
      <c r="A216" s="36">
        <f t="shared" si="27"/>
        <v>212</v>
      </c>
      <c r="B216" s="39" t="s">
        <v>808</v>
      </c>
      <c r="C216" s="40" t="s">
        <v>809</v>
      </c>
      <c r="D216" s="41" t="s">
        <v>810</v>
      </c>
      <c r="E216" s="45">
        <v>42930</v>
      </c>
      <c r="F216" s="42">
        <f>3606000+90150+187613+26116237</f>
        <v>30000000</v>
      </c>
      <c r="G216" s="46">
        <f t="shared" si="24"/>
        <v>18400000</v>
      </c>
      <c r="H216" s="132">
        <f>800000-I216</f>
        <v>440000</v>
      </c>
      <c r="I216" s="42">
        <f>+F216*1.2%</f>
        <v>360000</v>
      </c>
      <c r="J216" s="36">
        <v>23</v>
      </c>
      <c r="K216" s="120">
        <v>15</v>
      </c>
      <c r="L216" s="30">
        <f t="shared" si="25"/>
        <v>800000</v>
      </c>
      <c r="M216" s="30">
        <f t="shared" si="26"/>
        <v>12000000</v>
      </c>
      <c r="N216" s="121">
        <f>F216-(H216*8)</f>
        <v>26480000</v>
      </c>
      <c r="O216" s="34" t="s">
        <v>811</v>
      </c>
      <c r="P216" s="34" t="s">
        <v>112</v>
      </c>
    </row>
    <row r="217" spans="1:16" s="44" customFormat="1">
      <c r="A217" s="36">
        <f t="shared" si="27"/>
        <v>213</v>
      </c>
      <c r="B217" s="39" t="s">
        <v>812</v>
      </c>
      <c r="C217" s="40" t="s">
        <v>813</v>
      </c>
      <c r="D217" s="41" t="s">
        <v>814</v>
      </c>
      <c r="E217" s="45">
        <v>42972</v>
      </c>
      <c r="F217" s="42">
        <f>20000000</f>
        <v>20000000</v>
      </c>
      <c r="G217" s="46">
        <f t="shared" si="24"/>
        <v>11760000</v>
      </c>
      <c r="H217" s="132">
        <f>250000</f>
        <v>250000</v>
      </c>
      <c r="I217" s="119">
        <f>F217*1.2%</f>
        <v>240000</v>
      </c>
      <c r="J217" s="36">
        <v>24</v>
      </c>
      <c r="K217" s="120">
        <v>18</v>
      </c>
      <c r="L217" s="30">
        <f t="shared" si="25"/>
        <v>490000</v>
      </c>
      <c r="M217" s="30">
        <f t="shared" si="26"/>
        <v>8820000</v>
      </c>
      <c r="N217" s="121">
        <f>F217-(H217*6)</f>
        <v>18500000</v>
      </c>
      <c r="O217" s="34" t="s">
        <v>663</v>
      </c>
      <c r="P217" s="34" t="s">
        <v>86</v>
      </c>
    </row>
    <row r="218" spans="1:16" s="44" customFormat="1">
      <c r="A218" s="36">
        <f t="shared" si="27"/>
        <v>214</v>
      </c>
      <c r="B218" s="42" t="s">
        <v>815</v>
      </c>
      <c r="C218" s="124" t="s">
        <v>816</v>
      </c>
      <c r="D218" s="41" t="s">
        <v>817</v>
      </c>
      <c r="E218" s="45">
        <v>42881</v>
      </c>
      <c r="F218" s="132">
        <f>18375000+459375+11165625</f>
        <v>30000000</v>
      </c>
      <c r="G218" s="46">
        <f t="shared" si="24"/>
        <v>43002000</v>
      </c>
      <c r="H218" s="42">
        <v>834500</v>
      </c>
      <c r="I218" s="42">
        <f t="shared" ref="I218:I224" si="29">+F218*1.2%</f>
        <v>360000</v>
      </c>
      <c r="J218" s="36">
        <v>36</v>
      </c>
      <c r="K218" s="120">
        <v>27</v>
      </c>
      <c r="L218" s="137">
        <f t="shared" si="25"/>
        <v>1194500</v>
      </c>
      <c r="M218" s="30">
        <f t="shared" si="26"/>
        <v>32251500</v>
      </c>
      <c r="N218" s="121">
        <f>F218-(H218*9)</f>
        <v>22489500</v>
      </c>
      <c r="O218" s="34" t="s">
        <v>297</v>
      </c>
      <c r="P218" s="34" t="s">
        <v>112</v>
      </c>
    </row>
    <row r="219" spans="1:16" s="44" customFormat="1">
      <c r="A219" s="36">
        <f t="shared" si="27"/>
        <v>215</v>
      </c>
      <c r="B219" s="42" t="s">
        <v>818</v>
      </c>
      <c r="C219" s="124" t="s">
        <v>819</v>
      </c>
      <c r="D219" s="124"/>
      <c r="E219" s="45">
        <v>42223</v>
      </c>
      <c r="F219" s="125">
        <f>12000+19988000</f>
        <v>20000000</v>
      </c>
      <c r="G219" s="129">
        <f t="shared" si="24"/>
        <v>28641600</v>
      </c>
      <c r="H219" s="42">
        <v>555600</v>
      </c>
      <c r="I219" s="125">
        <f t="shared" si="29"/>
        <v>240000</v>
      </c>
      <c r="J219" s="126" t="s">
        <v>99</v>
      </c>
      <c r="K219" s="120">
        <v>5</v>
      </c>
      <c r="L219" s="42">
        <f t="shared" si="25"/>
        <v>795600</v>
      </c>
      <c r="M219" s="42">
        <f t="shared" si="26"/>
        <v>3978000</v>
      </c>
      <c r="N219" s="134">
        <f>F219-(H219*31)</f>
        <v>2776400</v>
      </c>
      <c r="O219" s="127" t="s">
        <v>508</v>
      </c>
      <c r="P219" s="127" t="s">
        <v>183</v>
      </c>
    </row>
    <row r="220" spans="1:16" s="44" customFormat="1">
      <c r="A220" s="36">
        <f t="shared" si="27"/>
        <v>216</v>
      </c>
      <c r="B220" s="42" t="s">
        <v>820</v>
      </c>
      <c r="C220" s="124" t="s">
        <v>821</v>
      </c>
      <c r="D220" s="124"/>
      <c r="E220" s="45">
        <v>42241</v>
      </c>
      <c r="F220" s="125">
        <f>416670+10418+19572912</f>
        <v>20000000</v>
      </c>
      <c r="G220" s="129">
        <f t="shared" si="24"/>
        <v>28641600</v>
      </c>
      <c r="H220" s="42">
        <v>555600</v>
      </c>
      <c r="I220" s="125">
        <f t="shared" si="29"/>
        <v>240000</v>
      </c>
      <c r="J220" s="126" t="s">
        <v>99</v>
      </c>
      <c r="K220" s="120">
        <v>6</v>
      </c>
      <c r="L220" s="42">
        <f t="shared" si="25"/>
        <v>795600</v>
      </c>
      <c r="M220" s="42">
        <f t="shared" si="26"/>
        <v>4773600</v>
      </c>
      <c r="N220" s="134">
        <f>F220-(H220*30)</f>
        <v>3332000</v>
      </c>
      <c r="O220" s="127" t="s">
        <v>822</v>
      </c>
      <c r="P220" s="127" t="s">
        <v>112</v>
      </c>
    </row>
    <row r="221" spans="1:16" s="44" customFormat="1">
      <c r="A221" s="36">
        <f t="shared" si="27"/>
        <v>217</v>
      </c>
      <c r="B221" s="39" t="s">
        <v>823</v>
      </c>
      <c r="C221" s="40" t="s">
        <v>824</v>
      </c>
      <c r="D221" s="41" t="s">
        <v>825</v>
      </c>
      <c r="E221" s="28">
        <v>43097</v>
      </c>
      <c r="F221" s="42">
        <f>30000000</f>
        <v>30000000</v>
      </c>
      <c r="G221" s="46">
        <f t="shared" si="24"/>
        <v>42984000</v>
      </c>
      <c r="H221" s="119">
        <v>834000</v>
      </c>
      <c r="I221" s="119">
        <f t="shared" si="29"/>
        <v>360000</v>
      </c>
      <c r="J221" s="36">
        <v>36</v>
      </c>
      <c r="K221" s="120">
        <v>34</v>
      </c>
      <c r="L221" s="30">
        <f t="shared" si="25"/>
        <v>1194000</v>
      </c>
      <c r="M221" s="30">
        <f t="shared" si="26"/>
        <v>40596000</v>
      </c>
      <c r="N221" s="33">
        <f>F221-(H221*2)</f>
        <v>28332000</v>
      </c>
      <c r="O221" s="34" t="s">
        <v>191</v>
      </c>
      <c r="P221" s="34" t="s">
        <v>86</v>
      </c>
    </row>
    <row r="222" spans="1:16" s="44" customFormat="1">
      <c r="A222" s="36">
        <f t="shared" si="27"/>
        <v>218</v>
      </c>
      <c r="B222" s="39" t="s">
        <v>826</v>
      </c>
      <c r="C222" s="40" t="s">
        <v>827</v>
      </c>
      <c r="D222" s="41" t="s">
        <v>828</v>
      </c>
      <c r="E222" s="28">
        <v>43087</v>
      </c>
      <c r="F222" s="42">
        <v>20000000</v>
      </c>
      <c r="G222" s="46">
        <f t="shared" si="24"/>
        <v>27210000</v>
      </c>
      <c r="H222" s="119">
        <f>907000-I222</f>
        <v>667000</v>
      </c>
      <c r="I222" s="119">
        <f t="shared" si="29"/>
        <v>240000</v>
      </c>
      <c r="J222" s="36">
        <v>30</v>
      </c>
      <c r="K222" s="120">
        <v>28</v>
      </c>
      <c r="L222" s="30">
        <f t="shared" si="25"/>
        <v>907000</v>
      </c>
      <c r="M222" s="30">
        <f t="shared" si="26"/>
        <v>25396000</v>
      </c>
      <c r="N222" s="33">
        <f>F222-(H222*2)</f>
        <v>18666000</v>
      </c>
      <c r="O222" s="34" t="s">
        <v>829</v>
      </c>
      <c r="P222" s="34" t="s">
        <v>86</v>
      </c>
    </row>
    <row r="223" spans="1:16" s="44" customFormat="1">
      <c r="A223" s="36">
        <f t="shared" si="27"/>
        <v>219</v>
      </c>
      <c r="B223" s="39" t="s">
        <v>830</v>
      </c>
      <c r="C223" s="40" t="s">
        <v>831</v>
      </c>
      <c r="D223" s="41" t="s">
        <v>832</v>
      </c>
      <c r="E223" s="45">
        <v>42965</v>
      </c>
      <c r="F223" s="42">
        <f>3331200+83280+290323+26295197</f>
        <v>30000000</v>
      </c>
      <c r="G223" s="46">
        <f t="shared" si="24"/>
        <v>38640000</v>
      </c>
      <c r="H223" s="42">
        <f>+F223/J223</f>
        <v>1250000</v>
      </c>
      <c r="I223" s="42">
        <f t="shared" si="29"/>
        <v>360000</v>
      </c>
      <c r="J223" s="36">
        <v>24</v>
      </c>
      <c r="K223" s="120">
        <v>17</v>
      </c>
      <c r="L223" s="30">
        <f t="shared" si="25"/>
        <v>1610000</v>
      </c>
      <c r="M223" s="30">
        <f t="shared" si="26"/>
        <v>27370000</v>
      </c>
      <c r="N223" s="46">
        <f>+H223*K223</f>
        <v>21250000</v>
      </c>
      <c r="O223" s="34" t="s">
        <v>833</v>
      </c>
      <c r="P223" s="34" t="s">
        <v>112</v>
      </c>
    </row>
    <row r="224" spans="1:16" s="44" customFormat="1">
      <c r="A224" s="36">
        <f t="shared" si="27"/>
        <v>220</v>
      </c>
      <c r="B224" s="39" t="s">
        <v>834</v>
      </c>
      <c r="C224" s="40" t="s">
        <v>835</v>
      </c>
      <c r="D224" s="28" t="s">
        <v>836</v>
      </c>
      <c r="E224" s="45">
        <v>42796</v>
      </c>
      <c r="F224" s="42">
        <f>30000000</f>
        <v>30000000</v>
      </c>
      <c r="G224" s="46">
        <f t="shared" si="24"/>
        <v>38640000</v>
      </c>
      <c r="H224" s="42">
        <f>+F224/J224</f>
        <v>1250000</v>
      </c>
      <c r="I224" s="42">
        <f t="shared" si="29"/>
        <v>360000</v>
      </c>
      <c r="J224" s="36">
        <v>24</v>
      </c>
      <c r="K224" s="120">
        <v>12</v>
      </c>
      <c r="L224" s="30">
        <f t="shared" si="25"/>
        <v>1610000</v>
      </c>
      <c r="M224" s="30">
        <f t="shared" si="26"/>
        <v>19320000</v>
      </c>
      <c r="N224" s="46">
        <f>+H224*K224</f>
        <v>15000000</v>
      </c>
      <c r="O224" s="34" t="s">
        <v>132</v>
      </c>
      <c r="P224" s="34" t="s">
        <v>86</v>
      </c>
    </row>
    <row r="225" spans="1:16" s="44" customFormat="1">
      <c r="A225" s="36">
        <f t="shared" si="27"/>
        <v>221</v>
      </c>
      <c r="B225" s="39" t="s">
        <v>837</v>
      </c>
      <c r="C225" s="40" t="s">
        <v>838</v>
      </c>
      <c r="D225" s="41" t="s">
        <v>839</v>
      </c>
      <c r="E225" s="45">
        <v>43003</v>
      </c>
      <c r="F225" s="42">
        <f>3610600+90265+11299135</f>
        <v>15000000</v>
      </c>
      <c r="G225" s="46">
        <f t="shared" si="24"/>
        <v>21492000</v>
      </c>
      <c r="H225" s="119">
        <f>597000-I225</f>
        <v>417000</v>
      </c>
      <c r="I225" s="119">
        <f>F225*1.2%</f>
        <v>180000</v>
      </c>
      <c r="J225" s="36">
        <v>36</v>
      </c>
      <c r="K225" s="120">
        <v>31</v>
      </c>
      <c r="L225" s="30">
        <f t="shared" si="25"/>
        <v>597000</v>
      </c>
      <c r="M225" s="30">
        <f t="shared" si="26"/>
        <v>18507000</v>
      </c>
      <c r="N225" s="121">
        <f>F225-(H225*5)</f>
        <v>12915000</v>
      </c>
      <c r="O225" s="34" t="s">
        <v>67</v>
      </c>
      <c r="P225" s="34" t="s">
        <v>94</v>
      </c>
    </row>
    <row r="226" spans="1:16" s="44" customFormat="1">
      <c r="A226" s="36">
        <f t="shared" si="27"/>
        <v>222</v>
      </c>
      <c r="B226" s="39" t="s">
        <v>840</v>
      </c>
      <c r="C226" s="40" t="s">
        <v>841</v>
      </c>
      <c r="D226" s="41" t="s">
        <v>842</v>
      </c>
      <c r="E226" s="45">
        <v>42926</v>
      </c>
      <c r="F226" s="42">
        <f>1666700+41668+200129+23091503</f>
        <v>25000000</v>
      </c>
      <c r="G226" s="46">
        <f t="shared" si="24"/>
        <v>35838000</v>
      </c>
      <c r="H226" s="139">
        <f>995500-I226</f>
        <v>695500</v>
      </c>
      <c r="I226" s="42">
        <f>+F226*1.2%</f>
        <v>300000</v>
      </c>
      <c r="J226" s="36">
        <v>36</v>
      </c>
      <c r="K226" s="120">
        <v>28</v>
      </c>
      <c r="L226" s="30">
        <f t="shared" si="25"/>
        <v>995500</v>
      </c>
      <c r="M226" s="30">
        <f t="shared" si="26"/>
        <v>27874000</v>
      </c>
      <c r="N226" s="121">
        <f>F226-(H226*8)</f>
        <v>19436000</v>
      </c>
      <c r="O226" s="34" t="s">
        <v>37</v>
      </c>
      <c r="P226" s="34" t="s">
        <v>112</v>
      </c>
    </row>
    <row r="227" spans="1:16" s="44" customFormat="1">
      <c r="A227" s="36">
        <f t="shared" si="27"/>
        <v>223</v>
      </c>
      <c r="B227" s="39" t="s">
        <v>843</v>
      </c>
      <c r="C227" s="40" t="s">
        <v>844</v>
      </c>
      <c r="D227" s="41" t="s">
        <v>845</v>
      </c>
      <c r="E227" s="45">
        <v>42951</v>
      </c>
      <c r="F227" s="42">
        <f>30000000</f>
        <v>30000000</v>
      </c>
      <c r="G227" s="46">
        <f t="shared" si="24"/>
        <v>43002000</v>
      </c>
      <c r="H227" s="132">
        <v>834500</v>
      </c>
      <c r="I227" s="42">
        <f>+F227*1.2%</f>
        <v>360000</v>
      </c>
      <c r="J227" s="36">
        <v>36</v>
      </c>
      <c r="K227" s="120">
        <v>29</v>
      </c>
      <c r="L227" s="30">
        <f t="shared" si="25"/>
        <v>1194500</v>
      </c>
      <c r="M227" s="30">
        <f t="shared" si="26"/>
        <v>34640500</v>
      </c>
      <c r="N227" s="121">
        <f>F227-(H227*7)</f>
        <v>24158500</v>
      </c>
      <c r="O227" s="34" t="s">
        <v>85</v>
      </c>
      <c r="P227" s="34" t="s">
        <v>86</v>
      </c>
    </row>
    <row r="228" spans="1:16" s="44" customFormat="1">
      <c r="A228" s="36">
        <f t="shared" si="27"/>
        <v>224</v>
      </c>
      <c r="B228" s="42" t="s">
        <v>846</v>
      </c>
      <c r="C228" s="124" t="s">
        <v>847</v>
      </c>
      <c r="D228" s="124"/>
      <c r="E228" s="128">
        <v>42382</v>
      </c>
      <c r="F228" s="125">
        <f>19999200+499980+232258+9268562</f>
        <v>30000000</v>
      </c>
      <c r="G228" s="129">
        <f t="shared" si="24"/>
        <v>42966000</v>
      </c>
      <c r="H228" s="42">
        <v>833500</v>
      </c>
      <c r="I228" s="125">
        <f>+F228*1.2%</f>
        <v>360000</v>
      </c>
      <c r="J228" s="126" t="s">
        <v>99</v>
      </c>
      <c r="K228" s="120">
        <v>10</v>
      </c>
      <c r="L228" s="42">
        <f t="shared" si="25"/>
        <v>1193500</v>
      </c>
      <c r="M228" s="42">
        <f t="shared" si="26"/>
        <v>11935000</v>
      </c>
      <c r="N228" s="136">
        <f>F228-(H228*26)</f>
        <v>8329000</v>
      </c>
      <c r="O228" s="127" t="s">
        <v>848</v>
      </c>
      <c r="P228" s="127" t="s">
        <v>215</v>
      </c>
    </row>
    <row r="229" spans="1:16" s="44" customFormat="1">
      <c r="A229" s="36">
        <f t="shared" si="27"/>
        <v>225</v>
      </c>
      <c r="B229" s="39" t="s">
        <v>849</v>
      </c>
      <c r="C229" s="40" t="s">
        <v>850</v>
      </c>
      <c r="D229" s="41" t="s">
        <v>851</v>
      </c>
      <c r="E229" s="45">
        <v>43005</v>
      </c>
      <c r="F229" s="42">
        <f>30000000</f>
        <v>30000000</v>
      </c>
      <c r="G229" s="46">
        <f t="shared" si="24"/>
        <v>34320000</v>
      </c>
      <c r="H229" s="132">
        <f>+F229/J229</f>
        <v>2500000</v>
      </c>
      <c r="I229" s="119">
        <f>F229*1.2%</f>
        <v>360000</v>
      </c>
      <c r="J229" s="36">
        <v>12</v>
      </c>
      <c r="K229" s="120">
        <v>7</v>
      </c>
      <c r="L229" s="30">
        <f t="shared" si="25"/>
        <v>2860000</v>
      </c>
      <c r="M229" s="30">
        <f t="shared" si="26"/>
        <v>20020000</v>
      </c>
      <c r="N229" s="46">
        <f>+H229*K229</f>
        <v>17500000</v>
      </c>
      <c r="O229" s="34" t="s">
        <v>852</v>
      </c>
      <c r="P229" s="34" t="s">
        <v>86</v>
      </c>
    </row>
    <row r="230" spans="1:16" s="44" customFormat="1">
      <c r="A230" s="36">
        <f t="shared" si="27"/>
        <v>226</v>
      </c>
      <c r="B230" s="42" t="s">
        <v>853</v>
      </c>
      <c r="C230" s="124" t="s">
        <v>854</v>
      </c>
      <c r="D230" s="124" t="s">
        <v>855</v>
      </c>
      <c r="E230" s="45">
        <v>42704</v>
      </c>
      <c r="F230" s="125">
        <f>10831800+270795+18897405</f>
        <v>30000000</v>
      </c>
      <c r="G230" s="46">
        <f t="shared" si="24"/>
        <v>42984000</v>
      </c>
      <c r="H230" s="42">
        <v>834000</v>
      </c>
      <c r="I230" s="42">
        <f>+F230*1.2%</f>
        <v>360000</v>
      </c>
      <c r="J230" s="126" t="s">
        <v>99</v>
      </c>
      <c r="K230" s="120">
        <v>21</v>
      </c>
      <c r="L230" s="30">
        <f t="shared" si="25"/>
        <v>1194000</v>
      </c>
      <c r="M230" s="42">
        <f t="shared" si="26"/>
        <v>25074000</v>
      </c>
      <c r="N230" s="121">
        <f>F230-(H230*15)</f>
        <v>17490000</v>
      </c>
      <c r="O230" s="127" t="s">
        <v>232</v>
      </c>
      <c r="P230" s="127" t="s">
        <v>25</v>
      </c>
    </row>
    <row r="231" spans="1:16" s="44" customFormat="1">
      <c r="A231" s="36">
        <f t="shared" si="27"/>
        <v>227</v>
      </c>
      <c r="B231" s="39" t="s">
        <v>856</v>
      </c>
      <c r="C231" s="40" t="s">
        <v>857</v>
      </c>
      <c r="D231" s="41" t="s">
        <v>858</v>
      </c>
      <c r="E231" s="45">
        <v>43034</v>
      </c>
      <c r="F231" s="42">
        <f>1761500+163000+48113+3027387</f>
        <v>5000000</v>
      </c>
      <c r="G231" s="46">
        <f t="shared" si="24"/>
        <v>6456000</v>
      </c>
      <c r="H231" s="119">
        <v>209000</v>
      </c>
      <c r="I231" s="119">
        <f>+F231*1.2%</f>
        <v>60000</v>
      </c>
      <c r="J231" s="36">
        <v>24</v>
      </c>
      <c r="K231" s="120">
        <v>20</v>
      </c>
      <c r="L231" s="30">
        <f t="shared" si="25"/>
        <v>269000</v>
      </c>
      <c r="M231" s="30">
        <f t="shared" si="26"/>
        <v>5380000</v>
      </c>
      <c r="N231" s="33">
        <f>F231-(H231*4)</f>
        <v>4164000</v>
      </c>
      <c r="O231" s="34" t="s">
        <v>859</v>
      </c>
      <c r="P231" s="34" t="s">
        <v>112</v>
      </c>
    </row>
    <row r="232" spans="1:16" s="44" customFormat="1">
      <c r="A232" s="36">
        <f t="shared" si="27"/>
        <v>228</v>
      </c>
      <c r="B232" s="39" t="s">
        <v>860</v>
      </c>
      <c r="C232" s="40" t="s">
        <v>861</v>
      </c>
      <c r="D232" s="41" t="s">
        <v>862</v>
      </c>
      <c r="E232" s="45">
        <v>42985</v>
      </c>
      <c r="F232" s="42">
        <f>20000000</f>
        <v>20000000</v>
      </c>
      <c r="G232" s="46">
        <f t="shared" si="24"/>
        <v>25776000</v>
      </c>
      <c r="H232" s="132">
        <f>1074000-I232</f>
        <v>834000</v>
      </c>
      <c r="I232" s="119">
        <f>F232*1.2%</f>
        <v>240000</v>
      </c>
      <c r="J232" s="36">
        <v>24</v>
      </c>
      <c r="K232" s="120">
        <v>18</v>
      </c>
      <c r="L232" s="30">
        <f t="shared" si="25"/>
        <v>1074000</v>
      </c>
      <c r="M232" s="30">
        <f t="shared" si="26"/>
        <v>19332000</v>
      </c>
      <c r="N232" s="121">
        <f>F232-(H232*6)</f>
        <v>14996000</v>
      </c>
      <c r="O232" s="34" t="s">
        <v>716</v>
      </c>
      <c r="P232" s="34" t="s">
        <v>86</v>
      </c>
    </row>
    <row r="233" spans="1:16" s="44" customFormat="1">
      <c r="A233" s="36">
        <f t="shared" si="27"/>
        <v>229</v>
      </c>
      <c r="B233" s="39" t="s">
        <v>863</v>
      </c>
      <c r="C233" s="40" t="s">
        <v>864</v>
      </c>
      <c r="D233" s="28" t="s">
        <v>865</v>
      </c>
      <c r="E233" s="45">
        <v>42986</v>
      </c>
      <c r="F233" s="42">
        <f>10000000</f>
        <v>10000000</v>
      </c>
      <c r="G233" s="46">
        <f t="shared" si="24"/>
        <v>11200000</v>
      </c>
      <c r="H233" s="132">
        <f>+F233/J233</f>
        <v>1000000</v>
      </c>
      <c r="I233" s="119">
        <f>F233*1.2%</f>
        <v>120000</v>
      </c>
      <c r="J233" s="36">
        <v>10</v>
      </c>
      <c r="K233" s="120">
        <v>4</v>
      </c>
      <c r="L233" s="30">
        <f t="shared" si="25"/>
        <v>1120000</v>
      </c>
      <c r="M233" s="30">
        <f t="shared" si="26"/>
        <v>4480000</v>
      </c>
      <c r="N233" s="46">
        <f>+H233*K233</f>
        <v>4000000</v>
      </c>
      <c r="O233" s="34" t="s">
        <v>866</v>
      </c>
      <c r="P233" s="34" t="s">
        <v>55</v>
      </c>
    </row>
    <row r="234" spans="1:16" s="44" customFormat="1">
      <c r="A234" s="36">
        <f t="shared" si="27"/>
        <v>230</v>
      </c>
      <c r="B234" s="39" t="s">
        <v>867</v>
      </c>
      <c r="C234" s="40" t="s">
        <v>868</v>
      </c>
      <c r="D234" s="41" t="s">
        <v>869</v>
      </c>
      <c r="E234" s="45">
        <v>42950</v>
      </c>
      <c r="F234" s="42">
        <f>23328000+583200+104516+5984284</f>
        <v>30000000</v>
      </c>
      <c r="G234" s="46">
        <f t="shared" si="24"/>
        <v>43002000</v>
      </c>
      <c r="H234" s="132">
        <v>834500</v>
      </c>
      <c r="I234" s="42">
        <f t="shared" ref="I234:I253" si="30">+F234*1.2%</f>
        <v>360000</v>
      </c>
      <c r="J234" s="36">
        <v>36</v>
      </c>
      <c r="K234" s="120">
        <v>29</v>
      </c>
      <c r="L234" s="30">
        <f t="shared" si="25"/>
        <v>1194500</v>
      </c>
      <c r="M234" s="30">
        <f t="shared" si="26"/>
        <v>34640500</v>
      </c>
      <c r="N234" s="121">
        <f>F234-(H234*7)</f>
        <v>24158500</v>
      </c>
      <c r="O234" s="34" t="s">
        <v>800</v>
      </c>
      <c r="P234" s="34" t="s">
        <v>112</v>
      </c>
    </row>
    <row r="235" spans="1:16" s="44" customFormat="1">
      <c r="A235" s="36">
        <f t="shared" si="27"/>
        <v>231</v>
      </c>
      <c r="B235" s="39" t="s">
        <v>870</v>
      </c>
      <c r="C235" s="40" t="s">
        <v>871</v>
      </c>
      <c r="D235" s="41" t="s">
        <v>872</v>
      </c>
      <c r="E235" s="28">
        <v>43084</v>
      </c>
      <c r="F235" s="42">
        <f>6000000</f>
        <v>6000000</v>
      </c>
      <c r="G235" s="46">
        <f t="shared" si="24"/>
        <v>7728000</v>
      </c>
      <c r="H235" s="119">
        <f>+F235/J235</f>
        <v>250000</v>
      </c>
      <c r="I235" s="119">
        <f t="shared" si="30"/>
        <v>72000</v>
      </c>
      <c r="J235" s="36">
        <v>24</v>
      </c>
      <c r="K235" s="120">
        <v>22</v>
      </c>
      <c r="L235" s="30">
        <f t="shared" si="25"/>
        <v>322000</v>
      </c>
      <c r="M235" s="30">
        <f t="shared" si="26"/>
        <v>7084000</v>
      </c>
      <c r="N235" s="46">
        <f>+H235*K235</f>
        <v>5500000</v>
      </c>
      <c r="O235" s="34" t="s">
        <v>873</v>
      </c>
      <c r="P235" s="34" t="s">
        <v>86</v>
      </c>
    </row>
    <row r="236" spans="1:16" s="44" customFormat="1">
      <c r="A236" s="36">
        <f t="shared" si="27"/>
        <v>232</v>
      </c>
      <c r="B236" s="39" t="s">
        <v>874</v>
      </c>
      <c r="C236" s="40" t="s">
        <v>875</v>
      </c>
      <c r="D236" s="41" t="s">
        <v>876</v>
      </c>
      <c r="E236" s="45">
        <v>43033</v>
      </c>
      <c r="F236" s="42">
        <f>20826000+520650+8653350</f>
        <v>30000000</v>
      </c>
      <c r="G236" s="46">
        <f t="shared" si="24"/>
        <v>42984000</v>
      </c>
      <c r="H236" s="119">
        <v>834000</v>
      </c>
      <c r="I236" s="119">
        <f t="shared" si="30"/>
        <v>360000</v>
      </c>
      <c r="J236" s="36">
        <v>36</v>
      </c>
      <c r="K236" s="120">
        <v>32</v>
      </c>
      <c r="L236" s="30">
        <f t="shared" si="25"/>
        <v>1194000</v>
      </c>
      <c r="M236" s="30">
        <f t="shared" si="26"/>
        <v>38208000</v>
      </c>
      <c r="N236" s="33">
        <f>F236-(H236*4)</f>
        <v>26664000</v>
      </c>
      <c r="O236" s="34" t="s">
        <v>240</v>
      </c>
      <c r="P236" s="34" t="s">
        <v>112</v>
      </c>
    </row>
    <row r="237" spans="1:16" s="44" customFormat="1">
      <c r="A237" s="36">
        <f t="shared" si="27"/>
        <v>233</v>
      </c>
      <c r="B237" s="42" t="s">
        <v>877</v>
      </c>
      <c r="C237" s="124" t="s">
        <v>878</v>
      </c>
      <c r="D237" s="124"/>
      <c r="E237" s="45">
        <v>42241</v>
      </c>
      <c r="F237" s="125">
        <f>999800+24995+28975205</f>
        <v>30000000</v>
      </c>
      <c r="G237" s="129">
        <f t="shared" si="24"/>
        <v>42962400</v>
      </c>
      <c r="H237" s="42">
        <v>833400</v>
      </c>
      <c r="I237" s="125">
        <f t="shared" si="30"/>
        <v>360000</v>
      </c>
      <c r="J237" s="126" t="s">
        <v>99</v>
      </c>
      <c r="K237" s="120">
        <v>6</v>
      </c>
      <c r="L237" s="42">
        <f t="shared" si="25"/>
        <v>1193400</v>
      </c>
      <c r="M237" s="42">
        <f t="shared" si="26"/>
        <v>7160400</v>
      </c>
      <c r="N237" s="134">
        <f>F237-(H237*30)</f>
        <v>4998000</v>
      </c>
      <c r="O237" s="127" t="s">
        <v>508</v>
      </c>
      <c r="P237" s="127" t="s">
        <v>112</v>
      </c>
    </row>
    <row r="238" spans="1:16" s="44" customFormat="1">
      <c r="A238" s="36">
        <f t="shared" si="27"/>
        <v>234</v>
      </c>
      <c r="B238" s="39" t="s">
        <v>879</v>
      </c>
      <c r="C238" s="40" t="s">
        <v>880</v>
      </c>
      <c r="D238" s="41" t="s">
        <v>881</v>
      </c>
      <c r="E238" s="45">
        <v>42908</v>
      </c>
      <c r="F238" s="42">
        <f>14998400+374960+14626640</f>
        <v>30000000</v>
      </c>
      <c r="G238" s="46">
        <f t="shared" si="24"/>
        <v>43002000</v>
      </c>
      <c r="H238" s="132">
        <f>1194500-I238</f>
        <v>834500</v>
      </c>
      <c r="I238" s="42">
        <f t="shared" si="30"/>
        <v>360000</v>
      </c>
      <c r="J238" s="36">
        <v>36</v>
      </c>
      <c r="K238" s="120">
        <v>28</v>
      </c>
      <c r="L238" s="30">
        <f t="shared" si="25"/>
        <v>1194500</v>
      </c>
      <c r="M238" s="30">
        <f t="shared" si="26"/>
        <v>33446000</v>
      </c>
      <c r="N238" s="121">
        <f>F238-(H238*8)</f>
        <v>23324000</v>
      </c>
      <c r="O238" s="34" t="s">
        <v>882</v>
      </c>
      <c r="P238" s="34" t="s">
        <v>112</v>
      </c>
    </row>
    <row r="239" spans="1:16" s="44" customFormat="1">
      <c r="A239" s="36">
        <f t="shared" si="27"/>
        <v>235</v>
      </c>
      <c r="B239" s="39" t="s">
        <v>883</v>
      </c>
      <c r="C239" s="40" t="s">
        <v>884</v>
      </c>
      <c r="D239" s="41" t="s">
        <v>885</v>
      </c>
      <c r="E239" s="45">
        <v>42930</v>
      </c>
      <c r="F239" s="42">
        <f>10831800+270795+246581+18650824</f>
        <v>30000000</v>
      </c>
      <c r="G239" s="46">
        <f t="shared" si="24"/>
        <v>43002000</v>
      </c>
      <c r="H239" s="132">
        <f>1194500-I239</f>
        <v>834500</v>
      </c>
      <c r="I239" s="42">
        <f t="shared" si="30"/>
        <v>360000</v>
      </c>
      <c r="J239" s="36">
        <v>36</v>
      </c>
      <c r="K239" s="120">
        <v>28</v>
      </c>
      <c r="L239" s="30">
        <f t="shared" si="25"/>
        <v>1194500</v>
      </c>
      <c r="M239" s="30">
        <f t="shared" si="26"/>
        <v>33446000</v>
      </c>
      <c r="N239" s="121">
        <f>F239-(H239*8)</f>
        <v>23324000</v>
      </c>
      <c r="O239" s="34" t="s">
        <v>886</v>
      </c>
      <c r="P239" s="34" t="s">
        <v>112</v>
      </c>
    </row>
    <row r="240" spans="1:16" s="44" customFormat="1">
      <c r="A240" s="36">
        <f t="shared" si="27"/>
        <v>236</v>
      </c>
      <c r="B240" s="39" t="s">
        <v>887</v>
      </c>
      <c r="C240" s="40" t="s">
        <v>888</v>
      </c>
      <c r="D240" s="41" t="s">
        <v>889</v>
      </c>
      <c r="E240" s="28">
        <v>43087</v>
      </c>
      <c r="F240" s="42">
        <v>30000000</v>
      </c>
      <c r="G240" s="46">
        <f t="shared" si="24"/>
        <v>38640000</v>
      </c>
      <c r="H240" s="119">
        <f>+F240/J240</f>
        <v>1250000</v>
      </c>
      <c r="I240" s="119">
        <f t="shared" si="30"/>
        <v>360000</v>
      </c>
      <c r="J240" s="36">
        <v>24</v>
      </c>
      <c r="K240" s="120">
        <v>22</v>
      </c>
      <c r="L240" s="30">
        <f t="shared" si="25"/>
        <v>1610000</v>
      </c>
      <c r="M240" s="30">
        <f t="shared" si="26"/>
        <v>35420000</v>
      </c>
      <c r="N240" s="46">
        <f>+H240*K240</f>
        <v>27500000</v>
      </c>
      <c r="O240" s="34" t="s">
        <v>890</v>
      </c>
      <c r="P240" s="34" t="s">
        <v>86</v>
      </c>
    </row>
    <row r="241" spans="1:16" s="44" customFormat="1">
      <c r="A241" s="36">
        <f t="shared" si="27"/>
        <v>237</v>
      </c>
      <c r="B241" s="39" t="s">
        <v>891</v>
      </c>
      <c r="C241" s="40" t="s">
        <v>892</v>
      </c>
      <c r="D241" s="28" t="s">
        <v>893</v>
      </c>
      <c r="E241" s="45">
        <v>43066</v>
      </c>
      <c r="F241" s="42">
        <f>20000000</f>
        <v>20000000</v>
      </c>
      <c r="G241" s="46">
        <f t="shared" si="24"/>
        <v>26000000</v>
      </c>
      <c r="H241" s="119">
        <f>+F241/J241</f>
        <v>800000</v>
      </c>
      <c r="I241" s="119">
        <f t="shared" si="30"/>
        <v>240000</v>
      </c>
      <c r="J241" s="36">
        <v>25</v>
      </c>
      <c r="K241" s="120">
        <v>22</v>
      </c>
      <c r="L241" s="30">
        <f t="shared" si="25"/>
        <v>1040000</v>
      </c>
      <c r="M241" s="30">
        <f t="shared" si="26"/>
        <v>22880000</v>
      </c>
      <c r="N241" s="46">
        <f>+H241*K241</f>
        <v>17600000</v>
      </c>
      <c r="O241" s="34" t="s">
        <v>894</v>
      </c>
      <c r="P241" s="34" t="s">
        <v>86</v>
      </c>
    </row>
    <row r="242" spans="1:16" s="44" customFormat="1">
      <c r="A242" s="36">
        <f t="shared" si="27"/>
        <v>238</v>
      </c>
      <c r="B242" s="148" t="s">
        <v>895</v>
      </c>
      <c r="C242" s="157" t="s">
        <v>896</v>
      </c>
      <c r="D242" s="157"/>
      <c r="E242" s="147">
        <v>42473</v>
      </c>
      <c r="F242" s="149">
        <f>30000000</f>
        <v>30000000</v>
      </c>
      <c r="G242" s="149">
        <f t="shared" si="24"/>
        <v>38640000</v>
      </c>
      <c r="H242" s="148">
        <f>+F242/J242</f>
        <v>1250000</v>
      </c>
      <c r="I242" s="149">
        <f t="shared" si="30"/>
        <v>360000</v>
      </c>
      <c r="J242" s="158" t="s">
        <v>89</v>
      </c>
      <c r="K242" s="151">
        <f>1+1</f>
        <v>2</v>
      </c>
      <c r="L242" s="42">
        <f t="shared" si="25"/>
        <v>1610000</v>
      </c>
      <c r="M242" s="42">
        <f t="shared" si="26"/>
        <v>3220000</v>
      </c>
      <c r="N242" s="125">
        <f>+H242*K242</f>
        <v>2500000</v>
      </c>
      <c r="O242" s="127" t="s">
        <v>897</v>
      </c>
      <c r="P242" s="127" t="s">
        <v>183</v>
      </c>
    </row>
    <row r="243" spans="1:16" s="44" customFormat="1">
      <c r="A243" s="36">
        <f t="shared" si="27"/>
        <v>239</v>
      </c>
      <c r="B243" s="42" t="s">
        <v>898</v>
      </c>
      <c r="C243" s="124" t="s">
        <v>899</v>
      </c>
      <c r="D243" s="124"/>
      <c r="E243" s="128">
        <v>42487</v>
      </c>
      <c r="F243" s="125">
        <f>20000000</f>
        <v>20000000</v>
      </c>
      <c r="G243" s="125">
        <f t="shared" si="24"/>
        <v>25764000</v>
      </c>
      <c r="H243" s="42">
        <v>833500</v>
      </c>
      <c r="I243" s="125">
        <f t="shared" si="30"/>
        <v>240000</v>
      </c>
      <c r="J243" s="126" t="s">
        <v>89</v>
      </c>
      <c r="K243" s="120">
        <v>2</v>
      </c>
      <c r="L243" s="42">
        <f t="shared" si="25"/>
        <v>1073500</v>
      </c>
      <c r="M243" s="42">
        <f t="shared" si="26"/>
        <v>2147000</v>
      </c>
      <c r="N243" s="134">
        <f>F243-(H243*22)</f>
        <v>1663000</v>
      </c>
      <c r="O243" s="127" t="s">
        <v>900</v>
      </c>
      <c r="P243" s="127" t="s">
        <v>86</v>
      </c>
    </row>
    <row r="244" spans="1:16" s="44" customFormat="1">
      <c r="A244" s="36">
        <f t="shared" si="27"/>
        <v>240</v>
      </c>
      <c r="B244" s="42" t="s">
        <v>901</v>
      </c>
      <c r="C244" s="124" t="s">
        <v>902</v>
      </c>
      <c r="D244" s="41" t="s">
        <v>903</v>
      </c>
      <c r="E244" s="45">
        <v>42881</v>
      </c>
      <c r="F244" s="132">
        <f>14997000+374925+14628075</f>
        <v>30000000</v>
      </c>
      <c r="G244" s="46">
        <f t="shared" si="24"/>
        <v>28000000</v>
      </c>
      <c r="H244" s="42">
        <v>440000</v>
      </c>
      <c r="I244" s="42">
        <f t="shared" si="30"/>
        <v>360000</v>
      </c>
      <c r="J244" s="36">
        <v>35</v>
      </c>
      <c r="K244" s="120">
        <v>26</v>
      </c>
      <c r="L244" s="137">
        <f t="shared" si="25"/>
        <v>800000</v>
      </c>
      <c r="M244" s="30">
        <f t="shared" si="26"/>
        <v>20800000</v>
      </c>
      <c r="N244" s="121">
        <f>F244-(H244*9)-394500</f>
        <v>25645500</v>
      </c>
      <c r="O244" s="34" t="s">
        <v>330</v>
      </c>
      <c r="P244" s="34" t="s">
        <v>112</v>
      </c>
    </row>
    <row r="245" spans="1:16" s="44" customFormat="1">
      <c r="A245" s="36">
        <f t="shared" si="27"/>
        <v>241</v>
      </c>
      <c r="B245" s="42" t="s">
        <v>904</v>
      </c>
      <c r="C245" s="124" t="s">
        <v>905</v>
      </c>
      <c r="D245" s="41" t="s">
        <v>906</v>
      </c>
      <c r="E245" s="45">
        <v>42871</v>
      </c>
      <c r="F245" s="132">
        <f>7290700+182268+644516+21882516</f>
        <v>30000000</v>
      </c>
      <c r="G245" s="46">
        <f t="shared" si="24"/>
        <v>24648000</v>
      </c>
      <c r="H245" s="42">
        <v>667000</v>
      </c>
      <c r="I245" s="42">
        <f t="shared" si="30"/>
        <v>360000</v>
      </c>
      <c r="J245" s="36">
        <v>24</v>
      </c>
      <c r="K245" s="120">
        <v>14</v>
      </c>
      <c r="L245" s="137">
        <f t="shared" si="25"/>
        <v>1027000</v>
      </c>
      <c r="M245" s="30">
        <f t="shared" si="26"/>
        <v>14378000</v>
      </c>
      <c r="N245" s="121">
        <f>F245-(H245*10)-(2000000)</f>
        <v>21330000</v>
      </c>
      <c r="O245" s="34" t="s">
        <v>907</v>
      </c>
      <c r="P245" s="34" t="s">
        <v>101</v>
      </c>
    </row>
    <row r="246" spans="1:16" s="44" customFormat="1">
      <c r="A246" s="36">
        <f t="shared" si="27"/>
        <v>242</v>
      </c>
      <c r="B246" s="39" t="s">
        <v>908</v>
      </c>
      <c r="C246" s="40" t="s">
        <v>909</v>
      </c>
      <c r="D246" s="41" t="s">
        <v>910</v>
      </c>
      <c r="E246" s="45">
        <v>42944</v>
      </c>
      <c r="F246" s="42">
        <f>25000000</f>
        <v>25000000</v>
      </c>
      <c r="G246" s="46">
        <f t="shared" si="24"/>
        <v>28614000</v>
      </c>
      <c r="H246" s="132">
        <f>2384500-I246</f>
        <v>2084500</v>
      </c>
      <c r="I246" s="42">
        <f t="shared" si="30"/>
        <v>300000</v>
      </c>
      <c r="J246" s="36">
        <v>12</v>
      </c>
      <c r="K246" s="120">
        <v>5</v>
      </c>
      <c r="L246" s="30">
        <f t="shared" si="25"/>
        <v>2384500</v>
      </c>
      <c r="M246" s="30">
        <f t="shared" si="26"/>
        <v>11922500</v>
      </c>
      <c r="N246" s="121">
        <f>F246-(H246*7)</f>
        <v>10408500</v>
      </c>
      <c r="O246" s="34" t="s">
        <v>911</v>
      </c>
      <c r="P246" s="34" t="s">
        <v>178</v>
      </c>
    </row>
    <row r="247" spans="1:16" s="44" customFormat="1">
      <c r="A247" s="36">
        <f t="shared" si="27"/>
        <v>243</v>
      </c>
      <c r="B247" s="39" t="s">
        <v>912</v>
      </c>
      <c r="C247" s="40" t="s">
        <v>913</v>
      </c>
      <c r="D247" s="41" t="s">
        <v>914</v>
      </c>
      <c r="E247" s="45">
        <v>42926</v>
      </c>
      <c r="F247" s="42">
        <f>10000000</f>
        <v>10000000</v>
      </c>
      <c r="G247" s="46">
        <f t="shared" si="24"/>
        <v>11454000</v>
      </c>
      <c r="H247" s="139">
        <f>954500-I247</f>
        <v>834500</v>
      </c>
      <c r="I247" s="42">
        <f t="shared" si="30"/>
        <v>120000</v>
      </c>
      <c r="J247" s="36">
        <v>12</v>
      </c>
      <c r="K247" s="120">
        <v>4</v>
      </c>
      <c r="L247" s="30">
        <f t="shared" si="25"/>
        <v>954500</v>
      </c>
      <c r="M247" s="30">
        <f t="shared" si="26"/>
        <v>3818000</v>
      </c>
      <c r="N247" s="121">
        <f>F247-(H247*8)</f>
        <v>3324000</v>
      </c>
      <c r="O247" s="34" t="s">
        <v>191</v>
      </c>
      <c r="P247" s="34" t="s">
        <v>86</v>
      </c>
    </row>
    <row r="248" spans="1:16" s="44" customFormat="1">
      <c r="A248" s="36">
        <f t="shared" si="27"/>
        <v>244</v>
      </c>
      <c r="B248" s="39" t="s">
        <v>915</v>
      </c>
      <c r="C248" s="40" t="s">
        <v>916</v>
      </c>
      <c r="D248" s="41" t="s">
        <v>917</v>
      </c>
      <c r="E248" s="45">
        <v>43063</v>
      </c>
      <c r="F248" s="42">
        <f>3888400+97210+6014390</f>
        <v>10000000</v>
      </c>
      <c r="G248" s="46">
        <f t="shared" si="24"/>
        <v>14328000</v>
      </c>
      <c r="H248" s="42">
        <v>278000</v>
      </c>
      <c r="I248" s="119">
        <f t="shared" si="30"/>
        <v>120000</v>
      </c>
      <c r="J248" s="36">
        <v>36</v>
      </c>
      <c r="K248" s="120">
        <v>33</v>
      </c>
      <c r="L248" s="30">
        <f t="shared" si="25"/>
        <v>398000</v>
      </c>
      <c r="M248" s="30">
        <f t="shared" si="26"/>
        <v>13134000</v>
      </c>
      <c r="N248" s="33">
        <f>F248-(H248*3)</f>
        <v>9166000</v>
      </c>
      <c r="O248" s="34" t="s">
        <v>160</v>
      </c>
      <c r="P248" s="47" t="s">
        <v>112</v>
      </c>
    </row>
    <row r="249" spans="1:16" s="44" customFormat="1">
      <c r="A249" s="36">
        <f t="shared" si="27"/>
        <v>245</v>
      </c>
      <c r="B249" s="39" t="s">
        <v>918</v>
      </c>
      <c r="C249" s="40" t="s">
        <v>919</v>
      </c>
      <c r="D249" s="28" t="s">
        <v>920</v>
      </c>
      <c r="E249" s="28">
        <v>43091</v>
      </c>
      <c r="F249" s="42">
        <f>11454000+286350+18259650</f>
        <v>30000000</v>
      </c>
      <c r="G249" s="46">
        <f t="shared" si="24"/>
        <v>42984000</v>
      </c>
      <c r="H249" s="119">
        <f>1194000-I249</f>
        <v>834000</v>
      </c>
      <c r="I249" s="119">
        <f t="shared" si="30"/>
        <v>360000</v>
      </c>
      <c r="J249" s="36">
        <v>36</v>
      </c>
      <c r="K249" s="120">
        <v>34</v>
      </c>
      <c r="L249" s="30">
        <f t="shared" si="25"/>
        <v>1194000</v>
      </c>
      <c r="M249" s="30">
        <f t="shared" si="26"/>
        <v>40596000</v>
      </c>
      <c r="N249" s="33">
        <f>F249-(H249*2)</f>
        <v>28332000</v>
      </c>
      <c r="O249" s="34" t="s">
        <v>921</v>
      </c>
      <c r="P249" s="34" t="s">
        <v>94</v>
      </c>
    </row>
    <row r="250" spans="1:16" s="44" customFormat="1">
      <c r="A250" s="36">
        <f t="shared" si="27"/>
        <v>246</v>
      </c>
      <c r="B250" s="39" t="s">
        <v>922</v>
      </c>
      <c r="C250" s="40" t="s">
        <v>923</v>
      </c>
      <c r="D250" s="28" t="s">
        <v>924</v>
      </c>
      <c r="E250" s="45">
        <v>42867</v>
      </c>
      <c r="F250" s="42">
        <f>30000000</f>
        <v>30000000</v>
      </c>
      <c r="G250" s="46">
        <f t="shared" si="24"/>
        <v>43002000</v>
      </c>
      <c r="H250" s="42">
        <f>1194500-I250</f>
        <v>834500</v>
      </c>
      <c r="I250" s="42">
        <f t="shared" si="30"/>
        <v>360000</v>
      </c>
      <c r="J250" s="36">
        <v>36</v>
      </c>
      <c r="K250" s="120">
        <v>26</v>
      </c>
      <c r="L250" s="30">
        <f t="shared" si="25"/>
        <v>1194500</v>
      </c>
      <c r="M250" s="30">
        <f t="shared" si="26"/>
        <v>31057000</v>
      </c>
      <c r="N250" s="121">
        <f>F250-(H250*10)</f>
        <v>21655000</v>
      </c>
      <c r="O250" s="34" t="s">
        <v>303</v>
      </c>
      <c r="P250" s="34" t="s">
        <v>86</v>
      </c>
    </row>
    <row r="251" spans="1:16" s="44" customFormat="1">
      <c r="A251" s="36">
        <f t="shared" si="27"/>
        <v>247</v>
      </c>
      <c r="B251" s="42" t="s">
        <v>925</v>
      </c>
      <c r="C251" s="124" t="s">
        <v>926</v>
      </c>
      <c r="D251" s="124"/>
      <c r="E251" s="45">
        <v>42128</v>
      </c>
      <c r="F251" s="125">
        <f>25002000+625050+118452+4254498</f>
        <v>30000000</v>
      </c>
      <c r="G251" s="129">
        <f t="shared" si="24"/>
        <v>42962400</v>
      </c>
      <c r="H251" s="42">
        <v>833400</v>
      </c>
      <c r="I251" s="125">
        <f t="shared" si="30"/>
        <v>360000</v>
      </c>
      <c r="J251" s="126" t="s">
        <v>99</v>
      </c>
      <c r="K251" s="120">
        <v>2</v>
      </c>
      <c r="L251" s="42">
        <f t="shared" si="25"/>
        <v>1193400</v>
      </c>
      <c r="M251" s="42">
        <f t="shared" si="26"/>
        <v>2386800</v>
      </c>
      <c r="N251" s="134">
        <f>F251-(H251*34)</f>
        <v>1664400</v>
      </c>
      <c r="O251" s="127" t="s">
        <v>927</v>
      </c>
      <c r="P251" s="127" t="s">
        <v>112</v>
      </c>
    </row>
    <row r="252" spans="1:16" s="44" customFormat="1">
      <c r="A252" s="36">
        <f t="shared" si="27"/>
        <v>248</v>
      </c>
      <c r="B252" s="42" t="s">
        <v>928</v>
      </c>
      <c r="C252" s="124" t="s">
        <v>929</v>
      </c>
      <c r="D252" s="124"/>
      <c r="E252" s="45">
        <v>42136</v>
      </c>
      <c r="F252" s="125">
        <f>17500140+437504+211355+11851001</f>
        <v>30000000</v>
      </c>
      <c r="G252" s="129">
        <f t="shared" si="24"/>
        <v>42962400</v>
      </c>
      <c r="H252" s="42">
        <v>833400</v>
      </c>
      <c r="I252" s="125">
        <f t="shared" si="30"/>
        <v>360000</v>
      </c>
      <c r="J252" s="126" t="s">
        <v>99</v>
      </c>
      <c r="K252" s="120">
        <v>2</v>
      </c>
      <c r="L252" s="42">
        <f t="shared" si="25"/>
        <v>1193400</v>
      </c>
      <c r="M252" s="42">
        <f t="shared" si="26"/>
        <v>2386800</v>
      </c>
      <c r="N252" s="134">
        <f>F252-(H252*34)</f>
        <v>1664400</v>
      </c>
      <c r="O252" s="127" t="s">
        <v>115</v>
      </c>
      <c r="P252" s="127" t="s">
        <v>112</v>
      </c>
    </row>
    <row r="253" spans="1:16" s="44" customFormat="1">
      <c r="A253" s="36">
        <f t="shared" si="27"/>
        <v>249</v>
      </c>
      <c r="B253" s="42" t="s">
        <v>930</v>
      </c>
      <c r="C253" s="124" t="s">
        <v>931</v>
      </c>
      <c r="D253" s="124"/>
      <c r="E253" s="128">
        <v>42492</v>
      </c>
      <c r="F253" s="125">
        <f>3055660+76392+71226+16796722</f>
        <v>20000000</v>
      </c>
      <c r="G253" s="125">
        <f t="shared" si="24"/>
        <v>25764000</v>
      </c>
      <c r="H253" s="42">
        <f>1073500-I253</f>
        <v>833500</v>
      </c>
      <c r="I253" s="125">
        <f t="shared" si="30"/>
        <v>240000</v>
      </c>
      <c r="J253" s="126" t="s">
        <v>89</v>
      </c>
      <c r="K253" s="120">
        <v>2</v>
      </c>
      <c r="L253" s="42">
        <f t="shared" si="25"/>
        <v>1073500</v>
      </c>
      <c r="M253" s="42">
        <f t="shared" si="26"/>
        <v>2147000</v>
      </c>
      <c r="N253" s="134">
        <f>F253-(H253*22)</f>
        <v>1663000</v>
      </c>
      <c r="O253" s="127" t="s">
        <v>932</v>
      </c>
      <c r="P253" s="127" t="s">
        <v>25</v>
      </c>
    </row>
    <row r="254" spans="1:16" s="44" customFormat="1">
      <c r="A254" s="36">
        <f t="shared" si="27"/>
        <v>250</v>
      </c>
      <c r="B254" s="39" t="s">
        <v>933</v>
      </c>
      <c r="C254" s="40" t="s">
        <v>934</v>
      </c>
      <c r="D254" s="28" t="s">
        <v>935</v>
      </c>
      <c r="E254" s="45">
        <v>42972</v>
      </c>
      <c r="F254" s="42">
        <f>17706000+442650+11851350</f>
        <v>30000000</v>
      </c>
      <c r="G254" s="46">
        <f t="shared" si="24"/>
        <v>42984000</v>
      </c>
      <c r="H254" s="132">
        <v>834000</v>
      </c>
      <c r="I254" s="119">
        <f>F254*1.2%</f>
        <v>360000</v>
      </c>
      <c r="J254" s="36">
        <v>36</v>
      </c>
      <c r="K254" s="120">
        <v>30</v>
      </c>
      <c r="L254" s="30">
        <f t="shared" si="25"/>
        <v>1194000</v>
      </c>
      <c r="M254" s="30">
        <f t="shared" si="26"/>
        <v>35820000</v>
      </c>
      <c r="N254" s="121">
        <f>F254-(H254*6)</f>
        <v>24996000</v>
      </c>
      <c r="O254" s="34" t="s">
        <v>232</v>
      </c>
      <c r="P254" s="34" t="s">
        <v>112</v>
      </c>
    </row>
    <row r="255" spans="1:16" s="44" customFormat="1">
      <c r="A255" s="36">
        <f t="shared" si="27"/>
        <v>251</v>
      </c>
      <c r="B255" s="42" t="s">
        <v>936</v>
      </c>
      <c r="C255" s="124" t="s">
        <v>937</v>
      </c>
      <c r="D255" s="124"/>
      <c r="E255" s="45">
        <v>42088</v>
      </c>
      <c r="F255" s="125">
        <f>30000000</f>
        <v>30000000</v>
      </c>
      <c r="G255" s="129">
        <f t="shared" si="24"/>
        <v>42962400</v>
      </c>
      <c r="H255" s="42">
        <v>833400</v>
      </c>
      <c r="I255" s="125">
        <f t="shared" ref="I255:I261" si="31">+F255*1.2%</f>
        <v>360000</v>
      </c>
      <c r="J255" s="126" t="s">
        <v>99</v>
      </c>
      <c r="K255" s="120">
        <v>1</v>
      </c>
      <c r="L255" s="42">
        <f t="shared" si="25"/>
        <v>1193400</v>
      </c>
      <c r="M255" s="42">
        <f t="shared" si="26"/>
        <v>1193400</v>
      </c>
      <c r="N255" s="134">
        <f>F255-(H255*35)</f>
        <v>831000</v>
      </c>
      <c r="O255" s="127" t="s">
        <v>549</v>
      </c>
      <c r="P255" s="127" t="s">
        <v>938</v>
      </c>
    </row>
    <row r="256" spans="1:16" s="44" customFormat="1">
      <c r="A256" s="36">
        <f t="shared" si="27"/>
        <v>252</v>
      </c>
      <c r="B256" s="39" t="s">
        <v>939</v>
      </c>
      <c r="C256" s="41" t="s">
        <v>940</v>
      </c>
      <c r="D256" s="41"/>
      <c r="E256" s="128">
        <v>42566</v>
      </c>
      <c r="F256" s="122">
        <f>30000000</f>
        <v>30000000</v>
      </c>
      <c r="G256" s="122">
        <f t="shared" si="24"/>
        <v>38640000</v>
      </c>
      <c r="H256" s="125">
        <f>F256/J256</f>
        <v>1250000</v>
      </c>
      <c r="I256" s="125">
        <f t="shared" si="31"/>
        <v>360000</v>
      </c>
      <c r="J256" s="36">
        <v>24</v>
      </c>
      <c r="K256" s="120">
        <v>4</v>
      </c>
      <c r="L256" s="138">
        <f t="shared" si="25"/>
        <v>1610000</v>
      </c>
      <c r="M256" s="42">
        <f t="shared" si="26"/>
        <v>6440000</v>
      </c>
      <c r="N256" s="138">
        <f>H256*K256</f>
        <v>5000000</v>
      </c>
      <c r="O256" s="140" t="s">
        <v>941</v>
      </c>
      <c r="P256" s="141" t="s">
        <v>86</v>
      </c>
    </row>
    <row r="257" spans="1:16" s="44" customFormat="1">
      <c r="A257" s="36">
        <f t="shared" si="27"/>
        <v>253</v>
      </c>
      <c r="B257" s="39" t="s">
        <v>942</v>
      </c>
      <c r="C257" s="40" t="s">
        <v>943</v>
      </c>
      <c r="D257" s="41" t="s">
        <v>944</v>
      </c>
      <c r="E257" s="45">
        <v>43063</v>
      </c>
      <c r="F257" s="42">
        <f>30000000</f>
        <v>30000000</v>
      </c>
      <c r="G257" s="46">
        <f t="shared" si="24"/>
        <v>42984000</v>
      </c>
      <c r="H257" s="119">
        <v>834000</v>
      </c>
      <c r="I257" s="119">
        <f t="shared" si="31"/>
        <v>360000</v>
      </c>
      <c r="J257" s="36">
        <v>36</v>
      </c>
      <c r="K257" s="120">
        <v>33</v>
      </c>
      <c r="L257" s="30">
        <f t="shared" si="25"/>
        <v>1194000</v>
      </c>
      <c r="M257" s="30">
        <f t="shared" si="26"/>
        <v>39402000</v>
      </c>
      <c r="N257" s="33">
        <f>F257-(H257*3)</f>
        <v>27498000</v>
      </c>
      <c r="O257" s="34" t="s">
        <v>145</v>
      </c>
      <c r="P257" s="34" t="s">
        <v>86</v>
      </c>
    </row>
    <row r="258" spans="1:16" s="44" customFormat="1">
      <c r="A258" s="36">
        <f t="shared" si="27"/>
        <v>254</v>
      </c>
      <c r="B258" s="39" t="s">
        <v>945</v>
      </c>
      <c r="C258" s="40" t="s">
        <v>946</v>
      </c>
      <c r="D258" s="41" t="s">
        <v>947</v>
      </c>
      <c r="E258" s="45">
        <v>42928</v>
      </c>
      <c r="F258" s="42">
        <f>13330000+333250+223355+16113395</f>
        <v>30000000</v>
      </c>
      <c r="G258" s="46">
        <f t="shared" si="24"/>
        <v>43002000</v>
      </c>
      <c r="H258" s="132">
        <v>834500</v>
      </c>
      <c r="I258" s="42">
        <f t="shared" si="31"/>
        <v>360000</v>
      </c>
      <c r="J258" s="36">
        <v>36</v>
      </c>
      <c r="K258" s="120">
        <v>28</v>
      </c>
      <c r="L258" s="30">
        <f t="shared" si="25"/>
        <v>1194500</v>
      </c>
      <c r="M258" s="30">
        <f t="shared" si="26"/>
        <v>33446000</v>
      </c>
      <c r="N258" s="121">
        <f>F258-(H258*8)</f>
        <v>23324000</v>
      </c>
      <c r="O258" s="34" t="s">
        <v>948</v>
      </c>
      <c r="P258" s="34" t="s">
        <v>112</v>
      </c>
    </row>
    <row r="259" spans="1:16" s="44" customFormat="1">
      <c r="A259" s="36">
        <f t="shared" si="27"/>
        <v>255</v>
      </c>
      <c r="B259" s="39" t="s">
        <v>949</v>
      </c>
      <c r="C259" s="40" t="s">
        <v>950</v>
      </c>
      <c r="D259" s="41" t="s">
        <v>951</v>
      </c>
      <c r="E259" s="45">
        <v>42877</v>
      </c>
      <c r="F259" s="42">
        <f>2495550+62389+326884+174956+200000+26740221</f>
        <v>30000000</v>
      </c>
      <c r="G259" s="46">
        <f t="shared" si="24"/>
        <v>43002000</v>
      </c>
      <c r="H259" s="42">
        <f>1194500-I259</f>
        <v>834500</v>
      </c>
      <c r="I259" s="42">
        <f t="shared" si="31"/>
        <v>360000</v>
      </c>
      <c r="J259" s="36">
        <v>36</v>
      </c>
      <c r="K259" s="120">
        <f>26</f>
        <v>26</v>
      </c>
      <c r="L259" s="137">
        <f t="shared" si="25"/>
        <v>1194500</v>
      </c>
      <c r="M259" s="30">
        <f t="shared" si="26"/>
        <v>31057000</v>
      </c>
      <c r="N259" s="121">
        <f>F259-(H259*10)</f>
        <v>21655000</v>
      </c>
      <c r="O259" s="34" t="s">
        <v>952</v>
      </c>
      <c r="P259" s="34" t="s">
        <v>101</v>
      </c>
    </row>
    <row r="260" spans="1:16" s="44" customFormat="1">
      <c r="A260" s="36">
        <f t="shared" si="27"/>
        <v>256</v>
      </c>
      <c r="B260" s="39" t="s">
        <v>953</v>
      </c>
      <c r="C260" s="40" t="s">
        <v>954</v>
      </c>
      <c r="D260" s="28" t="s">
        <v>955</v>
      </c>
      <c r="E260" s="28">
        <v>43088</v>
      </c>
      <c r="F260" s="42">
        <f>15672664+391817+13935519</f>
        <v>30000000</v>
      </c>
      <c r="G260" s="46">
        <f t="shared" si="24"/>
        <v>42984000</v>
      </c>
      <c r="H260" s="119">
        <f>1194000-I260</f>
        <v>834000</v>
      </c>
      <c r="I260" s="119">
        <f t="shared" si="31"/>
        <v>360000</v>
      </c>
      <c r="J260" s="36">
        <v>36</v>
      </c>
      <c r="K260" s="120">
        <v>34</v>
      </c>
      <c r="L260" s="30">
        <f t="shared" si="25"/>
        <v>1194000</v>
      </c>
      <c r="M260" s="30">
        <f t="shared" si="26"/>
        <v>40596000</v>
      </c>
      <c r="N260" s="33">
        <f>F260-(H260*2)</f>
        <v>28332000</v>
      </c>
      <c r="O260" s="34" t="s">
        <v>297</v>
      </c>
      <c r="P260" s="34" t="s">
        <v>94</v>
      </c>
    </row>
    <row r="261" spans="1:16" s="44" customFormat="1">
      <c r="A261" s="36">
        <f t="shared" si="27"/>
        <v>257</v>
      </c>
      <c r="B261" s="42" t="s">
        <v>956</v>
      </c>
      <c r="C261" s="124" t="s">
        <v>957</v>
      </c>
      <c r="D261" s="41" t="s">
        <v>958</v>
      </c>
      <c r="E261" s="45">
        <v>42871</v>
      </c>
      <c r="F261" s="132">
        <f>20000000</f>
        <v>20000000</v>
      </c>
      <c r="G261" s="46">
        <f t="shared" ref="G261:G324" si="32">+J261*L261</f>
        <v>25788000</v>
      </c>
      <c r="H261" s="42">
        <f>1074500-I261</f>
        <v>834500</v>
      </c>
      <c r="I261" s="42">
        <f t="shared" si="31"/>
        <v>240000</v>
      </c>
      <c r="J261" s="36">
        <v>24</v>
      </c>
      <c r="K261" s="120">
        <v>14</v>
      </c>
      <c r="L261" s="137">
        <f t="shared" ref="L261:L324" si="33">+H261+I261</f>
        <v>1074500</v>
      </c>
      <c r="M261" s="30">
        <f t="shared" ref="M261:M324" si="34">+K261*L261</f>
        <v>15043000</v>
      </c>
      <c r="N261" s="121">
        <f>F261-(H261*10)</f>
        <v>11655000</v>
      </c>
      <c r="O261" s="34" t="s">
        <v>959</v>
      </c>
      <c r="P261" s="34" t="s">
        <v>86</v>
      </c>
    </row>
    <row r="262" spans="1:16" s="44" customFormat="1">
      <c r="A262" s="36">
        <f t="shared" ref="A262:A325" si="35">+A261+1</f>
        <v>258</v>
      </c>
      <c r="B262" s="39" t="s">
        <v>960</v>
      </c>
      <c r="C262" s="40" t="s">
        <v>961</v>
      </c>
      <c r="D262" s="41" t="s">
        <v>962</v>
      </c>
      <c r="E262" s="45">
        <v>43005</v>
      </c>
      <c r="F262" s="42">
        <f>10000000</f>
        <v>10000000</v>
      </c>
      <c r="G262" s="46">
        <f t="shared" si="32"/>
        <v>14328000</v>
      </c>
      <c r="H262" s="132">
        <f>398000-I262</f>
        <v>278000</v>
      </c>
      <c r="I262" s="119">
        <f>F262*1.2%</f>
        <v>120000</v>
      </c>
      <c r="J262" s="36">
        <v>36</v>
      </c>
      <c r="K262" s="120">
        <v>31</v>
      </c>
      <c r="L262" s="30">
        <f t="shared" si="33"/>
        <v>398000</v>
      </c>
      <c r="M262" s="30">
        <f t="shared" si="34"/>
        <v>12338000</v>
      </c>
      <c r="N262" s="121">
        <f>F262-(H262*5)</f>
        <v>8610000</v>
      </c>
      <c r="O262" s="34" t="s">
        <v>963</v>
      </c>
      <c r="P262" s="34" t="s">
        <v>86</v>
      </c>
    </row>
    <row r="263" spans="1:16" s="44" customFormat="1">
      <c r="A263" s="36">
        <f t="shared" si="35"/>
        <v>259</v>
      </c>
      <c r="B263" s="39" t="s">
        <v>964</v>
      </c>
      <c r="C263" s="41" t="s">
        <v>965</v>
      </c>
      <c r="D263" s="41"/>
      <c r="E263" s="128">
        <v>42261</v>
      </c>
      <c r="F263" s="122">
        <f>17500140+437504+261290+11801066</f>
        <v>30000000</v>
      </c>
      <c r="G263" s="129">
        <f t="shared" si="32"/>
        <v>42962400</v>
      </c>
      <c r="H263" s="42">
        <v>833400</v>
      </c>
      <c r="I263" s="125">
        <f>+F263*1.2%</f>
        <v>360000</v>
      </c>
      <c r="J263" s="159">
        <v>36</v>
      </c>
      <c r="K263" s="120">
        <v>6</v>
      </c>
      <c r="L263" s="125">
        <f t="shared" si="33"/>
        <v>1193400</v>
      </c>
      <c r="M263" s="125">
        <f t="shared" si="34"/>
        <v>7160400</v>
      </c>
      <c r="N263" s="134">
        <f>F263-(H263*30)</f>
        <v>4998000</v>
      </c>
      <c r="O263" s="140" t="s">
        <v>966</v>
      </c>
      <c r="P263" s="141" t="s">
        <v>187</v>
      </c>
    </row>
    <row r="264" spans="1:16" s="44" customFormat="1">
      <c r="A264" s="36">
        <f t="shared" si="35"/>
        <v>260</v>
      </c>
      <c r="B264" s="39" t="s">
        <v>967</v>
      </c>
      <c r="C264" s="40" t="s">
        <v>968</v>
      </c>
      <c r="D264" s="41" t="s">
        <v>969</v>
      </c>
      <c r="E264" s="45">
        <v>42830</v>
      </c>
      <c r="F264" s="42">
        <f>15000000</f>
        <v>15000000</v>
      </c>
      <c r="G264" s="46">
        <f t="shared" si="32"/>
        <v>17160000</v>
      </c>
      <c r="H264" s="42">
        <f>+F264/J264</f>
        <v>1250000</v>
      </c>
      <c r="I264" s="42">
        <f>+F264*1.2%</f>
        <v>180000</v>
      </c>
      <c r="J264" s="36">
        <v>12</v>
      </c>
      <c r="K264" s="120">
        <v>1</v>
      </c>
      <c r="L264" s="30">
        <f t="shared" si="33"/>
        <v>1430000</v>
      </c>
      <c r="M264" s="30">
        <f t="shared" si="34"/>
        <v>1430000</v>
      </c>
      <c r="N264" s="46">
        <f>+H264*K264</f>
        <v>1250000</v>
      </c>
      <c r="O264" s="34" t="s">
        <v>970</v>
      </c>
      <c r="P264" s="34" t="s">
        <v>86</v>
      </c>
    </row>
    <row r="265" spans="1:16" s="44" customFormat="1">
      <c r="A265" s="36">
        <f t="shared" si="35"/>
        <v>261</v>
      </c>
      <c r="B265" s="39" t="s">
        <v>971</v>
      </c>
      <c r="C265" s="40" t="s">
        <v>972</v>
      </c>
      <c r="D265" s="41" t="s">
        <v>973</v>
      </c>
      <c r="E265" s="45">
        <v>43014</v>
      </c>
      <c r="F265" s="42">
        <f>21660000+541500+211742+7586758</f>
        <v>30000000</v>
      </c>
      <c r="G265" s="46">
        <f t="shared" si="32"/>
        <v>42984000</v>
      </c>
      <c r="H265" s="119">
        <f>1194000-I265</f>
        <v>834000</v>
      </c>
      <c r="I265" s="119">
        <f>F265*1.2%</f>
        <v>360000</v>
      </c>
      <c r="J265" s="36">
        <v>36</v>
      </c>
      <c r="K265" s="120">
        <v>31</v>
      </c>
      <c r="L265" s="30">
        <f t="shared" si="33"/>
        <v>1194000</v>
      </c>
      <c r="M265" s="30">
        <f t="shared" si="34"/>
        <v>37014000</v>
      </c>
      <c r="N265" s="121">
        <f>F265-(H265*5)</f>
        <v>25830000</v>
      </c>
      <c r="O265" s="34" t="s">
        <v>974</v>
      </c>
      <c r="P265" s="34" t="s">
        <v>25</v>
      </c>
    </row>
    <row r="266" spans="1:16" s="44" customFormat="1">
      <c r="A266" s="36">
        <f t="shared" si="35"/>
        <v>262</v>
      </c>
      <c r="B266" s="39" t="s">
        <v>975</v>
      </c>
      <c r="C266" s="40" t="s">
        <v>976</v>
      </c>
      <c r="D266" s="41" t="s">
        <v>977</v>
      </c>
      <c r="E266" s="45">
        <v>43035</v>
      </c>
      <c r="F266" s="42">
        <f>3124300+78108+16797592</f>
        <v>20000000</v>
      </c>
      <c r="G266" s="46">
        <f t="shared" si="32"/>
        <v>25776000</v>
      </c>
      <c r="H266" s="42">
        <v>834000</v>
      </c>
      <c r="I266" s="119">
        <f t="shared" ref="I266:I279" si="36">+F266*1.2%</f>
        <v>240000</v>
      </c>
      <c r="J266" s="36">
        <v>24</v>
      </c>
      <c r="K266" s="120">
        <v>20</v>
      </c>
      <c r="L266" s="30">
        <f t="shared" si="33"/>
        <v>1074000</v>
      </c>
      <c r="M266" s="30">
        <f t="shared" si="34"/>
        <v>21480000</v>
      </c>
      <c r="N266" s="33">
        <f>F266-(H266*4)</f>
        <v>16664000</v>
      </c>
      <c r="O266" s="34" t="s">
        <v>978</v>
      </c>
      <c r="P266" s="34" t="s">
        <v>94</v>
      </c>
    </row>
    <row r="267" spans="1:16" s="44" customFormat="1">
      <c r="A267" s="36">
        <f t="shared" si="35"/>
        <v>263</v>
      </c>
      <c r="B267" s="42" t="s">
        <v>979</v>
      </c>
      <c r="C267" s="124" t="s">
        <v>980</v>
      </c>
      <c r="D267" s="124"/>
      <c r="E267" s="45">
        <v>42643</v>
      </c>
      <c r="F267" s="125">
        <f>2500020+62501+27437479</f>
        <v>30000000</v>
      </c>
      <c r="G267" s="122">
        <f t="shared" si="32"/>
        <v>42984000</v>
      </c>
      <c r="H267" s="42">
        <v>834000</v>
      </c>
      <c r="I267" s="125">
        <f t="shared" si="36"/>
        <v>360000</v>
      </c>
      <c r="J267" s="126" t="s">
        <v>99</v>
      </c>
      <c r="K267" s="120">
        <v>19</v>
      </c>
      <c r="L267" s="30">
        <f t="shared" si="33"/>
        <v>1194000</v>
      </c>
      <c r="M267" s="42">
        <f t="shared" si="34"/>
        <v>22686000</v>
      </c>
      <c r="N267" s="121">
        <f>F267-(H267*17)</f>
        <v>15822000</v>
      </c>
      <c r="O267" s="127" t="s">
        <v>981</v>
      </c>
      <c r="P267" s="127" t="s">
        <v>112</v>
      </c>
    </row>
    <row r="268" spans="1:16" s="44" customFormat="1">
      <c r="A268" s="36">
        <f t="shared" si="35"/>
        <v>264</v>
      </c>
      <c r="B268" s="39" t="s">
        <v>982</v>
      </c>
      <c r="C268" s="40" t="s">
        <v>983</v>
      </c>
      <c r="D268" s="28" t="s">
        <v>984</v>
      </c>
      <c r="E268" s="28">
        <v>43125</v>
      </c>
      <c r="F268" s="42">
        <f>30000000</f>
        <v>30000000</v>
      </c>
      <c r="G268" s="46">
        <f t="shared" si="32"/>
        <v>42984000</v>
      </c>
      <c r="H268" s="119">
        <f>1194000-I268</f>
        <v>834000</v>
      </c>
      <c r="I268" s="119">
        <f t="shared" si="36"/>
        <v>360000</v>
      </c>
      <c r="J268" s="36">
        <v>36</v>
      </c>
      <c r="K268" s="120">
        <v>35</v>
      </c>
      <c r="L268" s="30">
        <f t="shared" si="33"/>
        <v>1194000</v>
      </c>
      <c r="M268" s="30">
        <f t="shared" si="34"/>
        <v>41790000</v>
      </c>
      <c r="N268" s="33">
        <f>F268-(H268*1)</f>
        <v>29166000</v>
      </c>
      <c r="O268" s="34" t="s">
        <v>985</v>
      </c>
      <c r="P268" s="34" t="s">
        <v>86</v>
      </c>
    </row>
    <row r="269" spans="1:16" s="44" customFormat="1">
      <c r="A269" s="36">
        <f t="shared" si="35"/>
        <v>265</v>
      </c>
      <c r="B269" s="42" t="s">
        <v>986</v>
      </c>
      <c r="C269" s="124" t="s">
        <v>987</v>
      </c>
      <c r="D269" s="124"/>
      <c r="E269" s="45">
        <v>42668</v>
      </c>
      <c r="F269" s="125">
        <f>30000000</f>
        <v>30000000</v>
      </c>
      <c r="G269" s="122">
        <f t="shared" si="32"/>
        <v>42984000</v>
      </c>
      <c r="H269" s="42">
        <v>834000</v>
      </c>
      <c r="I269" s="42">
        <f t="shared" si="36"/>
        <v>360000</v>
      </c>
      <c r="J269" s="36">
        <v>36</v>
      </c>
      <c r="K269" s="120">
        <v>20</v>
      </c>
      <c r="L269" s="30">
        <f t="shared" si="33"/>
        <v>1194000</v>
      </c>
      <c r="M269" s="42">
        <f t="shared" si="34"/>
        <v>23880000</v>
      </c>
      <c r="N269" s="121">
        <f>F269-(H269*16)</f>
        <v>16656000</v>
      </c>
      <c r="O269" s="127" t="s">
        <v>330</v>
      </c>
      <c r="P269" s="34" t="s">
        <v>86</v>
      </c>
    </row>
    <row r="270" spans="1:16" s="44" customFormat="1">
      <c r="A270" s="36">
        <f t="shared" si="35"/>
        <v>266</v>
      </c>
      <c r="B270" s="39" t="s">
        <v>988</v>
      </c>
      <c r="C270" s="41" t="s">
        <v>989</v>
      </c>
      <c r="D270" s="28" t="s">
        <v>990</v>
      </c>
      <c r="E270" s="45">
        <v>42809</v>
      </c>
      <c r="F270" s="42">
        <f>19164500+479113+250092+10106295</f>
        <v>30000000</v>
      </c>
      <c r="G270" s="46">
        <f t="shared" si="32"/>
        <v>42984000</v>
      </c>
      <c r="H270" s="42">
        <f>1194000-I270</f>
        <v>834000</v>
      </c>
      <c r="I270" s="42">
        <f t="shared" si="36"/>
        <v>360000</v>
      </c>
      <c r="J270" s="36">
        <v>36</v>
      </c>
      <c r="K270" s="120">
        <v>24</v>
      </c>
      <c r="L270" s="30">
        <f t="shared" si="33"/>
        <v>1194000</v>
      </c>
      <c r="M270" s="30">
        <f t="shared" si="34"/>
        <v>28656000</v>
      </c>
      <c r="N270" s="121">
        <f>F270-(H270*12)</f>
        <v>19992000</v>
      </c>
      <c r="O270" s="34" t="s">
        <v>303</v>
      </c>
      <c r="P270" s="160" t="s">
        <v>112</v>
      </c>
    </row>
    <row r="271" spans="1:16" s="44" customFormat="1">
      <c r="A271" s="36">
        <f t="shared" si="35"/>
        <v>267</v>
      </c>
      <c r="B271" s="42" t="s">
        <v>991</v>
      </c>
      <c r="C271" s="124" t="s">
        <v>992</v>
      </c>
      <c r="D271" s="124"/>
      <c r="E271" s="45">
        <v>42688</v>
      </c>
      <c r="F271" s="125">
        <f>5833380+145835+249290+23771495</f>
        <v>30000000</v>
      </c>
      <c r="G271" s="122">
        <f t="shared" si="32"/>
        <v>42984000</v>
      </c>
      <c r="H271" s="42">
        <f>834000</f>
        <v>834000</v>
      </c>
      <c r="I271" s="42">
        <f t="shared" si="36"/>
        <v>360000</v>
      </c>
      <c r="J271" s="36">
        <v>36</v>
      </c>
      <c r="K271" s="120">
        <v>20</v>
      </c>
      <c r="L271" s="30">
        <f t="shared" si="33"/>
        <v>1194000</v>
      </c>
      <c r="M271" s="42">
        <f t="shared" si="34"/>
        <v>23880000</v>
      </c>
      <c r="N271" s="121">
        <f>F271-(H271*16)</f>
        <v>16656000</v>
      </c>
      <c r="O271" s="127" t="s">
        <v>160</v>
      </c>
      <c r="P271" s="34" t="s">
        <v>993</v>
      </c>
    </row>
    <row r="272" spans="1:16" s="44" customFormat="1">
      <c r="A272" s="36">
        <f t="shared" si="35"/>
        <v>268</v>
      </c>
      <c r="B272" s="39" t="s">
        <v>994</v>
      </c>
      <c r="C272" s="41" t="s">
        <v>995</v>
      </c>
      <c r="D272" s="41"/>
      <c r="E272" s="161">
        <v>42459</v>
      </c>
      <c r="F272" s="125">
        <f>30000000</f>
        <v>30000000</v>
      </c>
      <c r="G272" s="125">
        <f t="shared" si="32"/>
        <v>42966000</v>
      </c>
      <c r="H272" s="132">
        <f>1193500-I272</f>
        <v>833500</v>
      </c>
      <c r="I272" s="125">
        <f t="shared" si="36"/>
        <v>360000</v>
      </c>
      <c r="J272" s="126" t="s">
        <v>99</v>
      </c>
      <c r="K272" s="120">
        <v>13</v>
      </c>
      <c r="L272" s="42">
        <f t="shared" si="33"/>
        <v>1193500</v>
      </c>
      <c r="M272" s="42">
        <f t="shared" si="34"/>
        <v>15515500</v>
      </c>
      <c r="N272" s="136">
        <f>F272-(H272*23)</f>
        <v>10829500</v>
      </c>
      <c r="O272" s="127" t="s">
        <v>996</v>
      </c>
      <c r="P272" s="127" t="s">
        <v>997</v>
      </c>
    </row>
    <row r="273" spans="1:16" s="44" customFormat="1">
      <c r="A273" s="36">
        <f t="shared" si="35"/>
        <v>269</v>
      </c>
      <c r="B273" s="39" t="s">
        <v>998</v>
      </c>
      <c r="C273" s="40" t="s">
        <v>999</v>
      </c>
      <c r="D273" s="41" t="s">
        <v>1000</v>
      </c>
      <c r="E273" s="45">
        <v>43034</v>
      </c>
      <c r="F273" s="42">
        <f>23190937+579773+6229290</f>
        <v>30000000</v>
      </c>
      <c r="G273" s="46">
        <f t="shared" si="32"/>
        <v>42984000</v>
      </c>
      <c r="H273" s="119">
        <v>834000</v>
      </c>
      <c r="I273" s="119">
        <f t="shared" si="36"/>
        <v>360000</v>
      </c>
      <c r="J273" s="36">
        <v>36</v>
      </c>
      <c r="K273" s="120">
        <v>32</v>
      </c>
      <c r="L273" s="30">
        <f t="shared" si="33"/>
        <v>1194000</v>
      </c>
      <c r="M273" s="30">
        <f t="shared" si="34"/>
        <v>38208000</v>
      </c>
      <c r="N273" s="33">
        <f>F273-(H273*4)</f>
        <v>26664000</v>
      </c>
      <c r="O273" s="34" t="s">
        <v>297</v>
      </c>
      <c r="P273" s="34" t="s">
        <v>112</v>
      </c>
    </row>
    <row r="274" spans="1:16" s="44" customFormat="1">
      <c r="A274" s="36">
        <f t="shared" si="35"/>
        <v>270</v>
      </c>
      <c r="B274" s="42" t="s">
        <v>1001</v>
      </c>
      <c r="C274" s="124" t="s">
        <v>1002</v>
      </c>
      <c r="D274" s="124"/>
      <c r="E274" s="128">
        <v>42516</v>
      </c>
      <c r="F274" s="125">
        <f>30000000</f>
        <v>30000000</v>
      </c>
      <c r="G274" s="125">
        <f t="shared" si="32"/>
        <v>42984000</v>
      </c>
      <c r="H274" s="139">
        <f>1194000-I274</f>
        <v>834000</v>
      </c>
      <c r="I274" s="125">
        <f t="shared" si="36"/>
        <v>360000</v>
      </c>
      <c r="J274" s="126" t="s">
        <v>99</v>
      </c>
      <c r="K274" s="120">
        <v>15</v>
      </c>
      <c r="L274" s="42">
        <f t="shared" si="33"/>
        <v>1194000</v>
      </c>
      <c r="M274" s="42">
        <f t="shared" si="34"/>
        <v>17910000</v>
      </c>
      <c r="N274" s="134">
        <f>F274-(H274*21)</f>
        <v>12486000</v>
      </c>
      <c r="O274" s="127" t="s">
        <v>1003</v>
      </c>
      <c r="P274" s="127" t="s">
        <v>351</v>
      </c>
    </row>
    <row r="275" spans="1:16" s="44" customFormat="1">
      <c r="A275" s="36">
        <f t="shared" si="35"/>
        <v>271</v>
      </c>
      <c r="B275" s="39" t="s">
        <v>1004</v>
      </c>
      <c r="C275" s="40" t="s">
        <v>1005</v>
      </c>
      <c r="D275" s="41" t="s">
        <v>1006</v>
      </c>
      <c r="E275" s="45">
        <v>43033</v>
      </c>
      <c r="F275" s="42">
        <f>18750000+468750+10781250</f>
        <v>30000000</v>
      </c>
      <c r="G275" s="46">
        <f t="shared" si="32"/>
        <v>38640000</v>
      </c>
      <c r="H275" s="119">
        <f>+F275/J275</f>
        <v>1250000</v>
      </c>
      <c r="I275" s="119">
        <f t="shared" si="36"/>
        <v>360000</v>
      </c>
      <c r="J275" s="36">
        <v>24</v>
      </c>
      <c r="K275" s="120">
        <v>20</v>
      </c>
      <c r="L275" s="30">
        <f t="shared" si="33"/>
        <v>1610000</v>
      </c>
      <c r="M275" s="30">
        <f t="shared" si="34"/>
        <v>32200000</v>
      </c>
      <c r="N275" s="46">
        <f>+H275*K275</f>
        <v>25000000</v>
      </c>
      <c r="O275" s="34" t="s">
        <v>592</v>
      </c>
      <c r="P275" s="34" t="s">
        <v>112</v>
      </c>
    </row>
    <row r="276" spans="1:16" s="44" customFormat="1">
      <c r="A276" s="36">
        <f t="shared" si="35"/>
        <v>272</v>
      </c>
      <c r="B276" s="42" t="s">
        <v>1007</v>
      </c>
      <c r="C276" s="124" t="s">
        <v>1008</v>
      </c>
      <c r="D276" s="124"/>
      <c r="E276" s="128">
        <v>42531</v>
      </c>
      <c r="F276" s="125">
        <f>15000000</f>
        <v>15000000</v>
      </c>
      <c r="G276" s="131">
        <f t="shared" si="32"/>
        <v>19320000</v>
      </c>
      <c r="H276" s="132">
        <f>+F276/J276</f>
        <v>625000</v>
      </c>
      <c r="I276" s="46">
        <f t="shared" si="36"/>
        <v>180000</v>
      </c>
      <c r="J276" s="126" t="s">
        <v>89</v>
      </c>
      <c r="K276" s="120">
        <v>3</v>
      </c>
      <c r="L276" s="133">
        <f t="shared" si="33"/>
        <v>805000</v>
      </c>
      <c r="M276" s="42">
        <f t="shared" si="34"/>
        <v>2415000</v>
      </c>
      <c r="N276" s="42">
        <f>+H276*K276</f>
        <v>1875000</v>
      </c>
      <c r="O276" s="127" t="s">
        <v>1009</v>
      </c>
      <c r="P276" s="127" t="s">
        <v>86</v>
      </c>
    </row>
    <row r="277" spans="1:16" s="44" customFormat="1">
      <c r="A277" s="36">
        <f t="shared" si="35"/>
        <v>273</v>
      </c>
      <c r="B277" s="39" t="s">
        <v>1010</v>
      </c>
      <c r="C277" s="40" t="s">
        <v>1011</v>
      </c>
      <c r="D277" s="41" t="s">
        <v>1012</v>
      </c>
      <c r="E277" s="45">
        <v>43069</v>
      </c>
      <c r="F277" s="42">
        <f>30000000</f>
        <v>30000000</v>
      </c>
      <c r="G277" s="46">
        <f t="shared" si="32"/>
        <v>42984000</v>
      </c>
      <c r="H277" s="42">
        <v>834000</v>
      </c>
      <c r="I277" s="119">
        <f t="shared" si="36"/>
        <v>360000</v>
      </c>
      <c r="J277" s="36">
        <v>36</v>
      </c>
      <c r="K277" s="120">
        <v>33</v>
      </c>
      <c r="L277" s="30">
        <f t="shared" si="33"/>
        <v>1194000</v>
      </c>
      <c r="M277" s="30">
        <f t="shared" si="34"/>
        <v>39402000</v>
      </c>
      <c r="N277" s="33">
        <f>F277-(H277*3)</f>
        <v>27498000</v>
      </c>
      <c r="O277" s="34" t="s">
        <v>232</v>
      </c>
      <c r="P277" s="47" t="s">
        <v>112</v>
      </c>
    </row>
    <row r="278" spans="1:16" s="44" customFormat="1">
      <c r="A278" s="36">
        <f t="shared" si="35"/>
        <v>274</v>
      </c>
      <c r="B278" s="39" t="s">
        <v>1013</v>
      </c>
      <c r="C278" s="40" t="s">
        <v>1014</v>
      </c>
      <c r="D278" s="41" t="s">
        <v>1015</v>
      </c>
      <c r="E278" s="45">
        <v>43067</v>
      </c>
      <c r="F278" s="42">
        <f>3000000</f>
        <v>3000000</v>
      </c>
      <c r="G278" s="46">
        <f t="shared" si="32"/>
        <v>3216000</v>
      </c>
      <c r="H278" s="42">
        <f>+F278/J278</f>
        <v>500000</v>
      </c>
      <c r="I278" s="119">
        <f t="shared" si="36"/>
        <v>36000</v>
      </c>
      <c r="J278" s="36">
        <v>6</v>
      </c>
      <c r="K278" s="120">
        <v>3</v>
      </c>
      <c r="L278" s="30">
        <f t="shared" si="33"/>
        <v>536000</v>
      </c>
      <c r="M278" s="30">
        <f t="shared" si="34"/>
        <v>1608000</v>
      </c>
      <c r="N278" s="46">
        <f>+H278*K278</f>
        <v>1500000</v>
      </c>
      <c r="O278" s="34" t="s">
        <v>191</v>
      </c>
      <c r="P278" s="34" t="s">
        <v>86</v>
      </c>
    </row>
    <row r="279" spans="1:16" s="44" customFormat="1">
      <c r="A279" s="36">
        <f t="shared" si="35"/>
        <v>275</v>
      </c>
      <c r="B279" s="39" t="s">
        <v>1016</v>
      </c>
      <c r="C279" s="40" t="s">
        <v>1017</v>
      </c>
      <c r="D279" s="41" t="s">
        <v>1018</v>
      </c>
      <c r="E279" s="45">
        <v>42908</v>
      </c>
      <c r="F279" s="42">
        <f>10823184+270580+18906236</f>
        <v>30000000</v>
      </c>
      <c r="G279" s="46">
        <f t="shared" si="32"/>
        <v>43002000</v>
      </c>
      <c r="H279" s="132">
        <f>1194500-I279</f>
        <v>834500</v>
      </c>
      <c r="I279" s="42">
        <f t="shared" si="36"/>
        <v>360000</v>
      </c>
      <c r="J279" s="36">
        <v>36</v>
      </c>
      <c r="K279" s="120">
        <v>28</v>
      </c>
      <c r="L279" s="30">
        <f t="shared" si="33"/>
        <v>1194500</v>
      </c>
      <c r="M279" s="30">
        <f t="shared" si="34"/>
        <v>33446000</v>
      </c>
      <c r="N279" s="121">
        <f>F279-(H279*8)</f>
        <v>23324000</v>
      </c>
      <c r="O279" s="34" t="s">
        <v>1019</v>
      </c>
      <c r="P279" s="34" t="s">
        <v>112</v>
      </c>
    </row>
    <row r="280" spans="1:16" s="44" customFormat="1">
      <c r="A280" s="36">
        <f t="shared" si="35"/>
        <v>276</v>
      </c>
      <c r="B280" s="39" t="s">
        <v>1020</v>
      </c>
      <c r="C280" s="40" t="s">
        <v>1021</v>
      </c>
      <c r="D280" s="28" t="s">
        <v>1022</v>
      </c>
      <c r="E280" s="45">
        <v>43004</v>
      </c>
      <c r="F280" s="42">
        <f>14000000+350000+15650000</f>
        <v>30000000</v>
      </c>
      <c r="G280" s="46">
        <f t="shared" si="32"/>
        <v>42984000</v>
      </c>
      <c r="H280" s="119">
        <v>834000</v>
      </c>
      <c r="I280" s="119">
        <f>F280*1.2%</f>
        <v>360000</v>
      </c>
      <c r="J280" s="36">
        <v>36</v>
      </c>
      <c r="K280" s="120">
        <v>31</v>
      </c>
      <c r="L280" s="30">
        <f t="shared" si="33"/>
        <v>1194000</v>
      </c>
      <c r="M280" s="30">
        <f t="shared" si="34"/>
        <v>37014000</v>
      </c>
      <c r="N280" s="121">
        <f>F280-(H280*5)</f>
        <v>25830000</v>
      </c>
      <c r="O280" s="34" t="s">
        <v>191</v>
      </c>
      <c r="P280" s="34" t="s">
        <v>94</v>
      </c>
    </row>
    <row r="281" spans="1:16" s="44" customFormat="1">
      <c r="A281" s="36">
        <f t="shared" si="35"/>
        <v>277</v>
      </c>
      <c r="B281" s="39" t="s">
        <v>1023</v>
      </c>
      <c r="C281" s="41" t="s">
        <v>1024</v>
      </c>
      <c r="D281" s="41" t="s">
        <v>1025</v>
      </c>
      <c r="E281" s="45">
        <v>42850</v>
      </c>
      <c r="F281" s="42">
        <f>6664800+166620+23168580</f>
        <v>30000000</v>
      </c>
      <c r="G281" s="46">
        <f t="shared" si="32"/>
        <v>43002000</v>
      </c>
      <c r="H281" s="42">
        <f>1194500-I281</f>
        <v>834500</v>
      </c>
      <c r="I281" s="42">
        <f t="shared" ref="I281:I286" si="37">+F281*1.2%</f>
        <v>360000</v>
      </c>
      <c r="J281" s="36">
        <v>36</v>
      </c>
      <c r="K281" s="120">
        <v>26</v>
      </c>
      <c r="L281" s="30">
        <f t="shared" si="33"/>
        <v>1194500</v>
      </c>
      <c r="M281" s="30">
        <f t="shared" si="34"/>
        <v>31057000</v>
      </c>
      <c r="N281" s="121">
        <f>F281-(H281*10)</f>
        <v>21655000</v>
      </c>
      <c r="O281" s="34" t="s">
        <v>303</v>
      </c>
      <c r="P281" s="34" t="s">
        <v>112</v>
      </c>
    </row>
    <row r="282" spans="1:16" s="44" customFormat="1">
      <c r="A282" s="36">
        <f t="shared" si="35"/>
        <v>278</v>
      </c>
      <c r="B282" s="39" t="s">
        <v>1026</v>
      </c>
      <c r="C282" s="40" t="s">
        <v>1027</v>
      </c>
      <c r="D282" s="41" t="s">
        <v>1028</v>
      </c>
      <c r="E282" s="28">
        <v>43129</v>
      </c>
      <c r="F282" s="42">
        <f>6662000+166550+23171450</f>
        <v>30000000</v>
      </c>
      <c r="G282" s="46">
        <f t="shared" si="32"/>
        <v>42984000</v>
      </c>
      <c r="H282" s="119">
        <f>1194000-I282</f>
        <v>834000</v>
      </c>
      <c r="I282" s="119">
        <f t="shared" si="37"/>
        <v>360000</v>
      </c>
      <c r="J282" s="36">
        <v>36</v>
      </c>
      <c r="K282" s="120">
        <v>35</v>
      </c>
      <c r="L282" s="30">
        <f t="shared" si="33"/>
        <v>1194000</v>
      </c>
      <c r="M282" s="30">
        <f t="shared" si="34"/>
        <v>41790000</v>
      </c>
      <c r="N282" s="33">
        <f>F282-(H282*1)</f>
        <v>29166000</v>
      </c>
      <c r="O282" s="34" t="s">
        <v>24</v>
      </c>
      <c r="P282" s="34" t="s">
        <v>112</v>
      </c>
    </row>
    <row r="283" spans="1:16" s="44" customFormat="1">
      <c r="A283" s="36">
        <f t="shared" si="35"/>
        <v>279</v>
      </c>
      <c r="B283" s="39" t="s">
        <v>1029</v>
      </c>
      <c r="C283" s="40" t="s">
        <v>1030</v>
      </c>
      <c r="D283" s="41" t="s">
        <v>1031</v>
      </c>
      <c r="E283" s="45">
        <v>43067</v>
      </c>
      <c r="F283" s="42">
        <f>19158000+184800+483570+10173630</f>
        <v>30000000</v>
      </c>
      <c r="G283" s="46">
        <f t="shared" si="32"/>
        <v>42984000</v>
      </c>
      <c r="H283" s="42">
        <f>1194000-I283</f>
        <v>834000</v>
      </c>
      <c r="I283" s="119">
        <f t="shared" si="37"/>
        <v>360000</v>
      </c>
      <c r="J283" s="36">
        <v>36</v>
      </c>
      <c r="K283" s="120">
        <v>33</v>
      </c>
      <c r="L283" s="30">
        <f t="shared" si="33"/>
        <v>1194000</v>
      </c>
      <c r="M283" s="30">
        <f t="shared" si="34"/>
        <v>39402000</v>
      </c>
      <c r="N283" s="33">
        <f>F283-(H283*3)</f>
        <v>27498000</v>
      </c>
      <c r="O283" s="34" t="s">
        <v>1032</v>
      </c>
      <c r="P283" s="34" t="s">
        <v>112</v>
      </c>
    </row>
    <row r="284" spans="1:16" s="44" customFormat="1">
      <c r="A284" s="36">
        <f t="shared" si="35"/>
        <v>280</v>
      </c>
      <c r="B284" s="39" t="s">
        <v>1033</v>
      </c>
      <c r="C284" s="40" t="s">
        <v>1034</v>
      </c>
      <c r="D284" s="41" t="s">
        <v>1035</v>
      </c>
      <c r="E284" s="45">
        <v>43042</v>
      </c>
      <c r="F284" s="42">
        <f>15000000</f>
        <v>15000000</v>
      </c>
      <c r="G284" s="46">
        <f t="shared" si="32"/>
        <v>21492000</v>
      </c>
      <c r="H284" s="119">
        <f>597000-I284</f>
        <v>417000</v>
      </c>
      <c r="I284" s="119">
        <f t="shared" si="37"/>
        <v>180000</v>
      </c>
      <c r="J284" s="36">
        <v>36</v>
      </c>
      <c r="K284" s="120">
        <v>32</v>
      </c>
      <c r="L284" s="30">
        <f t="shared" si="33"/>
        <v>597000</v>
      </c>
      <c r="M284" s="30">
        <f t="shared" si="34"/>
        <v>19104000</v>
      </c>
      <c r="N284" s="33">
        <f>F284-(H284*4)</f>
        <v>13332000</v>
      </c>
      <c r="O284" s="34" t="s">
        <v>811</v>
      </c>
      <c r="P284" s="34" t="s">
        <v>86</v>
      </c>
    </row>
    <row r="285" spans="1:16" s="44" customFormat="1">
      <c r="A285" s="36">
        <f t="shared" si="35"/>
        <v>281</v>
      </c>
      <c r="B285" s="39" t="s">
        <v>1036</v>
      </c>
      <c r="C285" s="40" t="s">
        <v>1037</v>
      </c>
      <c r="D285" s="28" t="s">
        <v>1038</v>
      </c>
      <c r="E285" s="45">
        <v>42941</v>
      </c>
      <c r="F285" s="42">
        <f>16250000+406250+13343750</f>
        <v>30000000</v>
      </c>
      <c r="G285" s="46">
        <f t="shared" si="32"/>
        <v>38640000</v>
      </c>
      <c r="H285" s="132">
        <f>F285/J285</f>
        <v>1250000</v>
      </c>
      <c r="I285" s="42">
        <f t="shared" si="37"/>
        <v>360000</v>
      </c>
      <c r="J285" s="36">
        <v>24</v>
      </c>
      <c r="K285" s="120">
        <v>17</v>
      </c>
      <c r="L285" s="30">
        <f t="shared" si="33"/>
        <v>1610000</v>
      </c>
      <c r="M285" s="30">
        <f t="shared" si="34"/>
        <v>27370000</v>
      </c>
      <c r="N285" s="46">
        <f>+H285*K285</f>
        <v>21250000</v>
      </c>
      <c r="O285" s="34" t="s">
        <v>797</v>
      </c>
      <c r="P285" s="34" t="s">
        <v>112</v>
      </c>
    </row>
    <row r="286" spans="1:16" s="44" customFormat="1">
      <c r="A286" s="36">
        <f t="shared" si="35"/>
        <v>282</v>
      </c>
      <c r="B286" s="39" t="s">
        <v>1039</v>
      </c>
      <c r="C286" s="40" t="s">
        <v>1040</v>
      </c>
      <c r="D286" s="41" t="s">
        <v>1041</v>
      </c>
      <c r="E286" s="45">
        <v>42944</v>
      </c>
      <c r="F286" s="42">
        <f>12496500+312413+17191087</f>
        <v>30000000</v>
      </c>
      <c r="G286" s="46">
        <f t="shared" si="32"/>
        <v>43002000</v>
      </c>
      <c r="H286" s="132">
        <f>1194500-I286</f>
        <v>834500</v>
      </c>
      <c r="I286" s="42">
        <f t="shared" si="37"/>
        <v>360000</v>
      </c>
      <c r="J286" s="36">
        <v>36</v>
      </c>
      <c r="K286" s="120">
        <v>29</v>
      </c>
      <c r="L286" s="30">
        <f t="shared" si="33"/>
        <v>1194500</v>
      </c>
      <c r="M286" s="30">
        <f t="shared" si="34"/>
        <v>34640500</v>
      </c>
      <c r="N286" s="121">
        <f>F286-(H286*7)</f>
        <v>24158500</v>
      </c>
      <c r="O286" s="34" t="s">
        <v>1042</v>
      </c>
      <c r="P286" s="34" t="s">
        <v>112</v>
      </c>
    </row>
    <row r="287" spans="1:16" s="44" customFormat="1">
      <c r="A287" s="36">
        <f t="shared" si="35"/>
        <v>283</v>
      </c>
      <c r="B287" s="39" t="s">
        <v>1043</v>
      </c>
      <c r="C287" s="40" t="s">
        <v>1044</v>
      </c>
      <c r="D287" s="41" t="s">
        <v>1045</v>
      </c>
      <c r="E287" s="45">
        <v>43017</v>
      </c>
      <c r="F287" s="42">
        <f>20826000+520650+211742+8441608</f>
        <v>30000000</v>
      </c>
      <c r="G287" s="46">
        <f t="shared" si="32"/>
        <v>42984000</v>
      </c>
      <c r="H287" s="119">
        <f>1194000-I287</f>
        <v>834000</v>
      </c>
      <c r="I287" s="119">
        <f>F287*1.2%</f>
        <v>360000</v>
      </c>
      <c r="J287" s="36">
        <v>36</v>
      </c>
      <c r="K287" s="120">
        <v>31</v>
      </c>
      <c r="L287" s="30">
        <f t="shared" si="33"/>
        <v>1194000</v>
      </c>
      <c r="M287" s="30">
        <f t="shared" si="34"/>
        <v>37014000</v>
      </c>
      <c r="N287" s="121">
        <f>F287-(H287*5)</f>
        <v>25830000</v>
      </c>
      <c r="O287" s="34" t="s">
        <v>37</v>
      </c>
      <c r="P287" s="34" t="s">
        <v>25</v>
      </c>
    </row>
    <row r="288" spans="1:16" s="44" customFormat="1">
      <c r="A288" s="36">
        <f t="shared" si="35"/>
        <v>284</v>
      </c>
      <c r="B288" s="39" t="s">
        <v>1046</v>
      </c>
      <c r="C288" s="40" t="s">
        <v>1047</v>
      </c>
      <c r="D288" s="41" t="s">
        <v>1048</v>
      </c>
      <c r="E288" s="45">
        <v>43035</v>
      </c>
      <c r="F288" s="42">
        <f>3610600+90265+26299135</f>
        <v>30000000</v>
      </c>
      <c r="G288" s="46">
        <f t="shared" si="32"/>
        <v>42984000</v>
      </c>
      <c r="H288" s="119">
        <v>834000</v>
      </c>
      <c r="I288" s="119">
        <f>+F288*1.2%</f>
        <v>360000</v>
      </c>
      <c r="J288" s="36">
        <v>36</v>
      </c>
      <c r="K288" s="120">
        <v>32</v>
      </c>
      <c r="L288" s="30">
        <f t="shared" si="33"/>
        <v>1194000</v>
      </c>
      <c r="M288" s="30">
        <f t="shared" si="34"/>
        <v>38208000</v>
      </c>
      <c r="N288" s="33">
        <f>F288-(H288*4)</f>
        <v>26664000</v>
      </c>
      <c r="O288" s="34" t="s">
        <v>626</v>
      </c>
      <c r="P288" s="34" t="s">
        <v>94</v>
      </c>
    </row>
    <row r="289" spans="1:16" s="44" customFormat="1">
      <c r="A289" s="36">
        <f t="shared" si="35"/>
        <v>285</v>
      </c>
      <c r="B289" s="39" t="s">
        <v>1049</v>
      </c>
      <c r="C289" s="40" t="s">
        <v>1050</v>
      </c>
      <c r="D289" s="28" t="s">
        <v>1051</v>
      </c>
      <c r="E289" s="45">
        <v>42831</v>
      </c>
      <c r="F289" s="42">
        <f>458275+14541725</f>
        <v>15000000</v>
      </c>
      <c r="G289" s="46">
        <f t="shared" si="32"/>
        <v>21510000</v>
      </c>
      <c r="H289" s="42">
        <v>417500</v>
      </c>
      <c r="I289" s="42">
        <f>+F289*1.2%</f>
        <v>180000</v>
      </c>
      <c r="J289" s="36">
        <v>36</v>
      </c>
      <c r="K289" s="120">
        <v>25</v>
      </c>
      <c r="L289" s="30">
        <f t="shared" si="33"/>
        <v>597500</v>
      </c>
      <c r="M289" s="30">
        <f t="shared" si="34"/>
        <v>14937500</v>
      </c>
      <c r="N289" s="121">
        <f>F289-(H289*11)</f>
        <v>10407500</v>
      </c>
      <c r="O289" s="34" t="s">
        <v>1052</v>
      </c>
      <c r="P289" s="34" t="s">
        <v>86</v>
      </c>
    </row>
    <row r="290" spans="1:16" s="44" customFormat="1">
      <c r="A290" s="36">
        <f t="shared" si="35"/>
        <v>286</v>
      </c>
      <c r="B290" s="42" t="s">
        <v>1053</v>
      </c>
      <c r="C290" s="124" t="s">
        <v>1054</v>
      </c>
      <c r="D290" s="124"/>
      <c r="E290" s="45">
        <v>42670</v>
      </c>
      <c r="F290" s="125">
        <f>2500020+62501+27437479</f>
        <v>30000000</v>
      </c>
      <c r="G290" s="122">
        <f t="shared" si="32"/>
        <v>42984000</v>
      </c>
      <c r="H290" s="42">
        <v>834000</v>
      </c>
      <c r="I290" s="42">
        <f>+F290*1.2%</f>
        <v>360000</v>
      </c>
      <c r="J290" s="126" t="s">
        <v>99</v>
      </c>
      <c r="K290" s="120">
        <v>20</v>
      </c>
      <c r="L290" s="30">
        <f t="shared" si="33"/>
        <v>1194000</v>
      </c>
      <c r="M290" s="42">
        <f t="shared" si="34"/>
        <v>23880000</v>
      </c>
      <c r="N290" s="121">
        <f>F290-(H290*16)</f>
        <v>16656000</v>
      </c>
      <c r="O290" s="127" t="s">
        <v>1055</v>
      </c>
      <c r="P290" s="34" t="s">
        <v>101</v>
      </c>
    </row>
    <row r="291" spans="1:16" s="44" customFormat="1">
      <c r="A291" s="36">
        <f t="shared" si="35"/>
        <v>287</v>
      </c>
      <c r="B291" s="39" t="s">
        <v>1056</v>
      </c>
      <c r="C291" s="40" t="s">
        <v>1057</v>
      </c>
      <c r="D291" s="41" t="s">
        <v>1058</v>
      </c>
      <c r="E291" s="45">
        <v>42928</v>
      </c>
      <c r="F291" s="42">
        <f>20826000+520650+246581+8406769</f>
        <v>30000000</v>
      </c>
      <c r="G291" s="46">
        <f t="shared" si="32"/>
        <v>43002000</v>
      </c>
      <c r="H291" s="132">
        <v>834500</v>
      </c>
      <c r="I291" s="42">
        <f>+F291*1.2%</f>
        <v>360000</v>
      </c>
      <c r="J291" s="36">
        <v>36</v>
      </c>
      <c r="K291" s="120">
        <v>28</v>
      </c>
      <c r="L291" s="30">
        <f t="shared" si="33"/>
        <v>1194500</v>
      </c>
      <c r="M291" s="30">
        <f t="shared" si="34"/>
        <v>33446000</v>
      </c>
      <c r="N291" s="121">
        <f>F291-(H291*8)</f>
        <v>23324000</v>
      </c>
      <c r="O291" s="34" t="s">
        <v>790</v>
      </c>
      <c r="P291" s="34" t="s">
        <v>112</v>
      </c>
    </row>
    <row r="292" spans="1:16" s="44" customFormat="1">
      <c r="A292" s="36">
        <f t="shared" si="35"/>
        <v>288</v>
      </c>
      <c r="B292" s="39" t="s">
        <v>1059</v>
      </c>
      <c r="C292" s="40" t="s">
        <v>1060</v>
      </c>
      <c r="D292" s="41" t="s">
        <v>1061</v>
      </c>
      <c r="E292" s="45">
        <v>42879</v>
      </c>
      <c r="F292" s="42">
        <f>19164500+479113+10356387</f>
        <v>30000000</v>
      </c>
      <c r="G292" s="46">
        <f t="shared" si="32"/>
        <v>43002000</v>
      </c>
      <c r="H292" s="42">
        <v>834500</v>
      </c>
      <c r="I292" s="42">
        <f>+F292*1.2%</f>
        <v>360000</v>
      </c>
      <c r="J292" s="36">
        <v>36</v>
      </c>
      <c r="K292" s="120">
        <v>27</v>
      </c>
      <c r="L292" s="30">
        <f t="shared" si="33"/>
        <v>1194500</v>
      </c>
      <c r="M292" s="30">
        <f t="shared" si="34"/>
        <v>32251500</v>
      </c>
      <c r="N292" s="121">
        <f>F292-(H292*9)</f>
        <v>22489500</v>
      </c>
      <c r="O292" s="34" t="s">
        <v>1062</v>
      </c>
      <c r="P292" s="34" t="s">
        <v>112</v>
      </c>
    </row>
    <row r="293" spans="1:16" s="44" customFormat="1">
      <c r="A293" s="36">
        <f t="shared" si="35"/>
        <v>289</v>
      </c>
      <c r="B293" s="39" t="s">
        <v>1063</v>
      </c>
      <c r="C293" s="40" t="s">
        <v>1064</v>
      </c>
      <c r="D293" s="28" t="s">
        <v>1065</v>
      </c>
      <c r="E293" s="45">
        <v>43005</v>
      </c>
      <c r="F293" s="132">
        <f>30000000</f>
        <v>30000000</v>
      </c>
      <c r="G293" s="46">
        <f t="shared" si="32"/>
        <v>42984000</v>
      </c>
      <c r="H293" s="119">
        <v>834000</v>
      </c>
      <c r="I293" s="119">
        <f>F293*1.2%</f>
        <v>360000</v>
      </c>
      <c r="J293" s="36">
        <v>36</v>
      </c>
      <c r="K293" s="120">
        <v>31</v>
      </c>
      <c r="L293" s="30">
        <f t="shared" si="33"/>
        <v>1194000</v>
      </c>
      <c r="M293" s="30">
        <f t="shared" si="34"/>
        <v>37014000</v>
      </c>
      <c r="N293" s="121">
        <f>F293-(H293*5)</f>
        <v>25830000</v>
      </c>
      <c r="O293" s="34" t="s">
        <v>1066</v>
      </c>
      <c r="P293" s="34" t="s">
        <v>94</v>
      </c>
    </row>
    <row r="294" spans="1:16" s="44" customFormat="1">
      <c r="A294" s="36">
        <f t="shared" si="35"/>
        <v>290</v>
      </c>
      <c r="B294" s="42" t="s">
        <v>1067</v>
      </c>
      <c r="C294" s="124" t="s">
        <v>1068</v>
      </c>
      <c r="D294" s="124"/>
      <c r="E294" s="45">
        <v>42333</v>
      </c>
      <c r="F294" s="162">
        <f>10416830+260421+19322749</f>
        <v>30000000</v>
      </c>
      <c r="G294" s="129">
        <f t="shared" si="32"/>
        <v>28800000</v>
      </c>
      <c r="H294" s="42">
        <v>440000</v>
      </c>
      <c r="I294" s="125">
        <f>+F294*1.2%</f>
        <v>360000</v>
      </c>
      <c r="J294" s="126" t="s">
        <v>99</v>
      </c>
      <c r="K294" s="120">
        <v>9</v>
      </c>
      <c r="L294" s="42">
        <f t="shared" si="33"/>
        <v>800000</v>
      </c>
      <c r="M294" s="42">
        <f t="shared" si="34"/>
        <v>7200000</v>
      </c>
      <c r="N294" s="136">
        <f>F294-(H294*27)-5000000-5000000</f>
        <v>8120000</v>
      </c>
      <c r="O294" s="127" t="s">
        <v>1069</v>
      </c>
      <c r="P294" s="127" t="s">
        <v>25</v>
      </c>
    </row>
    <row r="295" spans="1:16" s="44" customFormat="1">
      <c r="A295" s="36">
        <f t="shared" si="35"/>
        <v>291</v>
      </c>
      <c r="B295" s="39" t="s">
        <v>1070</v>
      </c>
      <c r="C295" s="40" t="s">
        <v>1071</v>
      </c>
      <c r="D295" s="41" t="s">
        <v>1072</v>
      </c>
      <c r="E295" s="45">
        <v>43003</v>
      </c>
      <c r="F295" s="42">
        <f>20826000+520650+8653350</f>
        <v>30000000</v>
      </c>
      <c r="G295" s="46">
        <f t="shared" si="32"/>
        <v>42984000</v>
      </c>
      <c r="H295" s="119">
        <v>834000</v>
      </c>
      <c r="I295" s="119">
        <f>F295*1.2%</f>
        <v>360000</v>
      </c>
      <c r="J295" s="36">
        <v>36</v>
      </c>
      <c r="K295" s="120">
        <v>31</v>
      </c>
      <c r="L295" s="30">
        <f t="shared" si="33"/>
        <v>1194000</v>
      </c>
      <c r="M295" s="30">
        <f t="shared" si="34"/>
        <v>37014000</v>
      </c>
      <c r="N295" s="121">
        <f>F295-(H295*5)</f>
        <v>25830000</v>
      </c>
      <c r="O295" s="34" t="s">
        <v>303</v>
      </c>
      <c r="P295" s="34" t="s">
        <v>94</v>
      </c>
    </row>
    <row r="296" spans="1:16" s="44" customFormat="1">
      <c r="A296" s="36">
        <f t="shared" si="35"/>
        <v>292</v>
      </c>
      <c r="B296" s="42" t="s">
        <v>1073</v>
      </c>
      <c r="C296" s="124" t="s">
        <v>1074</v>
      </c>
      <c r="D296" s="28" t="s">
        <v>1075</v>
      </c>
      <c r="E296" s="45">
        <v>42702</v>
      </c>
      <c r="F296" s="125">
        <f>7638950+190974+22170076</f>
        <v>30000000</v>
      </c>
      <c r="G296" s="46">
        <f t="shared" si="32"/>
        <v>42984000</v>
      </c>
      <c r="H296" s="42">
        <v>834000</v>
      </c>
      <c r="I296" s="42">
        <f>+F296*1.2%</f>
        <v>360000</v>
      </c>
      <c r="J296" s="126" t="s">
        <v>99</v>
      </c>
      <c r="K296" s="120">
        <v>21</v>
      </c>
      <c r="L296" s="30">
        <f t="shared" si="33"/>
        <v>1194000</v>
      </c>
      <c r="M296" s="42">
        <f t="shared" si="34"/>
        <v>25074000</v>
      </c>
      <c r="N296" s="121">
        <f>F296-(H296*15)</f>
        <v>17490000</v>
      </c>
      <c r="O296" s="127" t="s">
        <v>1076</v>
      </c>
      <c r="P296" s="34" t="s">
        <v>25</v>
      </c>
    </row>
    <row r="297" spans="1:16" s="44" customFormat="1">
      <c r="A297" s="36">
        <f t="shared" si="35"/>
        <v>293</v>
      </c>
      <c r="B297" s="39" t="s">
        <v>1077</v>
      </c>
      <c r="C297" s="40" t="s">
        <v>1078</v>
      </c>
      <c r="D297" s="41" t="s">
        <v>1079</v>
      </c>
      <c r="E297" s="45">
        <v>42976</v>
      </c>
      <c r="F297" s="42">
        <f>17490000+437250+12072750</f>
        <v>30000000</v>
      </c>
      <c r="G297" s="46">
        <f t="shared" si="32"/>
        <v>42984000</v>
      </c>
      <c r="H297" s="132">
        <v>834000</v>
      </c>
      <c r="I297" s="119">
        <f>F297*1.2%</f>
        <v>360000</v>
      </c>
      <c r="J297" s="36">
        <v>36</v>
      </c>
      <c r="K297" s="120">
        <v>30</v>
      </c>
      <c r="L297" s="30">
        <f t="shared" si="33"/>
        <v>1194000</v>
      </c>
      <c r="M297" s="30">
        <f t="shared" si="34"/>
        <v>35820000</v>
      </c>
      <c r="N297" s="121">
        <f>F297-(H297*6)</f>
        <v>24996000</v>
      </c>
      <c r="O297" s="34" t="s">
        <v>63</v>
      </c>
      <c r="P297" s="34" t="s">
        <v>112</v>
      </c>
    </row>
    <row r="298" spans="1:16" s="44" customFormat="1">
      <c r="A298" s="36">
        <f t="shared" si="35"/>
        <v>294</v>
      </c>
      <c r="B298" s="42" t="s">
        <v>1080</v>
      </c>
      <c r="C298" s="124" t="s">
        <v>1081</v>
      </c>
      <c r="D298" s="124"/>
      <c r="E298" s="45">
        <v>42501</v>
      </c>
      <c r="F298" s="125">
        <f>10000080+250002+222968+4526950</f>
        <v>15000000</v>
      </c>
      <c r="G298" s="125">
        <f t="shared" si="32"/>
        <v>21481200</v>
      </c>
      <c r="H298" s="42">
        <f>596700-I298</f>
        <v>416700</v>
      </c>
      <c r="I298" s="125">
        <f>+F298*1.2%</f>
        <v>180000</v>
      </c>
      <c r="J298" s="126" t="s">
        <v>99</v>
      </c>
      <c r="K298" s="120">
        <v>14</v>
      </c>
      <c r="L298" s="42">
        <f t="shared" si="33"/>
        <v>596700</v>
      </c>
      <c r="M298" s="42">
        <f t="shared" si="34"/>
        <v>8353800</v>
      </c>
      <c r="N298" s="134">
        <f>F298-(H298*22)</f>
        <v>5832600</v>
      </c>
      <c r="O298" s="127" t="s">
        <v>366</v>
      </c>
      <c r="P298" s="127" t="s">
        <v>25</v>
      </c>
    </row>
    <row r="299" spans="1:16" s="44" customFormat="1">
      <c r="A299" s="36">
        <f t="shared" si="35"/>
        <v>295</v>
      </c>
      <c r="B299" s="39" t="s">
        <v>1082</v>
      </c>
      <c r="C299" s="40" t="s">
        <v>1083</v>
      </c>
      <c r="D299" s="41" t="s">
        <v>1084</v>
      </c>
      <c r="E299" s="45">
        <v>43063</v>
      </c>
      <c r="F299" s="42">
        <f>18626046+465651+10908303</f>
        <v>30000000</v>
      </c>
      <c r="G299" s="46">
        <f t="shared" si="32"/>
        <v>42984000</v>
      </c>
      <c r="H299" s="119">
        <v>834000</v>
      </c>
      <c r="I299" s="119">
        <f>+F299*1.2%</f>
        <v>360000</v>
      </c>
      <c r="J299" s="36">
        <v>36</v>
      </c>
      <c r="K299" s="120">
        <v>33</v>
      </c>
      <c r="L299" s="30">
        <f t="shared" si="33"/>
        <v>1194000</v>
      </c>
      <c r="M299" s="30">
        <f t="shared" si="34"/>
        <v>39402000</v>
      </c>
      <c r="N299" s="33">
        <f>F299-(H299*3)</f>
        <v>27498000</v>
      </c>
      <c r="O299" s="34" t="s">
        <v>232</v>
      </c>
      <c r="P299" s="47" t="s">
        <v>112</v>
      </c>
    </row>
    <row r="300" spans="1:16" s="44" customFormat="1">
      <c r="A300" s="36">
        <f t="shared" si="35"/>
        <v>296</v>
      </c>
      <c r="B300" s="42" t="s">
        <v>1085</v>
      </c>
      <c r="C300" s="124" t="s">
        <v>1086</v>
      </c>
      <c r="D300" s="124"/>
      <c r="E300" s="45">
        <v>42453</v>
      </c>
      <c r="F300" s="125">
        <f>22500000+562500+6937500</f>
        <v>30000000</v>
      </c>
      <c r="G300" s="125">
        <f t="shared" si="32"/>
        <v>42966000</v>
      </c>
      <c r="H300" s="132">
        <f>1193500-I300</f>
        <v>833500</v>
      </c>
      <c r="I300" s="125">
        <f>+F300*1.2%</f>
        <v>360000</v>
      </c>
      <c r="J300" s="126" t="s">
        <v>99</v>
      </c>
      <c r="K300" s="120">
        <v>13</v>
      </c>
      <c r="L300" s="42">
        <f t="shared" si="33"/>
        <v>1193500</v>
      </c>
      <c r="M300" s="42">
        <f t="shared" si="34"/>
        <v>15515500</v>
      </c>
      <c r="N300" s="136">
        <f>F300-(H300*23)</f>
        <v>10829500</v>
      </c>
      <c r="O300" s="127" t="s">
        <v>1087</v>
      </c>
      <c r="P300" s="127" t="s">
        <v>101</v>
      </c>
    </row>
    <row r="301" spans="1:16" s="44" customFormat="1">
      <c r="A301" s="36">
        <f t="shared" si="35"/>
        <v>297</v>
      </c>
      <c r="B301" s="39" t="s">
        <v>1088</v>
      </c>
      <c r="C301" s="40" t="s">
        <v>1089</v>
      </c>
      <c r="D301" s="28" t="s">
        <v>1090</v>
      </c>
      <c r="E301" s="45">
        <v>43013</v>
      </c>
      <c r="F301" s="42">
        <f>625000+15625+76839+14282536</f>
        <v>15000000</v>
      </c>
      <c r="G301" s="46">
        <f t="shared" si="32"/>
        <v>19320000</v>
      </c>
      <c r="H301" s="119">
        <f>+F301/J301</f>
        <v>625000</v>
      </c>
      <c r="I301" s="119">
        <f>F301*1.2%</f>
        <v>180000</v>
      </c>
      <c r="J301" s="36">
        <v>24</v>
      </c>
      <c r="K301" s="120">
        <v>19</v>
      </c>
      <c r="L301" s="30">
        <f t="shared" si="33"/>
        <v>805000</v>
      </c>
      <c r="M301" s="30">
        <f t="shared" si="34"/>
        <v>15295000</v>
      </c>
      <c r="N301" s="46">
        <f>+H301*K301</f>
        <v>11875000</v>
      </c>
      <c r="O301" s="34" t="s">
        <v>1091</v>
      </c>
      <c r="P301" s="34" t="s">
        <v>183</v>
      </c>
    </row>
    <row r="302" spans="1:16" s="44" customFormat="1">
      <c r="A302" s="36">
        <f t="shared" si="35"/>
        <v>298</v>
      </c>
      <c r="B302" s="42" t="s">
        <v>1092</v>
      </c>
      <c r="C302" s="124" t="s">
        <v>1093</v>
      </c>
      <c r="D302" s="124"/>
      <c r="E302" s="45">
        <v>42674</v>
      </c>
      <c r="F302" s="125">
        <f>30000000</f>
        <v>30000000</v>
      </c>
      <c r="G302" s="122">
        <f t="shared" si="32"/>
        <v>42984000</v>
      </c>
      <c r="H302" s="42">
        <f>1194000-I302</f>
        <v>834000</v>
      </c>
      <c r="I302" s="42">
        <f>+F302*1.2%</f>
        <v>360000</v>
      </c>
      <c r="J302" s="126" t="s">
        <v>99</v>
      </c>
      <c r="K302" s="120">
        <v>20</v>
      </c>
      <c r="L302" s="30">
        <f t="shared" si="33"/>
        <v>1194000</v>
      </c>
      <c r="M302" s="42">
        <f t="shared" si="34"/>
        <v>23880000</v>
      </c>
      <c r="N302" s="121">
        <f>F302-(H302*16)</f>
        <v>16656000</v>
      </c>
      <c r="O302" s="127" t="s">
        <v>1094</v>
      </c>
      <c r="P302" s="127" t="s">
        <v>86</v>
      </c>
    </row>
    <row r="303" spans="1:16" s="44" customFormat="1">
      <c r="A303" s="36">
        <f t="shared" si="35"/>
        <v>299</v>
      </c>
      <c r="B303" s="39" t="s">
        <v>1095</v>
      </c>
      <c r="C303" s="40" t="s">
        <v>1096</v>
      </c>
      <c r="D303" s="41" t="s">
        <v>1097</v>
      </c>
      <c r="E303" s="45">
        <v>43005</v>
      </c>
      <c r="F303" s="42">
        <f>10000000</f>
        <v>10000000</v>
      </c>
      <c r="G303" s="46">
        <f t="shared" si="32"/>
        <v>14328000</v>
      </c>
      <c r="H303" s="132">
        <f>398000-I303</f>
        <v>278000</v>
      </c>
      <c r="I303" s="119">
        <f>F303*1.2%</f>
        <v>120000</v>
      </c>
      <c r="J303" s="36">
        <v>36</v>
      </c>
      <c r="K303" s="120">
        <v>31</v>
      </c>
      <c r="L303" s="30">
        <f t="shared" si="33"/>
        <v>398000</v>
      </c>
      <c r="M303" s="30">
        <f t="shared" si="34"/>
        <v>12338000</v>
      </c>
      <c r="N303" s="121">
        <f>F303-(H303*5)</f>
        <v>8610000</v>
      </c>
      <c r="O303" s="34" t="s">
        <v>191</v>
      </c>
      <c r="P303" s="34" t="s">
        <v>86</v>
      </c>
    </row>
    <row r="304" spans="1:16" s="44" customFormat="1">
      <c r="A304" s="36">
        <f t="shared" si="35"/>
        <v>300</v>
      </c>
      <c r="B304" s="42" t="s">
        <v>1098</v>
      </c>
      <c r="C304" s="124" t="s">
        <v>1099</v>
      </c>
      <c r="D304" s="124"/>
      <c r="E304" s="45">
        <v>42283</v>
      </c>
      <c r="F304" s="125">
        <f>30000000</f>
        <v>30000000</v>
      </c>
      <c r="G304" s="129">
        <f t="shared" si="32"/>
        <v>42966000</v>
      </c>
      <c r="H304" s="42">
        <v>833500</v>
      </c>
      <c r="I304" s="125">
        <f>+F304*1.2%</f>
        <v>360000</v>
      </c>
      <c r="J304" s="126" t="s">
        <v>99</v>
      </c>
      <c r="K304" s="120">
        <v>7</v>
      </c>
      <c r="L304" s="42">
        <f t="shared" si="33"/>
        <v>1193500</v>
      </c>
      <c r="M304" s="42">
        <f t="shared" si="34"/>
        <v>8354500</v>
      </c>
      <c r="N304" s="134">
        <f>F304-(H304*29)</f>
        <v>5828500</v>
      </c>
      <c r="O304" s="127" t="s">
        <v>1100</v>
      </c>
      <c r="P304" s="127" t="s">
        <v>86</v>
      </c>
    </row>
    <row r="305" spans="1:16" s="44" customFormat="1">
      <c r="A305" s="36">
        <f t="shared" si="35"/>
        <v>301</v>
      </c>
      <c r="B305" s="39" t="s">
        <v>1101</v>
      </c>
      <c r="C305" s="40" t="s">
        <v>1102</v>
      </c>
      <c r="D305" s="41" t="s">
        <v>1103</v>
      </c>
      <c r="E305" s="28">
        <v>43110</v>
      </c>
      <c r="F305" s="42">
        <f>692500+17313+174194+29115993</f>
        <v>30000000</v>
      </c>
      <c r="G305" s="46">
        <f t="shared" si="32"/>
        <v>42984000</v>
      </c>
      <c r="H305" s="119">
        <f>1194000-I305</f>
        <v>834000</v>
      </c>
      <c r="I305" s="119">
        <f>+F305*1.2%</f>
        <v>360000</v>
      </c>
      <c r="J305" s="36">
        <v>36</v>
      </c>
      <c r="K305" s="120">
        <v>34</v>
      </c>
      <c r="L305" s="30">
        <f t="shared" si="33"/>
        <v>1194000</v>
      </c>
      <c r="M305" s="30">
        <f t="shared" si="34"/>
        <v>40596000</v>
      </c>
      <c r="N305" s="33">
        <f>F305-(H305*2)</f>
        <v>28332000</v>
      </c>
      <c r="O305" s="34" t="s">
        <v>45</v>
      </c>
      <c r="P305" s="34" t="s">
        <v>94</v>
      </c>
    </row>
    <row r="306" spans="1:16" s="44" customFormat="1">
      <c r="A306" s="36">
        <f t="shared" si="35"/>
        <v>302</v>
      </c>
      <c r="B306" s="39" t="s">
        <v>1104</v>
      </c>
      <c r="C306" s="40" t="s">
        <v>1105</v>
      </c>
      <c r="D306" s="41" t="s">
        <v>1106</v>
      </c>
      <c r="E306" s="28">
        <v>43109</v>
      </c>
      <c r="F306" s="42">
        <f>2500000</f>
        <v>2500000</v>
      </c>
      <c r="G306" s="46">
        <f t="shared" si="32"/>
        <v>2800000</v>
      </c>
      <c r="H306" s="119">
        <f>+F306/J306</f>
        <v>250000</v>
      </c>
      <c r="I306" s="119">
        <f>+F306*1.2%</f>
        <v>30000</v>
      </c>
      <c r="J306" s="36">
        <v>10</v>
      </c>
      <c r="K306" s="120">
        <v>8</v>
      </c>
      <c r="L306" s="30">
        <f t="shared" si="33"/>
        <v>280000</v>
      </c>
      <c r="M306" s="30">
        <f t="shared" si="34"/>
        <v>2240000</v>
      </c>
      <c r="N306" s="46">
        <f>+H306*K306</f>
        <v>2000000</v>
      </c>
      <c r="O306" s="34" t="s">
        <v>1107</v>
      </c>
      <c r="P306" s="34" t="s">
        <v>86</v>
      </c>
    </row>
    <row r="307" spans="1:16" s="44" customFormat="1">
      <c r="A307" s="36">
        <f t="shared" si="35"/>
        <v>303</v>
      </c>
      <c r="B307" s="42" t="s">
        <v>1108</v>
      </c>
      <c r="C307" s="124" t="s">
        <v>1109</v>
      </c>
      <c r="D307" s="124"/>
      <c r="E307" s="45">
        <v>42643</v>
      </c>
      <c r="F307" s="125">
        <f>9000000</f>
        <v>9000000</v>
      </c>
      <c r="G307" s="122">
        <f t="shared" si="32"/>
        <v>11592000</v>
      </c>
      <c r="H307" s="42">
        <f>+F307/J307</f>
        <v>375000</v>
      </c>
      <c r="I307" s="125">
        <f>+F307*1.2%</f>
        <v>108000</v>
      </c>
      <c r="J307" s="126" t="s">
        <v>89</v>
      </c>
      <c r="K307" s="120">
        <v>7</v>
      </c>
      <c r="L307" s="30">
        <f t="shared" si="33"/>
        <v>483000</v>
      </c>
      <c r="M307" s="42">
        <f t="shared" si="34"/>
        <v>3381000</v>
      </c>
      <c r="N307" s="42">
        <f>+H307*K307</f>
        <v>2625000</v>
      </c>
      <c r="O307" s="127" t="s">
        <v>1110</v>
      </c>
      <c r="P307" s="127" t="s">
        <v>86</v>
      </c>
    </row>
    <row r="308" spans="1:16" s="44" customFormat="1">
      <c r="A308" s="36">
        <f t="shared" si="35"/>
        <v>304</v>
      </c>
      <c r="B308" s="39" t="s">
        <v>1111</v>
      </c>
      <c r="C308" s="40" t="s">
        <v>1112</v>
      </c>
      <c r="D308" s="41" t="s">
        <v>1112</v>
      </c>
      <c r="E308" s="45">
        <v>42978</v>
      </c>
      <c r="F308" s="42">
        <f>10000000</f>
        <v>10000000</v>
      </c>
      <c r="G308" s="46">
        <f t="shared" si="32"/>
        <v>12888000</v>
      </c>
      <c r="H308" s="132">
        <v>417000</v>
      </c>
      <c r="I308" s="119">
        <f>F308*1.2%</f>
        <v>120000</v>
      </c>
      <c r="J308" s="36">
        <v>24</v>
      </c>
      <c r="K308" s="120">
        <v>18</v>
      </c>
      <c r="L308" s="30">
        <f t="shared" si="33"/>
        <v>537000</v>
      </c>
      <c r="M308" s="30">
        <f t="shared" si="34"/>
        <v>9666000</v>
      </c>
      <c r="N308" s="121">
        <f>F308-(H308*6)</f>
        <v>7498000</v>
      </c>
      <c r="O308" s="34" t="s">
        <v>37</v>
      </c>
      <c r="P308" s="34" t="s">
        <v>86</v>
      </c>
    </row>
    <row r="309" spans="1:16" s="44" customFormat="1">
      <c r="A309" s="36">
        <f t="shared" si="35"/>
        <v>305</v>
      </c>
      <c r="B309" s="42" t="s">
        <v>1113</v>
      </c>
      <c r="C309" s="124" t="s">
        <v>1114</v>
      </c>
      <c r="D309" s="124"/>
      <c r="E309" s="45">
        <v>42671</v>
      </c>
      <c r="F309" s="125">
        <f>15832200+1499500+433293+12235007</f>
        <v>30000000</v>
      </c>
      <c r="G309" s="122">
        <f t="shared" si="32"/>
        <v>42984000</v>
      </c>
      <c r="H309" s="139">
        <f>1194000-I309</f>
        <v>834000</v>
      </c>
      <c r="I309" s="42">
        <f>+F309*1.2%</f>
        <v>360000</v>
      </c>
      <c r="J309" s="126" t="s">
        <v>99</v>
      </c>
      <c r="K309" s="120">
        <v>20</v>
      </c>
      <c r="L309" s="30">
        <f t="shared" si="33"/>
        <v>1194000</v>
      </c>
      <c r="M309" s="42">
        <f t="shared" si="34"/>
        <v>23880000</v>
      </c>
      <c r="N309" s="121">
        <f>F309-(H309*16)</f>
        <v>16656000</v>
      </c>
      <c r="O309" s="127" t="s">
        <v>232</v>
      </c>
      <c r="P309" s="127" t="s">
        <v>101</v>
      </c>
    </row>
    <row r="310" spans="1:16" s="44" customFormat="1">
      <c r="A310" s="36">
        <f t="shared" si="35"/>
        <v>306</v>
      </c>
      <c r="B310" s="39" t="s">
        <v>1115</v>
      </c>
      <c r="C310" s="40" t="s">
        <v>1116</v>
      </c>
      <c r="D310" s="41" t="s">
        <v>1117</v>
      </c>
      <c r="E310" s="45">
        <v>42991</v>
      </c>
      <c r="F310" s="42">
        <f>10000000</f>
        <v>10000000</v>
      </c>
      <c r="G310" s="46">
        <f t="shared" si="32"/>
        <v>14328000</v>
      </c>
      <c r="H310" s="132">
        <f>398000-I310</f>
        <v>278000</v>
      </c>
      <c r="I310" s="119">
        <f>F310*1.2%</f>
        <v>120000</v>
      </c>
      <c r="J310" s="36">
        <v>36</v>
      </c>
      <c r="K310" s="120">
        <v>30</v>
      </c>
      <c r="L310" s="30">
        <f t="shared" si="33"/>
        <v>398000</v>
      </c>
      <c r="M310" s="30">
        <f t="shared" si="34"/>
        <v>11940000</v>
      </c>
      <c r="N310" s="121">
        <f>F310-(H310*6)</f>
        <v>8332000</v>
      </c>
      <c r="O310" s="34" t="s">
        <v>736</v>
      </c>
      <c r="P310" s="34" t="s">
        <v>86</v>
      </c>
    </row>
    <row r="311" spans="1:16" s="44" customFormat="1">
      <c r="A311" s="36">
        <f t="shared" si="35"/>
        <v>307</v>
      </c>
      <c r="B311" s="39" t="s">
        <v>1118</v>
      </c>
      <c r="C311" s="40" t="s">
        <v>1119</v>
      </c>
      <c r="D311" s="41" t="s">
        <v>1120</v>
      </c>
      <c r="E311" s="45">
        <v>42972</v>
      </c>
      <c r="F311" s="42">
        <f>20000000</f>
        <v>20000000</v>
      </c>
      <c r="G311" s="46">
        <f t="shared" si="32"/>
        <v>22884000</v>
      </c>
      <c r="H311" s="132">
        <v>1667000</v>
      </c>
      <c r="I311" s="119">
        <f>F311*1.2%</f>
        <v>240000</v>
      </c>
      <c r="J311" s="36">
        <v>12</v>
      </c>
      <c r="K311" s="120">
        <v>6</v>
      </c>
      <c r="L311" s="30">
        <f t="shared" si="33"/>
        <v>1907000</v>
      </c>
      <c r="M311" s="30">
        <f t="shared" si="34"/>
        <v>11442000</v>
      </c>
      <c r="N311" s="121">
        <f>F311-(H311*6)</f>
        <v>9998000</v>
      </c>
      <c r="O311" s="34" t="s">
        <v>191</v>
      </c>
      <c r="P311" s="34" t="s">
        <v>86</v>
      </c>
    </row>
    <row r="312" spans="1:16" s="44" customFormat="1">
      <c r="A312" s="36">
        <f t="shared" si="35"/>
        <v>308</v>
      </c>
      <c r="B312" s="39" t="s">
        <v>1121</v>
      </c>
      <c r="C312" s="40" t="s">
        <v>1122</v>
      </c>
      <c r="D312" s="28" t="s">
        <v>1123</v>
      </c>
      <c r="E312" s="45">
        <v>43045</v>
      </c>
      <c r="F312" s="132">
        <f>11250000+281250+189290+18279460</f>
        <v>30000000</v>
      </c>
      <c r="G312" s="46">
        <f t="shared" si="32"/>
        <v>38640000</v>
      </c>
      <c r="H312" s="119">
        <f>+F312/J312</f>
        <v>1250000</v>
      </c>
      <c r="I312" s="119">
        <f t="shared" ref="I312:I317" si="38">+F312*1.2%</f>
        <v>360000</v>
      </c>
      <c r="J312" s="36">
        <v>24</v>
      </c>
      <c r="K312" s="120">
        <v>20</v>
      </c>
      <c r="L312" s="30">
        <f t="shared" si="33"/>
        <v>1610000</v>
      </c>
      <c r="M312" s="30">
        <f t="shared" si="34"/>
        <v>32200000</v>
      </c>
      <c r="N312" s="46">
        <f>+H312*K312</f>
        <v>25000000</v>
      </c>
      <c r="O312" s="34" t="s">
        <v>1124</v>
      </c>
      <c r="P312" s="34" t="s">
        <v>94</v>
      </c>
    </row>
    <row r="313" spans="1:16" s="44" customFormat="1">
      <c r="A313" s="36">
        <f t="shared" si="35"/>
        <v>309</v>
      </c>
      <c r="B313" s="42" t="s">
        <v>1125</v>
      </c>
      <c r="C313" s="124" t="s">
        <v>1126</v>
      </c>
      <c r="D313" s="124"/>
      <c r="E313" s="128">
        <v>42551</v>
      </c>
      <c r="F313" s="125">
        <f>11667600+291690+18040710</f>
        <v>30000000</v>
      </c>
      <c r="G313" s="122">
        <f t="shared" si="32"/>
        <v>42984000</v>
      </c>
      <c r="H313" s="132">
        <v>834000</v>
      </c>
      <c r="I313" s="46">
        <f t="shared" si="38"/>
        <v>360000</v>
      </c>
      <c r="J313" s="126" t="s">
        <v>99</v>
      </c>
      <c r="K313" s="120">
        <v>16</v>
      </c>
      <c r="L313" s="138">
        <f t="shared" si="33"/>
        <v>1194000</v>
      </c>
      <c r="M313" s="42">
        <f t="shared" si="34"/>
        <v>19104000</v>
      </c>
      <c r="N313" s="134">
        <f>F313-(H313*20)</f>
        <v>13320000</v>
      </c>
      <c r="O313" s="127" t="s">
        <v>1127</v>
      </c>
      <c r="P313" s="127" t="s">
        <v>101</v>
      </c>
    </row>
    <row r="314" spans="1:16" s="44" customFormat="1">
      <c r="A314" s="36">
        <f t="shared" si="35"/>
        <v>310</v>
      </c>
      <c r="B314" s="39" t="s">
        <v>1128</v>
      </c>
      <c r="C314" s="40" t="s">
        <v>1129</v>
      </c>
      <c r="D314" s="41" t="s">
        <v>1130</v>
      </c>
      <c r="E314" s="28">
        <v>43091</v>
      </c>
      <c r="F314" s="42">
        <f>2000000</f>
        <v>2000000</v>
      </c>
      <c r="G314" s="46">
        <f t="shared" si="32"/>
        <v>2292000</v>
      </c>
      <c r="H314" s="119">
        <f>191000-I314</f>
        <v>167000</v>
      </c>
      <c r="I314" s="119">
        <f t="shared" si="38"/>
        <v>24000</v>
      </c>
      <c r="J314" s="36">
        <v>12</v>
      </c>
      <c r="K314" s="120">
        <v>10</v>
      </c>
      <c r="L314" s="30">
        <f t="shared" si="33"/>
        <v>191000</v>
      </c>
      <c r="M314" s="30">
        <f t="shared" si="34"/>
        <v>1910000</v>
      </c>
      <c r="N314" s="33">
        <f>F314-(H314*2)</f>
        <v>1666000</v>
      </c>
      <c r="O314" s="34" t="s">
        <v>45</v>
      </c>
      <c r="P314" s="34" t="s">
        <v>86</v>
      </c>
    </row>
    <row r="315" spans="1:16" s="44" customFormat="1">
      <c r="A315" s="36">
        <f t="shared" si="35"/>
        <v>311</v>
      </c>
      <c r="B315" s="39" t="s">
        <v>1131</v>
      </c>
      <c r="C315" s="40" t="s">
        <v>1132</v>
      </c>
      <c r="D315" s="41" t="s">
        <v>1133</v>
      </c>
      <c r="E315" s="45">
        <v>42895</v>
      </c>
      <c r="F315" s="42">
        <f>25000000</f>
        <v>25000000</v>
      </c>
      <c r="G315" s="46">
        <f t="shared" si="32"/>
        <v>32220000</v>
      </c>
      <c r="H315" s="42">
        <v>1042500</v>
      </c>
      <c r="I315" s="42">
        <f t="shared" si="38"/>
        <v>300000</v>
      </c>
      <c r="J315" s="36">
        <v>24</v>
      </c>
      <c r="K315" s="120">
        <v>15</v>
      </c>
      <c r="L315" s="30">
        <f t="shared" si="33"/>
        <v>1342500</v>
      </c>
      <c r="M315" s="30">
        <f t="shared" si="34"/>
        <v>20137500</v>
      </c>
      <c r="N315" s="121">
        <f>F315-(H315*9)</f>
        <v>15617500</v>
      </c>
      <c r="O315" s="34" t="s">
        <v>297</v>
      </c>
      <c r="P315" s="34" t="s">
        <v>86</v>
      </c>
    </row>
    <row r="316" spans="1:16" s="44" customFormat="1">
      <c r="A316" s="36">
        <f t="shared" si="35"/>
        <v>312</v>
      </c>
      <c r="B316" s="42" t="s">
        <v>1134</v>
      </c>
      <c r="C316" s="124" t="s">
        <v>1135</v>
      </c>
      <c r="D316" s="124"/>
      <c r="E316" s="45">
        <v>42656</v>
      </c>
      <c r="F316" s="125">
        <f>16665600+416640+222968+12694792</f>
        <v>30000000</v>
      </c>
      <c r="G316" s="122">
        <f t="shared" si="32"/>
        <v>42984000</v>
      </c>
      <c r="H316" s="42">
        <f>1194000-I316</f>
        <v>834000</v>
      </c>
      <c r="I316" s="42">
        <f t="shared" si="38"/>
        <v>360000</v>
      </c>
      <c r="J316" s="126" t="s">
        <v>99</v>
      </c>
      <c r="K316" s="120">
        <v>19</v>
      </c>
      <c r="L316" s="30">
        <f t="shared" si="33"/>
        <v>1194000</v>
      </c>
      <c r="M316" s="42">
        <f t="shared" si="34"/>
        <v>22686000</v>
      </c>
      <c r="N316" s="121">
        <f>F316-(H316*17)</f>
        <v>15822000</v>
      </c>
      <c r="O316" s="127" t="s">
        <v>1136</v>
      </c>
      <c r="P316" s="127" t="s">
        <v>112</v>
      </c>
    </row>
    <row r="317" spans="1:16" s="44" customFormat="1">
      <c r="A317" s="36">
        <f t="shared" si="35"/>
        <v>313</v>
      </c>
      <c r="B317" s="39" t="s">
        <v>1137</v>
      </c>
      <c r="C317" s="40" t="s">
        <v>1138</v>
      </c>
      <c r="D317" s="28" t="s">
        <v>1139</v>
      </c>
      <c r="E317" s="45">
        <v>43033</v>
      </c>
      <c r="F317" s="42">
        <f>9579000+239475+5181525</f>
        <v>15000000</v>
      </c>
      <c r="G317" s="46">
        <f t="shared" si="32"/>
        <v>21492000</v>
      </c>
      <c r="H317" s="119">
        <v>417000</v>
      </c>
      <c r="I317" s="119">
        <f t="shared" si="38"/>
        <v>180000</v>
      </c>
      <c r="J317" s="36">
        <v>36</v>
      </c>
      <c r="K317" s="120">
        <v>32</v>
      </c>
      <c r="L317" s="30">
        <f t="shared" si="33"/>
        <v>597000</v>
      </c>
      <c r="M317" s="30">
        <f t="shared" si="34"/>
        <v>19104000</v>
      </c>
      <c r="N317" s="33">
        <f>F317-(H317*4)</f>
        <v>13332000</v>
      </c>
      <c r="O317" s="34" t="s">
        <v>93</v>
      </c>
      <c r="P317" s="34" t="s">
        <v>112</v>
      </c>
    </row>
    <row r="318" spans="1:16" s="44" customFormat="1">
      <c r="A318" s="36">
        <f t="shared" si="35"/>
        <v>314</v>
      </c>
      <c r="B318" s="39" t="s">
        <v>1140</v>
      </c>
      <c r="C318" s="40" t="s">
        <v>1141</v>
      </c>
      <c r="D318" s="41" t="s">
        <v>1142</v>
      </c>
      <c r="E318" s="45">
        <v>42990</v>
      </c>
      <c r="F318" s="42">
        <f>18324000+458100+225290+10992610</f>
        <v>30000000</v>
      </c>
      <c r="G318" s="46">
        <f t="shared" si="32"/>
        <v>42984000</v>
      </c>
      <c r="H318" s="132">
        <f>1194000-I318</f>
        <v>834000</v>
      </c>
      <c r="I318" s="119">
        <f>F318*1.2%</f>
        <v>360000</v>
      </c>
      <c r="J318" s="36">
        <v>36</v>
      </c>
      <c r="K318" s="120">
        <v>30</v>
      </c>
      <c r="L318" s="30">
        <f t="shared" si="33"/>
        <v>1194000</v>
      </c>
      <c r="M318" s="30">
        <f t="shared" si="34"/>
        <v>35820000</v>
      </c>
      <c r="N318" s="121">
        <f>F318-(H318*6)</f>
        <v>24996000</v>
      </c>
      <c r="O318" s="34" t="s">
        <v>24</v>
      </c>
      <c r="P318" s="34" t="s">
        <v>25</v>
      </c>
    </row>
    <row r="319" spans="1:16" s="44" customFormat="1">
      <c r="A319" s="36">
        <f t="shared" si="35"/>
        <v>315</v>
      </c>
      <c r="B319" s="39" t="s">
        <v>1143</v>
      </c>
      <c r="C319" s="40" t="s">
        <v>1144</v>
      </c>
      <c r="D319" s="41" t="s">
        <v>1145</v>
      </c>
      <c r="E319" s="45">
        <v>43033</v>
      </c>
      <c r="F319" s="42">
        <f>19992000+499800+9508200</f>
        <v>30000000</v>
      </c>
      <c r="G319" s="46">
        <f t="shared" si="32"/>
        <v>42984000</v>
      </c>
      <c r="H319" s="119">
        <v>834000</v>
      </c>
      <c r="I319" s="119">
        <f>+F319*1.2%</f>
        <v>360000</v>
      </c>
      <c r="J319" s="36">
        <v>36</v>
      </c>
      <c r="K319" s="120">
        <v>32</v>
      </c>
      <c r="L319" s="30">
        <f t="shared" si="33"/>
        <v>1194000</v>
      </c>
      <c r="M319" s="30">
        <f t="shared" si="34"/>
        <v>38208000</v>
      </c>
      <c r="N319" s="33">
        <f>F319-(H319*4)</f>
        <v>26664000</v>
      </c>
      <c r="O319" s="34" t="s">
        <v>24</v>
      </c>
      <c r="P319" s="34" t="s">
        <v>112</v>
      </c>
    </row>
    <row r="320" spans="1:16" s="44" customFormat="1">
      <c r="A320" s="36">
        <f t="shared" si="35"/>
        <v>316</v>
      </c>
      <c r="B320" s="39" t="s">
        <v>1146</v>
      </c>
      <c r="C320" s="40" t="s">
        <v>1147</v>
      </c>
      <c r="D320" s="28" t="s">
        <v>1148</v>
      </c>
      <c r="E320" s="28">
        <v>43088</v>
      </c>
      <c r="F320" s="132">
        <f>14311672+357792+15330536</f>
        <v>30000000</v>
      </c>
      <c r="G320" s="46">
        <f t="shared" si="32"/>
        <v>42984000</v>
      </c>
      <c r="H320" s="119">
        <f>1194000-I320</f>
        <v>834000</v>
      </c>
      <c r="I320" s="119">
        <f>+F320*1.2%</f>
        <v>360000</v>
      </c>
      <c r="J320" s="36">
        <v>36</v>
      </c>
      <c r="K320" s="120">
        <v>34</v>
      </c>
      <c r="L320" s="30">
        <f t="shared" si="33"/>
        <v>1194000</v>
      </c>
      <c r="M320" s="30">
        <f t="shared" si="34"/>
        <v>40596000</v>
      </c>
      <c r="N320" s="33">
        <f>F320-(H320*2)</f>
        <v>28332000</v>
      </c>
      <c r="O320" s="34" t="s">
        <v>609</v>
      </c>
      <c r="P320" s="34" t="s">
        <v>94</v>
      </c>
    </row>
    <row r="321" spans="1:16" s="44" customFormat="1">
      <c r="A321" s="36">
        <f t="shared" si="35"/>
        <v>317</v>
      </c>
      <c r="B321" s="39" t="s">
        <v>1149</v>
      </c>
      <c r="C321" s="40" t="s">
        <v>1150</v>
      </c>
      <c r="D321" s="41" t="s">
        <v>1151</v>
      </c>
      <c r="E321" s="45">
        <v>43005</v>
      </c>
      <c r="F321" s="42">
        <f>15830500+395763+13773737</f>
        <v>30000000</v>
      </c>
      <c r="G321" s="46">
        <f t="shared" si="32"/>
        <v>42984000</v>
      </c>
      <c r="H321" s="119">
        <v>834000</v>
      </c>
      <c r="I321" s="119">
        <f>F321*1.2%</f>
        <v>360000</v>
      </c>
      <c r="J321" s="36">
        <v>36</v>
      </c>
      <c r="K321" s="120">
        <v>31</v>
      </c>
      <c r="L321" s="30">
        <f t="shared" si="33"/>
        <v>1194000</v>
      </c>
      <c r="M321" s="30">
        <f t="shared" si="34"/>
        <v>37014000</v>
      </c>
      <c r="N321" s="121">
        <f>F321-(H321*5)</f>
        <v>25830000</v>
      </c>
      <c r="O321" s="34" t="s">
        <v>1152</v>
      </c>
      <c r="P321" s="34" t="s">
        <v>94</v>
      </c>
    </row>
    <row r="322" spans="1:16" s="44" customFormat="1">
      <c r="A322" s="36">
        <f t="shared" si="35"/>
        <v>318</v>
      </c>
      <c r="B322" s="39" t="s">
        <v>1153</v>
      </c>
      <c r="C322" s="40" t="s">
        <v>1154</v>
      </c>
      <c r="D322" s="41" t="s">
        <v>1155</v>
      </c>
      <c r="E322" s="45">
        <v>42950</v>
      </c>
      <c r="F322" s="42">
        <f>14165000+354125+81290+15399585</f>
        <v>30000000</v>
      </c>
      <c r="G322" s="46">
        <f t="shared" si="32"/>
        <v>43002000</v>
      </c>
      <c r="H322" s="132">
        <v>834500</v>
      </c>
      <c r="I322" s="42">
        <f t="shared" ref="I322:I328" si="39">+F322*1.2%</f>
        <v>360000</v>
      </c>
      <c r="J322" s="36">
        <v>36</v>
      </c>
      <c r="K322" s="120">
        <v>29</v>
      </c>
      <c r="L322" s="30">
        <f t="shared" si="33"/>
        <v>1194500</v>
      </c>
      <c r="M322" s="30">
        <f t="shared" si="34"/>
        <v>34640500</v>
      </c>
      <c r="N322" s="121">
        <f>F322-(H322*7)</f>
        <v>24158500</v>
      </c>
      <c r="O322" s="34" t="s">
        <v>85</v>
      </c>
      <c r="P322" s="34" t="s">
        <v>112</v>
      </c>
    </row>
    <row r="323" spans="1:16" s="44" customFormat="1">
      <c r="A323" s="36">
        <f t="shared" si="35"/>
        <v>319</v>
      </c>
      <c r="B323" s="42" t="s">
        <v>1156</v>
      </c>
      <c r="C323" s="124" t="s">
        <v>1157</v>
      </c>
      <c r="D323" s="41" t="s">
        <v>1158</v>
      </c>
      <c r="E323" s="45">
        <v>42853</v>
      </c>
      <c r="F323" s="132">
        <f>1000200+25005+28974795</f>
        <v>30000000</v>
      </c>
      <c r="G323" s="46">
        <f t="shared" si="32"/>
        <v>43002000</v>
      </c>
      <c r="H323" s="42">
        <f>1194500-I323</f>
        <v>834500</v>
      </c>
      <c r="I323" s="42">
        <f t="shared" si="39"/>
        <v>360000</v>
      </c>
      <c r="J323" s="36">
        <v>36</v>
      </c>
      <c r="K323" s="120">
        <v>26</v>
      </c>
      <c r="L323" s="137">
        <f t="shared" si="33"/>
        <v>1194500</v>
      </c>
      <c r="M323" s="30">
        <f t="shared" si="34"/>
        <v>31057000</v>
      </c>
      <c r="N323" s="121">
        <f>F323-(H323*10)</f>
        <v>21655000</v>
      </c>
      <c r="O323" s="34" t="s">
        <v>85</v>
      </c>
      <c r="P323" s="34" t="s">
        <v>112</v>
      </c>
    </row>
    <row r="324" spans="1:16" s="44" customFormat="1">
      <c r="A324" s="36">
        <f t="shared" si="35"/>
        <v>320</v>
      </c>
      <c r="B324" s="42" t="s">
        <v>1159</v>
      </c>
      <c r="C324" s="124" t="s">
        <v>1160</v>
      </c>
      <c r="D324" s="124" t="s">
        <v>1161</v>
      </c>
      <c r="E324" s="45">
        <v>42732</v>
      </c>
      <c r="F324" s="125">
        <f>30000000</f>
        <v>30000000</v>
      </c>
      <c r="G324" s="46">
        <f t="shared" si="32"/>
        <v>42984000</v>
      </c>
      <c r="H324" s="42">
        <v>834000</v>
      </c>
      <c r="I324" s="42">
        <f t="shared" si="39"/>
        <v>360000</v>
      </c>
      <c r="J324" s="126" t="s">
        <v>99</v>
      </c>
      <c r="K324" s="120">
        <v>22</v>
      </c>
      <c r="L324" s="30">
        <f t="shared" si="33"/>
        <v>1194000</v>
      </c>
      <c r="M324" s="42">
        <f t="shared" si="34"/>
        <v>26268000</v>
      </c>
      <c r="N324" s="121">
        <f>F324-(H324*14)</f>
        <v>18324000</v>
      </c>
      <c r="O324" s="127" t="s">
        <v>330</v>
      </c>
      <c r="P324" s="34" t="s">
        <v>86</v>
      </c>
    </row>
    <row r="325" spans="1:16" s="44" customFormat="1">
      <c r="A325" s="36">
        <f t="shared" si="35"/>
        <v>321</v>
      </c>
      <c r="B325" s="42" t="s">
        <v>1162</v>
      </c>
      <c r="C325" s="124" t="s">
        <v>1163</v>
      </c>
      <c r="D325" s="124"/>
      <c r="E325" s="45">
        <v>42278</v>
      </c>
      <c r="F325" s="125">
        <f>22499400+562485+83613+6854502</f>
        <v>30000000</v>
      </c>
      <c r="G325" s="129">
        <f t="shared" ref="G325:G388" si="40">+J325*L325</f>
        <v>42966000</v>
      </c>
      <c r="H325" s="42">
        <v>833500</v>
      </c>
      <c r="I325" s="125">
        <f t="shared" si="39"/>
        <v>360000</v>
      </c>
      <c r="J325" s="126" t="s">
        <v>99</v>
      </c>
      <c r="K325" s="120">
        <v>7</v>
      </c>
      <c r="L325" s="42">
        <f t="shared" ref="L325:L388" si="41">+H325+I325</f>
        <v>1193500</v>
      </c>
      <c r="M325" s="42">
        <f t="shared" ref="M325:M388" si="42">+K325*L325</f>
        <v>8354500</v>
      </c>
      <c r="N325" s="134">
        <f>F325-(H325*29)</f>
        <v>5828500</v>
      </c>
      <c r="O325" s="127" t="s">
        <v>214</v>
      </c>
      <c r="P325" s="127" t="s">
        <v>101</v>
      </c>
    </row>
    <row r="326" spans="1:16" s="44" customFormat="1">
      <c r="A326" s="36">
        <f t="shared" ref="A326:A389" si="43">+A325+1</f>
        <v>322</v>
      </c>
      <c r="B326" s="42" t="s">
        <v>1164</v>
      </c>
      <c r="C326" s="124" t="s">
        <v>1165</v>
      </c>
      <c r="D326" s="124"/>
      <c r="E326" s="45">
        <v>42426</v>
      </c>
      <c r="F326" s="125">
        <f>1988640+49716+27961644</f>
        <v>30000000</v>
      </c>
      <c r="G326" s="129">
        <f t="shared" si="40"/>
        <v>42966000</v>
      </c>
      <c r="H326" s="42">
        <f>1193500-I326</f>
        <v>833500</v>
      </c>
      <c r="I326" s="125">
        <f t="shared" si="39"/>
        <v>360000</v>
      </c>
      <c r="J326" s="126" t="s">
        <v>99</v>
      </c>
      <c r="K326" s="120">
        <v>12</v>
      </c>
      <c r="L326" s="42">
        <f t="shared" si="41"/>
        <v>1193500</v>
      </c>
      <c r="M326" s="42">
        <f t="shared" si="42"/>
        <v>14322000</v>
      </c>
      <c r="N326" s="130">
        <f>F326-(H326*24)</f>
        <v>9996000</v>
      </c>
      <c r="O326" s="127" t="s">
        <v>1166</v>
      </c>
      <c r="P326" s="127" t="s">
        <v>112</v>
      </c>
    </row>
    <row r="327" spans="1:16" s="44" customFormat="1">
      <c r="A327" s="36">
        <f t="shared" si="43"/>
        <v>323</v>
      </c>
      <c r="B327" s="39" t="s">
        <v>1167</v>
      </c>
      <c r="C327" s="40" t="s">
        <v>1168</v>
      </c>
      <c r="D327" s="41" t="s">
        <v>1169</v>
      </c>
      <c r="E327" s="28">
        <v>43084</v>
      </c>
      <c r="F327" s="42">
        <f>2150000</f>
        <v>2150000</v>
      </c>
      <c r="G327" s="46">
        <f t="shared" si="40"/>
        <v>2550000</v>
      </c>
      <c r="H327" s="119">
        <f>170000-I327</f>
        <v>144200</v>
      </c>
      <c r="I327" s="119">
        <f t="shared" si="39"/>
        <v>25800</v>
      </c>
      <c r="J327" s="36">
        <v>15</v>
      </c>
      <c r="K327" s="120">
        <v>13</v>
      </c>
      <c r="L327" s="30">
        <f t="shared" si="41"/>
        <v>170000</v>
      </c>
      <c r="M327" s="30">
        <f t="shared" si="42"/>
        <v>2210000</v>
      </c>
      <c r="N327" s="33">
        <f>F327-(H327*2)</f>
        <v>1861600</v>
      </c>
      <c r="O327" s="34" t="s">
        <v>1170</v>
      </c>
      <c r="P327" s="47" t="s">
        <v>94</v>
      </c>
    </row>
    <row r="328" spans="1:16" s="44" customFormat="1">
      <c r="A328" s="36">
        <f t="shared" si="43"/>
        <v>324</v>
      </c>
      <c r="B328" s="39" t="s">
        <v>1167</v>
      </c>
      <c r="C328" s="40" t="s">
        <v>1168</v>
      </c>
      <c r="D328" s="41" t="s">
        <v>1171</v>
      </c>
      <c r="E328" s="45">
        <v>42891</v>
      </c>
      <c r="F328" s="42">
        <f>20000000+500000+164903+9335097</f>
        <v>30000000</v>
      </c>
      <c r="G328" s="46">
        <f t="shared" si="40"/>
        <v>43002000</v>
      </c>
      <c r="H328" s="42">
        <v>834500</v>
      </c>
      <c r="I328" s="42">
        <f t="shared" si="39"/>
        <v>360000</v>
      </c>
      <c r="J328" s="36">
        <v>36</v>
      </c>
      <c r="K328" s="120">
        <v>27</v>
      </c>
      <c r="L328" s="30">
        <f t="shared" si="41"/>
        <v>1194500</v>
      </c>
      <c r="M328" s="30">
        <f t="shared" si="42"/>
        <v>32251500</v>
      </c>
      <c r="N328" s="121">
        <f>F328-(H328*9)</f>
        <v>22489500</v>
      </c>
      <c r="O328" s="34" t="s">
        <v>1172</v>
      </c>
      <c r="P328" s="34" t="s">
        <v>112</v>
      </c>
    </row>
    <row r="329" spans="1:16" s="44" customFormat="1">
      <c r="A329" s="36">
        <f t="shared" si="43"/>
        <v>325</v>
      </c>
      <c r="B329" s="39" t="s">
        <v>1173</v>
      </c>
      <c r="C329" s="40" t="s">
        <v>1174</v>
      </c>
      <c r="D329" s="41" t="s">
        <v>1175</v>
      </c>
      <c r="E329" s="45">
        <v>43021</v>
      </c>
      <c r="F329" s="42">
        <f>12000000</f>
        <v>12000000</v>
      </c>
      <c r="G329" s="46">
        <f t="shared" si="40"/>
        <v>15456000</v>
      </c>
      <c r="H329" s="119">
        <f>+F329/J329</f>
        <v>500000</v>
      </c>
      <c r="I329" s="119">
        <f>F329*1.2%</f>
        <v>144000</v>
      </c>
      <c r="J329" s="36">
        <v>24</v>
      </c>
      <c r="K329" s="120">
        <v>19</v>
      </c>
      <c r="L329" s="30">
        <f t="shared" si="41"/>
        <v>644000</v>
      </c>
      <c r="M329" s="30">
        <f t="shared" si="42"/>
        <v>12236000</v>
      </c>
      <c r="N329" s="46">
        <f>+H329*K329</f>
        <v>9500000</v>
      </c>
      <c r="O329" s="34" t="s">
        <v>1176</v>
      </c>
      <c r="P329" s="34" t="s">
        <v>183</v>
      </c>
    </row>
    <row r="330" spans="1:16" s="44" customFormat="1">
      <c r="A330" s="36">
        <f t="shared" si="43"/>
        <v>326</v>
      </c>
      <c r="B330" s="39" t="s">
        <v>1177</v>
      </c>
      <c r="C330" s="40" t="s">
        <v>1178</v>
      </c>
      <c r="D330" s="41" t="s">
        <v>1179</v>
      </c>
      <c r="E330" s="45">
        <v>42975</v>
      </c>
      <c r="F330" s="42">
        <f>30000000</f>
        <v>30000000</v>
      </c>
      <c r="G330" s="46">
        <f t="shared" si="40"/>
        <v>38640000</v>
      </c>
      <c r="H330" s="132">
        <f>+F330/J330</f>
        <v>1250000</v>
      </c>
      <c r="I330" s="119">
        <f>F330*1.2%</f>
        <v>360000</v>
      </c>
      <c r="J330" s="36">
        <v>24</v>
      </c>
      <c r="K330" s="120">
        <v>18</v>
      </c>
      <c r="L330" s="30">
        <f t="shared" si="41"/>
        <v>1610000</v>
      </c>
      <c r="M330" s="30">
        <f t="shared" si="42"/>
        <v>28980000</v>
      </c>
      <c r="N330" s="46">
        <f>+H330*K330</f>
        <v>22500000</v>
      </c>
      <c r="O330" s="34" t="s">
        <v>1180</v>
      </c>
      <c r="P330" s="34" t="s">
        <v>86</v>
      </c>
    </row>
    <row r="331" spans="1:16" s="44" customFormat="1">
      <c r="A331" s="36">
        <f t="shared" si="43"/>
        <v>327</v>
      </c>
      <c r="B331" s="39" t="s">
        <v>1181</v>
      </c>
      <c r="C331" s="40" t="s">
        <v>1182</v>
      </c>
      <c r="D331" s="41" t="s">
        <v>1183</v>
      </c>
      <c r="E331" s="28">
        <v>43112</v>
      </c>
      <c r="F331" s="42">
        <f>15965000+399125+212903+13422972</f>
        <v>30000000</v>
      </c>
      <c r="G331" s="46">
        <f t="shared" si="40"/>
        <v>42984000</v>
      </c>
      <c r="H331" s="119">
        <v>834000</v>
      </c>
      <c r="I331" s="119">
        <f>+F331*1.2%</f>
        <v>360000</v>
      </c>
      <c r="J331" s="36">
        <v>36</v>
      </c>
      <c r="K331" s="120">
        <v>34</v>
      </c>
      <c r="L331" s="30">
        <f t="shared" si="41"/>
        <v>1194000</v>
      </c>
      <c r="M331" s="30">
        <f t="shared" si="42"/>
        <v>40596000</v>
      </c>
      <c r="N331" s="33">
        <f>F331-(H331*2)</f>
        <v>28332000</v>
      </c>
      <c r="O331" s="34" t="s">
        <v>225</v>
      </c>
      <c r="P331" s="34" t="s">
        <v>94</v>
      </c>
    </row>
    <row r="332" spans="1:16" s="44" customFormat="1">
      <c r="A332" s="36">
        <f t="shared" si="43"/>
        <v>328</v>
      </c>
      <c r="B332" s="39" t="s">
        <v>1184</v>
      </c>
      <c r="C332" s="40" t="s">
        <v>1185</v>
      </c>
      <c r="D332" s="41" t="s">
        <v>1186</v>
      </c>
      <c r="E332" s="45">
        <v>42942</v>
      </c>
      <c r="F332" s="42">
        <f>2078000+51950+12377300</f>
        <v>14507250</v>
      </c>
      <c r="G332" s="46">
        <f t="shared" si="40"/>
        <v>16614000</v>
      </c>
      <c r="H332" s="132">
        <f>1384500-I332</f>
        <v>1210413</v>
      </c>
      <c r="I332" s="42">
        <f>+F332*1.2%</f>
        <v>174087</v>
      </c>
      <c r="J332" s="36">
        <v>12</v>
      </c>
      <c r="K332" s="120">
        <v>5</v>
      </c>
      <c r="L332" s="30">
        <f t="shared" si="41"/>
        <v>1384500</v>
      </c>
      <c r="M332" s="30">
        <f t="shared" si="42"/>
        <v>6922500</v>
      </c>
      <c r="N332" s="121">
        <f>F332-(H332*7)</f>
        <v>6034359</v>
      </c>
      <c r="O332" s="34" t="s">
        <v>1187</v>
      </c>
      <c r="P332" s="34" t="s">
        <v>112</v>
      </c>
    </row>
    <row r="333" spans="1:16" s="44" customFormat="1">
      <c r="A333" s="36">
        <f t="shared" si="43"/>
        <v>329</v>
      </c>
      <c r="B333" s="39" t="s">
        <v>1188</v>
      </c>
      <c r="C333" s="40" t="s">
        <v>1189</v>
      </c>
      <c r="D333" s="28" t="s">
        <v>1190</v>
      </c>
      <c r="E333" s="45">
        <v>42906</v>
      </c>
      <c r="F333" s="42">
        <f>4712605+117815+15000000</f>
        <v>19830420</v>
      </c>
      <c r="G333" s="46">
        <f t="shared" si="40"/>
        <v>25572000</v>
      </c>
      <c r="H333" s="42">
        <v>827535</v>
      </c>
      <c r="I333" s="42">
        <v>237965</v>
      </c>
      <c r="J333" s="36">
        <v>24</v>
      </c>
      <c r="K333" s="120">
        <v>16</v>
      </c>
      <c r="L333" s="30">
        <f t="shared" si="41"/>
        <v>1065500</v>
      </c>
      <c r="M333" s="30">
        <f t="shared" si="42"/>
        <v>17048000</v>
      </c>
      <c r="N333" s="121">
        <f>F333-(H333*8)</f>
        <v>13210140</v>
      </c>
      <c r="O333" s="34" t="s">
        <v>93</v>
      </c>
      <c r="P333" s="34" t="s">
        <v>112</v>
      </c>
    </row>
    <row r="334" spans="1:16" s="44" customFormat="1">
      <c r="A334" s="36">
        <f t="shared" si="43"/>
        <v>330</v>
      </c>
      <c r="B334" s="39" t="s">
        <v>1191</v>
      </c>
      <c r="C334" s="40" t="s">
        <v>1192</v>
      </c>
      <c r="D334" s="41" t="s">
        <v>1193</v>
      </c>
      <c r="E334" s="45">
        <v>42831</v>
      </c>
      <c r="F334" s="42">
        <f>3750000+93750+201290+25954960</f>
        <v>30000000</v>
      </c>
      <c r="G334" s="46">
        <f t="shared" si="40"/>
        <v>42984000</v>
      </c>
      <c r="H334" s="42">
        <f>1194000-I334</f>
        <v>834000</v>
      </c>
      <c r="I334" s="42">
        <f>+F334*1.2%</f>
        <v>360000</v>
      </c>
      <c r="J334" s="36">
        <v>36</v>
      </c>
      <c r="K334" s="120">
        <v>25</v>
      </c>
      <c r="L334" s="30">
        <f t="shared" si="41"/>
        <v>1194000</v>
      </c>
      <c r="M334" s="30">
        <f t="shared" si="42"/>
        <v>29850000</v>
      </c>
      <c r="N334" s="121">
        <f>F334-(H334*11)</f>
        <v>20826000</v>
      </c>
      <c r="O334" s="34" t="s">
        <v>963</v>
      </c>
      <c r="P334" s="34" t="s">
        <v>112</v>
      </c>
    </row>
    <row r="335" spans="1:16" s="44" customFormat="1">
      <c r="A335" s="36">
        <f t="shared" si="43"/>
        <v>331</v>
      </c>
      <c r="B335" s="39" t="s">
        <v>1194</v>
      </c>
      <c r="C335" s="40" t="s">
        <v>1195</v>
      </c>
      <c r="D335" s="41" t="s">
        <v>1196</v>
      </c>
      <c r="E335" s="45">
        <v>42972</v>
      </c>
      <c r="F335" s="42">
        <f>30000000</f>
        <v>30000000</v>
      </c>
      <c r="G335" s="46">
        <f t="shared" si="40"/>
        <v>38640000</v>
      </c>
      <c r="H335" s="132">
        <f>+F335/J335</f>
        <v>1250000</v>
      </c>
      <c r="I335" s="119">
        <f>F335*1.2%</f>
        <v>360000</v>
      </c>
      <c r="J335" s="36">
        <v>24</v>
      </c>
      <c r="K335" s="120">
        <v>18</v>
      </c>
      <c r="L335" s="30">
        <f t="shared" si="41"/>
        <v>1610000</v>
      </c>
      <c r="M335" s="30">
        <f t="shared" si="42"/>
        <v>28980000</v>
      </c>
      <c r="N335" s="46">
        <f>+H335*K335</f>
        <v>22500000</v>
      </c>
      <c r="O335" s="34" t="s">
        <v>346</v>
      </c>
      <c r="P335" s="34" t="s">
        <v>86</v>
      </c>
    </row>
    <row r="336" spans="1:16" s="44" customFormat="1">
      <c r="A336" s="36">
        <f t="shared" si="43"/>
        <v>332</v>
      </c>
      <c r="B336" s="42" t="s">
        <v>1197</v>
      </c>
      <c r="C336" s="124" t="s">
        <v>1198</v>
      </c>
      <c r="D336" s="124"/>
      <c r="E336" s="128">
        <v>42405</v>
      </c>
      <c r="F336" s="125">
        <f>7000000+175000+193014+22631986</f>
        <v>30000000</v>
      </c>
      <c r="G336" s="129">
        <f t="shared" si="40"/>
        <v>40800000</v>
      </c>
      <c r="H336" s="42">
        <f>+F336/J336</f>
        <v>1000000</v>
      </c>
      <c r="I336" s="125">
        <f t="shared" ref="I336:I342" si="44">+F336*1.2%</f>
        <v>360000</v>
      </c>
      <c r="J336" s="126" t="s">
        <v>142</v>
      </c>
      <c r="K336" s="120">
        <v>5</v>
      </c>
      <c r="L336" s="42">
        <f t="shared" si="41"/>
        <v>1360000</v>
      </c>
      <c r="M336" s="42">
        <f t="shared" si="42"/>
        <v>6800000</v>
      </c>
      <c r="N336" s="125">
        <f>+H336*K336</f>
        <v>5000000</v>
      </c>
      <c r="O336" s="127" t="s">
        <v>1199</v>
      </c>
      <c r="P336" s="127" t="s">
        <v>101</v>
      </c>
    </row>
    <row r="337" spans="1:16" s="44" customFormat="1">
      <c r="A337" s="36">
        <f t="shared" si="43"/>
        <v>333</v>
      </c>
      <c r="B337" s="39" t="s">
        <v>1200</v>
      </c>
      <c r="C337" s="40" t="s">
        <v>1201</v>
      </c>
      <c r="D337" s="41" t="s">
        <v>1202</v>
      </c>
      <c r="E337" s="45">
        <v>42895</v>
      </c>
      <c r="F337" s="42">
        <v>30000000</v>
      </c>
      <c r="G337" s="46">
        <f t="shared" si="40"/>
        <v>43002000</v>
      </c>
      <c r="H337" s="42">
        <v>834500</v>
      </c>
      <c r="I337" s="42">
        <f t="shared" si="44"/>
        <v>360000</v>
      </c>
      <c r="J337" s="36">
        <v>36</v>
      </c>
      <c r="K337" s="120">
        <v>27</v>
      </c>
      <c r="L337" s="30">
        <f t="shared" si="41"/>
        <v>1194500</v>
      </c>
      <c r="M337" s="30">
        <f t="shared" si="42"/>
        <v>32251500</v>
      </c>
      <c r="N337" s="121">
        <f>F337-(H337*9)</f>
        <v>22489500</v>
      </c>
      <c r="O337" s="34" t="s">
        <v>797</v>
      </c>
      <c r="P337" s="34" t="s">
        <v>86</v>
      </c>
    </row>
    <row r="338" spans="1:16" s="44" customFormat="1">
      <c r="A338" s="36">
        <f t="shared" si="43"/>
        <v>334</v>
      </c>
      <c r="B338" s="42" t="s">
        <v>1203</v>
      </c>
      <c r="C338" s="124" t="s">
        <v>1204</v>
      </c>
      <c r="D338" s="124"/>
      <c r="E338" s="45">
        <v>42300</v>
      </c>
      <c r="F338" s="125">
        <f>30000000</f>
        <v>30000000</v>
      </c>
      <c r="G338" s="129">
        <f t="shared" si="40"/>
        <v>42966000</v>
      </c>
      <c r="H338" s="42">
        <v>833500</v>
      </c>
      <c r="I338" s="125">
        <f t="shared" si="44"/>
        <v>360000</v>
      </c>
      <c r="J338" s="126" t="s">
        <v>99</v>
      </c>
      <c r="K338" s="120">
        <v>8</v>
      </c>
      <c r="L338" s="42">
        <f t="shared" si="41"/>
        <v>1193500</v>
      </c>
      <c r="M338" s="42">
        <f t="shared" si="42"/>
        <v>9548000</v>
      </c>
      <c r="N338" s="136">
        <f>F338-(H338*28)</f>
        <v>6662000</v>
      </c>
      <c r="O338" s="127" t="s">
        <v>1205</v>
      </c>
      <c r="P338" s="127" t="s">
        <v>112</v>
      </c>
    </row>
    <row r="339" spans="1:16" s="44" customFormat="1">
      <c r="A339" s="36">
        <f t="shared" si="43"/>
        <v>335</v>
      </c>
      <c r="B339" s="39" t="s">
        <v>1206</v>
      </c>
      <c r="C339" s="40" t="s">
        <v>1207</v>
      </c>
      <c r="D339" s="41" t="s">
        <v>1208</v>
      </c>
      <c r="E339" s="45">
        <v>43034</v>
      </c>
      <c r="F339" s="42">
        <f>15000000</f>
        <v>15000000</v>
      </c>
      <c r="G339" s="46">
        <f t="shared" si="40"/>
        <v>19320000</v>
      </c>
      <c r="H339" s="119">
        <f>+F339/J339</f>
        <v>625000</v>
      </c>
      <c r="I339" s="119">
        <f t="shared" si="44"/>
        <v>180000</v>
      </c>
      <c r="J339" s="36">
        <v>24</v>
      </c>
      <c r="K339" s="120">
        <v>20</v>
      </c>
      <c r="L339" s="30">
        <f t="shared" si="41"/>
        <v>805000</v>
      </c>
      <c r="M339" s="30">
        <f t="shared" si="42"/>
        <v>16100000</v>
      </c>
      <c r="N339" s="33">
        <f>F339-(H339*4)</f>
        <v>12500000</v>
      </c>
      <c r="O339" s="34" t="s">
        <v>932</v>
      </c>
      <c r="P339" s="34" t="s">
        <v>86</v>
      </c>
    </row>
    <row r="340" spans="1:16" s="44" customFormat="1">
      <c r="A340" s="36">
        <f t="shared" si="43"/>
        <v>336</v>
      </c>
      <c r="B340" s="39" t="s">
        <v>1209</v>
      </c>
      <c r="C340" s="40" t="s">
        <v>1210</v>
      </c>
      <c r="D340" s="40" t="s">
        <v>1211</v>
      </c>
      <c r="E340" s="45">
        <v>42828</v>
      </c>
      <c r="F340" s="42">
        <f>30000000</f>
        <v>30000000</v>
      </c>
      <c r="G340" s="46">
        <f t="shared" si="40"/>
        <v>42984000</v>
      </c>
      <c r="H340" s="42">
        <v>834000</v>
      </c>
      <c r="I340" s="42">
        <f t="shared" si="44"/>
        <v>360000</v>
      </c>
      <c r="J340" s="36">
        <v>36</v>
      </c>
      <c r="K340" s="120">
        <v>25</v>
      </c>
      <c r="L340" s="30">
        <f t="shared" si="41"/>
        <v>1194000</v>
      </c>
      <c r="M340" s="30">
        <f t="shared" si="42"/>
        <v>29850000</v>
      </c>
      <c r="N340" s="121">
        <f>F340-(H340*11)</f>
        <v>20826000</v>
      </c>
      <c r="O340" s="34" t="s">
        <v>85</v>
      </c>
      <c r="P340" s="34" t="s">
        <v>86</v>
      </c>
    </row>
    <row r="341" spans="1:16" s="44" customFormat="1">
      <c r="A341" s="36">
        <f t="shared" si="43"/>
        <v>337</v>
      </c>
      <c r="B341" s="42" t="s">
        <v>1212</v>
      </c>
      <c r="C341" s="124" t="s">
        <v>1213</v>
      </c>
      <c r="D341" s="124"/>
      <c r="E341" s="45">
        <v>42669</v>
      </c>
      <c r="F341" s="125">
        <v>30000000</v>
      </c>
      <c r="G341" s="122">
        <f t="shared" si="40"/>
        <v>42984000</v>
      </c>
      <c r="H341" s="42">
        <v>834000</v>
      </c>
      <c r="I341" s="42">
        <f t="shared" si="44"/>
        <v>360000</v>
      </c>
      <c r="J341" s="126" t="s">
        <v>99</v>
      </c>
      <c r="K341" s="120">
        <v>20</v>
      </c>
      <c r="L341" s="30">
        <f t="shared" si="41"/>
        <v>1194000</v>
      </c>
      <c r="M341" s="42">
        <f t="shared" si="42"/>
        <v>23880000</v>
      </c>
      <c r="N341" s="121">
        <f>F341-(H341*16)</f>
        <v>16656000</v>
      </c>
      <c r="O341" s="127" t="s">
        <v>1214</v>
      </c>
      <c r="P341" s="34" t="s">
        <v>101</v>
      </c>
    </row>
    <row r="342" spans="1:16" s="44" customFormat="1">
      <c r="A342" s="36">
        <f t="shared" si="43"/>
        <v>338</v>
      </c>
      <c r="B342" s="42" t="s">
        <v>1215</v>
      </c>
      <c r="C342" s="124" t="s">
        <v>1216</v>
      </c>
      <c r="D342" s="124"/>
      <c r="E342" s="128">
        <v>42591</v>
      </c>
      <c r="F342" s="125">
        <f>25000000</f>
        <v>25000000</v>
      </c>
      <c r="G342" s="122">
        <f t="shared" si="40"/>
        <v>35820000</v>
      </c>
      <c r="H342" s="42">
        <f>995000-I342</f>
        <v>695000</v>
      </c>
      <c r="I342" s="125">
        <f t="shared" si="44"/>
        <v>300000</v>
      </c>
      <c r="J342" s="126" t="s">
        <v>99</v>
      </c>
      <c r="K342" s="120">
        <v>17</v>
      </c>
      <c r="L342" s="138">
        <f t="shared" si="41"/>
        <v>995000</v>
      </c>
      <c r="M342" s="42">
        <f t="shared" si="42"/>
        <v>16915000</v>
      </c>
      <c r="N342" s="136">
        <f>F342-(H342*19)</f>
        <v>11795000</v>
      </c>
      <c r="O342" s="127" t="s">
        <v>330</v>
      </c>
      <c r="P342" s="127" t="s">
        <v>86</v>
      </c>
    </row>
    <row r="343" spans="1:16" s="44" customFormat="1">
      <c r="A343" s="36">
        <f t="shared" si="43"/>
        <v>339</v>
      </c>
      <c r="B343" s="39" t="s">
        <v>1217</v>
      </c>
      <c r="C343" s="40" t="s">
        <v>1218</v>
      </c>
      <c r="D343" s="41" t="s">
        <v>1219</v>
      </c>
      <c r="E343" s="45">
        <v>42908</v>
      </c>
      <c r="F343" s="42">
        <f>4164600+104115+22000000</f>
        <v>26268715</v>
      </c>
      <c r="G343" s="46">
        <f t="shared" si="40"/>
        <v>37638000</v>
      </c>
      <c r="H343" s="132">
        <v>730275</v>
      </c>
      <c r="I343" s="42">
        <v>315225</v>
      </c>
      <c r="J343" s="36">
        <v>36</v>
      </c>
      <c r="K343" s="120">
        <v>28</v>
      </c>
      <c r="L343" s="30">
        <f t="shared" si="41"/>
        <v>1045500</v>
      </c>
      <c r="M343" s="30">
        <f t="shared" si="42"/>
        <v>29274000</v>
      </c>
      <c r="N343" s="121">
        <f>F343-(H343*8)</f>
        <v>20426515</v>
      </c>
      <c r="O343" s="34" t="s">
        <v>1220</v>
      </c>
      <c r="P343" s="34" t="s">
        <v>112</v>
      </c>
    </row>
    <row r="344" spans="1:16" s="44" customFormat="1">
      <c r="A344" s="36">
        <f t="shared" si="43"/>
        <v>340</v>
      </c>
      <c r="B344" s="39" t="s">
        <v>1221</v>
      </c>
      <c r="C344" s="40" t="s">
        <v>1222</v>
      </c>
      <c r="D344" s="41" t="s">
        <v>1223</v>
      </c>
      <c r="E344" s="45">
        <v>42978</v>
      </c>
      <c r="F344" s="42">
        <f>21660000+541500+7798500</f>
        <v>30000000</v>
      </c>
      <c r="G344" s="46">
        <f t="shared" si="40"/>
        <v>42984000</v>
      </c>
      <c r="H344" s="132">
        <f>1194000-I344</f>
        <v>834000</v>
      </c>
      <c r="I344" s="119">
        <f>F344*1.2%</f>
        <v>360000</v>
      </c>
      <c r="J344" s="36">
        <v>36</v>
      </c>
      <c r="K344" s="120">
        <v>30</v>
      </c>
      <c r="L344" s="30">
        <f t="shared" si="41"/>
        <v>1194000</v>
      </c>
      <c r="M344" s="30">
        <f t="shared" si="42"/>
        <v>35820000</v>
      </c>
      <c r="N344" s="121">
        <f>F344-(H344*6)</f>
        <v>24996000</v>
      </c>
      <c r="O344" s="34" t="s">
        <v>37</v>
      </c>
      <c r="P344" s="34" t="s">
        <v>112</v>
      </c>
    </row>
    <row r="345" spans="1:16" s="44" customFormat="1">
      <c r="A345" s="36">
        <f t="shared" si="43"/>
        <v>341</v>
      </c>
      <c r="B345" s="42" t="s">
        <v>1224</v>
      </c>
      <c r="C345" s="124" t="s">
        <v>1225</v>
      </c>
      <c r="D345" s="124" t="s">
        <v>1226</v>
      </c>
      <c r="E345" s="45">
        <v>42702</v>
      </c>
      <c r="F345" s="125">
        <f>30000000</f>
        <v>30000000</v>
      </c>
      <c r="G345" s="46">
        <f t="shared" si="40"/>
        <v>42984000</v>
      </c>
      <c r="H345" s="42">
        <v>834000</v>
      </c>
      <c r="I345" s="42">
        <f t="shared" ref="I345:I377" si="45">+F345*1.2%</f>
        <v>360000</v>
      </c>
      <c r="J345" s="126" t="s">
        <v>99</v>
      </c>
      <c r="K345" s="120">
        <v>21</v>
      </c>
      <c r="L345" s="30">
        <f t="shared" si="41"/>
        <v>1194000</v>
      </c>
      <c r="M345" s="42">
        <f t="shared" si="42"/>
        <v>25074000</v>
      </c>
      <c r="N345" s="121">
        <f>F345-(H345*15)</f>
        <v>17490000</v>
      </c>
      <c r="O345" s="127" t="s">
        <v>330</v>
      </c>
      <c r="P345" s="127" t="s">
        <v>183</v>
      </c>
    </row>
    <row r="346" spans="1:16" s="44" customFormat="1">
      <c r="A346" s="36">
        <f t="shared" si="43"/>
        <v>342</v>
      </c>
      <c r="B346" s="42" t="s">
        <v>1227</v>
      </c>
      <c r="C346" s="124" t="s">
        <v>1228</v>
      </c>
      <c r="D346" s="124"/>
      <c r="E346" s="45">
        <v>42355</v>
      </c>
      <c r="F346" s="125">
        <f>30000000</f>
        <v>30000000</v>
      </c>
      <c r="G346" s="129">
        <f t="shared" si="40"/>
        <v>42966000</v>
      </c>
      <c r="H346" s="42">
        <v>833500</v>
      </c>
      <c r="I346" s="125">
        <f t="shared" si="45"/>
        <v>360000</v>
      </c>
      <c r="J346" s="126" t="s">
        <v>99</v>
      </c>
      <c r="K346" s="120">
        <v>10</v>
      </c>
      <c r="L346" s="42">
        <f t="shared" si="41"/>
        <v>1193500</v>
      </c>
      <c r="M346" s="42">
        <f t="shared" si="42"/>
        <v>11935000</v>
      </c>
      <c r="N346" s="136">
        <f>F346-(H346*26)</f>
        <v>8329000</v>
      </c>
      <c r="O346" s="127" t="s">
        <v>118</v>
      </c>
      <c r="P346" s="127" t="s">
        <v>86</v>
      </c>
    </row>
    <row r="347" spans="1:16" s="44" customFormat="1">
      <c r="A347" s="36">
        <f t="shared" si="43"/>
        <v>343</v>
      </c>
      <c r="B347" s="39" t="s">
        <v>1229</v>
      </c>
      <c r="C347" s="40" t="s">
        <v>1230</v>
      </c>
      <c r="D347" s="41" t="s">
        <v>1231</v>
      </c>
      <c r="E347" s="45">
        <v>43063</v>
      </c>
      <c r="F347" s="42">
        <f>25000000</f>
        <v>25000000</v>
      </c>
      <c r="G347" s="46">
        <f t="shared" si="40"/>
        <v>32208000</v>
      </c>
      <c r="H347" s="119">
        <v>1042000</v>
      </c>
      <c r="I347" s="119">
        <f t="shared" si="45"/>
        <v>300000</v>
      </c>
      <c r="J347" s="36">
        <v>24</v>
      </c>
      <c r="K347" s="120">
        <v>21</v>
      </c>
      <c r="L347" s="30">
        <f t="shared" si="41"/>
        <v>1342000</v>
      </c>
      <c r="M347" s="30">
        <f t="shared" si="42"/>
        <v>28182000</v>
      </c>
      <c r="N347" s="33">
        <f>F347-(H347*3)</f>
        <v>21874000</v>
      </c>
      <c r="O347" s="34" t="s">
        <v>1232</v>
      </c>
      <c r="P347" s="34" t="s">
        <v>86</v>
      </c>
    </row>
    <row r="348" spans="1:16" s="44" customFormat="1">
      <c r="A348" s="36">
        <f t="shared" si="43"/>
        <v>344</v>
      </c>
      <c r="B348" s="42" t="s">
        <v>1233</v>
      </c>
      <c r="C348" s="124" t="s">
        <v>1234</v>
      </c>
      <c r="D348" s="124"/>
      <c r="E348" s="128">
        <v>42551</v>
      </c>
      <c r="F348" s="125">
        <f>30000000</f>
        <v>30000000</v>
      </c>
      <c r="G348" s="122">
        <f t="shared" si="40"/>
        <v>42984000</v>
      </c>
      <c r="H348" s="132">
        <v>834000</v>
      </c>
      <c r="I348" s="46">
        <f t="shared" si="45"/>
        <v>360000</v>
      </c>
      <c r="J348" s="126" t="s">
        <v>99</v>
      </c>
      <c r="K348" s="120">
        <v>16</v>
      </c>
      <c r="L348" s="138">
        <f t="shared" si="41"/>
        <v>1194000</v>
      </c>
      <c r="M348" s="42">
        <f t="shared" si="42"/>
        <v>19104000</v>
      </c>
      <c r="N348" s="134">
        <f>F348-(H348*20)</f>
        <v>13320000</v>
      </c>
      <c r="O348" s="127" t="s">
        <v>199</v>
      </c>
      <c r="P348" s="127" t="s">
        <v>428</v>
      </c>
    </row>
    <row r="349" spans="1:16" s="44" customFormat="1">
      <c r="A349" s="36">
        <f t="shared" si="43"/>
        <v>345</v>
      </c>
      <c r="B349" s="42" t="s">
        <v>1235</v>
      </c>
      <c r="C349" s="124" t="s">
        <v>1236</v>
      </c>
      <c r="D349" s="124"/>
      <c r="E349" s="128">
        <v>42607</v>
      </c>
      <c r="F349" s="125">
        <f>7500060+187502+22312438</f>
        <v>30000000</v>
      </c>
      <c r="G349" s="122">
        <f t="shared" si="40"/>
        <v>42984000</v>
      </c>
      <c r="H349" s="125">
        <f>1194000-I349</f>
        <v>834000</v>
      </c>
      <c r="I349" s="125">
        <f t="shared" si="45"/>
        <v>360000</v>
      </c>
      <c r="J349" s="36">
        <v>36</v>
      </c>
      <c r="K349" s="120">
        <v>18</v>
      </c>
      <c r="L349" s="138">
        <f t="shared" si="41"/>
        <v>1194000</v>
      </c>
      <c r="M349" s="42">
        <f t="shared" si="42"/>
        <v>21492000</v>
      </c>
      <c r="N349" s="136">
        <f>F349-(H349*18)</f>
        <v>14988000</v>
      </c>
      <c r="O349" s="127" t="s">
        <v>518</v>
      </c>
      <c r="P349" s="141" t="s">
        <v>101</v>
      </c>
    </row>
    <row r="350" spans="1:16" s="44" customFormat="1">
      <c r="A350" s="36">
        <f t="shared" si="43"/>
        <v>346</v>
      </c>
      <c r="B350" s="39" t="s">
        <v>1237</v>
      </c>
      <c r="C350" s="40" t="s">
        <v>1238</v>
      </c>
      <c r="D350" s="28" t="s">
        <v>1239</v>
      </c>
      <c r="E350" s="45">
        <v>43066</v>
      </c>
      <c r="F350" s="132">
        <f>30000000</f>
        <v>30000000</v>
      </c>
      <c r="G350" s="46">
        <f t="shared" si="40"/>
        <v>38640000</v>
      </c>
      <c r="H350" s="119">
        <f>+F350/J350</f>
        <v>1250000</v>
      </c>
      <c r="I350" s="119">
        <f t="shared" si="45"/>
        <v>360000</v>
      </c>
      <c r="J350" s="36">
        <v>24</v>
      </c>
      <c r="K350" s="120">
        <v>21</v>
      </c>
      <c r="L350" s="30">
        <f t="shared" si="41"/>
        <v>1610000</v>
      </c>
      <c r="M350" s="30">
        <f t="shared" si="42"/>
        <v>33810000</v>
      </c>
      <c r="N350" s="46">
        <f>+H350*K350</f>
        <v>26250000</v>
      </c>
      <c r="O350" s="34" t="s">
        <v>1240</v>
      </c>
      <c r="P350" s="34" t="s">
        <v>86</v>
      </c>
    </row>
    <row r="351" spans="1:16" s="44" customFormat="1">
      <c r="A351" s="36">
        <f t="shared" si="43"/>
        <v>347</v>
      </c>
      <c r="B351" s="39" t="s">
        <v>1241</v>
      </c>
      <c r="C351" s="40" t="s">
        <v>1242</v>
      </c>
      <c r="D351" s="41" t="s">
        <v>1243</v>
      </c>
      <c r="E351" s="45">
        <v>42774</v>
      </c>
      <c r="F351" s="132">
        <f>104168+29895832</f>
        <v>30000000</v>
      </c>
      <c r="G351" s="46">
        <f t="shared" si="40"/>
        <v>42984000</v>
      </c>
      <c r="H351" s="42">
        <f>1194000-I351</f>
        <v>834000</v>
      </c>
      <c r="I351" s="42">
        <f t="shared" si="45"/>
        <v>360000</v>
      </c>
      <c r="J351" s="36">
        <v>36</v>
      </c>
      <c r="K351" s="120">
        <v>23</v>
      </c>
      <c r="L351" s="30">
        <f t="shared" si="41"/>
        <v>1194000</v>
      </c>
      <c r="M351" s="30">
        <f t="shared" si="42"/>
        <v>27462000</v>
      </c>
      <c r="N351" s="121">
        <f>F351-(H351*13)</f>
        <v>19158000</v>
      </c>
      <c r="O351" s="34" t="s">
        <v>1127</v>
      </c>
      <c r="P351" s="34" t="s">
        <v>86</v>
      </c>
    </row>
    <row r="352" spans="1:16" s="44" customFormat="1">
      <c r="A352" s="36">
        <f t="shared" si="43"/>
        <v>348</v>
      </c>
      <c r="B352" s="42" t="s">
        <v>1244</v>
      </c>
      <c r="C352" s="124" t="s">
        <v>1245</v>
      </c>
      <c r="D352" s="124"/>
      <c r="E352" s="128">
        <v>42251</v>
      </c>
      <c r="F352" s="125">
        <f>30000000</f>
        <v>30000000</v>
      </c>
      <c r="G352" s="129">
        <f t="shared" si="40"/>
        <v>42966000</v>
      </c>
      <c r="H352" s="42">
        <v>833500</v>
      </c>
      <c r="I352" s="125">
        <f t="shared" si="45"/>
        <v>360000</v>
      </c>
      <c r="J352" s="126" t="s">
        <v>99</v>
      </c>
      <c r="K352" s="120">
        <v>6</v>
      </c>
      <c r="L352" s="125">
        <f t="shared" si="41"/>
        <v>1193500</v>
      </c>
      <c r="M352" s="125">
        <f t="shared" si="42"/>
        <v>7161000</v>
      </c>
      <c r="N352" s="134">
        <f>F352-(H352*30)</f>
        <v>4995000</v>
      </c>
      <c r="O352" s="127" t="s">
        <v>1246</v>
      </c>
      <c r="P352" s="127" t="s">
        <v>428</v>
      </c>
    </row>
    <row r="353" spans="1:16" s="44" customFormat="1">
      <c r="A353" s="36">
        <f t="shared" si="43"/>
        <v>349</v>
      </c>
      <c r="B353" s="42" t="s">
        <v>1247</v>
      </c>
      <c r="C353" s="124" t="s">
        <v>1248</v>
      </c>
      <c r="D353" s="124"/>
      <c r="E353" s="45">
        <v>42333</v>
      </c>
      <c r="F353" s="162">
        <f>20000000</f>
        <v>20000000</v>
      </c>
      <c r="G353" s="129">
        <f t="shared" si="40"/>
        <v>28641600</v>
      </c>
      <c r="H353" s="42">
        <v>555600</v>
      </c>
      <c r="I353" s="125">
        <f t="shared" si="45"/>
        <v>240000</v>
      </c>
      <c r="J353" s="126" t="s">
        <v>99</v>
      </c>
      <c r="K353" s="120">
        <v>9</v>
      </c>
      <c r="L353" s="42">
        <f t="shared" si="41"/>
        <v>795600</v>
      </c>
      <c r="M353" s="42">
        <f t="shared" si="42"/>
        <v>7160400</v>
      </c>
      <c r="N353" s="136">
        <f>F353-(H353*27)</f>
        <v>4998800</v>
      </c>
      <c r="O353" s="127" t="s">
        <v>1249</v>
      </c>
      <c r="P353" s="127" t="s">
        <v>428</v>
      </c>
    </row>
    <row r="354" spans="1:16" s="44" customFormat="1">
      <c r="A354" s="36">
        <f t="shared" si="43"/>
        <v>350</v>
      </c>
      <c r="B354" s="39" t="s">
        <v>1250</v>
      </c>
      <c r="C354" s="40" t="s">
        <v>1251</v>
      </c>
      <c r="D354" s="41" t="s">
        <v>1252</v>
      </c>
      <c r="E354" s="28">
        <v>43096</v>
      </c>
      <c r="F354" s="42">
        <f>5000000</f>
        <v>5000000</v>
      </c>
      <c r="G354" s="46">
        <f t="shared" si="40"/>
        <v>5724000</v>
      </c>
      <c r="H354" s="119">
        <f>477000-I354</f>
        <v>417000</v>
      </c>
      <c r="I354" s="119">
        <f t="shared" si="45"/>
        <v>60000</v>
      </c>
      <c r="J354" s="36">
        <v>12</v>
      </c>
      <c r="K354" s="120">
        <v>10</v>
      </c>
      <c r="L354" s="30">
        <f t="shared" si="41"/>
        <v>477000</v>
      </c>
      <c r="M354" s="30">
        <f t="shared" si="42"/>
        <v>4770000</v>
      </c>
      <c r="N354" s="33">
        <f>F354-(H354*2)</f>
        <v>4166000</v>
      </c>
      <c r="O354" s="34" t="s">
        <v>1253</v>
      </c>
      <c r="P354" s="47" t="s">
        <v>86</v>
      </c>
    </row>
    <row r="355" spans="1:16" s="44" customFormat="1">
      <c r="A355" s="36">
        <f t="shared" si="43"/>
        <v>351</v>
      </c>
      <c r="B355" s="39" t="s">
        <v>1254</v>
      </c>
      <c r="C355" s="40" t="s">
        <v>1255</v>
      </c>
      <c r="D355" s="41" t="s">
        <v>1256</v>
      </c>
      <c r="E355" s="45">
        <v>42961</v>
      </c>
      <c r="F355" s="42">
        <f>30000000</f>
        <v>30000000</v>
      </c>
      <c r="G355" s="46">
        <f t="shared" si="40"/>
        <v>43002000</v>
      </c>
      <c r="H355" s="132">
        <f>1194500-I355</f>
        <v>834500</v>
      </c>
      <c r="I355" s="42">
        <f t="shared" si="45"/>
        <v>360000</v>
      </c>
      <c r="J355" s="36">
        <v>36</v>
      </c>
      <c r="K355" s="120">
        <v>29</v>
      </c>
      <c r="L355" s="30">
        <f t="shared" si="41"/>
        <v>1194500</v>
      </c>
      <c r="M355" s="30">
        <f t="shared" si="42"/>
        <v>34640500</v>
      </c>
      <c r="N355" s="121">
        <f>F355-(H355*7)</f>
        <v>24158500</v>
      </c>
      <c r="O355" s="34" t="s">
        <v>45</v>
      </c>
      <c r="P355" s="34" t="s">
        <v>86</v>
      </c>
    </row>
    <row r="356" spans="1:16" s="44" customFormat="1">
      <c r="A356" s="36">
        <f t="shared" si="43"/>
        <v>352</v>
      </c>
      <c r="B356" s="42" t="s">
        <v>1257</v>
      </c>
      <c r="C356" s="124" t="s">
        <v>1258</v>
      </c>
      <c r="D356" s="124"/>
      <c r="E356" s="128">
        <v>42587</v>
      </c>
      <c r="F356" s="125">
        <f>13757500+343938+292683+15605879</f>
        <v>30000000</v>
      </c>
      <c r="G356" s="122">
        <f t="shared" si="40"/>
        <v>42984000</v>
      </c>
      <c r="H356" s="42">
        <f>1194000-I356</f>
        <v>834000</v>
      </c>
      <c r="I356" s="125">
        <f t="shared" si="45"/>
        <v>360000</v>
      </c>
      <c r="J356" s="126" t="s">
        <v>99</v>
      </c>
      <c r="K356" s="120">
        <v>17</v>
      </c>
      <c r="L356" s="138">
        <f t="shared" si="41"/>
        <v>1194000</v>
      </c>
      <c r="M356" s="42">
        <f t="shared" si="42"/>
        <v>20298000</v>
      </c>
      <c r="N356" s="136">
        <f>F356-(H356*19)</f>
        <v>14154000</v>
      </c>
      <c r="O356" s="127" t="s">
        <v>45</v>
      </c>
      <c r="P356" s="127" t="s">
        <v>101</v>
      </c>
    </row>
    <row r="357" spans="1:16" s="44" customFormat="1">
      <c r="A357" s="36">
        <f t="shared" si="43"/>
        <v>353</v>
      </c>
      <c r="B357" s="39" t="s">
        <v>1259</v>
      </c>
      <c r="C357" s="40" t="s">
        <v>1260</v>
      </c>
      <c r="D357" s="41" t="s">
        <v>1261</v>
      </c>
      <c r="E357" s="45">
        <v>42950</v>
      </c>
      <c r="F357" s="42">
        <f>1040900+26023+174194+28758883</f>
        <v>30000000</v>
      </c>
      <c r="G357" s="46">
        <f t="shared" si="40"/>
        <v>43002000</v>
      </c>
      <c r="H357" s="132">
        <v>834500</v>
      </c>
      <c r="I357" s="42">
        <f t="shared" si="45"/>
        <v>360000</v>
      </c>
      <c r="J357" s="36">
        <v>36</v>
      </c>
      <c r="K357" s="120">
        <v>29</v>
      </c>
      <c r="L357" s="30">
        <f t="shared" si="41"/>
        <v>1194500</v>
      </c>
      <c r="M357" s="30">
        <f t="shared" si="42"/>
        <v>34640500</v>
      </c>
      <c r="N357" s="121">
        <f>F357-(H357*7)</f>
        <v>24158500</v>
      </c>
      <c r="O357" s="34" t="s">
        <v>400</v>
      </c>
      <c r="P357" s="34" t="s">
        <v>112</v>
      </c>
    </row>
    <row r="358" spans="1:16" s="44" customFormat="1">
      <c r="A358" s="36">
        <f t="shared" si="43"/>
        <v>354</v>
      </c>
      <c r="B358" s="39" t="s">
        <v>1262</v>
      </c>
      <c r="C358" s="40" t="s">
        <v>1263</v>
      </c>
      <c r="D358" s="28" t="s">
        <v>1264</v>
      </c>
      <c r="E358" s="45">
        <v>43033</v>
      </c>
      <c r="F358" s="42">
        <f>18324000+458100+11217900</f>
        <v>30000000</v>
      </c>
      <c r="G358" s="46">
        <f t="shared" si="40"/>
        <v>42984000</v>
      </c>
      <c r="H358" s="119">
        <v>834000</v>
      </c>
      <c r="I358" s="119">
        <f t="shared" si="45"/>
        <v>360000</v>
      </c>
      <c r="J358" s="36">
        <v>36</v>
      </c>
      <c r="K358" s="120">
        <v>32</v>
      </c>
      <c r="L358" s="30">
        <f t="shared" si="41"/>
        <v>1194000</v>
      </c>
      <c r="M358" s="30">
        <f t="shared" si="42"/>
        <v>38208000</v>
      </c>
      <c r="N358" s="33">
        <f>F358-(H358*4)</f>
        <v>26664000</v>
      </c>
      <c r="O358" s="34" t="s">
        <v>67</v>
      </c>
      <c r="P358" s="34" t="s">
        <v>112</v>
      </c>
    </row>
    <row r="359" spans="1:16" s="44" customFormat="1">
      <c r="A359" s="36">
        <f t="shared" si="43"/>
        <v>355</v>
      </c>
      <c r="B359" s="154" t="s">
        <v>1265</v>
      </c>
      <c r="C359" s="155" t="s">
        <v>1266</v>
      </c>
      <c r="D359" s="155"/>
      <c r="E359" s="128">
        <v>42552</v>
      </c>
      <c r="F359" s="122">
        <f>9500000</f>
        <v>9500000</v>
      </c>
      <c r="G359" s="122">
        <f t="shared" si="40"/>
        <v>12240000</v>
      </c>
      <c r="H359" s="125">
        <v>396000</v>
      </c>
      <c r="I359" s="125">
        <f t="shared" si="45"/>
        <v>114000</v>
      </c>
      <c r="J359" s="36">
        <v>24</v>
      </c>
      <c r="K359" s="120">
        <v>4</v>
      </c>
      <c r="L359" s="138">
        <f t="shared" si="41"/>
        <v>510000</v>
      </c>
      <c r="M359" s="42">
        <f t="shared" si="42"/>
        <v>2040000</v>
      </c>
      <c r="N359" s="134">
        <f>F359-(H359*20)</f>
        <v>1580000</v>
      </c>
      <c r="O359" s="140" t="s">
        <v>369</v>
      </c>
      <c r="P359" s="141" t="s">
        <v>86</v>
      </c>
    </row>
    <row r="360" spans="1:16" s="44" customFormat="1">
      <c r="A360" s="36">
        <f t="shared" si="43"/>
        <v>356</v>
      </c>
      <c r="B360" s="42" t="s">
        <v>1267</v>
      </c>
      <c r="C360" s="124" t="s">
        <v>1268</v>
      </c>
      <c r="D360" s="124"/>
      <c r="E360" s="45">
        <v>42300</v>
      </c>
      <c r="F360" s="125">
        <f>7500060+187502+22312438</f>
        <v>30000000</v>
      </c>
      <c r="G360" s="129">
        <f t="shared" si="40"/>
        <v>42966000</v>
      </c>
      <c r="H360" s="42">
        <v>833500</v>
      </c>
      <c r="I360" s="125">
        <f t="shared" si="45"/>
        <v>360000</v>
      </c>
      <c r="J360" s="126" t="s">
        <v>99</v>
      </c>
      <c r="K360" s="120">
        <v>8</v>
      </c>
      <c r="L360" s="42">
        <f t="shared" si="41"/>
        <v>1193500</v>
      </c>
      <c r="M360" s="42">
        <f t="shared" si="42"/>
        <v>9548000</v>
      </c>
      <c r="N360" s="136">
        <f>F360-(H360*28)</f>
        <v>6662000</v>
      </c>
      <c r="O360" s="127" t="s">
        <v>508</v>
      </c>
      <c r="P360" s="127" t="s">
        <v>112</v>
      </c>
    </row>
    <row r="361" spans="1:16" s="44" customFormat="1">
      <c r="A361" s="36">
        <f t="shared" si="43"/>
        <v>357</v>
      </c>
      <c r="B361" s="39" t="s">
        <v>1269</v>
      </c>
      <c r="C361" s="40" t="s">
        <v>1270</v>
      </c>
      <c r="D361" s="28" t="s">
        <v>1271</v>
      </c>
      <c r="E361" s="45">
        <v>42879</v>
      </c>
      <c r="F361" s="42">
        <f>19992000+499800+9508200</f>
        <v>30000000</v>
      </c>
      <c r="G361" s="46">
        <f t="shared" si="40"/>
        <v>43002000</v>
      </c>
      <c r="H361" s="42">
        <v>834500</v>
      </c>
      <c r="I361" s="42">
        <f t="shared" si="45"/>
        <v>360000</v>
      </c>
      <c r="J361" s="36">
        <v>36</v>
      </c>
      <c r="K361" s="120">
        <v>27</v>
      </c>
      <c r="L361" s="30">
        <f t="shared" si="41"/>
        <v>1194500</v>
      </c>
      <c r="M361" s="30">
        <f t="shared" si="42"/>
        <v>32251500</v>
      </c>
      <c r="N361" s="121">
        <f>F361-(H361*9)</f>
        <v>22489500</v>
      </c>
      <c r="O361" s="34" t="s">
        <v>1272</v>
      </c>
      <c r="P361" s="34" t="s">
        <v>112</v>
      </c>
    </row>
    <row r="362" spans="1:16" s="44" customFormat="1">
      <c r="A362" s="36">
        <f t="shared" si="43"/>
        <v>358</v>
      </c>
      <c r="B362" s="39" t="s">
        <v>1273</v>
      </c>
      <c r="C362" s="40" t="s">
        <v>1274</v>
      </c>
      <c r="D362" s="41" t="s">
        <v>1275</v>
      </c>
      <c r="E362" s="45">
        <v>42950</v>
      </c>
      <c r="F362" s="42">
        <f>18324000+650000+474350+236206+10315444</f>
        <v>30000000</v>
      </c>
      <c r="G362" s="46">
        <f t="shared" si="40"/>
        <v>43002000</v>
      </c>
      <c r="H362" s="132">
        <v>834500</v>
      </c>
      <c r="I362" s="42">
        <f t="shared" si="45"/>
        <v>360000</v>
      </c>
      <c r="J362" s="36">
        <v>36</v>
      </c>
      <c r="K362" s="120">
        <v>29</v>
      </c>
      <c r="L362" s="30">
        <f t="shared" si="41"/>
        <v>1194500</v>
      </c>
      <c r="M362" s="30">
        <f t="shared" si="42"/>
        <v>34640500</v>
      </c>
      <c r="N362" s="121">
        <f>F362-(H362*7)</f>
        <v>24158500</v>
      </c>
      <c r="O362" s="34" t="s">
        <v>679</v>
      </c>
      <c r="P362" s="34" t="s">
        <v>112</v>
      </c>
    </row>
    <row r="363" spans="1:16" s="44" customFormat="1">
      <c r="A363" s="36">
        <f t="shared" si="43"/>
        <v>359</v>
      </c>
      <c r="B363" s="39" t="s">
        <v>1276</v>
      </c>
      <c r="C363" s="40" t="s">
        <v>1277</v>
      </c>
      <c r="D363" s="28" t="s">
        <v>1278</v>
      </c>
      <c r="E363" s="45">
        <v>43045</v>
      </c>
      <c r="F363" s="42">
        <f>27215755+680394+186202+1917649</f>
        <v>30000000</v>
      </c>
      <c r="G363" s="46">
        <f t="shared" si="40"/>
        <v>42984000</v>
      </c>
      <c r="H363" s="119">
        <f>1194000-I363</f>
        <v>834000</v>
      </c>
      <c r="I363" s="119">
        <f t="shared" si="45"/>
        <v>360000</v>
      </c>
      <c r="J363" s="36">
        <v>36</v>
      </c>
      <c r="K363" s="120">
        <v>32</v>
      </c>
      <c r="L363" s="30">
        <f t="shared" si="41"/>
        <v>1194000</v>
      </c>
      <c r="M363" s="30">
        <f t="shared" si="42"/>
        <v>38208000</v>
      </c>
      <c r="N363" s="33">
        <f>F363-(H363*4)</f>
        <v>26664000</v>
      </c>
      <c r="O363" s="34" t="s">
        <v>59</v>
      </c>
      <c r="P363" s="34" t="s">
        <v>94</v>
      </c>
    </row>
    <row r="364" spans="1:16" s="44" customFormat="1">
      <c r="A364" s="36">
        <f t="shared" si="43"/>
        <v>360</v>
      </c>
      <c r="B364" s="39" t="s">
        <v>1279</v>
      </c>
      <c r="C364" s="40" t="s">
        <v>1280</v>
      </c>
      <c r="D364" s="28" t="s">
        <v>1281</v>
      </c>
      <c r="E364" s="45">
        <v>42790</v>
      </c>
      <c r="F364" s="42">
        <f>17497500+437438+12065062</f>
        <v>30000000</v>
      </c>
      <c r="G364" s="46">
        <f t="shared" si="40"/>
        <v>42984000</v>
      </c>
      <c r="H364" s="42">
        <f>1194000-I364</f>
        <v>834000</v>
      </c>
      <c r="I364" s="42">
        <f t="shared" si="45"/>
        <v>360000</v>
      </c>
      <c r="J364" s="36">
        <v>36</v>
      </c>
      <c r="K364" s="120">
        <v>24</v>
      </c>
      <c r="L364" s="30">
        <f t="shared" si="41"/>
        <v>1194000</v>
      </c>
      <c r="M364" s="30">
        <f t="shared" si="42"/>
        <v>28656000</v>
      </c>
      <c r="N364" s="121">
        <f>F364-(H364*12)</f>
        <v>19992000</v>
      </c>
      <c r="O364" s="34" t="s">
        <v>59</v>
      </c>
      <c r="P364" s="34" t="s">
        <v>112</v>
      </c>
    </row>
    <row r="365" spans="1:16" s="44" customFormat="1">
      <c r="A365" s="36">
        <f t="shared" si="43"/>
        <v>361</v>
      </c>
      <c r="B365" s="39" t="s">
        <v>1282</v>
      </c>
      <c r="C365" s="40" t="s">
        <v>1283</v>
      </c>
      <c r="D365" s="41"/>
      <c r="E365" s="45">
        <v>42872</v>
      </c>
      <c r="F365" s="42">
        <f>15000000</f>
        <v>15000000</v>
      </c>
      <c r="G365" s="46">
        <f t="shared" si="40"/>
        <v>19320000</v>
      </c>
      <c r="H365" s="42">
        <f>+F365/J365</f>
        <v>625000</v>
      </c>
      <c r="I365" s="42">
        <f t="shared" si="45"/>
        <v>180000</v>
      </c>
      <c r="J365" s="36">
        <v>24</v>
      </c>
      <c r="K365" s="120">
        <v>14</v>
      </c>
      <c r="L365" s="30">
        <f t="shared" si="41"/>
        <v>805000</v>
      </c>
      <c r="M365" s="30">
        <f t="shared" si="42"/>
        <v>11270000</v>
      </c>
      <c r="N365" s="121">
        <f>F365-(H365*10)</f>
        <v>8750000</v>
      </c>
      <c r="O365" s="34" t="s">
        <v>59</v>
      </c>
      <c r="P365" s="34" t="s">
        <v>86</v>
      </c>
    </row>
    <row r="366" spans="1:16" s="44" customFormat="1">
      <c r="A366" s="36">
        <f t="shared" si="43"/>
        <v>362</v>
      </c>
      <c r="B366" s="39" t="s">
        <v>1284</v>
      </c>
      <c r="C366" s="41" t="s">
        <v>1285</v>
      </c>
      <c r="D366" s="41"/>
      <c r="E366" s="161">
        <v>42459</v>
      </c>
      <c r="F366" s="125">
        <f>6000000</f>
        <v>6000000</v>
      </c>
      <c r="G366" s="125">
        <f t="shared" si="40"/>
        <v>7728000</v>
      </c>
      <c r="H366" s="132">
        <f>+F366/J366</f>
        <v>250000</v>
      </c>
      <c r="I366" s="125">
        <f t="shared" si="45"/>
        <v>72000</v>
      </c>
      <c r="J366" s="126" t="s">
        <v>89</v>
      </c>
      <c r="K366" s="120">
        <v>1</v>
      </c>
      <c r="L366" s="42">
        <f t="shared" si="41"/>
        <v>322000</v>
      </c>
      <c r="M366" s="42">
        <f t="shared" si="42"/>
        <v>322000</v>
      </c>
      <c r="N366" s="125">
        <f>+H366*K366</f>
        <v>250000</v>
      </c>
      <c r="O366" s="127" t="s">
        <v>228</v>
      </c>
      <c r="P366" s="127" t="s">
        <v>997</v>
      </c>
    </row>
    <row r="367" spans="1:16" s="44" customFormat="1">
      <c r="A367" s="36">
        <f t="shared" si="43"/>
        <v>363</v>
      </c>
      <c r="B367" s="39" t="s">
        <v>1286</v>
      </c>
      <c r="C367" s="40" t="s">
        <v>1287</v>
      </c>
      <c r="D367" s="28" t="s">
        <v>1288</v>
      </c>
      <c r="E367" s="45">
        <v>42906</v>
      </c>
      <c r="F367" s="42">
        <f>4998000+124950+24877050</f>
        <v>30000000</v>
      </c>
      <c r="G367" s="46">
        <f t="shared" si="40"/>
        <v>38640000</v>
      </c>
      <c r="H367" s="132">
        <f>F367/J367</f>
        <v>1250000</v>
      </c>
      <c r="I367" s="42">
        <f t="shared" si="45"/>
        <v>360000</v>
      </c>
      <c r="J367" s="36">
        <v>24</v>
      </c>
      <c r="K367" s="120">
        <v>16</v>
      </c>
      <c r="L367" s="30">
        <f t="shared" si="41"/>
        <v>1610000</v>
      </c>
      <c r="M367" s="30">
        <f t="shared" si="42"/>
        <v>25760000</v>
      </c>
      <c r="N367" s="121">
        <f>F367-(H367*8)</f>
        <v>20000000</v>
      </c>
      <c r="O367" s="34" t="s">
        <v>59</v>
      </c>
      <c r="P367" s="34" t="s">
        <v>112</v>
      </c>
    </row>
    <row r="368" spans="1:16" s="44" customFormat="1">
      <c r="A368" s="36">
        <f t="shared" si="43"/>
        <v>364</v>
      </c>
      <c r="B368" s="39" t="s">
        <v>1289</v>
      </c>
      <c r="C368" s="40" t="s">
        <v>1290</v>
      </c>
      <c r="D368" s="41" t="s">
        <v>1291</v>
      </c>
      <c r="E368" s="45">
        <v>42907</v>
      </c>
      <c r="F368" s="42">
        <f>25830000+645750+3524250</f>
        <v>30000000</v>
      </c>
      <c r="G368" s="46">
        <f t="shared" si="40"/>
        <v>43002000</v>
      </c>
      <c r="H368" s="132">
        <f>1194500-I368</f>
        <v>834500</v>
      </c>
      <c r="I368" s="42">
        <f t="shared" si="45"/>
        <v>360000</v>
      </c>
      <c r="J368" s="36">
        <v>36</v>
      </c>
      <c r="K368" s="120">
        <v>28</v>
      </c>
      <c r="L368" s="30">
        <f t="shared" si="41"/>
        <v>1194500</v>
      </c>
      <c r="M368" s="30">
        <f t="shared" si="42"/>
        <v>33446000</v>
      </c>
      <c r="N368" s="121">
        <f>F368-(H368*8)</f>
        <v>23324000</v>
      </c>
      <c r="O368" s="34" t="s">
        <v>1292</v>
      </c>
      <c r="P368" s="34" t="s">
        <v>112</v>
      </c>
    </row>
    <row r="369" spans="1:16" s="44" customFormat="1">
      <c r="A369" s="36">
        <f t="shared" si="43"/>
        <v>365</v>
      </c>
      <c r="B369" s="39" t="s">
        <v>1293</v>
      </c>
      <c r="C369" s="40" t="s">
        <v>1294</v>
      </c>
      <c r="D369" s="41" t="s">
        <v>1295</v>
      </c>
      <c r="E369" s="45">
        <v>42790</v>
      </c>
      <c r="F369" s="42">
        <f>17497500+437438+12065062</f>
        <v>30000000</v>
      </c>
      <c r="G369" s="46">
        <f t="shared" si="40"/>
        <v>42984000</v>
      </c>
      <c r="H369" s="42">
        <f>1194000-I369</f>
        <v>834000</v>
      </c>
      <c r="I369" s="42">
        <f t="shared" si="45"/>
        <v>360000</v>
      </c>
      <c r="J369" s="36">
        <v>36</v>
      </c>
      <c r="K369" s="120">
        <v>24</v>
      </c>
      <c r="L369" s="30">
        <f t="shared" si="41"/>
        <v>1194000</v>
      </c>
      <c r="M369" s="30">
        <f t="shared" si="42"/>
        <v>28656000</v>
      </c>
      <c r="N369" s="121">
        <f>F369-(H369*12)</f>
        <v>19992000</v>
      </c>
      <c r="O369" s="34" t="s">
        <v>59</v>
      </c>
      <c r="P369" s="34" t="s">
        <v>112</v>
      </c>
    </row>
    <row r="370" spans="1:16" s="44" customFormat="1">
      <c r="A370" s="36">
        <f t="shared" si="43"/>
        <v>366</v>
      </c>
      <c r="B370" s="39" t="s">
        <v>1296</v>
      </c>
      <c r="C370" s="40" t="s">
        <v>1297</v>
      </c>
      <c r="D370" s="41" t="s">
        <v>1298</v>
      </c>
      <c r="E370" s="45">
        <v>43034</v>
      </c>
      <c r="F370" s="42">
        <f>12496500+312413+17191087</f>
        <v>30000000</v>
      </c>
      <c r="G370" s="46">
        <f t="shared" si="40"/>
        <v>42984000</v>
      </c>
      <c r="H370" s="119">
        <v>834000</v>
      </c>
      <c r="I370" s="119">
        <f t="shared" si="45"/>
        <v>360000</v>
      </c>
      <c r="J370" s="36">
        <v>36</v>
      </c>
      <c r="K370" s="120">
        <v>32</v>
      </c>
      <c r="L370" s="30">
        <f t="shared" si="41"/>
        <v>1194000</v>
      </c>
      <c r="M370" s="30">
        <f t="shared" si="42"/>
        <v>38208000</v>
      </c>
      <c r="N370" s="33">
        <f>F370-(H370*4)</f>
        <v>26664000</v>
      </c>
      <c r="O370" s="34" t="s">
        <v>24</v>
      </c>
      <c r="P370" s="34" t="s">
        <v>112</v>
      </c>
    </row>
    <row r="371" spans="1:16" s="44" customFormat="1">
      <c r="A371" s="36">
        <f t="shared" si="43"/>
        <v>367</v>
      </c>
      <c r="B371" s="42" t="s">
        <v>1299</v>
      </c>
      <c r="C371" s="124" t="s">
        <v>1300</v>
      </c>
      <c r="D371" s="124"/>
      <c r="E371" s="45">
        <v>42655</v>
      </c>
      <c r="F371" s="125">
        <f>30000000</f>
        <v>30000000</v>
      </c>
      <c r="G371" s="122">
        <f t="shared" si="40"/>
        <v>42984000</v>
      </c>
      <c r="H371" s="42">
        <v>834000</v>
      </c>
      <c r="I371" s="42">
        <f t="shared" si="45"/>
        <v>360000</v>
      </c>
      <c r="J371" s="126" t="s">
        <v>99</v>
      </c>
      <c r="K371" s="120">
        <v>19</v>
      </c>
      <c r="L371" s="30">
        <f t="shared" si="41"/>
        <v>1194000</v>
      </c>
      <c r="M371" s="42">
        <f t="shared" si="42"/>
        <v>22686000</v>
      </c>
      <c r="N371" s="121">
        <f>F371-(H371*17)</f>
        <v>15822000</v>
      </c>
      <c r="O371" s="127" t="s">
        <v>37</v>
      </c>
      <c r="P371" s="34" t="s">
        <v>86</v>
      </c>
    </row>
    <row r="372" spans="1:16" s="44" customFormat="1">
      <c r="A372" s="36">
        <f t="shared" si="43"/>
        <v>368</v>
      </c>
      <c r="B372" s="42" t="s">
        <v>1301</v>
      </c>
      <c r="C372" s="124" t="s">
        <v>1302</v>
      </c>
      <c r="D372" s="41" t="s">
        <v>1303</v>
      </c>
      <c r="E372" s="45">
        <v>42871</v>
      </c>
      <c r="F372" s="132">
        <f>30000000</f>
        <v>30000000</v>
      </c>
      <c r="G372" s="46">
        <f t="shared" si="40"/>
        <v>38640000</v>
      </c>
      <c r="H372" s="42">
        <f>+F372/J372</f>
        <v>1250000</v>
      </c>
      <c r="I372" s="42">
        <f t="shared" si="45"/>
        <v>360000</v>
      </c>
      <c r="J372" s="36">
        <v>24</v>
      </c>
      <c r="K372" s="120">
        <v>14</v>
      </c>
      <c r="L372" s="137">
        <f t="shared" si="41"/>
        <v>1610000</v>
      </c>
      <c r="M372" s="30">
        <f t="shared" si="42"/>
        <v>22540000</v>
      </c>
      <c r="N372" s="46">
        <f>+H372*K372</f>
        <v>17500000</v>
      </c>
      <c r="O372" s="34" t="s">
        <v>240</v>
      </c>
      <c r="P372" s="34" t="s">
        <v>86</v>
      </c>
    </row>
    <row r="373" spans="1:16" s="44" customFormat="1">
      <c r="A373" s="36">
        <f t="shared" si="43"/>
        <v>369</v>
      </c>
      <c r="B373" s="39" t="s">
        <v>1304</v>
      </c>
      <c r="C373" s="40" t="s">
        <v>1305</v>
      </c>
      <c r="D373" s="41" t="s">
        <v>1306</v>
      </c>
      <c r="E373" s="28">
        <v>43130</v>
      </c>
      <c r="F373" s="42">
        <f>17490000+437250+12072750</f>
        <v>30000000</v>
      </c>
      <c r="G373" s="46">
        <f t="shared" si="40"/>
        <v>42984000</v>
      </c>
      <c r="H373" s="119">
        <f>1194000-I373</f>
        <v>834000</v>
      </c>
      <c r="I373" s="119">
        <f t="shared" si="45"/>
        <v>360000</v>
      </c>
      <c r="J373" s="36">
        <v>36</v>
      </c>
      <c r="K373" s="120">
        <v>35</v>
      </c>
      <c r="L373" s="30">
        <f t="shared" si="41"/>
        <v>1194000</v>
      </c>
      <c r="M373" s="30">
        <f t="shared" si="42"/>
        <v>41790000</v>
      </c>
      <c r="N373" s="33">
        <f>F373-(H373*1)</f>
        <v>29166000</v>
      </c>
      <c r="O373" s="34" t="s">
        <v>444</v>
      </c>
      <c r="P373" s="34" t="s">
        <v>112</v>
      </c>
    </row>
    <row r="374" spans="1:16" s="44" customFormat="1">
      <c r="A374" s="36">
        <f t="shared" si="43"/>
        <v>370</v>
      </c>
      <c r="B374" s="42" t="s">
        <v>1307</v>
      </c>
      <c r="C374" s="124" t="s">
        <v>1308</v>
      </c>
      <c r="D374" s="124"/>
      <c r="E374" s="45">
        <v>42636</v>
      </c>
      <c r="F374" s="125">
        <f>17499000+437475+12063525</f>
        <v>30000000</v>
      </c>
      <c r="G374" s="122">
        <f t="shared" si="40"/>
        <v>42984000</v>
      </c>
      <c r="H374" s="42">
        <v>834000</v>
      </c>
      <c r="I374" s="125">
        <f t="shared" si="45"/>
        <v>360000</v>
      </c>
      <c r="J374" s="126" t="s">
        <v>99</v>
      </c>
      <c r="K374" s="120">
        <v>19</v>
      </c>
      <c r="L374" s="30">
        <f t="shared" si="41"/>
        <v>1194000</v>
      </c>
      <c r="M374" s="42">
        <f t="shared" si="42"/>
        <v>22686000</v>
      </c>
      <c r="N374" s="121">
        <f>F374-(H374*17)</f>
        <v>15822000</v>
      </c>
      <c r="O374" s="127" t="s">
        <v>1309</v>
      </c>
      <c r="P374" s="127" t="s">
        <v>112</v>
      </c>
    </row>
    <row r="375" spans="1:16" s="44" customFormat="1">
      <c r="A375" s="36">
        <f t="shared" si="43"/>
        <v>371</v>
      </c>
      <c r="B375" s="42" t="s">
        <v>1310</v>
      </c>
      <c r="C375" s="124" t="s">
        <v>1311</v>
      </c>
      <c r="D375" s="124" t="s">
        <v>1312</v>
      </c>
      <c r="E375" s="45">
        <v>42702</v>
      </c>
      <c r="F375" s="125">
        <f>30000000</f>
        <v>30000000</v>
      </c>
      <c r="G375" s="46">
        <f t="shared" si="40"/>
        <v>42984000</v>
      </c>
      <c r="H375" s="42">
        <v>834000</v>
      </c>
      <c r="I375" s="42">
        <f t="shared" si="45"/>
        <v>360000</v>
      </c>
      <c r="J375" s="126" t="s">
        <v>99</v>
      </c>
      <c r="K375" s="120">
        <v>21</v>
      </c>
      <c r="L375" s="30">
        <f t="shared" si="41"/>
        <v>1194000</v>
      </c>
      <c r="M375" s="42">
        <f t="shared" si="42"/>
        <v>25074000</v>
      </c>
      <c r="N375" s="121">
        <f>F375-(H375*15)</f>
        <v>17490000</v>
      </c>
      <c r="O375" s="127" t="s">
        <v>536</v>
      </c>
      <c r="P375" s="127" t="s">
        <v>183</v>
      </c>
    </row>
    <row r="376" spans="1:16" s="44" customFormat="1">
      <c r="A376" s="36">
        <f t="shared" si="43"/>
        <v>372</v>
      </c>
      <c r="B376" s="42" t="s">
        <v>1313</v>
      </c>
      <c r="C376" s="124" t="s">
        <v>1314</v>
      </c>
      <c r="D376" s="124"/>
      <c r="E376" s="128">
        <v>42549</v>
      </c>
      <c r="F376" s="125">
        <v>30000000</v>
      </c>
      <c r="G376" s="122">
        <f t="shared" si="40"/>
        <v>42984000</v>
      </c>
      <c r="H376" s="42">
        <v>834000</v>
      </c>
      <c r="I376" s="46">
        <f t="shared" si="45"/>
        <v>360000</v>
      </c>
      <c r="J376" s="126" t="s">
        <v>99</v>
      </c>
      <c r="K376" s="120">
        <v>16</v>
      </c>
      <c r="L376" s="138">
        <f t="shared" si="41"/>
        <v>1194000</v>
      </c>
      <c r="M376" s="42">
        <f t="shared" si="42"/>
        <v>19104000</v>
      </c>
      <c r="N376" s="134">
        <f>F376-(H376*20)</f>
        <v>13320000</v>
      </c>
      <c r="O376" s="127" t="s">
        <v>996</v>
      </c>
      <c r="P376" s="127" t="s">
        <v>428</v>
      </c>
    </row>
    <row r="377" spans="1:16" s="44" customFormat="1">
      <c r="A377" s="36">
        <f t="shared" si="43"/>
        <v>373</v>
      </c>
      <c r="B377" s="39" t="s">
        <v>1315</v>
      </c>
      <c r="C377" s="40" t="s">
        <v>1316</v>
      </c>
      <c r="D377" s="28" t="s">
        <v>1317</v>
      </c>
      <c r="E377" s="45">
        <v>42879</v>
      </c>
      <c r="F377" s="42">
        <f>3958000</f>
        <v>3958000</v>
      </c>
      <c r="G377" s="46">
        <f t="shared" si="40"/>
        <v>4542000</v>
      </c>
      <c r="H377" s="42">
        <f>378500-I377</f>
        <v>331004</v>
      </c>
      <c r="I377" s="42">
        <f t="shared" si="45"/>
        <v>47496</v>
      </c>
      <c r="J377" s="36">
        <v>12</v>
      </c>
      <c r="K377" s="120">
        <v>3</v>
      </c>
      <c r="L377" s="30">
        <f t="shared" si="41"/>
        <v>378500</v>
      </c>
      <c r="M377" s="30">
        <f t="shared" si="42"/>
        <v>1135500</v>
      </c>
      <c r="N377" s="121">
        <f>F377-(H377*9)</f>
        <v>978964</v>
      </c>
      <c r="O377" s="34" t="s">
        <v>303</v>
      </c>
      <c r="P377" s="34" t="s">
        <v>86</v>
      </c>
    </row>
    <row r="378" spans="1:16" s="44" customFormat="1">
      <c r="A378" s="36">
        <f t="shared" si="43"/>
        <v>374</v>
      </c>
      <c r="B378" s="39" t="s">
        <v>1318</v>
      </c>
      <c r="C378" s="40" t="s">
        <v>1319</v>
      </c>
      <c r="D378" s="41" t="s">
        <v>1320</v>
      </c>
      <c r="E378" s="45">
        <v>43003</v>
      </c>
      <c r="F378" s="42">
        <f>4998000+124950+24877050</f>
        <v>30000000</v>
      </c>
      <c r="G378" s="46">
        <f t="shared" si="40"/>
        <v>42984000</v>
      </c>
      <c r="H378" s="119">
        <v>834000</v>
      </c>
      <c r="I378" s="119">
        <f>F378*1.2%</f>
        <v>360000</v>
      </c>
      <c r="J378" s="36">
        <v>36</v>
      </c>
      <c r="K378" s="120">
        <v>31</v>
      </c>
      <c r="L378" s="30">
        <f t="shared" si="41"/>
        <v>1194000</v>
      </c>
      <c r="M378" s="30">
        <f t="shared" si="42"/>
        <v>37014000</v>
      </c>
      <c r="N378" s="121">
        <f>F378-(H378*5)</f>
        <v>25830000</v>
      </c>
      <c r="O378" s="34" t="s">
        <v>736</v>
      </c>
      <c r="P378" s="34" t="s">
        <v>94</v>
      </c>
    </row>
    <row r="379" spans="1:16" s="44" customFormat="1">
      <c r="A379" s="36">
        <f t="shared" si="43"/>
        <v>375</v>
      </c>
      <c r="B379" s="39" t="s">
        <v>1321</v>
      </c>
      <c r="C379" s="40" t="s">
        <v>1322</v>
      </c>
      <c r="D379" s="41" t="s">
        <v>1323</v>
      </c>
      <c r="E379" s="45">
        <v>42929</v>
      </c>
      <c r="F379" s="42">
        <f>19158000+478950+246581+10116469</f>
        <v>30000000</v>
      </c>
      <c r="G379" s="46">
        <f t="shared" si="40"/>
        <v>43002000</v>
      </c>
      <c r="H379" s="132">
        <f>1194500-I379</f>
        <v>834500</v>
      </c>
      <c r="I379" s="42">
        <f t="shared" ref="I379:I388" si="46">+F379*1.2%</f>
        <v>360000</v>
      </c>
      <c r="J379" s="36">
        <v>36</v>
      </c>
      <c r="K379" s="120">
        <v>28</v>
      </c>
      <c r="L379" s="30">
        <f t="shared" si="41"/>
        <v>1194500</v>
      </c>
      <c r="M379" s="30">
        <f t="shared" si="42"/>
        <v>33446000</v>
      </c>
      <c r="N379" s="121">
        <f>F379-(H379*8)</f>
        <v>23324000</v>
      </c>
      <c r="O379" s="34" t="s">
        <v>1324</v>
      </c>
      <c r="P379" s="34" t="s">
        <v>112</v>
      </c>
    </row>
    <row r="380" spans="1:16" s="44" customFormat="1">
      <c r="A380" s="36">
        <f t="shared" si="43"/>
        <v>376</v>
      </c>
      <c r="B380" s="42" t="s">
        <v>1325</v>
      </c>
      <c r="C380" s="124" t="s">
        <v>1326</v>
      </c>
      <c r="D380" s="124" t="s">
        <v>1327</v>
      </c>
      <c r="E380" s="45">
        <v>42704</v>
      </c>
      <c r="F380" s="125">
        <f>12000000</f>
        <v>12000000</v>
      </c>
      <c r="G380" s="46">
        <f t="shared" si="40"/>
        <v>17208000</v>
      </c>
      <c r="H380" s="163">
        <v>334000</v>
      </c>
      <c r="I380" s="42">
        <f t="shared" si="46"/>
        <v>144000</v>
      </c>
      <c r="J380" s="126" t="s">
        <v>99</v>
      </c>
      <c r="K380" s="120">
        <v>21</v>
      </c>
      <c r="L380" s="30">
        <f t="shared" si="41"/>
        <v>478000</v>
      </c>
      <c r="M380" s="42">
        <f t="shared" si="42"/>
        <v>10038000</v>
      </c>
      <c r="N380" s="121">
        <f>F380-(H380*15)</f>
        <v>6990000</v>
      </c>
      <c r="O380" s="127" t="s">
        <v>963</v>
      </c>
      <c r="P380" s="127" t="s">
        <v>183</v>
      </c>
    </row>
    <row r="381" spans="1:16" s="44" customFormat="1">
      <c r="A381" s="36">
        <f t="shared" si="43"/>
        <v>377</v>
      </c>
      <c r="B381" s="39" t="s">
        <v>1328</v>
      </c>
      <c r="C381" s="40" t="s">
        <v>1329</v>
      </c>
      <c r="D381" s="28" t="s">
        <v>1330</v>
      </c>
      <c r="E381" s="45">
        <v>42902</v>
      </c>
      <c r="F381" s="42">
        <f>23328000+583200+284903+5803897</f>
        <v>30000000</v>
      </c>
      <c r="G381" s="46">
        <f t="shared" si="40"/>
        <v>43002000</v>
      </c>
      <c r="H381" s="42">
        <v>834500</v>
      </c>
      <c r="I381" s="42">
        <f t="shared" si="46"/>
        <v>360000</v>
      </c>
      <c r="J381" s="36">
        <v>36</v>
      </c>
      <c r="K381" s="120">
        <v>27</v>
      </c>
      <c r="L381" s="30">
        <f t="shared" si="41"/>
        <v>1194500</v>
      </c>
      <c r="M381" s="30">
        <f t="shared" si="42"/>
        <v>32251500</v>
      </c>
      <c r="N381" s="121">
        <f>F381-(H381*9)</f>
        <v>22489500</v>
      </c>
      <c r="O381" s="34" t="s">
        <v>1331</v>
      </c>
      <c r="P381" s="34" t="s">
        <v>112</v>
      </c>
    </row>
    <row r="382" spans="1:16" s="44" customFormat="1">
      <c r="A382" s="36">
        <f t="shared" si="43"/>
        <v>378</v>
      </c>
      <c r="B382" s="42" t="s">
        <v>1332</v>
      </c>
      <c r="C382" s="124" t="s">
        <v>1333</v>
      </c>
      <c r="D382" s="124"/>
      <c r="E382" s="128">
        <v>42516</v>
      </c>
      <c r="F382" s="125">
        <f>30000000</f>
        <v>30000000</v>
      </c>
      <c r="G382" s="125">
        <f t="shared" si="40"/>
        <v>42984000</v>
      </c>
      <c r="H382" s="139">
        <f>1194000-I382</f>
        <v>834000</v>
      </c>
      <c r="I382" s="125">
        <f t="shared" si="46"/>
        <v>360000</v>
      </c>
      <c r="J382" s="126" t="s">
        <v>99</v>
      </c>
      <c r="K382" s="120">
        <v>15</v>
      </c>
      <c r="L382" s="42">
        <f t="shared" si="41"/>
        <v>1194000</v>
      </c>
      <c r="M382" s="42">
        <f t="shared" si="42"/>
        <v>17910000</v>
      </c>
      <c r="N382" s="134">
        <f>F382-(H382*21)</f>
        <v>12486000</v>
      </c>
      <c r="O382" s="127" t="s">
        <v>1334</v>
      </c>
      <c r="P382" s="127" t="s">
        <v>351</v>
      </c>
    </row>
    <row r="383" spans="1:16" s="44" customFormat="1">
      <c r="A383" s="36">
        <f t="shared" si="43"/>
        <v>379</v>
      </c>
      <c r="B383" s="39" t="s">
        <v>1335</v>
      </c>
      <c r="C383" s="40" t="s">
        <v>1336</v>
      </c>
      <c r="D383" s="41" t="s">
        <v>1337</v>
      </c>
      <c r="E383" s="45">
        <v>43034</v>
      </c>
      <c r="F383" s="42">
        <f>12496500+312413+17191087</f>
        <v>30000000</v>
      </c>
      <c r="G383" s="46">
        <f t="shared" si="40"/>
        <v>42984000</v>
      </c>
      <c r="H383" s="119">
        <v>834000</v>
      </c>
      <c r="I383" s="119">
        <f t="shared" si="46"/>
        <v>360000</v>
      </c>
      <c r="J383" s="36">
        <v>36</v>
      </c>
      <c r="K383" s="120">
        <v>32</v>
      </c>
      <c r="L383" s="30">
        <f t="shared" si="41"/>
        <v>1194000</v>
      </c>
      <c r="M383" s="30">
        <f t="shared" si="42"/>
        <v>38208000</v>
      </c>
      <c r="N383" s="33">
        <f>F383-(H383*4)</f>
        <v>26664000</v>
      </c>
      <c r="O383" s="34" t="s">
        <v>1338</v>
      </c>
      <c r="P383" s="34" t="s">
        <v>112</v>
      </c>
    </row>
    <row r="384" spans="1:16" s="44" customFormat="1">
      <c r="A384" s="36">
        <f t="shared" si="43"/>
        <v>380</v>
      </c>
      <c r="B384" s="42" t="s">
        <v>1339</v>
      </c>
      <c r="C384" s="124" t="s">
        <v>1340</v>
      </c>
      <c r="D384" s="124"/>
      <c r="E384" s="45">
        <v>42639</v>
      </c>
      <c r="F384" s="125">
        <f>30000000</f>
        <v>30000000</v>
      </c>
      <c r="G384" s="122">
        <f t="shared" si="40"/>
        <v>27972000</v>
      </c>
      <c r="H384" s="42">
        <v>417000</v>
      </c>
      <c r="I384" s="125">
        <f t="shared" si="46"/>
        <v>360000</v>
      </c>
      <c r="J384" s="126" t="s">
        <v>99</v>
      </c>
      <c r="K384" s="120">
        <v>19</v>
      </c>
      <c r="L384" s="30">
        <f t="shared" si="41"/>
        <v>777000</v>
      </c>
      <c r="M384" s="42">
        <f t="shared" si="42"/>
        <v>14763000</v>
      </c>
      <c r="N384" s="121">
        <f>F384-(H384*17)-5000000</f>
        <v>17911000</v>
      </c>
      <c r="O384" s="127" t="s">
        <v>24</v>
      </c>
      <c r="P384" s="127" t="s">
        <v>86</v>
      </c>
    </row>
    <row r="385" spans="1:16" s="44" customFormat="1">
      <c r="A385" s="36">
        <f t="shared" si="43"/>
        <v>381</v>
      </c>
      <c r="B385" s="39" t="s">
        <v>1341</v>
      </c>
      <c r="C385" s="40" t="s">
        <v>1342</v>
      </c>
      <c r="D385" s="41" t="s">
        <v>1343</v>
      </c>
      <c r="E385" s="45">
        <v>42830</v>
      </c>
      <c r="F385" s="42">
        <f>15000000</f>
        <v>15000000</v>
      </c>
      <c r="G385" s="46">
        <f t="shared" si="40"/>
        <v>21510000</v>
      </c>
      <c r="H385" s="42">
        <f>597500-I385</f>
        <v>417500</v>
      </c>
      <c r="I385" s="42">
        <f t="shared" si="46"/>
        <v>180000</v>
      </c>
      <c r="J385" s="36">
        <v>36</v>
      </c>
      <c r="K385" s="120">
        <v>25</v>
      </c>
      <c r="L385" s="30">
        <f t="shared" si="41"/>
        <v>597500</v>
      </c>
      <c r="M385" s="30">
        <f t="shared" si="42"/>
        <v>14937500</v>
      </c>
      <c r="N385" s="121">
        <f>F385-(H385*11)</f>
        <v>10407500</v>
      </c>
      <c r="O385" s="34" t="s">
        <v>203</v>
      </c>
      <c r="P385" s="34" t="s">
        <v>86</v>
      </c>
    </row>
    <row r="386" spans="1:16" s="44" customFormat="1">
      <c r="A386" s="36">
        <f t="shared" si="43"/>
        <v>382</v>
      </c>
      <c r="B386" s="42" t="s">
        <v>1344</v>
      </c>
      <c r="C386" s="124" t="s">
        <v>1345</v>
      </c>
      <c r="D386" s="124"/>
      <c r="E386" s="45">
        <v>42272</v>
      </c>
      <c r="F386" s="125">
        <f>11666760+291669+18041571</f>
        <v>30000000</v>
      </c>
      <c r="G386" s="129">
        <f t="shared" si="40"/>
        <v>42966000</v>
      </c>
      <c r="H386" s="42">
        <v>833500</v>
      </c>
      <c r="I386" s="125">
        <f t="shared" si="46"/>
        <v>360000</v>
      </c>
      <c r="J386" s="126" t="s">
        <v>99</v>
      </c>
      <c r="K386" s="120">
        <v>7</v>
      </c>
      <c r="L386" s="42">
        <f t="shared" si="41"/>
        <v>1193500</v>
      </c>
      <c r="M386" s="42">
        <f t="shared" si="42"/>
        <v>8354500</v>
      </c>
      <c r="N386" s="134">
        <f>F386-(H386*29)</f>
        <v>5828500</v>
      </c>
      <c r="O386" s="127" t="s">
        <v>1346</v>
      </c>
      <c r="P386" s="127" t="s">
        <v>101</v>
      </c>
    </row>
    <row r="387" spans="1:16" s="44" customFormat="1">
      <c r="A387" s="36">
        <f t="shared" si="43"/>
        <v>383</v>
      </c>
      <c r="B387" s="42" t="s">
        <v>1347</v>
      </c>
      <c r="C387" s="124" t="s">
        <v>1348</v>
      </c>
      <c r="D387" s="28" t="s">
        <v>1349</v>
      </c>
      <c r="E387" s="45">
        <v>42727</v>
      </c>
      <c r="F387" s="125">
        <f>20000000</f>
        <v>20000000</v>
      </c>
      <c r="G387" s="46">
        <f t="shared" si="40"/>
        <v>28656000</v>
      </c>
      <c r="H387" s="42">
        <f>796000-I387</f>
        <v>556000</v>
      </c>
      <c r="I387" s="42">
        <f t="shared" si="46"/>
        <v>240000</v>
      </c>
      <c r="J387" s="126" t="s">
        <v>99</v>
      </c>
      <c r="K387" s="120">
        <v>22</v>
      </c>
      <c r="L387" s="30">
        <f t="shared" si="41"/>
        <v>796000</v>
      </c>
      <c r="M387" s="42">
        <f t="shared" si="42"/>
        <v>17512000</v>
      </c>
      <c r="N387" s="121">
        <f>F387-(H387*14)</f>
        <v>12216000</v>
      </c>
      <c r="O387" s="127" t="s">
        <v>160</v>
      </c>
      <c r="P387" s="34" t="s">
        <v>86</v>
      </c>
    </row>
    <row r="388" spans="1:16" s="44" customFormat="1">
      <c r="A388" s="36">
        <f t="shared" si="43"/>
        <v>384</v>
      </c>
      <c r="B388" s="39" t="s">
        <v>1350</v>
      </c>
      <c r="C388" s="40" t="s">
        <v>1351</v>
      </c>
      <c r="D388" s="41" t="s">
        <v>1352</v>
      </c>
      <c r="E388" s="45">
        <v>42867</v>
      </c>
      <c r="F388" s="42">
        <f>30000000</f>
        <v>30000000</v>
      </c>
      <c r="G388" s="46">
        <f t="shared" si="40"/>
        <v>43002000</v>
      </c>
      <c r="H388" s="42">
        <f>1194500-I388</f>
        <v>834500</v>
      </c>
      <c r="I388" s="42">
        <f t="shared" si="46"/>
        <v>360000</v>
      </c>
      <c r="J388" s="36">
        <v>36</v>
      </c>
      <c r="K388" s="120">
        <v>26</v>
      </c>
      <c r="L388" s="30">
        <f t="shared" si="41"/>
        <v>1194500</v>
      </c>
      <c r="M388" s="30">
        <f t="shared" si="42"/>
        <v>31057000</v>
      </c>
      <c r="N388" s="121">
        <f>F388-(H388*10)</f>
        <v>21655000</v>
      </c>
      <c r="O388" s="34" t="s">
        <v>59</v>
      </c>
      <c r="P388" s="34" t="s">
        <v>86</v>
      </c>
    </row>
    <row r="389" spans="1:16" s="44" customFormat="1">
      <c r="A389" s="36">
        <f t="shared" si="43"/>
        <v>385</v>
      </c>
      <c r="B389" s="39" t="s">
        <v>1353</v>
      </c>
      <c r="C389" s="40" t="s">
        <v>1354</v>
      </c>
      <c r="D389" s="41" t="s">
        <v>1355</v>
      </c>
      <c r="E389" s="45">
        <v>42989</v>
      </c>
      <c r="F389" s="42">
        <f>19992000+499800+177290+9330910</f>
        <v>30000000</v>
      </c>
      <c r="G389" s="46">
        <f t="shared" ref="G389:G399" si="47">+J389*L389</f>
        <v>42984000</v>
      </c>
      <c r="H389" s="132">
        <f>1194000-I389</f>
        <v>834000</v>
      </c>
      <c r="I389" s="119">
        <f>F389*1.2%</f>
        <v>360000</v>
      </c>
      <c r="J389" s="36">
        <v>36</v>
      </c>
      <c r="K389" s="120">
        <v>30</v>
      </c>
      <c r="L389" s="30">
        <f t="shared" ref="L389:L399" si="48">+H389+I389</f>
        <v>1194000</v>
      </c>
      <c r="M389" s="30">
        <f t="shared" ref="M389:M399" si="49">+K389*L389</f>
        <v>35820000</v>
      </c>
      <c r="N389" s="121">
        <f>F389-(H389*6)</f>
        <v>24996000</v>
      </c>
      <c r="O389" s="34" t="s">
        <v>253</v>
      </c>
      <c r="P389" s="34" t="s">
        <v>25</v>
      </c>
    </row>
    <row r="390" spans="1:16" s="44" customFormat="1">
      <c r="A390" s="36">
        <f t="shared" ref="A390:A410" si="50">+A389+1</f>
        <v>386</v>
      </c>
      <c r="B390" s="39" t="s">
        <v>1356</v>
      </c>
      <c r="C390" s="40" t="s">
        <v>1357</v>
      </c>
      <c r="D390" s="28" t="s">
        <v>1358</v>
      </c>
      <c r="E390" s="28">
        <v>43133</v>
      </c>
      <c r="F390" s="132">
        <f>4000000</f>
        <v>4000000</v>
      </c>
      <c r="G390" s="46">
        <f t="shared" si="47"/>
        <v>4584000</v>
      </c>
      <c r="H390" s="119">
        <f>382000-I390</f>
        <v>334000</v>
      </c>
      <c r="I390" s="119">
        <f t="shared" ref="I390:I410" si="51">+F390*1.2%</f>
        <v>48000</v>
      </c>
      <c r="J390" s="36">
        <v>12</v>
      </c>
      <c r="K390" s="120">
        <v>11</v>
      </c>
      <c r="L390" s="30">
        <f t="shared" si="48"/>
        <v>382000</v>
      </c>
      <c r="M390" s="30">
        <f t="shared" si="49"/>
        <v>4202000</v>
      </c>
      <c r="N390" s="33">
        <f>F390-(H390*1)</f>
        <v>3666000</v>
      </c>
      <c r="O390" s="34" t="s">
        <v>108</v>
      </c>
      <c r="P390" s="34" t="s">
        <v>55</v>
      </c>
    </row>
    <row r="391" spans="1:16" s="44" customFormat="1">
      <c r="A391" s="36">
        <f t="shared" si="50"/>
        <v>387</v>
      </c>
      <c r="B391" s="39" t="s">
        <v>1359</v>
      </c>
      <c r="C391" s="40" t="s">
        <v>1360</v>
      </c>
      <c r="D391" s="28" t="s">
        <v>1361</v>
      </c>
      <c r="E391" s="28">
        <v>43133</v>
      </c>
      <c r="F391" s="42">
        <f>30000000</f>
        <v>30000000</v>
      </c>
      <c r="G391" s="46">
        <f t="shared" si="47"/>
        <v>37200000</v>
      </c>
      <c r="H391" s="119">
        <f t="shared" ref="H391" si="52">+F391/J391</f>
        <v>1500000</v>
      </c>
      <c r="I391" s="119">
        <f t="shared" si="51"/>
        <v>360000</v>
      </c>
      <c r="J391" s="36">
        <v>20</v>
      </c>
      <c r="K391" s="120">
        <v>19</v>
      </c>
      <c r="L391" s="30">
        <f t="shared" si="48"/>
        <v>1860000</v>
      </c>
      <c r="M391" s="30">
        <f t="shared" si="49"/>
        <v>35340000</v>
      </c>
      <c r="N391" s="46">
        <f>+H391*K391</f>
        <v>28500000</v>
      </c>
      <c r="O391" s="34" t="s">
        <v>355</v>
      </c>
      <c r="P391" s="34" t="s">
        <v>55</v>
      </c>
    </row>
    <row r="392" spans="1:16" s="44" customFormat="1">
      <c r="A392" s="36">
        <f t="shared" si="50"/>
        <v>388</v>
      </c>
      <c r="B392" s="39" t="s">
        <v>1362</v>
      </c>
      <c r="C392" s="40" t="s">
        <v>1363</v>
      </c>
      <c r="D392" s="28" t="s">
        <v>1364</v>
      </c>
      <c r="E392" s="28">
        <v>43136</v>
      </c>
      <c r="F392" s="42">
        <f>19390347+484759+135555+9989339</f>
        <v>30000000</v>
      </c>
      <c r="G392" s="46">
        <f t="shared" si="47"/>
        <v>42984000</v>
      </c>
      <c r="H392" s="119">
        <f>1194000-I392</f>
        <v>834000</v>
      </c>
      <c r="I392" s="119">
        <f t="shared" si="51"/>
        <v>360000</v>
      </c>
      <c r="J392" s="36">
        <v>36</v>
      </c>
      <c r="K392" s="120">
        <v>35</v>
      </c>
      <c r="L392" s="30">
        <f t="shared" si="48"/>
        <v>1194000</v>
      </c>
      <c r="M392" s="30">
        <f t="shared" si="49"/>
        <v>41790000</v>
      </c>
      <c r="N392" s="33">
        <f t="shared" ref="N392:N398" si="53">F392-(H392*1)</f>
        <v>29166000</v>
      </c>
      <c r="O392" s="34" t="s">
        <v>41</v>
      </c>
      <c r="P392" s="34" t="s">
        <v>94</v>
      </c>
    </row>
    <row r="393" spans="1:16" s="44" customFormat="1">
      <c r="A393" s="36">
        <f t="shared" si="50"/>
        <v>389</v>
      </c>
      <c r="B393" s="39" t="s">
        <v>1365</v>
      </c>
      <c r="C393" s="40" t="s">
        <v>1366</v>
      </c>
      <c r="D393" s="41" t="s">
        <v>1367</v>
      </c>
      <c r="E393" s="28">
        <v>43138</v>
      </c>
      <c r="F393" s="42">
        <f>4996000+124900+61382+9817718</f>
        <v>15000000</v>
      </c>
      <c r="G393" s="46">
        <f t="shared" si="47"/>
        <v>21492000</v>
      </c>
      <c r="H393" s="119">
        <f>597000-I393</f>
        <v>417000</v>
      </c>
      <c r="I393" s="119">
        <f t="shared" si="51"/>
        <v>180000</v>
      </c>
      <c r="J393" s="36">
        <v>36</v>
      </c>
      <c r="K393" s="120">
        <v>35</v>
      </c>
      <c r="L393" s="30">
        <f t="shared" si="48"/>
        <v>597000</v>
      </c>
      <c r="M393" s="30">
        <f t="shared" si="49"/>
        <v>20895000</v>
      </c>
      <c r="N393" s="33">
        <f t="shared" si="53"/>
        <v>14583000</v>
      </c>
      <c r="O393" s="34" t="s">
        <v>1124</v>
      </c>
      <c r="P393" s="34" t="s">
        <v>94</v>
      </c>
    </row>
    <row r="394" spans="1:16" s="44" customFormat="1">
      <c r="A394" s="36">
        <f t="shared" si="50"/>
        <v>390</v>
      </c>
      <c r="B394" s="39" t="s">
        <v>1368</v>
      </c>
      <c r="C394" s="40" t="s">
        <v>1369</v>
      </c>
      <c r="D394" s="41" t="s">
        <v>1370</v>
      </c>
      <c r="E394" s="28">
        <v>43138</v>
      </c>
      <c r="F394" s="42">
        <f>3331200+83280+197005+26388515</f>
        <v>30000000</v>
      </c>
      <c r="G394" s="46">
        <f t="shared" si="47"/>
        <v>42984000</v>
      </c>
      <c r="H394" s="119">
        <f>1194000-I394</f>
        <v>834000</v>
      </c>
      <c r="I394" s="119">
        <f t="shared" si="51"/>
        <v>360000</v>
      </c>
      <c r="J394" s="36">
        <v>36</v>
      </c>
      <c r="K394" s="120">
        <v>35</v>
      </c>
      <c r="L394" s="30">
        <f t="shared" si="48"/>
        <v>1194000</v>
      </c>
      <c r="M394" s="30">
        <f t="shared" si="49"/>
        <v>41790000</v>
      </c>
      <c r="N394" s="33">
        <f t="shared" si="53"/>
        <v>29166000</v>
      </c>
      <c r="O394" s="34" t="s">
        <v>1371</v>
      </c>
      <c r="P394" s="34" t="s">
        <v>94</v>
      </c>
    </row>
    <row r="395" spans="1:16" s="44" customFormat="1">
      <c r="A395" s="36">
        <f t="shared" si="50"/>
        <v>391</v>
      </c>
      <c r="B395" s="39" t="s">
        <v>1372</v>
      </c>
      <c r="C395" s="40" t="s">
        <v>1373</v>
      </c>
      <c r="D395" s="41" t="s">
        <v>1374</v>
      </c>
      <c r="E395" s="28">
        <v>43140</v>
      </c>
      <c r="F395" s="42">
        <f>18324000+458100+197005+11020895</f>
        <v>30000000</v>
      </c>
      <c r="G395" s="46">
        <f t="shared" si="47"/>
        <v>42984000</v>
      </c>
      <c r="H395" s="119">
        <f>1194000-I395</f>
        <v>834000</v>
      </c>
      <c r="I395" s="119">
        <f t="shared" si="51"/>
        <v>360000</v>
      </c>
      <c r="J395" s="36">
        <v>36</v>
      </c>
      <c r="K395" s="120">
        <v>35</v>
      </c>
      <c r="L395" s="30">
        <f t="shared" si="48"/>
        <v>1194000</v>
      </c>
      <c r="M395" s="30">
        <f t="shared" si="49"/>
        <v>41790000</v>
      </c>
      <c r="N395" s="33">
        <f t="shared" si="53"/>
        <v>29166000</v>
      </c>
      <c r="O395" s="34" t="s">
        <v>41</v>
      </c>
      <c r="P395" s="34" t="s">
        <v>94</v>
      </c>
    </row>
    <row r="396" spans="1:16" s="44" customFormat="1">
      <c r="A396" s="36">
        <f t="shared" si="50"/>
        <v>392</v>
      </c>
      <c r="B396" s="39" t="s">
        <v>1375</v>
      </c>
      <c r="C396" s="40" t="s">
        <v>1376</v>
      </c>
      <c r="D396" s="41" t="s">
        <v>1377</v>
      </c>
      <c r="E396" s="28">
        <v>43140</v>
      </c>
      <c r="F396" s="42">
        <f>18324000+458100+197005+11020895</f>
        <v>30000000</v>
      </c>
      <c r="G396" s="46">
        <f t="shared" si="47"/>
        <v>42984000</v>
      </c>
      <c r="H396" s="119">
        <f>1194000-I396</f>
        <v>834000</v>
      </c>
      <c r="I396" s="119">
        <f t="shared" si="51"/>
        <v>360000</v>
      </c>
      <c r="J396" s="36">
        <v>36</v>
      </c>
      <c r="K396" s="120">
        <v>35</v>
      </c>
      <c r="L396" s="30">
        <f t="shared" si="48"/>
        <v>1194000</v>
      </c>
      <c r="M396" s="30">
        <f t="shared" si="49"/>
        <v>41790000</v>
      </c>
      <c r="N396" s="33">
        <f t="shared" si="53"/>
        <v>29166000</v>
      </c>
      <c r="O396" s="34" t="s">
        <v>600</v>
      </c>
      <c r="P396" s="34" t="s">
        <v>94</v>
      </c>
    </row>
    <row r="397" spans="1:16" s="44" customFormat="1">
      <c r="A397" s="36">
        <f t="shared" si="50"/>
        <v>393</v>
      </c>
      <c r="B397" s="39" t="s">
        <v>1378</v>
      </c>
      <c r="C397" s="40" t="s">
        <v>1379</v>
      </c>
      <c r="D397" s="41" t="s">
        <v>1380</v>
      </c>
      <c r="E397" s="28">
        <v>43143</v>
      </c>
      <c r="F397" s="42">
        <f>41250+1031+1296+24956423</f>
        <v>25000000</v>
      </c>
      <c r="G397" s="46">
        <f t="shared" si="47"/>
        <v>18216000</v>
      </c>
      <c r="H397" s="119">
        <f>759000-I397</f>
        <v>459000</v>
      </c>
      <c r="I397" s="119">
        <f t="shared" si="51"/>
        <v>300000</v>
      </c>
      <c r="J397" s="36">
        <v>24</v>
      </c>
      <c r="K397" s="120">
        <v>23</v>
      </c>
      <c r="L397" s="30">
        <f t="shared" si="48"/>
        <v>759000</v>
      </c>
      <c r="M397" s="30">
        <f t="shared" si="49"/>
        <v>17457000</v>
      </c>
      <c r="N397" s="33">
        <f t="shared" si="53"/>
        <v>24541000</v>
      </c>
      <c r="O397" s="34" t="s">
        <v>338</v>
      </c>
      <c r="P397" s="34" t="s">
        <v>94</v>
      </c>
    </row>
    <row r="398" spans="1:16" s="44" customFormat="1">
      <c r="A398" s="36">
        <f t="shared" si="50"/>
        <v>394</v>
      </c>
      <c r="B398" s="39" t="s">
        <v>1381</v>
      </c>
      <c r="C398" s="40" t="s">
        <v>1382</v>
      </c>
      <c r="D398" s="41" t="s">
        <v>1383</v>
      </c>
      <c r="E398" s="28">
        <v>43143</v>
      </c>
      <c r="F398" s="42">
        <f>25830000+645750+287005+3237245</f>
        <v>30000000</v>
      </c>
      <c r="G398" s="46">
        <f t="shared" si="47"/>
        <v>42984000</v>
      </c>
      <c r="H398" s="119">
        <f>1194000-I398</f>
        <v>834000</v>
      </c>
      <c r="I398" s="119">
        <f t="shared" si="51"/>
        <v>360000</v>
      </c>
      <c r="J398" s="36">
        <v>36</v>
      </c>
      <c r="K398" s="120">
        <v>35</v>
      </c>
      <c r="L398" s="30">
        <f t="shared" si="48"/>
        <v>1194000</v>
      </c>
      <c r="M398" s="30">
        <f t="shared" si="49"/>
        <v>41790000</v>
      </c>
      <c r="N398" s="33">
        <f t="shared" si="53"/>
        <v>29166000</v>
      </c>
      <c r="O398" s="34" t="s">
        <v>1127</v>
      </c>
      <c r="P398" s="34" t="s">
        <v>94</v>
      </c>
    </row>
    <row r="399" spans="1:16" s="44" customFormat="1">
      <c r="A399" s="36">
        <f t="shared" si="50"/>
        <v>395</v>
      </c>
      <c r="B399" s="39" t="s">
        <v>1384</v>
      </c>
      <c r="C399" s="40" t="s">
        <v>1385</v>
      </c>
      <c r="D399" s="41" t="s">
        <v>1386</v>
      </c>
      <c r="E399" s="28">
        <v>43144</v>
      </c>
      <c r="F399" s="42">
        <f>15000000</f>
        <v>15000000</v>
      </c>
      <c r="G399" s="46">
        <f t="shared" si="47"/>
        <v>19320000</v>
      </c>
      <c r="H399" s="119">
        <f>F399/J399</f>
        <v>625000</v>
      </c>
      <c r="I399" s="119">
        <f t="shared" si="51"/>
        <v>180000</v>
      </c>
      <c r="J399" s="36">
        <v>24</v>
      </c>
      <c r="K399" s="120">
        <v>23</v>
      </c>
      <c r="L399" s="30">
        <f t="shared" si="48"/>
        <v>805000</v>
      </c>
      <c r="M399" s="30">
        <f t="shared" si="49"/>
        <v>18515000</v>
      </c>
      <c r="N399" s="46">
        <f>+H399*K399</f>
        <v>14375000</v>
      </c>
      <c r="O399" s="43" t="s">
        <v>1387</v>
      </c>
      <c r="P399" s="43" t="s">
        <v>55</v>
      </c>
    </row>
    <row r="400" spans="1:16" s="44" customFormat="1">
      <c r="A400" s="36">
        <f t="shared" si="50"/>
        <v>396</v>
      </c>
      <c r="B400" s="26" t="s">
        <v>21</v>
      </c>
      <c r="C400" s="27" t="s">
        <v>22</v>
      </c>
      <c r="D400" s="28" t="s">
        <v>23</v>
      </c>
      <c r="E400" s="28">
        <v>43154</v>
      </c>
      <c r="F400" s="29">
        <f>9988000+249700+19762300</f>
        <v>30000000</v>
      </c>
      <c r="G400" s="30">
        <f>+J400*L400</f>
        <v>25200000</v>
      </c>
      <c r="H400" s="31">
        <f>700000-I400</f>
        <v>340000</v>
      </c>
      <c r="I400" s="31">
        <f t="shared" si="51"/>
        <v>360000</v>
      </c>
      <c r="J400" s="32">
        <v>36</v>
      </c>
      <c r="K400" s="32">
        <v>36</v>
      </c>
      <c r="L400" s="30">
        <f>+H400+I400</f>
        <v>700000</v>
      </c>
      <c r="M400" s="30">
        <f>+K400*L400</f>
        <v>25200000</v>
      </c>
      <c r="N400" s="33">
        <f t="shared" ref="N400:N410" si="54">F400-(H400*0)</f>
        <v>30000000</v>
      </c>
      <c r="O400" s="34" t="s">
        <v>24</v>
      </c>
      <c r="P400" s="34" t="s">
        <v>25</v>
      </c>
    </row>
    <row r="401" spans="1:16" s="44" customFormat="1">
      <c r="A401" s="36">
        <f t="shared" si="50"/>
        <v>397</v>
      </c>
      <c r="B401" s="26" t="s">
        <v>26</v>
      </c>
      <c r="C401" s="27" t="s">
        <v>27</v>
      </c>
      <c r="D401" s="28" t="s">
        <v>28</v>
      </c>
      <c r="E401" s="28">
        <v>43154</v>
      </c>
      <c r="F401" s="37">
        <f>20000000+500000+9500000</f>
        <v>30000000</v>
      </c>
      <c r="G401" s="30">
        <f t="shared" ref="G401:G410" si="55">+J401*L401</f>
        <v>42984000</v>
      </c>
      <c r="H401" s="31">
        <f>1194000-I401</f>
        <v>834000</v>
      </c>
      <c r="I401" s="31">
        <f t="shared" si="51"/>
        <v>360000</v>
      </c>
      <c r="J401" s="32">
        <v>36</v>
      </c>
      <c r="K401" s="32">
        <v>36</v>
      </c>
      <c r="L401" s="30">
        <f t="shared" ref="L401:L410" si="56">+H401+I401</f>
        <v>1194000</v>
      </c>
      <c r="M401" s="30">
        <f t="shared" ref="M401:M410" si="57">+K401*L401</f>
        <v>42984000</v>
      </c>
      <c r="N401" s="33">
        <f t="shared" si="54"/>
        <v>30000000</v>
      </c>
      <c r="O401" s="34" t="s">
        <v>29</v>
      </c>
      <c r="P401" s="34" t="s">
        <v>25</v>
      </c>
    </row>
    <row r="402" spans="1:16" s="44" customFormat="1">
      <c r="A402" s="36">
        <f t="shared" si="50"/>
        <v>398</v>
      </c>
      <c r="B402" s="26" t="s">
        <v>30</v>
      </c>
      <c r="C402" s="27" t="s">
        <v>31</v>
      </c>
      <c r="D402" s="28" t="s">
        <v>32</v>
      </c>
      <c r="E402" s="28">
        <v>43154</v>
      </c>
      <c r="F402" s="37">
        <f>24158500+603963+5237537</f>
        <v>30000000</v>
      </c>
      <c r="G402" s="30">
        <f t="shared" si="55"/>
        <v>42984000</v>
      </c>
      <c r="H402" s="31">
        <f>1194000-I402</f>
        <v>834000</v>
      </c>
      <c r="I402" s="31">
        <f t="shared" si="51"/>
        <v>360000</v>
      </c>
      <c r="J402" s="32">
        <v>36</v>
      </c>
      <c r="K402" s="32">
        <v>36</v>
      </c>
      <c r="L402" s="30">
        <f t="shared" si="56"/>
        <v>1194000</v>
      </c>
      <c r="M402" s="30">
        <f t="shared" si="57"/>
        <v>42984000</v>
      </c>
      <c r="N402" s="33">
        <f t="shared" si="54"/>
        <v>30000000</v>
      </c>
      <c r="O402" s="34" t="s">
        <v>33</v>
      </c>
      <c r="P402" s="34" t="s">
        <v>25</v>
      </c>
    </row>
    <row r="403" spans="1:16" s="44" customFormat="1">
      <c r="A403" s="36">
        <f t="shared" si="50"/>
        <v>399</v>
      </c>
      <c r="B403" s="26" t="s">
        <v>34</v>
      </c>
      <c r="C403" s="27" t="s">
        <v>35</v>
      </c>
      <c r="D403" s="38" t="s">
        <v>36</v>
      </c>
      <c r="E403" s="28">
        <v>43154</v>
      </c>
      <c r="F403" s="37">
        <f>6662000+166550+23171450</f>
        <v>30000000</v>
      </c>
      <c r="G403" s="30">
        <f t="shared" si="55"/>
        <v>42984000</v>
      </c>
      <c r="H403" s="31">
        <f>1194000-I403</f>
        <v>834000</v>
      </c>
      <c r="I403" s="31">
        <f t="shared" si="51"/>
        <v>360000</v>
      </c>
      <c r="J403" s="32">
        <v>36</v>
      </c>
      <c r="K403" s="32">
        <v>36</v>
      </c>
      <c r="L403" s="30">
        <f t="shared" si="56"/>
        <v>1194000</v>
      </c>
      <c r="M403" s="30">
        <f t="shared" si="57"/>
        <v>42984000</v>
      </c>
      <c r="N403" s="33">
        <f t="shared" si="54"/>
        <v>30000000</v>
      </c>
      <c r="O403" s="34" t="s">
        <v>37</v>
      </c>
      <c r="P403" s="34" t="s">
        <v>25</v>
      </c>
    </row>
    <row r="404" spans="1:16" s="44" customFormat="1">
      <c r="A404" s="36">
        <f t="shared" si="50"/>
        <v>400</v>
      </c>
      <c r="B404" s="26" t="s">
        <v>38</v>
      </c>
      <c r="C404" s="27" t="s">
        <v>39</v>
      </c>
      <c r="D404" s="38" t="s">
        <v>40</v>
      </c>
      <c r="E404" s="28">
        <v>43154</v>
      </c>
      <c r="F404" s="37">
        <f>19992000+499800+9508200</f>
        <v>30000000</v>
      </c>
      <c r="G404" s="30">
        <f t="shared" si="55"/>
        <v>42984000</v>
      </c>
      <c r="H404" s="31">
        <v>834000</v>
      </c>
      <c r="I404" s="31">
        <f t="shared" si="51"/>
        <v>360000</v>
      </c>
      <c r="J404" s="32">
        <v>36</v>
      </c>
      <c r="K404" s="32">
        <v>36</v>
      </c>
      <c r="L404" s="30">
        <f t="shared" si="56"/>
        <v>1194000</v>
      </c>
      <c r="M404" s="30">
        <f t="shared" si="57"/>
        <v>42984000</v>
      </c>
      <c r="N404" s="33">
        <f t="shared" si="54"/>
        <v>30000000</v>
      </c>
      <c r="O404" s="34" t="s">
        <v>41</v>
      </c>
      <c r="P404" s="34" t="s">
        <v>25</v>
      </c>
    </row>
    <row r="405" spans="1:16" s="44" customFormat="1">
      <c r="A405" s="36">
        <f t="shared" si="50"/>
        <v>401</v>
      </c>
      <c r="B405" s="26" t="s">
        <v>42</v>
      </c>
      <c r="C405" s="27" t="s">
        <v>43</v>
      </c>
      <c r="D405" s="38" t="s">
        <v>44</v>
      </c>
      <c r="E405" s="28">
        <v>43157</v>
      </c>
      <c r="F405" s="37">
        <f>15048375+376209+14575416</f>
        <v>30000000</v>
      </c>
      <c r="G405" s="30">
        <f t="shared" si="55"/>
        <v>42984000</v>
      </c>
      <c r="H405" s="31">
        <v>834000</v>
      </c>
      <c r="I405" s="31">
        <f t="shared" si="51"/>
        <v>360000</v>
      </c>
      <c r="J405" s="32">
        <v>36</v>
      </c>
      <c r="K405" s="32">
        <v>36</v>
      </c>
      <c r="L405" s="30">
        <f t="shared" si="56"/>
        <v>1194000</v>
      </c>
      <c r="M405" s="30">
        <f t="shared" si="57"/>
        <v>42984000</v>
      </c>
      <c r="N405" s="33">
        <f t="shared" si="54"/>
        <v>30000000</v>
      </c>
      <c r="O405" s="34" t="s">
        <v>45</v>
      </c>
      <c r="P405" s="34" t="s">
        <v>25</v>
      </c>
    </row>
    <row r="406" spans="1:16" s="44" customFormat="1">
      <c r="A406" s="36">
        <f t="shared" si="50"/>
        <v>402</v>
      </c>
      <c r="B406" s="26" t="s">
        <v>46</v>
      </c>
      <c r="C406" s="27" t="s">
        <v>47</v>
      </c>
      <c r="D406" s="38" t="s">
        <v>48</v>
      </c>
      <c r="E406" s="28">
        <v>43157</v>
      </c>
      <c r="F406" s="37">
        <f>4000000</f>
        <v>4000000</v>
      </c>
      <c r="G406" s="30">
        <f t="shared" si="55"/>
        <v>4290000</v>
      </c>
      <c r="H406" s="31">
        <v>667000</v>
      </c>
      <c r="I406" s="31">
        <f t="shared" si="51"/>
        <v>48000</v>
      </c>
      <c r="J406" s="32">
        <v>6</v>
      </c>
      <c r="K406" s="32">
        <v>6</v>
      </c>
      <c r="L406" s="30">
        <f t="shared" si="56"/>
        <v>715000</v>
      </c>
      <c r="M406" s="30">
        <f t="shared" si="57"/>
        <v>4290000</v>
      </c>
      <c r="N406" s="33">
        <f t="shared" si="54"/>
        <v>4000000</v>
      </c>
      <c r="O406" s="34" t="s">
        <v>49</v>
      </c>
      <c r="P406" s="34" t="s">
        <v>50</v>
      </c>
    </row>
    <row r="407" spans="1:16" s="44" customFormat="1">
      <c r="A407" s="36">
        <f t="shared" si="50"/>
        <v>403</v>
      </c>
      <c r="B407" s="26" t="s">
        <v>51</v>
      </c>
      <c r="C407" s="27" t="s">
        <v>52</v>
      </c>
      <c r="D407" s="38" t="s">
        <v>53</v>
      </c>
      <c r="E407" s="28">
        <v>43159</v>
      </c>
      <c r="F407" s="37">
        <f>10000000</f>
        <v>10000000</v>
      </c>
      <c r="G407" s="30">
        <f t="shared" si="55"/>
        <v>12888000</v>
      </c>
      <c r="H407" s="31">
        <v>417000</v>
      </c>
      <c r="I407" s="31">
        <f t="shared" si="51"/>
        <v>120000</v>
      </c>
      <c r="J407" s="32">
        <v>24</v>
      </c>
      <c r="K407" s="32">
        <v>24</v>
      </c>
      <c r="L407" s="30">
        <f t="shared" si="56"/>
        <v>537000</v>
      </c>
      <c r="M407" s="30">
        <f t="shared" si="57"/>
        <v>12888000</v>
      </c>
      <c r="N407" s="33">
        <f t="shared" si="54"/>
        <v>10000000</v>
      </c>
      <c r="O407" s="34" t="s">
        <v>54</v>
      </c>
      <c r="P407" s="34" t="s">
        <v>55</v>
      </c>
    </row>
    <row r="408" spans="1:16" s="44" customFormat="1">
      <c r="A408" s="36">
        <f t="shared" si="50"/>
        <v>404</v>
      </c>
      <c r="B408" s="26" t="s">
        <v>56</v>
      </c>
      <c r="C408" s="27" t="s">
        <v>57</v>
      </c>
      <c r="D408" s="38" t="s">
        <v>58</v>
      </c>
      <c r="E408" s="28">
        <v>43158</v>
      </c>
      <c r="F408" s="37">
        <f>30000000</f>
        <v>30000000</v>
      </c>
      <c r="G408" s="30">
        <f t="shared" si="55"/>
        <v>42984000</v>
      </c>
      <c r="H408" s="31">
        <v>834000</v>
      </c>
      <c r="I408" s="31">
        <f t="shared" si="51"/>
        <v>360000</v>
      </c>
      <c r="J408" s="32">
        <v>36</v>
      </c>
      <c r="K408" s="32">
        <v>36</v>
      </c>
      <c r="L408" s="30">
        <f t="shared" si="56"/>
        <v>1194000</v>
      </c>
      <c r="M408" s="30">
        <f t="shared" si="57"/>
        <v>42984000</v>
      </c>
      <c r="N408" s="33">
        <f t="shared" si="54"/>
        <v>30000000</v>
      </c>
      <c r="O408" s="34" t="s">
        <v>59</v>
      </c>
      <c r="P408" s="34" t="s">
        <v>55</v>
      </c>
    </row>
    <row r="409" spans="1:16" s="44" customFormat="1">
      <c r="A409" s="36">
        <f t="shared" si="50"/>
        <v>405</v>
      </c>
      <c r="B409" s="39" t="s">
        <v>60</v>
      </c>
      <c r="C409" s="40" t="s">
        <v>61</v>
      </c>
      <c r="D409" s="41" t="s">
        <v>62</v>
      </c>
      <c r="E409" s="28">
        <v>43158</v>
      </c>
      <c r="F409" s="42">
        <f>12077500+301938+2620562</f>
        <v>15000000</v>
      </c>
      <c r="G409" s="30">
        <f t="shared" si="55"/>
        <v>21492000</v>
      </c>
      <c r="H409" s="31">
        <v>417000</v>
      </c>
      <c r="I409" s="31">
        <f t="shared" si="51"/>
        <v>180000</v>
      </c>
      <c r="J409" s="32">
        <v>36</v>
      </c>
      <c r="K409" s="32">
        <v>36</v>
      </c>
      <c r="L409" s="30">
        <f t="shared" si="56"/>
        <v>597000</v>
      </c>
      <c r="M409" s="30">
        <f t="shared" si="57"/>
        <v>21492000</v>
      </c>
      <c r="N409" s="33">
        <f t="shared" si="54"/>
        <v>15000000</v>
      </c>
      <c r="O409" s="43" t="s">
        <v>63</v>
      </c>
      <c r="P409" s="43" t="s">
        <v>25</v>
      </c>
    </row>
    <row r="410" spans="1:16" s="44" customFormat="1">
      <c r="A410" s="36">
        <f t="shared" si="50"/>
        <v>406</v>
      </c>
      <c r="B410" s="39" t="s">
        <v>64</v>
      </c>
      <c r="C410" s="40" t="s">
        <v>65</v>
      </c>
      <c r="D410" s="41" t="s">
        <v>66</v>
      </c>
      <c r="E410" s="28">
        <v>43158</v>
      </c>
      <c r="F410" s="42">
        <f>18324000+458100+11217900</f>
        <v>30000000</v>
      </c>
      <c r="G410" s="30">
        <f t="shared" si="55"/>
        <v>42984000</v>
      </c>
      <c r="H410" s="31">
        <v>834000</v>
      </c>
      <c r="I410" s="31">
        <f t="shared" si="51"/>
        <v>360000</v>
      </c>
      <c r="J410" s="32">
        <v>36</v>
      </c>
      <c r="K410" s="32">
        <v>36</v>
      </c>
      <c r="L410" s="30">
        <f t="shared" si="56"/>
        <v>1194000</v>
      </c>
      <c r="M410" s="30">
        <f t="shared" si="57"/>
        <v>42984000</v>
      </c>
      <c r="N410" s="33">
        <f t="shared" si="54"/>
        <v>30000000</v>
      </c>
      <c r="O410" s="43" t="s">
        <v>67</v>
      </c>
      <c r="P410" s="43" t="s">
        <v>25</v>
      </c>
    </row>
    <row r="411" spans="1:16" s="44" customFormat="1">
      <c r="A411" s="36"/>
      <c r="B411" s="164"/>
      <c r="C411" s="36"/>
      <c r="D411" s="36"/>
      <c r="E411" s="165"/>
      <c r="F411" s="122"/>
      <c r="G411" s="122"/>
      <c r="H411" s="166"/>
      <c r="I411" s="125"/>
      <c r="J411" s="36"/>
      <c r="K411" s="39"/>
      <c r="L411" s="138"/>
      <c r="M411" s="138"/>
      <c r="N411" s="138"/>
      <c r="O411" s="167"/>
      <c r="P411" s="168"/>
    </row>
    <row r="412" spans="1:16" s="44" customFormat="1">
      <c r="A412" s="36"/>
      <c r="B412" s="169" t="s">
        <v>7</v>
      </c>
      <c r="C412" s="36"/>
      <c r="D412" s="36"/>
      <c r="E412" s="165"/>
      <c r="F412" s="125">
        <f>SUM(F5:F411)</f>
        <v>9248674688</v>
      </c>
      <c r="G412" s="125">
        <f t="shared" ref="G412:N412" si="58">SUM(G5:G411)</f>
        <v>12620632800</v>
      </c>
      <c r="H412" s="125">
        <f t="shared" si="58"/>
        <v>304812142</v>
      </c>
      <c r="I412" s="125">
        <f t="shared" si="58"/>
        <v>110984098</v>
      </c>
      <c r="J412" s="125">
        <f t="shared" si="58"/>
        <v>8980</v>
      </c>
      <c r="K412" s="125">
        <f t="shared" si="58"/>
        <v>8062</v>
      </c>
      <c r="L412" s="125">
        <f t="shared" si="58"/>
        <v>415796240</v>
      </c>
      <c r="M412" s="125">
        <f t="shared" si="58"/>
        <v>8330880820</v>
      </c>
      <c r="N412" s="125">
        <f t="shared" si="58"/>
        <v>6095358963</v>
      </c>
      <c r="O412" s="122"/>
      <c r="P412" s="122"/>
    </row>
    <row r="413" spans="1:16" s="44" customFormat="1" ht="20.25">
      <c r="A413" s="170" t="s">
        <v>1388</v>
      </c>
      <c r="B413" s="2"/>
      <c r="C413" s="171"/>
      <c r="D413" s="171"/>
      <c r="E413" s="172"/>
      <c r="F413" s="173"/>
      <c r="G413" s="173"/>
      <c r="H413" s="174"/>
      <c r="I413" s="175"/>
      <c r="J413" s="8"/>
      <c r="L413" s="176"/>
      <c r="M413" s="177"/>
      <c r="N413" s="177"/>
      <c r="O413" s="178"/>
      <c r="P413" s="179"/>
    </row>
    <row r="414" spans="1:16" s="44" customFormat="1">
      <c r="A414" s="180" t="s">
        <v>2</v>
      </c>
      <c r="B414" s="180" t="s">
        <v>3</v>
      </c>
      <c r="C414" s="180" t="s">
        <v>4</v>
      </c>
      <c r="D414" s="180"/>
      <c r="E414" s="181" t="s">
        <v>1389</v>
      </c>
      <c r="F414" s="182" t="s">
        <v>1390</v>
      </c>
      <c r="G414" s="182" t="s">
        <v>1391</v>
      </c>
      <c r="H414" s="180" t="s">
        <v>1392</v>
      </c>
      <c r="I414" s="183" t="s">
        <v>1393</v>
      </c>
      <c r="J414" s="3"/>
      <c r="K414" s="2"/>
      <c r="L414" s="91"/>
      <c r="M414" s="91"/>
      <c r="N414" s="177"/>
      <c r="O414" s="178"/>
      <c r="P414" s="179"/>
    </row>
    <row r="415" spans="1:16">
      <c r="A415" s="36">
        <v>1</v>
      </c>
      <c r="B415" s="42" t="s">
        <v>1394</v>
      </c>
      <c r="C415" s="124" t="s">
        <v>565</v>
      </c>
      <c r="D415" s="124"/>
      <c r="E415" s="45">
        <v>42160</v>
      </c>
      <c r="F415" s="125">
        <v>6000000</v>
      </c>
      <c r="G415" s="162">
        <v>0</v>
      </c>
      <c r="H415" s="125">
        <v>0</v>
      </c>
      <c r="I415" s="125"/>
      <c r="J415" s="3"/>
      <c r="K415" s="2"/>
      <c r="L415" s="91"/>
      <c r="M415" s="91"/>
    </row>
    <row r="416" spans="1:16">
      <c r="A416" s="36">
        <f>+A415+1</f>
        <v>2</v>
      </c>
      <c r="B416" s="42" t="s">
        <v>1067</v>
      </c>
      <c r="C416" s="124" t="s">
        <v>1068</v>
      </c>
      <c r="D416" s="124"/>
      <c r="E416" s="45">
        <v>42333</v>
      </c>
      <c r="F416" s="162">
        <f>5000000</f>
        <v>5000000</v>
      </c>
      <c r="G416" s="42">
        <v>0</v>
      </c>
      <c r="H416" s="125">
        <v>0</v>
      </c>
      <c r="I416" s="125"/>
      <c r="J416" s="7"/>
      <c r="K416" s="7"/>
      <c r="L416" s="91"/>
      <c r="M416" s="91"/>
    </row>
    <row r="417" spans="1:16">
      <c r="A417" s="36">
        <f t="shared" ref="A417:A429" si="59">+A416+1</f>
        <v>3</v>
      </c>
      <c r="B417" s="42" t="s">
        <v>1395</v>
      </c>
      <c r="C417" s="124" t="s">
        <v>1396</v>
      </c>
      <c r="D417" s="124"/>
      <c r="E417" s="45">
        <v>42425</v>
      </c>
      <c r="F417" s="122">
        <v>8700000</v>
      </c>
      <c r="G417" s="122"/>
      <c r="H417" s="166"/>
      <c r="I417" s="125"/>
      <c r="J417" s="3"/>
      <c r="K417" s="2"/>
      <c r="L417" s="91"/>
      <c r="M417" s="91"/>
      <c r="N417" s="185"/>
      <c r="O417" s="185"/>
      <c r="P417" s="185"/>
    </row>
    <row r="418" spans="1:16">
      <c r="A418" s="36">
        <f t="shared" si="59"/>
        <v>4</v>
      </c>
      <c r="B418" s="42" t="s">
        <v>1397</v>
      </c>
      <c r="C418" s="124" t="s">
        <v>1398</v>
      </c>
      <c r="D418" s="124"/>
      <c r="E418" s="128">
        <v>42586</v>
      </c>
      <c r="F418" s="162">
        <f>3000000</f>
        <v>3000000</v>
      </c>
      <c r="G418" s="42">
        <v>0</v>
      </c>
      <c r="H418" s="125">
        <v>0</v>
      </c>
      <c r="I418" s="125"/>
      <c r="J418" s="3"/>
      <c r="K418" s="2"/>
      <c r="L418" s="91"/>
      <c r="M418" s="91"/>
      <c r="N418" s="185"/>
      <c r="O418" s="185"/>
      <c r="P418" s="185"/>
    </row>
    <row r="419" spans="1:16">
      <c r="A419" s="36">
        <f t="shared" si="59"/>
        <v>5</v>
      </c>
      <c r="B419" s="42" t="s">
        <v>1339</v>
      </c>
      <c r="C419" s="124" t="s">
        <v>1340</v>
      </c>
      <c r="D419" s="124"/>
      <c r="E419" s="45">
        <v>42639</v>
      </c>
      <c r="F419" s="162">
        <v>5000000</v>
      </c>
      <c r="G419" s="42">
        <v>0</v>
      </c>
      <c r="H419" s="125">
        <v>0</v>
      </c>
      <c r="I419" s="125"/>
      <c r="J419" s="3"/>
      <c r="K419" s="2"/>
      <c r="L419" s="91"/>
      <c r="M419" s="91"/>
      <c r="N419" s="185"/>
      <c r="O419" s="185"/>
      <c r="P419" s="185"/>
    </row>
    <row r="420" spans="1:16">
      <c r="A420" s="36">
        <f t="shared" si="59"/>
        <v>6</v>
      </c>
      <c r="B420" s="42" t="s">
        <v>301</v>
      </c>
      <c r="C420" s="124" t="s">
        <v>302</v>
      </c>
      <c r="D420" s="36"/>
      <c r="E420" s="45">
        <v>42699</v>
      </c>
      <c r="F420" s="125">
        <v>6500000</v>
      </c>
      <c r="G420" s="162">
        <v>2000000</v>
      </c>
      <c r="H420" s="42">
        <v>0</v>
      </c>
      <c r="I420" s="125"/>
      <c r="J420" s="3"/>
      <c r="K420" s="2"/>
      <c r="L420" s="91"/>
      <c r="M420" s="91"/>
      <c r="N420" s="185"/>
      <c r="O420" s="185"/>
      <c r="P420" s="185"/>
    </row>
    <row r="421" spans="1:16">
      <c r="A421" s="36">
        <f t="shared" si="59"/>
        <v>7</v>
      </c>
      <c r="B421" s="42" t="s">
        <v>577</v>
      </c>
      <c r="C421" s="124" t="s">
        <v>578</v>
      </c>
      <c r="D421" s="36"/>
      <c r="E421" s="45">
        <v>42702</v>
      </c>
      <c r="F421" s="125">
        <v>10000000</v>
      </c>
      <c r="G421" s="162">
        <v>0</v>
      </c>
      <c r="H421" s="42">
        <v>0</v>
      </c>
      <c r="I421" s="125"/>
      <c r="J421" s="3"/>
      <c r="K421" s="2"/>
      <c r="L421" s="91"/>
      <c r="M421" s="91"/>
      <c r="N421" s="185"/>
      <c r="O421" s="185"/>
      <c r="P421" s="185"/>
    </row>
    <row r="422" spans="1:16">
      <c r="A422" s="36">
        <f t="shared" si="59"/>
        <v>8</v>
      </c>
      <c r="B422" s="39" t="s">
        <v>377</v>
      </c>
      <c r="C422" s="40" t="s">
        <v>378</v>
      </c>
      <c r="D422" s="41" t="s">
        <v>379</v>
      </c>
      <c r="E422" s="45">
        <v>42811</v>
      </c>
      <c r="F422" s="42">
        <v>5000000</v>
      </c>
      <c r="G422" s="46">
        <v>0</v>
      </c>
      <c r="H422" s="42">
        <v>0</v>
      </c>
      <c r="I422" s="125"/>
      <c r="J422" s="3"/>
      <c r="K422" s="2"/>
      <c r="L422" s="91"/>
      <c r="M422" s="91"/>
      <c r="N422" s="185"/>
      <c r="O422" s="185"/>
      <c r="P422" s="185"/>
    </row>
    <row r="423" spans="1:16">
      <c r="A423" s="36">
        <f t="shared" si="59"/>
        <v>9</v>
      </c>
      <c r="B423" s="42" t="s">
        <v>904</v>
      </c>
      <c r="C423" s="124" t="s">
        <v>905</v>
      </c>
      <c r="D423" s="41" t="s">
        <v>906</v>
      </c>
      <c r="E423" s="45">
        <v>42871</v>
      </c>
      <c r="F423" s="46">
        <v>5000000</v>
      </c>
      <c r="G423" s="46">
        <v>0</v>
      </c>
      <c r="H423" s="46">
        <v>2000000</v>
      </c>
      <c r="I423" s="125"/>
      <c r="J423" s="3"/>
      <c r="K423" s="2"/>
      <c r="L423" s="91"/>
      <c r="M423" s="91"/>
      <c r="N423" s="185"/>
      <c r="O423" s="185"/>
      <c r="P423" s="185"/>
    </row>
    <row r="424" spans="1:16">
      <c r="A424" s="36">
        <f t="shared" si="59"/>
        <v>10</v>
      </c>
      <c r="B424" s="42" t="s">
        <v>901</v>
      </c>
      <c r="C424" s="124" t="s">
        <v>902</v>
      </c>
      <c r="D424" s="41" t="s">
        <v>903</v>
      </c>
      <c r="E424" s="45">
        <v>42881</v>
      </c>
      <c r="F424" s="46">
        <v>6000000</v>
      </c>
      <c r="G424" s="46">
        <v>0</v>
      </c>
      <c r="H424" s="46">
        <v>0</v>
      </c>
      <c r="I424" s="125"/>
      <c r="J424" s="3"/>
      <c r="K424" s="2"/>
      <c r="L424" s="91"/>
      <c r="M424" s="91"/>
      <c r="N424" s="185"/>
      <c r="O424" s="185"/>
      <c r="P424" s="185"/>
    </row>
    <row r="425" spans="1:16">
      <c r="A425" s="36">
        <f t="shared" si="59"/>
        <v>11</v>
      </c>
      <c r="B425" s="39" t="s">
        <v>808</v>
      </c>
      <c r="C425" s="40" t="s">
        <v>809</v>
      </c>
      <c r="D425" s="41" t="s">
        <v>810</v>
      </c>
      <c r="E425" s="45">
        <v>42930</v>
      </c>
      <c r="F425" s="46">
        <v>10000000</v>
      </c>
      <c r="G425" s="46">
        <v>0</v>
      </c>
      <c r="H425" s="46">
        <v>0</v>
      </c>
      <c r="I425" s="125"/>
    </row>
    <row r="426" spans="1:16">
      <c r="A426" s="36">
        <f t="shared" si="59"/>
        <v>12</v>
      </c>
      <c r="B426" s="39" t="s">
        <v>812</v>
      </c>
      <c r="C426" s="40" t="s">
        <v>813</v>
      </c>
      <c r="D426" s="41" t="s">
        <v>814</v>
      </c>
      <c r="E426" s="45">
        <v>42972</v>
      </c>
      <c r="F426" s="122">
        <v>7000000</v>
      </c>
      <c r="G426" s="46">
        <v>0</v>
      </c>
      <c r="H426" s="46">
        <v>0</v>
      </c>
      <c r="I426" s="125"/>
    </row>
    <row r="427" spans="1:16">
      <c r="A427" s="36">
        <f t="shared" si="59"/>
        <v>13</v>
      </c>
      <c r="B427" s="39" t="s">
        <v>456</v>
      </c>
      <c r="C427" s="40" t="s">
        <v>457</v>
      </c>
      <c r="D427" s="41" t="s">
        <v>458</v>
      </c>
      <c r="E427" s="45">
        <v>43063</v>
      </c>
      <c r="F427" s="186">
        <v>2000000</v>
      </c>
      <c r="G427" s="186">
        <v>3000000</v>
      </c>
      <c r="H427" s="186">
        <v>2000000</v>
      </c>
      <c r="I427" s="39"/>
      <c r="J427" s="44"/>
      <c r="L427" s="185"/>
      <c r="M427" s="185"/>
      <c r="N427" s="185"/>
      <c r="O427" s="185"/>
      <c r="P427" s="185"/>
    </row>
    <row r="428" spans="1:16">
      <c r="A428" s="36">
        <f t="shared" si="59"/>
        <v>14</v>
      </c>
      <c r="B428" s="39" t="s">
        <v>1378</v>
      </c>
      <c r="C428" s="40" t="s">
        <v>1379</v>
      </c>
      <c r="D428" s="41" t="s">
        <v>1380</v>
      </c>
      <c r="E428" s="28">
        <v>43143</v>
      </c>
      <c r="F428" s="186">
        <v>5000000</v>
      </c>
      <c r="G428" s="186">
        <v>0</v>
      </c>
      <c r="H428" s="186">
        <v>2000000</v>
      </c>
      <c r="I428" s="39"/>
      <c r="J428" s="44"/>
      <c r="L428" s="185"/>
      <c r="M428" s="185"/>
      <c r="N428" s="185"/>
      <c r="O428" s="185"/>
      <c r="P428" s="185"/>
    </row>
    <row r="429" spans="1:16">
      <c r="A429" s="36">
        <f t="shared" si="59"/>
        <v>15</v>
      </c>
      <c r="B429" s="26" t="s">
        <v>21</v>
      </c>
      <c r="C429" s="27" t="s">
        <v>22</v>
      </c>
      <c r="D429" s="28" t="s">
        <v>23</v>
      </c>
      <c r="E429" s="28">
        <v>43154</v>
      </c>
      <c r="F429" s="30">
        <v>5000000</v>
      </c>
      <c r="G429" s="30">
        <v>0</v>
      </c>
      <c r="H429" s="30">
        <v>1000000</v>
      </c>
      <c r="I429" s="39"/>
      <c r="J429" s="44"/>
      <c r="L429" s="185"/>
      <c r="M429" s="185"/>
      <c r="N429" s="185"/>
      <c r="O429" s="185"/>
      <c r="P429" s="185"/>
    </row>
    <row r="430" spans="1:16">
      <c r="A430" s="44"/>
      <c r="C430" s="44"/>
      <c r="D430" s="44"/>
      <c r="E430" s="44"/>
      <c r="F430" s="44"/>
      <c r="G430" s="44"/>
      <c r="H430" s="44"/>
      <c r="I430" s="44"/>
      <c r="J430" s="44"/>
      <c r="L430" s="185"/>
      <c r="M430" s="185"/>
      <c r="N430" s="185"/>
      <c r="O430" s="185"/>
      <c r="P430" s="185"/>
    </row>
    <row r="431" spans="1:16">
      <c r="A431" s="44"/>
      <c r="C431" s="44"/>
      <c r="D431" s="44"/>
      <c r="E431" s="44"/>
      <c r="F431" s="44"/>
      <c r="G431" s="44"/>
      <c r="H431" s="44"/>
      <c r="I431" s="44"/>
      <c r="J431" s="44"/>
      <c r="L431" s="185"/>
      <c r="M431" s="185"/>
      <c r="N431" s="185"/>
      <c r="O431" s="185"/>
      <c r="P431" s="185"/>
    </row>
    <row r="432" spans="1:16">
      <c r="A432" s="44"/>
      <c r="C432" s="44"/>
      <c r="D432" s="44"/>
      <c r="E432" s="44"/>
      <c r="F432" s="44"/>
      <c r="G432" s="44"/>
      <c r="H432" s="44"/>
      <c r="I432" s="44"/>
      <c r="J432" s="44"/>
      <c r="L432" s="185"/>
      <c r="M432" s="185"/>
      <c r="N432" s="185"/>
      <c r="O432" s="185"/>
      <c r="P432" s="185"/>
    </row>
    <row r="433" spans="1:16">
      <c r="A433" s="44"/>
      <c r="C433" s="44"/>
      <c r="D433" s="44"/>
      <c r="E433" s="44"/>
      <c r="F433" s="44"/>
      <c r="G433" s="44"/>
      <c r="H433" s="44"/>
      <c r="I433" s="44"/>
      <c r="J433" s="44"/>
      <c r="L433" s="185"/>
      <c r="M433" s="185"/>
      <c r="N433" s="185"/>
      <c r="O433" s="185"/>
      <c r="P433" s="185"/>
    </row>
    <row r="434" spans="1:16">
      <c r="A434" s="44"/>
      <c r="C434" s="44"/>
      <c r="D434" s="44"/>
      <c r="E434" s="44"/>
      <c r="F434" s="44"/>
      <c r="G434" s="44"/>
      <c r="H434" s="44"/>
      <c r="I434" s="44"/>
      <c r="J434" s="44"/>
      <c r="L434" s="185"/>
      <c r="M434" s="185"/>
      <c r="N434" s="185"/>
      <c r="O434" s="185"/>
      <c r="P434" s="185"/>
    </row>
    <row r="435" spans="1:16">
      <c r="A435" s="44"/>
      <c r="C435" s="44"/>
      <c r="D435" s="44"/>
      <c r="E435" s="44"/>
      <c r="F435" s="44"/>
      <c r="G435" s="44"/>
      <c r="H435" s="44"/>
      <c r="I435" s="44"/>
      <c r="J435" s="44"/>
      <c r="L435" s="185"/>
      <c r="M435" s="185"/>
      <c r="N435" s="185"/>
      <c r="O435" s="185"/>
      <c r="P435" s="185"/>
    </row>
    <row r="436" spans="1:16">
      <c r="A436" s="44"/>
      <c r="C436" s="44"/>
      <c r="D436" s="44"/>
      <c r="E436" s="44"/>
      <c r="F436" s="44"/>
      <c r="G436" s="44"/>
      <c r="H436" s="44"/>
      <c r="I436" s="44"/>
      <c r="J436" s="44"/>
      <c r="L436" s="185"/>
      <c r="M436" s="185"/>
      <c r="N436" s="185"/>
      <c r="O436" s="185"/>
      <c r="P436" s="185"/>
    </row>
    <row r="437" spans="1:16">
      <c r="A437" s="44"/>
      <c r="C437" s="44"/>
      <c r="D437" s="44"/>
      <c r="E437" s="44"/>
      <c r="F437" s="44"/>
      <c r="G437" s="44"/>
      <c r="H437" s="44"/>
      <c r="I437" s="44"/>
      <c r="J437" s="44"/>
      <c r="L437" s="185"/>
      <c r="M437" s="185"/>
      <c r="N437" s="185"/>
      <c r="O437" s="185"/>
      <c r="P437" s="185"/>
    </row>
    <row r="438" spans="1:16">
      <c r="A438" s="44"/>
      <c r="C438" s="44"/>
      <c r="D438" s="44"/>
      <c r="E438" s="44"/>
      <c r="F438" s="44"/>
      <c r="G438" s="44"/>
      <c r="H438" s="44"/>
      <c r="I438" s="44"/>
      <c r="J438" s="44"/>
      <c r="L438" s="185"/>
      <c r="M438" s="185"/>
      <c r="N438" s="185"/>
      <c r="O438" s="185"/>
      <c r="P438" s="185"/>
    </row>
    <row r="439" spans="1:16">
      <c r="A439" s="44"/>
      <c r="C439" s="44"/>
      <c r="D439" s="44"/>
      <c r="E439" s="44"/>
      <c r="F439" s="44"/>
      <c r="G439" s="44"/>
      <c r="H439" s="44"/>
      <c r="I439" s="44"/>
      <c r="J439" s="44"/>
      <c r="L439" s="185"/>
      <c r="M439" s="185"/>
      <c r="N439" s="185"/>
      <c r="O439" s="185"/>
      <c r="P439" s="185"/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82"/>
  <sheetViews>
    <sheetView showGridLines="0" tabSelected="1" view="pageBreakPreview" topLeftCell="G1" zoomScaleSheetLayoutView="100" workbookViewId="0">
      <pane ySplit="4" topLeftCell="A53" activePane="bottomLeft" state="frozen"/>
      <selection pane="bottomLeft" activeCell="N58" sqref="N58"/>
    </sheetView>
  </sheetViews>
  <sheetFormatPr defaultRowHeight="15.75"/>
  <cols>
    <col min="1" max="1" width="10" style="8" bestFit="1" customWidth="1"/>
    <col min="2" max="2" width="32" style="44" bestFit="1" customWidth="1"/>
    <col min="3" max="3" width="12.7109375" style="8" bestFit="1" customWidth="1"/>
    <col min="4" max="4" width="9.140625" style="8" bestFit="1" customWidth="1"/>
    <col min="5" max="5" width="14" style="187" bestFit="1" customWidth="1"/>
    <col min="6" max="6" width="18.140625" style="173" bestFit="1" customWidth="1"/>
    <col min="7" max="7" width="18.5703125" style="173" bestFit="1" customWidth="1"/>
    <col min="8" max="8" width="16.140625" style="175" bestFit="1" customWidth="1"/>
    <col min="9" max="9" width="15.7109375" style="175" bestFit="1" customWidth="1"/>
    <col min="10" max="10" width="10.42578125" style="8" bestFit="1" customWidth="1"/>
    <col min="11" max="11" width="10.42578125" style="44" bestFit="1" customWidth="1"/>
    <col min="12" max="12" width="16" style="177" bestFit="1" customWidth="1"/>
    <col min="13" max="14" width="18.28515625" style="177" bestFit="1" customWidth="1"/>
    <col min="15" max="15" width="26.5703125" style="178" bestFit="1" customWidth="1"/>
    <col min="16" max="16" width="28.140625" style="179" bestFit="1" customWidth="1"/>
    <col min="17" max="17" width="9.140625" style="2"/>
    <col min="18" max="16384" width="9.140625" style="44"/>
  </cols>
  <sheetData>
    <row r="1" spans="1:17" ht="24" customHeight="1">
      <c r="A1" s="88" t="s">
        <v>0</v>
      </c>
      <c r="B1" s="2"/>
      <c r="C1" s="3"/>
      <c r="D1" s="3"/>
      <c r="E1" s="4"/>
      <c r="F1" s="89"/>
      <c r="G1" s="188"/>
      <c r="H1" s="55"/>
      <c r="I1" s="188"/>
      <c r="J1" s="189"/>
      <c r="K1" s="189"/>
      <c r="L1" s="91"/>
      <c r="M1" s="91"/>
      <c r="N1" s="91"/>
      <c r="O1" s="92"/>
      <c r="P1" s="1"/>
    </row>
    <row r="2" spans="1:17" ht="24" customHeight="1">
      <c r="A2" s="93" t="s">
        <v>1399</v>
      </c>
      <c r="B2" s="2"/>
      <c r="C2" s="3"/>
      <c r="D2" s="3"/>
      <c r="E2" s="4"/>
      <c r="F2" s="89"/>
      <c r="G2" s="188"/>
      <c r="H2" s="55"/>
      <c r="I2" s="188"/>
      <c r="J2" s="189"/>
      <c r="K2" s="189"/>
      <c r="L2" s="91"/>
      <c r="M2" s="91"/>
      <c r="N2" s="91"/>
      <c r="O2" s="92"/>
      <c r="P2" s="1"/>
    </row>
    <row r="3" spans="1:17" s="200" customFormat="1" ht="24" customHeight="1">
      <c r="A3" s="190" t="s">
        <v>2</v>
      </c>
      <c r="B3" s="190" t="s">
        <v>3</v>
      </c>
      <c r="C3" s="190" t="s">
        <v>4</v>
      </c>
      <c r="D3" s="190" t="s">
        <v>72</v>
      </c>
      <c r="E3" s="191" t="s">
        <v>5</v>
      </c>
      <c r="F3" s="192" t="s">
        <v>6</v>
      </c>
      <c r="G3" s="192" t="s">
        <v>7</v>
      </c>
      <c r="H3" s="193" t="s">
        <v>8</v>
      </c>
      <c r="I3" s="194" t="s">
        <v>9</v>
      </c>
      <c r="J3" s="195" t="s">
        <v>10</v>
      </c>
      <c r="K3" s="190" t="s">
        <v>11</v>
      </c>
      <c r="L3" s="196" t="s">
        <v>12</v>
      </c>
      <c r="M3" s="197" t="s">
        <v>13</v>
      </c>
      <c r="N3" s="197" t="s">
        <v>14</v>
      </c>
      <c r="O3" s="198" t="s">
        <v>79</v>
      </c>
      <c r="P3" s="190" t="s">
        <v>80</v>
      </c>
      <c r="Q3" s="199"/>
    </row>
    <row r="4" spans="1:17" s="200" customFormat="1" ht="24" customHeight="1">
      <c r="A4" s="201"/>
      <c r="B4" s="202"/>
      <c r="C4" s="202"/>
      <c r="D4" s="202"/>
      <c r="E4" s="203" t="s">
        <v>18</v>
      </c>
      <c r="F4" s="204"/>
      <c r="G4" s="205" t="s">
        <v>6</v>
      </c>
      <c r="H4" s="206"/>
      <c r="I4" s="207"/>
      <c r="J4" s="208"/>
      <c r="K4" s="202" t="s">
        <v>19</v>
      </c>
      <c r="L4" s="209" t="s">
        <v>20</v>
      </c>
      <c r="M4" s="210" t="s">
        <v>9</v>
      </c>
      <c r="N4" s="210"/>
      <c r="O4" s="211"/>
      <c r="P4" s="212"/>
      <c r="Q4" s="199"/>
    </row>
    <row r="5" spans="1:17" customFormat="1" ht="24" customHeight="1">
      <c r="A5" s="65">
        <v>1</v>
      </c>
      <c r="B5" s="213" t="s">
        <v>1400</v>
      </c>
      <c r="C5" s="214" t="s">
        <v>114</v>
      </c>
      <c r="D5" s="73"/>
      <c r="E5" s="45">
        <v>42872</v>
      </c>
      <c r="F5" s="70">
        <f>1155000</f>
        <v>1155000</v>
      </c>
      <c r="G5" s="70">
        <f t="shared" ref="G5:G68" si="0">+J5*L5</f>
        <v>1293600</v>
      </c>
      <c r="H5" s="70">
        <f>+F5/J5</f>
        <v>115500</v>
      </c>
      <c r="I5" s="215">
        <f t="shared" ref="I5:I20" si="1">+F5*1.2%</f>
        <v>13860</v>
      </c>
      <c r="J5" s="73">
        <v>10</v>
      </c>
      <c r="K5" s="36">
        <v>1</v>
      </c>
      <c r="L5" s="69">
        <f t="shared" ref="L5:L68" si="2">+H5+I5</f>
        <v>129360</v>
      </c>
      <c r="M5" s="68">
        <f t="shared" ref="M5:M68" si="3">+K5*L5</f>
        <v>129360</v>
      </c>
      <c r="N5" s="68">
        <f>+H5*K5</f>
        <v>115500</v>
      </c>
      <c r="O5" s="79"/>
      <c r="P5" s="71" t="s">
        <v>1401</v>
      </c>
    </row>
    <row r="6" spans="1:17" customFormat="1" ht="24" customHeight="1">
      <c r="A6" s="65">
        <f t="shared" ref="A6:A52" si="4">+A5+1</f>
        <v>2</v>
      </c>
      <c r="B6" s="74" t="s">
        <v>129</v>
      </c>
      <c r="C6" s="75" t="s">
        <v>130</v>
      </c>
      <c r="D6" s="75" t="s">
        <v>1402</v>
      </c>
      <c r="E6" s="45">
        <v>43091</v>
      </c>
      <c r="F6" s="70">
        <f>660000</f>
        <v>660000</v>
      </c>
      <c r="G6" s="70">
        <f t="shared" si="0"/>
        <v>739200</v>
      </c>
      <c r="H6" s="216">
        <f>+F6/J6</f>
        <v>66000</v>
      </c>
      <c r="I6" s="70">
        <f t="shared" si="1"/>
        <v>7920</v>
      </c>
      <c r="J6" s="73">
        <v>10</v>
      </c>
      <c r="K6" s="36">
        <v>8</v>
      </c>
      <c r="L6" s="69">
        <f t="shared" si="2"/>
        <v>73920</v>
      </c>
      <c r="M6" s="68">
        <f t="shared" si="3"/>
        <v>591360</v>
      </c>
      <c r="N6" s="70">
        <f>+H6*K6</f>
        <v>528000</v>
      </c>
      <c r="O6" s="217" t="s">
        <v>1403</v>
      </c>
      <c r="P6" s="217" t="s">
        <v>1404</v>
      </c>
    </row>
    <row r="7" spans="1:17" customFormat="1" ht="24" customHeight="1">
      <c r="A7" s="65">
        <f t="shared" si="4"/>
        <v>3</v>
      </c>
      <c r="B7" s="213" t="s">
        <v>1405</v>
      </c>
      <c r="C7" s="214" t="s">
        <v>1373</v>
      </c>
      <c r="D7" s="214" t="s">
        <v>1406</v>
      </c>
      <c r="E7" s="45">
        <v>43039</v>
      </c>
      <c r="F7" s="70">
        <f>880000</f>
        <v>880000</v>
      </c>
      <c r="G7" s="70">
        <f t="shared" si="0"/>
        <v>985600</v>
      </c>
      <c r="H7" s="70">
        <f>+F7/J7</f>
        <v>88000</v>
      </c>
      <c r="I7" s="70">
        <f t="shared" si="1"/>
        <v>10560</v>
      </c>
      <c r="J7" s="73">
        <v>10</v>
      </c>
      <c r="K7" s="36">
        <v>6</v>
      </c>
      <c r="L7" s="69">
        <f t="shared" si="2"/>
        <v>98560</v>
      </c>
      <c r="M7" s="68">
        <f t="shared" si="3"/>
        <v>591360</v>
      </c>
      <c r="N7" s="218">
        <f>+H7*K7</f>
        <v>528000</v>
      </c>
      <c r="O7" s="78" t="s">
        <v>1407</v>
      </c>
      <c r="P7" s="71" t="s">
        <v>1408</v>
      </c>
    </row>
    <row r="8" spans="1:17" customFormat="1" ht="24" customHeight="1">
      <c r="A8" s="65">
        <f t="shared" si="4"/>
        <v>4</v>
      </c>
      <c r="B8" s="74" t="s">
        <v>1409</v>
      </c>
      <c r="C8" s="75" t="s">
        <v>158</v>
      </c>
      <c r="D8" s="75" t="s">
        <v>1410</v>
      </c>
      <c r="E8" s="45">
        <v>43105</v>
      </c>
      <c r="F8" s="70">
        <f>3999000</f>
        <v>3999000</v>
      </c>
      <c r="G8" s="70">
        <f t="shared" si="0"/>
        <v>4574856</v>
      </c>
      <c r="H8" s="119">
        <f>+F8/J8</f>
        <v>333250</v>
      </c>
      <c r="I8" s="119">
        <f t="shared" si="1"/>
        <v>47988</v>
      </c>
      <c r="J8" s="73">
        <v>12</v>
      </c>
      <c r="K8" s="36">
        <v>10</v>
      </c>
      <c r="L8" s="69">
        <f t="shared" si="2"/>
        <v>381238</v>
      </c>
      <c r="M8" s="68">
        <f t="shared" si="3"/>
        <v>3812380</v>
      </c>
      <c r="N8" s="70">
        <f>+H8*K8</f>
        <v>3332500</v>
      </c>
      <c r="O8" s="71" t="s">
        <v>1411</v>
      </c>
      <c r="P8" s="71" t="s">
        <v>1412</v>
      </c>
    </row>
    <row r="9" spans="1:17" customFormat="1" ht="24" customHeight="1">
      <c r="A9" s="65">
        <f t="shared" si="4"/>
        <v>5</v>
      </c>
      <c r="B9" s="213" t="s">
        <v>175</v>
      </c>
      <c r="C9" s="214" t="s">
        <v>176</v>
      </c>
      <c r="D9" s="73"/>
      <c r="E9" s="45">
        <v>42872</v>
      </c>
      <c r="F9" s="70">
        <f>825000</f>
        <v>825000</v>
      </c>
      <c r="G9" s="70">
        <f t="shared" si="0"/>
        <v>924000</v>
      </c>
      <c r="H9" s="70">
        <f>+F9/J9</f>
        <v>82500</v>
      </c>
      <c r="I9" s="215">
        <f t="shared" si="1"/>
        <v>9900</v>
      </c>
      <c r="J9" s="73">
        <v>10</v>
      </c>
      <c r="K9" s="36">
        <v>1</v>
      </c>
      <c r="L9" s="69">
        <f t="shared" si="2"/>
        <v>92400</v>
      </c>
      <c r="M9" s="68">
        <f t="shared" si="3"/>
        <v>92400</v>
      </c>
      <c r="N9" s="68">
        <f>+H9*K9</f>
        <v>82500</v>
      </c>
      <c r="O9" s="79"/>
      <c r="P9" s="71" t="s">
        <v>1413</v>
      </c>
    </row>
    <row r="10" spans="1:17" customFormat="1" ht="24" customHeight="1">
      <c r="A10" s="73">
        <f t="shared" si="4"/>
        <v>6</v>
      </c>
      <c r="B10" s="213" t="s">
        <v>1414</v>
      </c>
      <c r="C10" s="214" t="s">
        <v>1415</v>
      </c>
      <c r="D10" s="214" t="s">
        <v>1416</v>
      </c>
      <c r="E10" s="45">
        <v>42942</v>
      </c>
      <c r="F10" s="70">
        <f>52000+520000</f>
        <v>572000</v>
      </c>
      <c r="G10" s="70">
        <f t="shared" si="0"/>
        <v>711000</v>
      </c>
      <c r="H10" s="70">
        <f>39500-I10</f>
        <v>32636</v>
      </c>
      <c r="I10" s="70">
        <f t="shared" si="1"/>
        <v>6864</v>
      </c>
      <c r="J10" s="73">
        <v>18</v>
      </c>
      <c r="K10" s="36">
        <v>11</v>
      </c>
      <c r="L10" s="69">
        <f t="shared" si="2"/>
        <v>39500</v>
      </c>
      <c r="M10" s="68">
        <f t="shared" si="3"/>
        <v>434500</v>
      </c>
      <c r="N10" s="85">
        <f>F10-(H10*7)</f>
        <v>343548</v>
      </c>
      <c r="O10" s="78" t="s">
        <v>1417</v>
      </c>
      <c r="P10" s="71" t="s">
        <v>1418</v>
      </c>
    </row>
    <row r="11" spans="1:17" customFormat="1" ht="24" customHeight="1">
      <c r="A11" s="65">
        <f t="shared" si="4"/>
        <v>7</v>
      </c>
      <c r="B11" s="213" t="s">
        <v>1414</v>
      </c>
      <c r="C11" s="214" t="s">
        <v>1415</v>
      </c>
      <c r="D11" s="214" t="s">
        <v>1419</v>
      </c>
      <c r="E11" s="45">
        <v>42962</v>
      </c>
      <c r="F11" s="70">
        <f>127600+1148400</f>
        <v>1276000</v>
      </c>
      <c r="G11" s="70">
        <f t="shared" si="0"/>
        <v>1557000</v>
      </c>
      <c r="H11" s="70">
        <v>71188</v>
      </c>
      <c r="I11" s="70">
        <f t="shared" si="1"/>
        <v>15312</v>
      </c>
      <c r="J11" s="73">
        <v>18</v>
      </c>
      <c r="K11" s="36">
        <v>11</v>
      </c>
      <c r="L11" s="68">
        <f t="shared" si="2"/>
        <v>86500</v>
      </c>
      <c r="M11" s="68">
        <f t="shared" si="3"/>
        <v>951500</v>
      </c>
      <c r="N11" s="85">
        <f>F11-(H11*7)</f>
        <v>777684</v>
      </c>
      <c r="O11" s="79" t="s">
        <v>1420</v>
      </c>
      <c r="P11" s="78" t="s">
        <v>1421</v>
      </c>
    </row>
    <row r="12" spans="1:17" customFormat="1" ht="24" customHeight="1">
      <c r="A12" s="65">
        <f t="shared" si="4"/>
        <v>8</v>
      </c>
      <c r="B12" s="219" t="s">
        <v>1422</v>
      </c>
      <c r="C12" s="220" t="s">
        <v>1423</v>
      </c>
      <c r="D12" s="220"/>
      <c r="E12" s="221">
        <v>41731</v>
      </c>
      <c r="F12" s="222">
        <f>5500000+55000</f>
        <v>5555000</v>
      </c>
      <c r="G12" s="223">
        <f t="shared" si="0"/>
        <v>7154880</v>
      </c>
      <c r="H12" s="148">
        <v>231460</v>
      </c>
      <c r="I12" s="222">
        <f t="shared" si="1"/>
        <v>66660</v>
      </c>
      <c r="J12" s="150">
        <v>24</v>
      </c>
      <c r="K12" s="150">
        <f>4+1</f>
        <v>5</v>
      </c>
      <c r="L12" s="42">
        <f t="shared" si="2"/>
        <v>298120</v>
      </c>
      <c r="M12" s="42">
        <f t="shared" si="3"/>
        <v>1490600</v>
      </c>
      <c r="N12" s="224">
        <f>+H12*K12</f>
        <v>1157300</v>
      </c>
      <c r="O12" s="225" t="s">
        <v>152</v>
      </c>
      <c r="P12" s="226" t="s">
        <v>1424</v>
      </c>
    </row>
    <row r="13" spans="1:17" customFormat="1" ht="24" customHeight="1">
      <c r="A13" s="73">
        <f t="shared" si="4"/>
        <v>9</v>
      </c>
      <c r="B13" s="74" t="s">
        <v>1425</v>
      </c>
      <c r="C13" s="75" t="s">
        <v>1426</v>
      </c>
      <c r="D13" s="75" t="s">
        <v>1427</v>
      </c>
      <c r="E13" s="45">
        <v>43019</v>
      </c>
      <c r="F13" s="70">
        <f>1575000+50000</f>
        <v>1625000</v>
      </c>
      <c r="G13" s="70">
        <f t="shared" si="0"/>
        <v>1866000</v>
      </c>
      <c r="H13" s="70">
        <f>155500-I13</f>
        <v>136000</v>
      </c>
      <c r="I13" s="70">
        <f t="shared" si="1"/>
        <v>19500</v>
      </c>
      <c r="J13" s="73">
        <v>12</v>
      </c>
      <c r="K13" s="36">
        <f>7</f>
        <v>7</v>
      </c>
      <c r="L13" s="69">
        <f t="shared" si="2"/>
        <v>155500</v>
      </c>
      <c r="M13" s="68">
        <f t="shared" si="3"/>
        <v>1088500</v>
      </c>
      <c r="N13" s="227">
        <f>F13-(H13*5)</f>
        <v>945000</v>
      </c>
      <c r="O13" s="78" t="s">
        <v>1428</v>
      </c>
      <c r="P13" s="71" t="s">
        <v>1429</v>
      </c>
    </row>
    <row r="14" spans="1:17" customFormat="1" ht="24" customHeight="1">
      <c r="A14" s="65">
        <f t="shared" si="4"/>
        <v>10</v>
      </c>
      <c r="B14" s="74" t="s">
        <v>1430</v>
      </c>
      <c r="C14" s="75" t="s">
        <v>1431</v>
      </c>
      <c r="D14" s="75" t="s">
        <v>1432</v>
      </c>
      <c r="E14" s="45">
        <v>43019</v>
      </c>
      <c r="F14" s="70">
        <v>150000</v>
      </c>
      <c r="G14" s="70">
        <f t="shared" si="0"/>
        <v>168000</v>
      </c>
      <c r="H14" s="70">
        <f>+F14/J14</f>
        <v>15000</v>
      </c>
      <c r="I14" s="70">
        <f t="shared" si="1"/>
        <v>1800</v>
      </c>
      <c r="J14" s="73">
        <v>10</v>
      </c>
      <c r="K14" s="36">
        <v>5</v>
      </c>
      <c r="L14" s="69">
        <f t="shared" si="2"/>
        <v>16800</v>
      </c>
      <c r="M14" s="68">
        <f t="shared" si="3"/>
        <v>84000</v>
      </c>
      <c r="N14" s="218">
        <f>+H14*K14</f>
        <v>75000</v>
      </c>
      <c r="O14" s="78" t="s">
        <v>1433</v>
      </c>
      <c r="P14" s="71" t="s">
        <v>1434</v>
      </c>
    </row>
    <row r="15" spans="1:17" customFormat="1" ht="24" customHeight="1">
      <c r="A15" s="65">
        <f t="shared" si="4"/>
        <v>11</v>
      </c>
      <c r="B15" s="228" t="s">
        <v>1435</v>
      </c>
      <c r="C15" s="229" t="s">
        <v>1436</v>
      </c>
      <c r="D15" s="229" t="s">
        <v>1437</v>
      </c>
      <c r="E15" s="147">
        <v>42954</v>
      </c>
      <c r="F15" s="230">
        <f>22385000+100000</f>
        <v>22485000</v>
      </c>
      <c r="G15" s="230">
        <f t="shared" si="0"/>
        <v>32238000</v>
      </c>
      <c r="H15" s="230">
        <v>625680</v>
      </c>
      <c r="I15" s="230">
        <f t="shared" si="1"/>
        <v>269820</v>
      </c>
      <c r="J15" s="231">
        <v>36</v>
      </c>
      <c r="K15" s="150">
        <f>30+1</f>
        <v>31</v>
      </c>
      <c r="L15" s="69">
        <f t="shared" si="2"/>
        <v>895500</v>
      </c>
      <c r="M15" s="68">
        <f t="shared" si="3"/>
        <v>27760500</v>
      </c>
      <c r="N15" s="85">
        <f>F15-(H15*5)</f>
        <v>19356600</v>
      </c>
      <c r="O15" s="78" t="s">
        <v>1438</v>
      </c>
      <c r="P15" s="71" t="s">
        <v>1439</v>
      </c>
    </row>
    <row r="16" spans="1:17" customFormat="1" ht="24" customHeight="1">
      <c r="A16" s="65">
        <f t="shared" si="4"/>
        <v>12</v>
      </c>
      <c r="B16" s="213" t="s">
        <v>1440</v>
      </c>
      <c r="C16" s="214" t="s">
        <v>302</v>
      </c>
      <c r="D16" s="214" t="s">
        <v>1441</v>
      </c>
      <c r="E16" s="45">
        <v>42972</v>
      </c>
      <c r="F16" s="70">
        <f>1276000+308000+308000</f>
        <v>1892000</v>
      </c>
      <c r="G16" s="70">
        <f t="shared" si="0"/>
        <v>2119040</v>
      </c>
      <c r="H16" s="70">
        <f>+F16/J16</f>
        <v>189200</v>
      </c>
      <c r="I16" s="70">
        <f t="shared" si="1"/>
        <v>22704</v>
      </c>
      <c r="J16" s="73">
        <v>10</v>
      </c>
      <c r="K16" s="36">
        <v>4</v>
      </c>
      <c r="L16" s="69">
        <f t="shared" si="2"/>
        <v>211904</v>
      </c>
      <c r="M16" s="68">
        <f t="shared" si="3"/>
        <v>847616</v>
      </c>
      <c r="N16" s="68">
        <f>+H16*K16</f>
        <v>756800</v>
      </c>
      <c r="O16" s="78" t="s">
        <v>303</v>
      </c>
      <c r="P16" s="78" t="s">
        <v>1442</v>
      </c>
    </row>
    <row r="17" spans="1:16" customFormat="1">
      <c r="A17" s="65">
        <f t="shared" si="4"/>
        <v>13</v>
      </c>
      <c r="B17" s="213" t="s">
        <v>1443</v>
      </c>
      <c r="C17" s="214" t="s">
        <v>1444</v>
      </c>
      <c r="D17" s="214" t="s">
        <v>1445</v>
      </c>
      <c r="E17" s="45">
        <v>42972</v>
      </c>
      <c r="F17" s="70">
        <f>704000+880000</f>
        <v>1584000</v>
      </c>
      <c r="G17" s="70">
        <f t="shared" si="0"/>
        <v>1774080</v>
      </c>
      <c r="H17" s="70">
        <f>+F17/J17</f>
        <v>158400</v>
      </c>
      <c r="I17" s="70">
        <f t="shared" si="1"/>
        <v>19008</v>
      </c>
      <c r="J17" s="73">
        <v>10</v>
      </c>
      <c r="K17" s="36">
        <v>4</v>
      </c>
      <c r="L17" s="69">
        <f t="shared" si="2"/>
        <v>177408</v>
      </c>
      <c r="M17" s="68">
        <f t="shared" si="3"/>
        <v>709632</v>
      </c>
      <c r="N17" s="68">
        <f>+H17*K17</f>
        <v>633600</v>
      </c>
      <c r="O17" s="78" t="s">
        <v>303</v>
      </c>
      <c r="P17" s="78" t="s">
        <v>1446</v>
      </c>
    </row>
    <row r="18" spans="1:16" customFormat="1">
      <c r="A18" s="65">
        <f t="shared" si="4"/>
        <v>14</v>
      </c>
      <c r="B18" s="213" t="s">
        <v>1447</v>
      </c>
      <c r="C18" s="214" t="s">
        <v>475</v>
      </c>
      <c r="D18" s="214" t="s">
        <v>1448</v>
      </c>
      <c r="E18" s="45">
        <v>43007</v>
      </c>
      <c r="F18" s="70">
        <f>100000+16735000</f>
        <v>16835000</v>
      </c>
      <c r="G18" s="70">
        <f t="shared" si="0"/>
        <v>24120000</v>
      </c>
      <c r="H18" s="70">
        <f>670000-I18</f>
        <v>467980</v>
      </c>
      <c r="I18" s="70">
        <f t="shared" si="1"/>
        <v>202020</v>
      </c>
      <c r="J18" s="73">
        <v>36</v>
      </c>
      <c r="K18" s="36">
        <v>31</v>
      </c>
      <c r="L18" s="69">
        <f t="shared" si="2"/>
        <v>670000</v>
      </c>
      <c r="M18" s="68">
        <f t="shared" si="3"/>
        <v>20770000</v>
      </c>
      <c r="N18" s="121">
        <f>F18-(H18*5)</f>
        <v>14495100</v>
      </c>
      <c r="O18" s="78" t="s">
        <v>1449</v>
      </c>
      <c r="P18" s="71" t="s">
        <v>1450</v>
      </c>
    </row>
    <row r="19" spans="1:16" customFormat="1">
      <c r="A19" s="65">
        <f t="shared" si="4"/>
        <v>15</v>
      </c>
      <c r="B19" s="213" t="s">
        <v>1451</v>
      </c>
      <c r="C19" s="214" t="s">
        <v>1452</v>
      </c>
      <c r="D19" s="214" t="s">
        <v>1453</v>
      </c>
      <c r="E19" s="45">
        <v>42951</v>
      </c>
      <c r="F19" s="70">
        <f>160000+1430000</f>
        <v>1590000</v>
      </c>
      <c r="G19" s="70">
        <f t="shared" si="0"/>
        <v>1818960</v>
      </c>
      <c r="H19" s="70">
        <f>+F19/J19</f>
        <v>132500</v>
      </c>
      <c r="I19" s="70">
        <f t="shared" si="1"/>
        <v>19080</v>
      </c>
      <c r="J19" s="73">
        <v>12</v>
      </c>
      <c r="K19" s="36">
        <v>5</v>
      </c>
      <c r="L19" s="69">
        <f t="shared" si="2"/>
        <v>151580</v>
      </c>
      <c r="M19" s="68">
        <f t="shared" si="3"/>
        <v>757900</v>
      </c>
      <c r="N19" s="68">
        <f>+H19*K19</f>
        <v>662500</v>
      </c>
      <c r="O19" s="78" t="s">
        <v>1454</v>
      </c>
      <c r="P19" s="78" t="s">
        <v>1455</v>
      </c>
    </row>
    <row r="20" spans="1:16" customFormat="1">
      <c r="A20" s="65">
        <f t="shared" si="4"/>
        <v>16</v>
      </c>
      <c r="B20" s="213" t="s">
        <v>1456</v>
      </c>
      <c r="C20" s="214" t="s">
        <v>1457</v>
      </c>
      <c r="D20" s="214" t="s">
        <v>1458</v>
      </c>
      <c r="E20" s="45">
        <v>42970</v>
      </c>
      <c r="F20" s="70">
        <f>35900000+100000</f>
        <v>36000000</v>
      </c>
      <c r="G20" s="70">
        <f t="shared" si="0"/>
        <v>51552000</v>
      </c>
      <c r="H20" s="70">
        <f>+F20/J20</f>
        <v>1000000</v>
      </c>
      <c r="I20" s="70">
        <f t="shared" si="1"/>
        <v>432000</v>
      </c>
      <c r="J20" s="73">
        <v>36</v>
      </c>
      <c r="K20" s="36">
        <v>30</v>
      </c>
      <c r="L20" s="68">
        <f t="shared" si="2"/>
        <v>1432000</v>
      </c>
      <c r="M20" s="68">
        <f t="shared" si="3"/>
        <v>42960000</v>
      </c>
      <c r="N20" s="68">
        <f>+H20*K20</f>
        <v>30000000</v>
      </c>
      <c r="O20" s="79" t="s">
        <v>1459</v>
      </c>
      <c r="P20" s="71" t="s">
        <v>1460</v>
      </c>
    </row>
    <row r="21" spans="1:16" customFormat="1">
      <c r="A21" s="65">
        <f t="shared" si="4"/>
        <v>17</v>
      </c>
      <c r="B21" s="213" t="s">
        <v>1461</v>
      </c>
      <c r="C21" s="214" t="s">
        <v>1462</v>
      </c>
      <c r="D21" s="214" t="s">
        <v>1463</v>
      </c>
      <c r="E21" s="45">
        <v>42993</v>
      </c>
      <c r="F21" s="70">
        <f>800000+100000+17870000</f>
        <v>18770000</v>
      </c>
      <c r="G21" s="70">
        <f t="shared" si="0"/>
        <v>21022800</v>
      </c>
      <c r="H21" s="216">
        <v>1564200</v>
      </c>
      <c r="I21" s="70">
        <v>187700</v>
      </c>
      <c r="J21" s="73">
        <v>12</v>
      </c>
      <c r="K21" s="36">
        <v>6</v>
      </c>
      <c r="L21" s="69">
        <f t="shared" si="2"/>
        <v>1751900</v>
      </c>
      <c r="M21" s="68">
        <f t="shared" si="3"/>
        <v>10511400</v>
      </c>
      <c r="N21" s="121">
        <f>F21-(H21*6)</f>
        <v>9384800</v>
      </c>
      <c r="O21" s="78" t="s">
        <v>1464</v>
      </c>
      <c r="P21" s="71" t="s">
        <v>1465</v>
      </c>
    </row>
    <row r="22" spans="1:16" customFormat="1">
      <c r="A22" s="65">
        <f t="shared" si="4"/>
        <v>18</v>
      </c>
      <c r="B22" s="74" t="s">
        <v>1461</v>
      </c>
      <c r="C22" s="75" t="s">
        <v>1462</v>
      </c>
      <c r="D22" s="75" t="s">
        <v>1466</v>
      </c>
      <c r="E22" s="45">
        <v>43041</v>
      </c>
      <c r="F22" s="70">
        <f>1645000+50000</f>
        <v>1695000</v>
      </c>
      <c r="G22" s="70">
        <f t="shared" si="0"/>
        <v>1695000</v>
      </c>
      <c r="H22" s="70">
        <f>+F22/J22</f>
        <v>141250</v>
      </c>
      <c r="I22" s="70">
        <v>0</v>
      </c>
      <c r="J22" s="73">
        <v>12</v>
      </c>
      <c r="K22" s="36">
        <v>8</v>
      </c>
      <c r="L22" s="69">
        <f t="shared" si="2"/>
        <v>141250</v>
      </c>
      <c r="M22" s="68">
        <f t="shared" si="3"/>
        <v>1130000</v>
      </c>
      <c r="N22" s="68">
        <f>+H22*K22</f>
        <v>1130000</v>
      </c>
      <c r="O22" s="71" t="s">
        <v>1467</v>
      </c>
      <c r="P22" s="71" t="s">
        <v>1468</v>
      </c>
    </row>
    <row r="23" spans="1:16" customFormat="1">
      <c r="A23" s="65">
        <f t="shared" si="4"/>
        <v>19</v>
      </c>
      <c r="B23" s="213" t="s">
        <v>1469</v>
      </c>
      <c r="C23" s="214" t="s">
        <v>1470</v>
      </c>
      <c r="D23" s="214" t="s">
        <v>1471</v>
      </c>
      <c r="E23" s="45">
        <v>43017</v>
      </c>
      <c r="F23" s="70">
        <f>15545000+800000+100000</f>
        <v>16445000</v>
      </c>
      <c r="G23" s="70">
        <f t="shared" si="0"/>
        <v>25944000</v>
      </c>
      <c r="H23" s="70">
        <v>343160</v>
      </c>
      <c r="I23" s="70">
        <f t="shared" ref="I23:I60" si="5">+F23*1.2%</f>
        <v>197340</v>
      </c>
      <c r="J23" s="73">
        <v>48</v>
      </c>
      <c r="K23" s="36">
        <v>43</v>
      </c>
      <c r="L23" s="69">
        <f t="shared" si="2"/>
        <v>540500</v>
      </c>
      <c r="M23" s="68">
        <f t="shared" si="3"/>
        <v>23241500</v>
      </c>
      <c r="N23" s="85">
        <f>F23-(H23*5)</f>
        <v>14729200</v>
      </c>
      <c r="O23" s="78" t="s">
        <v>1472</v>
      </c>
      <c r="P23" s="71" t="s">
        <v>1473</v>
      </c>
    </row>
    <row r="24" spans="1:16" customFormat="1">
      <c r="A24" s="65">
        <f t="shared" si="4"/>
        <v>20</v>
      </c>
      <c r="B24" s="74" t="s">
        <v>1474</v>
      </c>
      <c r="C24" s="75" t="s">
        <v>1475</v>
      </c>
      <c r="D24" s="75" t="s">
        <v>1476</v>
      </c>
      <c r="E24" s="45">
        <v>43098</v>
      </c>
      <c r="F24" s="70">
        <f>2400000</f>
        <v>2400000</v>
      </c>
      <c r="G24" s="70">
        <f t="shared" si="0"/>
        <v>2688000</v>
      </c>
      <c r="H24" s="70">
        <f>+F24/J24</f>
        <v>240000</v>
      </c>
      <c r="I24" s="70">
        <f t="shared" si="5"/>
        <v>28800</v>
      </c>
      <c r="J24" s="73">
        <v>10</v>
      </c>
      <c r="K24" s="36">
        <v>8</v>
      </c>
      <c r="L24" s="69">
        <f t="shared" si="2"/>
        <v>268800</v>
      </c>
      <c r="M24" s="68">
        <f t="shared" si="3"/>
        <v>2150400</v>
      </c>
      <c r="N24" s="70">
        <f>+H24*K24</f>
        <v>1920000</v>
      </c>
      <c r="O24" s="217" t="s">
        <v>1477</v>
      </c>
      <c r="P24" s="217" t="s">
        <v>1478</v>
      </c>
    </row>
    <row r="25" spans="1:16" customFormat="1">
      <c r="A25" s="65">
        <f t="shared" si="4"/>
        <v>21</v>
      </c>
      <c r="B25" s="74" t="s">
        <v>1479</v>
      </c>
      <c r="C25" s="75" t="s">
        <v>1480</v>
      </c>
      <c r="D25" s="75" t="s">
        <v>1481</v>
      </c>
      <c r="E25" s="45">
        <v>43126</v>
      </c>
      <c r="F25" s="70">
        <f>3999000+75000</f>
        <v>4074000</v>
      </c>
      <c r="G25" s="70">
        <f t="shared" si="0"/>
        <v>4660656</v>
      </c>
      <c r="H25" s="119">
        <f>+F25/J25</f>
        <v>339500</v>
      </c>
      <c r="I25" s="119">
        <f t="shared" si="5"/>
        <v>48888</v>
      </c>
      <c r="J25" s="73">
        <v>12</v>
      </c>
      <c r="K25" s="36">
        <v>11</v>
      </c>
      <c r="L25" s="69">
        <f t="shared" si="2"/>
        <v>388388</v>
      </c>
      <c r="M25" s="68">
        <f t="shared" si="3"/>
        <v>4272268</v>
      </c>
      <c r="N25" s="70">
        <f>+H25*K25</f>
        <v>3734500</v>
      </c>
      <c r="O25" s="71" t="s">
        <v>1482</v>
      </c>
      <c r="P25" s="71" t="s">
        <v>1483</v>
      </c>
    </row>
    <row r="26" spans="1:16" customFormat="1">
      <c r="A26" s="65">
        <f t="shared" si="4"/>
        <v>22</v>
      </c>
      <c r="B26" s="213" t="s">
        <v>1484</v>
      </c>
      <c r="C26" s="214" t="s">
        <v>1485</v>
      </c>
      <c r="D26" s="214" t="s">
        <v>1486</v>
      </c>
      <c r="E26" s="45">
        <v>42972</v>
      </c>
      <c r="F26" s="70">
        <f>308000</f>
        <v>308000</v>
      </c>
      <c r="G26" s="70">
        <f t="shared" si="0"/>
        <v>344960</v>
      </c>
      <c r="H26" s="70">
        <f>+F26/J26</f>
        <v>30800</v>
      </c>
      <c r="I26" s="70">
        <f t="shared" si="5"/>
        <v>3696</v>
      </c>
      <c r="J26" s="73">
        <v>10</v>
      </c>
      <c r="K26" s="36">
        <v>4</v>
      </c>
      <c r="L26" s="69">
        <f t="shared" si="2"/>
        <v>34496</v>
      </c>
      <c r="M26" s="68">
        <f t="shared" si="3"/>
        <v>137984</v>
      </c>
      <c r="N26" s="68">
        <f>+H26*K26</f>
        <v>123200</v>
      </c>
      <c r="O26" s="78" t="s">
        <v>1487</v>
      </c>
      <c r="P26" s="71" t="s">
        <v>1488</v>
      </c>
    </row>
    <row r="27" spans="1:16" customFormat="1">
      <c r="A27" s="73">
        <f t="shared" si="4"/>
        <v>23</v>
      </c>
      <c r="B27" s="74" t="s">
        <v>1489</v>
      </c>
      <c r="C27" s="75" t="s">
        <v>1490</v>
      </c>
      <c r="D27" s="75" t="s">
        <v>1491</v>
      </c>
      <c r="E27" s="45">
        <v>43019</v>
      </c>
      <c r="F27" s="70">
        <v>540000</v>
      </c>
      <c r="G27" s="70">
        <f t="shared" si="0"/>
        <v>604800</v>
      </c>
      <c r="H27" s="70">
        <f>+F27/J27</f>
        <v>54000</v>
      </c>
      <c r="I27" s="70">
        <f t="shared" si="5"/>
        <v>6480</v>
      </c>
      <c r="J27" s="73">
        <v>10</v>
      </c>
      <c r="K27" s="36">
        <v>5</v>
      </c>
      <c r="L27" s="69">
        <f t="shared" si="2"/>
        <v>60480</v>
      </c>
      <c r="M27" s="68">
        <f t="shared" si="3"/>
        <v>302400</v>
      </c>
      <c r="N27" s="218">
        <f>+H27*K27</f>
        <v>270000</v>
      </c>
      <c r="O27" s="78" t="s">
        <v>1492</v>
      </c>
      <c r="P27" s="71" t="s">
        <v>1401</v>
      </c>
    </row>
    <row r="28" spans="1:16" customFormat="1">
      <c r="A28" s="73">
        <f t="shared" si="4"/>
        <v>24</v>
      </c>
      <c r="B28" s="74" t="s">
        <v>646</v>
      </c>
      <c r="C28" s="75" t="s">
        <v>647</v>
      </c>
      <c r="D28" s="75" t="s">
        <v>1493</v>
      </c>
      <c r="E28" s="45">
        <v>43018</v>
      </c>
      <c r="F28" s="70">
        <f>1276000+308000</f>
        <v>1584000</v>
      </c>
      <c r="G28" s="70">
        <f t="shared" si="0"/>
        <v>1774080</v>
      </c>
      <c r="H28" s="70">
        <f>+F28/J28</f>
        <v>158400</v>
      </c>
      <c r="I28" s="70">
        <f t="shared" si="5"/>
        <v>19008</v>
      </c>
      <c r="J28" s="73">
        <v>10</v>
      </c>
      <c r="K28" s="36">
        <v>5</v>
      </c>
      <c r="L28" s="69">
        <f t="shared" si="2"/>
        <v>177408</v>
      </c>
      <c r="M28" s="68">
        <f t="shared" si="3"/>
        <v>887040</v>
      </c>
      <c r="N28" s="218">
        <f>+H28*K28</f>
        <v>792000</v>
      </c>
      <c r="O28" s="78" t="s">
        <v>648</v>
      </c>
      <c r="P28" s="71" t="s">
        <v>1494</v>
      </c>
    </row>
    <row r="29" spans="1:16" customFormat="1">
      <c r="A29" s="65">
        <f t="shared" si="4"/>
        <v>25</v>
      </c>
      <c r="B29" s="213" t="s">
        <v>1495</v>
      </c>
      <c r="C29" s="214" t="s">
        <v>1496</v>
      </c>
      <c r="D29" s="214"/>
      <c r="E29" s="45">
        <v>43004</v>
      </c>
      <c r="F29" s="70">
        <f>23150000+100000</f>
        <v>23250000</v>
      </c>
      <c r="G29" s="70">
        <f t="shared" si="0"/>
        <v>33318000</v>
      </c>
      <c r="H29" s="70">
        <f>925500-I29</f>
        <v>646500</v>
      </c>
      <c r="I29" s="70">
        <f t="shared" si="5"/>
        <v>279000</v>
      </c>
      <c r="J29" s="73">
        <v>36</v>
      </c>
      <c r="K29" s="36">
        <v>31</v>
      </c>
      <c r="L29" s="69">
        <f t="shared" si="2"/>
        <v>925500</v>
      </c>
      <c r="M29" s="68">
        <f t="shared" si="3"/>
        <v>28690500</v>
      </c>
      <c r="N29" s="121">
        <f>F29-(H29*5)</f>
        <v>20017500</v>
      </c>
      <c r="O29" s="78" t="s">
        <v>1497</v>
      </c>
      <c r="P29" s="71" t="s">
        <v>1498</v>
      </c>
    </row>
    <row r="30" spans="1:16" customFormat="1">
      <c r="A30" s="65">
        <f t="shared" si="4"/>
        <v>26</v>
      </c>
      <c r="B30" s="213" t="s">
        <v>1499</v>
      </c>
      <c r="C30" s="214" t="s">
        <v>1500</v>
      </c>
      <c r="D30" s="214" t="s">
        <v>1501</v>
      </c>
      <c r="E30" s="45">
        <v>42972</v>
      </c>
      <c r="F30" s="70">
        <f>308000</f>
        <v>308000</v>
      </c>
      <c r="G30" s="70">
        <f t="shared" si="0"/>
        <v>344960</v>
      </c>
      <c r="H30" s="70">
        <f>+F30/J30</f>
        <v>30800</v>
      </c>
      <c r="I30" s="70">
        <f t="shared" si="5"/>
        <v>3696</v>
      </c>
      <c r="J30" s="73">
        <v>10</v>
      </c>
      <c r="K30" s="36">
        <v>4</v>
      </c>
      <c r="L30" s="69">
        <f t="shared" si="2"/>
        <v>34496</v>
      </c>
      <c r="M30" s="68">
        <f t="shared" si="3"/>
        <v>137984</v>
      </c>
      <c r="N30" s="68">
        <f>+H30*K30</f>
        <v>123200</v>
      </c>
      <c r="O30" s="78" t="s">
        <v>303</v>
      </c>
      <c r="P30" s="71" t="s">
        <v>1488</v>
      </c>
    </row>
    <row r="31" spans="1:16" customFormat="1">
      <c r="A31" s="65">
        <f t="shared" si="4"/>
        <v>27</v>
      </c>
      <c r="B31" s="74" t="s">
        <v>1502</v>
      </c>
      <c r="C31" s="75" t="s">
        <v>1503</v>
      </c>
      <c r="D31" s="75" t="s">
        <v>1504</v>
      </c>
      <c r="E31" s="45">
        <v>43089</v>
      </c>
      <c r="F31" s="70">
        <f>23250000</f>
        <v>23250000</v>
      </c>
      <c r="G31" s="70">
        <f t="shared" si="0"/>
        <v>33300000</v>
      </c>
      <c r="H31" s="216">
        <v>646000</v>
      </c>
      <c r="I31" s="70">
        <f t="shared" si="5"/>
        <v>279000</v>
      </c>
      <c r="J31" s="73">
        <v>36</v>
      </c>
      <c r="K31" s="36">
        <v>34</v>
      </c>
      <c r="L31" s="69">
        <f t="shared" si="2"/>
        <v>925000</v>
      </c>
      <c r="M31" s="68">
        <f t="shared" si="3"/>
        <v>31450000</v>
      </c>
      <c r="N31" s="33">
        <f>F31-(H31*2)</f>
        <v>21958000</v>
      </c>
      <c r="O31" s="232" t="s">
        <v>1505</v>
      </c>
      <c r="P31" s="217" t="s">
        <v>1506</v>
      </c>
    </row>
    <row r="32" spans="1:16" customFormat="1">
      <c r="A32" s="65">
        <f t="shared" si="4"/>
        <v>28</v>
      </c>
      <c r="B32" s="213" t="s">
        <v>1362</v>
      </c>
      <c r="C32" s="214" t="s">
        <v>1363</v>
      </c>
      <c r="D32" s="214" t="s">
        <v>1507</v>
      </c>
      <c r="E32" s="45">
        <v>43039</v>
      </c>
      <c r="F32" s="70">
        <f>1276000</f>
        <v>1276000</v>
      </c>
      <c r="G32" s="70">
        <f t="shared" si="0"/>
        <v>1429120</v>
      </c>
      <c r="H32" s="70">
        <f>+F32/J32</f>
        <v>127600</v>
      </c>
      <c r="I32" s="70">
        <f t="shared" si="5"/>
        <v>15312</v>
      </c>
      <c r="J32" s="73">
        <v>10</v>
      </c>
      <c r="K32" s="36">
        <v>6</v>
      </c>
      <c r="L32" s="69">
        <f t="shared" si="2"/>
        <v>142912</v>
      </c>
      <c r="M32" s="68">
        <f t="shared" si="3"/>
        <v>857472</v>
      </c>
      <c r="N32" s="218">
        <f>+H32*K32</f>
        <v>765600</v>
      </c>
      <c r="O32" s="78" t="s">
        <v>1407</v>
      </c>
      <c r="P32" s="71" t="s">
        <v>1508</v>
      </c>
    </row>
    <row r="33" spans="1:16" customFormat="1">
      <c r="A33" s="65">
        <f t="shared" si="4"/>
        <v>29</v>
      </c>
      <c r="B33" s="74" t="s">
        <v>1509</v>
      </c>
      <c r="C33" s="75" t="s">
        <v>1510</v>
      </c>
      <c r="D33" s="75" t="s">
        <v>1511</v>
      </c>
      <c r="E33" s="45">
        <v>43098</v>
      </c>
      <c r="F33" s="70">
        <f>1300000</f>
        <v>1300000</v>
      </c>
      <c r="G33" s="70">
        <f t="shared" si="0"/>
        <v>1378000</v>
      </c>
      <c r="H33" s="70">
        <f>+F33/J33</f>
        <v>260000</v>
      </c>
      <c r="I33" s="70">
        <f t="shared" si="5"/>
        <v>15600</v>
      </c>
      <c r="J33" s="73">
        <v>5</v>
      </c>
      <c r="K33" s="36">
        <v>3</v>
      </c>
      <c r="L33" s="69">
        <f t="shared" si="2"/>
        <v>275600</v>
      </c>
      <c r="M33" s="68">
        <f t="shared" si="3"/>
        <v>826800</v>
      </c>
      <c r="N33" s="70">
        <f>+H33*K33</f>
        <v>780000</v>
      </c>
      <c r="O33" s="217" t="s">
        <v>1512</v>
      </c>
      <c r="P33" s="217" t="s">
        <v>1513</v>
      </c>
    </row>
    <row r="34" spans="1:16" customFormat="1">
      <c r="A34" s="65">
        <f t="shared" si="4"/>
        <v>30</v>
      </c>
      <c r="B34" s="74" t="s">
        <v>1514</v>
      </c>
      <c r="C34" s="75" t="s">
        <v>1515</v>
      </c>
      <c r="D34" s="75" t="s">
        <v>1516</v>
      </c>
      <c r="E34" s="45">
        <v>43025</v>
      </c>
      <c r="F34" s="70">
        <f>80000+800000</f>
        <v>880000</v>
      </c>
      <c r="G34" s="70">
        <f t="shared" si="0"/>
        <v>985600</v>
      </c>
      <c r="H34" s="70">
        <f>+F34/J34</f>
        <v>88000</v>
      </c>
      <c r="I34" s="70">
        <f t="shared" si="5"/>
        <v>10560</v>
      </c>
      <c r="J34" s="73">
        <v>10</v>
      </c>
      <c r="K34" s="36">
        <v>5</v>
      </c>
      <c r="L34" s="69">
        <f t="shared" si="2"/>
        <v>98560</v>
      </c>
      <c r="M34" s="68">
        <f t="shared" si="3"/>
        <v>492800</v>
      </c>
      <c r="N34" s="218">
        <f>+H34*K34</f>
        <v>440000</v>
      </c>
      <c r="O34" s="78" t="s">
        <v>246</v>
      </c>
      <c r="P34" s="71" t="s">
        <v>1494</v>
      </c>
    </row>
    <row r="35" spans="1:16" customFormat="1">
      <c r="A35" s="65">
        <f t="shared" si="4"/>
        <v>31</v>
      </c>
      <c r="B35" s="213" t="s">
        <v>1517</v>
      </c>
      <c r="C35" s="214" t="s">
        <v>765</v>
      </c>
      <c r="D35" s="214" t="s">
        <v>1518</v>
      </c>
      <c r="E35" s="45">
        <v>42956</v>
      </c>
      <c r="F35" s="70">
        <v>1276000</v>
      </c>
      <c r="G35" s="70">
        <f t="shared" si="0"/>
        <v>1429120</v>
      </c>
      <c r="H35" s="70">
        <f>+F35/J35</f>
        <v>127600</v>
      </c>
      <c r="I35" s="70">
        <f t="shared" si="5"/>
        <v>15312</v>
      </c>
      <c r="J35" s="73">
        <v>10</v>
      </c>
      <c r="K35" s="36">
        <v>3</v>
      </c>
      <c r="L35" s="68">
        <f t="shared" si="2"/>
        <v>142912</v>
      </c>
      <c r="M35" s="68">
        <f t="shared" si="3"/>
        <v>428736</v>
      </c>
      <c r="N35" s="68">
        <f>+H35*K35</f>
        <v>382800</v>
      </c>
      <c r="O35" s="79" t="s">
        <v>1519</v>
      </c>
      <c r="P35" s="78" t="s">
        <v>1520</v>
      </c>
    </row>
    <row r="36" spans="1:16" customFormat="1">
      <c r="A36" s="65">
        <f t="shared" si="4"/>
        <v>32</v>
      </c>
      <c r="B36" s="213" t="s">
        <v>1521</v>
      </c>
      <c r="C36" s="214" t="s">
        <v>769</v>
      </c>
      <c r="D36" s="214" t="s">
        <v>1522</v>
      </c>
      <c r="E36" s="45">
        <v>42961</v>
      </c>
      <c r="F36" s="233">
        <f>16345000+100000</f>
        <v>16445000</v>
      </c>
      <c r="G36" s="70">
        <f t="shared" si="0"/>
        <v>21204000</v>
      </c>
      <c r="H36" s="70">
        <v>686160</v>
      </c>
      <c r="I36" s="70">
        <f t="shared" si="5"/>
        <v>197340</v>
      </c>
      <c r="J36" s="73">
        <v>24</v>
      </c>
      <c r="K36" s="36">
        <v>17</v>
      </c>
      <c r="L36" s="68">
        <f t="shared" si="2"/>
        <v>883500</v>
      </c>
      <c r="M36" s="68">
        <f t="shared" si="3"/>
        <v>15019500</v>
      </c>
      <c r="N36" s="85">
        <f>F36-(H36*7)</f>
        <v>11641880</v>
      </c>
      <c r="O36" s="79" t="s">
        <v>1523</v>
      </c>
      <c r="P36" s="78" t="s">
        <v>1524</v>
      </c>
    </row>
    <row r="37" spans="1:16" customFormat="1">
      <c r="A37" s="65">
        <f t="shared" si="4"/>
        <v>33</v>
      </c>
      <c r="B37" s="74" t="s">
        <v>1525</v>
      </c>
      <c r="C37" s="75" t="s">
        <v>1526</v>
      </c>
      <c r="D37" s="75" t="s">
        <v>1527</v>
      </c>
      <c r="E37" s="45">
        <v>43089</v>
      </c>
      <c r="F37" s="70">
        <f>3999000+2150000</f>
        <v>6149000</v>
      </c>
      <c r="G37" s="70">
        <f t="shared" si="0"/>
        <v>7044000</v>
      </c>
      <c r="H37" s="70">
        <f>587000-I37</f>
        <v>513212</v>
      </c>
      <c r="I37" s="70">
        <f t="shared" si="5"/>
        <v>73788</v>
      </c>
      <c r="J37" s="73">
        <v>12</v>
      </c>
      <c r="K37" s="36">
        <v>10</v>
      </c>
      <c r="L37" s="69">
        <f t="shared" si="2"/>
        <v>587000</v>
      </c>
      <c r="M37" s="68">
        <f t="shared" si="3"/>
        <v>5870000</v>
      </c>
      <c r="N37" s="33">
        <f>F37-(H37*2)</f>
        <v>5122576</v>
      </c>
      <c r="O37" s="71" t="s">
        <v>1528</v>
      </c>
      <c r="P37" s="71" t="s">
        <v>1529</v>
      </c>
    </row>
    <row r="38" spans="1:16" customFormat="1">
      <c r="A38" s="73">
        <f t="shared" si="4"/>
        <v>34</v>
      </c>
      <c r="B38" s="74" t="s">
        <v>1530</v>
      </c>
      <c r="C38" s="75" t="s">
        <v>1531</v>
      </c>
      <c r="D38" s="75" t="s">
        <v>1532</v>
      </c>
      <c r="E38" s="45">
        <v>43091</v>
      </c>
      <c r="F38" s="70">
        <f>1743500</f>
        <v>1743500</v>
      </c>
      <c r="G38" s="70">
        <f t="shared" si="0"/>
        <v>1952720</v>
      </c>
      <c r="H38" s="216">
        <f>+F38/J38</f>
        <v>174350</v>
      </c>
      <c r="I38" s="70">
        <f t="shared" si="5"/>
        <v>20922</v>
      </c>
      <c r="J38" s="73">
        <v>10</v>
      </c>
      <c r="K38" s="36">
        <v>8</v>
      </c>
      <c r="L38" s="69">
        <f t="shared" si="2"/>
        <v>195272</v>
      </c>
      <c r="M38" s="68">
        <f t="shared" si="3"/>
        <v>1562176</v>
      </c>
      <c r="N38" s="70">
        <f>+H38*K38</f>
        <v>1394800</v>
      </c>
      <c r="O38" s="217" t="s">
        <v>1533</v>
      </c>
      <c r="P38" s="217" t="s">
        <v>1534</v>
      </c>
    </row>
    <row r="39" spans="1:16" customFormat="1">
      <c r="A39" s="73">
        <f t="shared" si="4"/>
        <v>35</v>
      </c>
      <c r="B39" s="74" t="s">
        <v>1535</v>
      </c>
      <c r="C39" s="75" t="s">
        <v>1536</v>
      </c>
      <c r="D39" s="75" t="s">
        <v>1537</v>
      </c>
      <c r="E39" s="45">
        <v>43073</v>
      </c>
      <c r="F39" s="70">
        <f>30100000</f>
        <v>30100000</v>
      </c>
      <c r="G39" s="70">
        <f t="shared" si="0"/>
        <v>47472000</v>
      </c>
      <c r="H39" s="216">
        <v>627800</v>
      </c>
      <c r="I39" s="70">
        <f t="shared" si="5"/>
        <v>361200</v>
      </c>
      <c r="J39" s="73">
        <v>48</v>
      </c>
      <c r="K39" s="36">
        <v>46</v>
      </c>
      <c r="L39" s="69">
        <f t="shared" si="2"/>
        <v>989000</v>
      </c>
      <c r="M39" s="68">
        <f t="shared" si="3"/>
        <v>45494000</v>
      </c>
      <c r="N39" s="33">
        <f>F39-(H39*2)</f>
        <v>28844400</v>
      </c>
      <c r="O39" s="217" t="s">
        <v>1538</v>
      </c>
      <c r="P39" s="217" t="s">
        <v>1539</v>
      </c>
    </row>
    <row r="40" spans="1:16" customFormat="1">
      <c r="A40" s="73">
        <f t="shared" si="4"/>
        <v>36</v>
      </c>
      <c r="B40" s="74" t="s">
        <v>1540</v>
      </c>
      <c r="C40" s="75" t="s">
        <v>1541</v>
      </c>
      <c r="D40" s="75" t="s">
        <v>1542</v>
      </c>
      <c r="E40" s="45">
        <v>43041</v>
      </c>
      <c r="F40" s="70">
        <f>3800000+75000</f>
        <v>3875000</v>
      </c>
      <c r="G40" s="70">
        <f t="shared" si="0"/>
        <v>4440000</v>
      </c>
      <c r="H40" s="70">
        <v>323500</v>
      </c>
      <c r="I40" s="70">
        <f t="shared" si="5"/>
        <v>46500</v>
      </c>
      <c r="J40" s="73">
        <v>12</v>
      </c>
      <c r="K40" s="36">
        <v>8</v>
      </c>
      <c r="L40" s="69">
        <f t="shared" si="2"/>
        <v>370000</v>
      </c>
      <c r="M40" s="68">
        <f t="shared" si="3"/>
        <v>2960000</v>
      </c>
      <c r="N40" s="234">
        <f>F40-(H40*4)</f>
        <v>2581000</v>
      </c>
      <c r="O40" s="78" t="s">
        <v>143</v>
      </c>
      <c r="P40" s="71" t="s">
        <v>1543</v>
      </c>
    </row>
    <row r="41" spans="1:16" customFormat="1">
      <c r="A41" s="73">
        <f t="shared" si="4"/>
        <v>37</v>
      </c>
      <c r="B41" s="213" t="s">
        <v>1544</v>
      </c>
      <c r="C41" s="214" t="s">
        <v>1545</v>
      </c>
      <c r="D41" s="214" t="s">
        <v>1546</v>
      </c>
      <c r="E41" s="45">
        <v>42972</v>
      </c>
      <c r="F41" s="70">
        <f>1276000+308000</f>
        <v>1584000</v>
      </c>
      <c r="G41" s="70">
        <f t="shared" si="0"/>
        <v>1774080</v>
      </c>
      <c r="H41" s="70">
        <f>+F41/J41</f>
        <v>158400</v>
      </c>
      <c r="I41" s="70">
        <f t="shared" si="5"/>
        <v>19008</v>
      </c>
      <c r="J41" s="73">
        <v>10</v>
      </c>
      <c r="K41" s="36">
        <v>4</v>
      </c>
      <c r="L41" s="69">
        <f t="shared" si="2"/>
        <v>177408</v>
      </c>
      <c r="M41" s="68">
        <f t="shared" si="3"/>
        <v>709632</v>
      </c>
      <c r="N41" s="68">
        <f>+H41*K41</f>
        <v>633600</v>
      </c>
      <c r="O41" s="78" t="s">
        <v>303</v>
      </c>
      <c r="P41" s="78" t="s">
        <v>1547</v>
      </c>
    </row>
    <row r="42" spans="1:16" customFormat="1">
      <c r="A42" s="65">
        <f t="shared" si="4"/>
        <v>38</v>
      </c>
      <c r="B42" s="74" t="s">
        <v>1548</v>
      </c>
      <c r="C42" s="75" t="s">
        <v>1549</v>
      </c>
      <c r="D42" s="75" t="s">
        <v>1550</v>
      </c>
      <c r="E42" s="45">
        <v>43069</v>
      </c>
      <c r="F42" s="70">
        <f>3895000+75000</f>
        <v>3970000</v>
      </c>
      <c r="G42" s="70">
        <f t="shared" si="0"/>
        <v>4548000</v>
      </c>
      <c r="H42" s="216">
        <v>331360</v>
      </c>
      <c r="I42" s="70">
        <f t="shared" si="5"/>
        <v>47640</v>
      </c>
      <c r="J42" s="73">
        <v>12</v>
      </c>
      <c r="K42" s="36">
        <v>9</v>
      </c>
      <c r="L42" s="69">
        <f t="shared" si="2"/>
        <v>379000</v>
      </c>
      <c r="M42" s="68">
        <f t="shared" si="3"/>
        <v>3411000</v>
      </c>
      <c r="N42" s="234">
        <f>F42-(H42*3)</f>
        <v>2975920</v>
      </c>
      <c r="O42" s="78" t="s">
        <v>1551</v>
      </c>
      <c r="P42" s="71" t="s">
        <v>1552</v>
      </c>
    </row>
    <row r="43" spans="1:16" customFormat="1">
      <c r="A43" s="65">
        <f t="shared" si="4"/>
        <v>39</v>
      </c>
      <c r="B43" s="74" t="s">
        <v>1553</v>
      </c>
      <c r="C43" s="75" t="s">
        <v>1554</v>
      </c>
      <c r="D43" s="75" t="s">
        <v>1555</v>
      </c>
      <c r="E43" s="45">
        <v>43067</v>
      </c>
      <c r="F43" s="70">
        <f>1800000+200000</f>
        <v>2000000</v>
      </c>
      <c r="G43" s="70">
        <f t="shared" si="0"/>
        <v>2240000</v>
      </c>
      <c r="H43" s="70">
        <f>+F43/J43</f>
        <v>200000</v>
      </c>
      <c r="I43" s="70">
        <f t="shared" si="5"/>
        <v>24000</v>
      </c>
      <c r="J43" s="73">
        <v>10</v>
      </c>
      <c r="K43" s="36">
        <v>7</v>
      </c>
      <c r="L43" s="69">
        <f t="shared" si="2"/>
        <v>224000</v>
      </c>
      <c r="M43" s="68">
        <f t="shared" si="3"/>
        <v>1568000</v>
      </c>
      <c r="N43" s="68">
        <f>+H43*K43</f>
        <v>1400000</v>
      </c>
      <c r="O43" s="71" t="s">
        <v>1556</v>
      </c>
      <c r="P43" s="71" t="s">
        <v>1557</v>
      </c>
    </row>
    <row r="44" spans="1:16" customFormat="1">
      <c r="A44" s="65">
        <f t="shared" si="4"/>
        <v>40</v>
      </c>
      <c r="B44" s="74" t="s">
        <v>879</v>
      </c>
      <c r="C44" s="75" t="s">
        <v>880</v>
      </c>
      <c r="D44" s="75" t="s">
        <v>1558</v>
      </c>
      <c r="E44" s="45">
        <v>43041</v>
      </c>
      <c r="F44" s="70">
        <f>12900000+100000</f>
        <v>13000000</v>
      </c>
      <c r="G44" s="70">
        <f t="shared" si="0"/>
        <v>18648000</v>
      </c>
      <c r="H44" s="70">
        <v>362000</v>
      </c>
      <c r="I44" s="70">
        <f t="shared" si="5"/>
        <v>156000</v>
      </c>
      <c r="J44" s="73">
        <v>36</v>
      </c>
      <c r="K44" s="36">
        <v>32</v>
      </c>
      <c r="L44" s="69">
        <f t="shared" si="2"/>
        <v>518000</v>
      </c>
      <c r="M44" s="68">
        <f t="shared" si="3"/>
        <v>16576000</v>
      </c>
      <c r="N44" s="234">
        <f>F44-(H44*4)</f>
        <v>11552000</v>
      </c>
      <c r="O44" s="78" t="s">
        <v>1559</v>
      </c>
      <c r="P44" s="71" t="s">
        <v>1560</v>
      </c>
    </row>
    <row r="45" spans="1:16" customFormat="1">
      <c r="A45" s="65">
        <f t="shared" si="4"/>
        <v>41</v>
      </c>
      <c r="B45" s="213" t="s">
        <v>1561</v>
      </c>
      <c r="C45" s="214" t="s">
        <v>1562</v>
      </c>
      <c r="D45" s="73"/>
      <c r="E45" s="45">
        <v>42850</v>
      </c>
      <c r="F45" s="70">
        <f>1949000+50000</f>
        <v>1999000</v>
      </c>
      <c r="G45" s="70">
        <f t="shared" si="0"/>
        <v>2298000</v>
      </c>
      <c r="H45" s="70">
        <f>191500-I45</f>
        <v>167512</v>
      </c>
      <c r="I45" s="70">
        <f t="shared" si="5"/>
        <v>23988</v>
      </c>
      <c r="J45" s="73">
        <v>12</v>
      </c>
      <c r="K45" s="36">
        <v>2</v>
      </c>
      <c r="L45" s="69">
        <f t="shared" si="2"/>
        <v>191500</v>
      </c>
      <c r="M45" s="68">
        <f t="shared" si="3"/>
        <v>383000</v>
      </c>
      <c r="N45" s="121">
        <f>F45-(H45*10)</f>
        <v>323880</v>
      </c>
      <c r="O45" s="235"/>
      <c r="P45" s="235" t="s">
        <v>1563</v>
      </c>
    </row>
    <row r="46" spans="1:16" customFormat="1">
      <c r="A46" s="65">
        <f t="shared" si="4"/>
        <v>42</v>
      </c>
      <c r="B46" s="213" t="s">
        <v>1561</v>
      </c>
      <c r="C46" s="214" t="s">
        <v>1562</v>
      </c>
      <c r="D46" s="73"/>
      <c r="E46" s="45">
        <v>42867</v>
      </c>
      <c r="F46" s="70">
        <f>100000+9250000</f>
        <v>9350000</v>
      </c>
      <c r="G46" s="70">
        <f t="shared" si="0"/>
        <v>10710000</v>
      </c>
      <c r="H46" s="70">
        <f>892500-I46</f>
        <v>780300</v>
      </c>
      <c r="I46" s="70">
        <f t="shared" si="5"/>
        <v>112200</v>
      </c>
      <c r="J46" s="73">
        <v>12</v>
      </c>
      <c r="K46" s="36">
        <v>2</v>
      </c>
      <c r="L46" s="69">
        <f t="shared" si="2"/>
        <v>892500</v>
      </c>
      <c r="M46" s="68">
        <f t="shared" si="3"/>
        <v>1785000</v>
      </c>
      <c r="N46" s="236">
        <f>F46-(H46*10)</f>
        <v>1547000</v>
      </c>
      <c r="O46" s="235" t="s">
        <v>338</v>
      </c>
      <c r="P46" s="237" t="s">
        <v>1564</v>
      </c>
    </row>
    <row r="47" spans="1:16" customFormat="1">
      <c r="A47" s="73">
        <f t="shared" si="4"/>
        <v>43</v>
      </c>
      <c r="B47" s="213" t="s">
        <v>922</v>
      </c>
      <c r="C47" s="214" t="s">
        <v>923</v>
      </c>
      <c r="D47" s="214" t="s">
        <v>1565</v>
      </c>
      <c r="E47" s="45">
        <v>42972</v>
      </c>
      <c r="F47" s="70">
        <f>1276000+308000</f>
        <v>1584000</v>
      </c>
      <c r="G47" s="70">
        <f t="shared" si="0"/>
        <v>1774080</v>
      </c>
      <c r="H47" s="70">
        <f>+F47/J47</f>
        <v>158400</v>
      </c>
      <c r="I47" s="70">
        <f t="shared" si="5"/>
        <v>19008</v>
      </c>
      <c r="J47" s="73">
        <v>10</v>
      </c>
      <c r="K47" s="36">
        <v>4</v>
      </c>
      <c r="L47" s="68">
        <f t="shared" si="2"/>
        <v>177408</v>
      </c>
      <c r="M47" s="68">
        <f t="shared" si="3"/>
        <v>709632</v>
      </c>
      <c r="N47" s="68">
        <f>+H47*K47</f>
        <v>633600</v>
      </c>
      <c r="O47" s="78" t="s">
        <v>303</v>
      </c>
      <c r="P47" s="78" t="s">
        <v>1547</v>
      </c>
    </row>
    <row r="48" spans="1:16" customFormat="1">
      <c r="A48" s="65">
        <f t="shared" si="4"/>
        <v>44</v>
      </c>
      <c r="B48" s="213" t="s">
        <v>925</v>
      </c>
      <c r="C48" s="214" t="s">
        <v>926</v>
      </c>
      <c r="D48" s="214" t="s">
        <v>1566</v>
      </c>
      <c r="E48" s="45">
        <v>42972</v>
      </c>
      <c r="F48" s="70">
        <f>308000</f>
        <v>308000</v>
      </c>
      <c r="G48" s="70">
        <f t="shared" si="0"/>
        <v>344960</v>
      </c>
      <c r="H48" s="70">
        <f>+F48/J48</f>
        <v>30800</v>
      </c>
      <c r="I48" s="70">
        <f t="shared" si="5"/>
        <v>3696</v>
      </c>
      <c r="J48" s="73">
        <v>10</v>
      </c>
      <c r="K48" s="36">
        <v>4</v>
      </c>
      <c r="L48" s="69">
        <f t="shared" si="2"/>
        <v>34496</v>
      </c>
      <c r="M48" s="68">
        <f t="shared" si="3"/>
        <v>137984</v>
      </c>
      <c r="N48" s="68">
        <f>+H48*K48</f>
        <v>123200</v>
      </c>
      <c r="O48" s="78" t="s">
        <v>1487</v>
      </c>
      <c r="P48" s="71" t="s">
        <v>1488</v>
      </c>
    </row>
    <row r="49" spans="1:17" customFormat="1" ht="24" customHeight="1">
      <c r="A49" s="65">
        <f t="shared" si="4"/>
        <v>45</v>
      </c>
      <c r="B49" s="213" t="s">
        <v>1567</v>
      </c>
      <c r="C49" s="214" t="s">
        <v>1568</v>
      </c>
      <c r="D49" s="214" t="s">
        <v>1569</v>
      </c>
      <c r="E49" s="45">
        <v>42933</v>
      </c>
      <c r="F49" s="70">
        <f>75000+3524000</f>
        <v>3599000</v>
      </c>
      <c r="G49" s="70">
        <f t="shared" si="0"/>
        <v>4030880</v>
      </c>
      <c r="H49" s="70">
        <f>+F49/J49</f>
        <v>359900</v>
      </c>
      <c r="I49" s="70">
        <f t="shared" si="5"/>
        <v>43188</v>
      </c>
      <c r="J49" s="73">
        <v>10</v>
      </c>
      <c r="K49" s="36">
        <v>2</v>
      </c>
      <c r="L49" s="69">
        <f t="shared" si="2"/>
        <v>403088</v>
      </c>
      <c r="M49" s="68">
        <f t="shared" si="3"/>
        <v>806176</v>
      </c>
      <c r="N49" s="68">
        <f>+H49*K49</f>
        <v>719800</v>
      </c>
      <c r="O49" s="71" t="s">
        <v>1570</v>
      </c>
      <c r="P49" s="71" t="s">
        <v>1571</v>
      </c>
    </row>
    <row r="50" spans="1:17" customFormat="1" ht="24" customHeight="1">
      <c r="A50" s="65">
        <f t="shared" si="4"/>
        <v>46</v>
      </c>
      <c r="B50" s="74" t="s">
        <v>1572</v>
      </c>
      <c r="C50" s="75" t="s">
        <v>1573</v>
      </c>
      <c r="D50" s="75" t="s">
        <v>1574</v>
      </c>
      <c r="E50" s="45">
        <v>43098</v>
      </c>
      <c r="F50" s="70">
        <f>1200000</f>
        <v>1200000</v>
      </c>
      <c r="G50" s="70">
        <f t="shared" si="0"/>
        <v>1272000</v>
      </c>
      <c r="H50" s="70">
        <f>+F50/J50</f>
        <v>240000</v>
      </c>
      <c r="I50" s="70">
        <f t="shared" si="5"/>
        <v>14400</v>
      </c>
      <c r="J50" s="73">
        <v>5</v>
      </c>
      <c r="K50" s="36">
        <v>3</v>
      </c>
      <c r="L50" s="69">
        <f t="shared" si="2"/>
        <v>254400</v>
      </c>
      <c r="M50" s="68">
        <f t="shared" si="3"/>
        <v>763200</v>
      </c>
      <c r="N50" s="70">
        <f>+H50*K50</f>
        <v>720000</v>
      </c>
      <c r="O50" s="217" t="s">
        <v>1575</v>
      </c>
      <c r="P50" s="217" t="s">
        <v>1576</v>
      </c>
    </row>
    <row r="51" spans="1:17" customFormat="1" ht="24" customHeight="1">
      <c r="A51" s="65">
        <f t="shared" si="4"/>
        <v>47</v>
      </c>
      <c r="B51" s="74" t="s">
        <v>1577</v>
      </c>
      <c r="C51" s="75" t="s">
        <v>1578</v>
      </c>
      <c r="D51" s="75" t="s">
        <v>1579</v>
      </c>
      <c r="E51" s="45">
        <v>43122</v>
      </c>
      <c r="F51" s="70">
        <f>150000+5847000</f>
        <v>5997000</v>
      </c>
      <c r="G51" s="70">
        <f t="shared" si="0"/>
        <v>6860568</v>
      </c>
      <c r="H51" s="119">
        <f>+F51/J51</f>
        <v>499750</v>
      </c>
      <c r="I51" s="119">
        <f t="shared" si="5"/>
        <v>71964</v>
      </c>
      <c r="J51" s="73">
        <v>12</v>
      </c>
      <c r="K51" s="36">
        <v>10</v>
      </c>
      <c r="L51" s="69">
        <f t="shared" si="2"/>
        <v>571714</v>
      </c>
      <c r="M51" s="68">
        <f t="shared" si="3"/>
        <v>5717140</v>
      </c>
      <c r="N51" s="70">
        <f>+H51*K51</f>
        <v>4997500</v>
      </c>
      <c r="O51" s="232" t="s">
        <v>45</v>
      </c>
      <c r="P51" s="217" t="s">
        <v>1580</v>
      </c>
    </row>
    <row r="52" spans="1:17" ht="24" customHeight="1">
      <c r="A52" s="65">
        <f t="shared" si="4"/>
        <v>48</v>
      </c>
      <c r="B52" s="74" t="s">
        <v>998</v>
      </c>
      <c r="C52" s="75" t="s">
        <v>999</v>
      </c>
      <c r="D52" s="75" t="s">
        <v>1581</v>
      </c>
      <c r="E52" s="45">
        <v>43126</v>
      </c>
      <c r="F52" s="70">
        <f>1699000+100000</f>
        <v>1799000</v>
      </c>
      <c r="G52" s="70">
        <f t="shared" si="0"/>
        <v>2064000</v>
      </c>
      <c r="H52" s="119">
        <f>172000-I52</f>
        <v>150412</v>
      </c>
      <c r="I52" s="119">
        <f t="shared" si="5"/>
        <v>21588</v>
      </c>
      <c r="J52" s="73">
        <v>12</v>
      </c>
      <c r="K52" s="36">
        <v>11</v>
      </c>
      <c r="L52" s="69">
        <f t="shared" si="2"/>
        <v>172000</v>
      </c>
      <c r="M52" s="68">
        <f t="shared" si="3"/>
        <v>1892000</v>
      </c>
      <c r="N52" s="33">
        <f>F52-(H52*1)</f>
        <v>1648588</v>
      </c>
      <c r="O52" s="232" t="s">
        <v>1551</v>
      </c>
      <c r="P52" s="217" t="s">
        <v>1582</v>
      </c>
      <c r="Q52" s="44"/>
    </row>
    <row r="53" spans="1:17" ht="24" customHeight="1">
      <c r="A53" s="65">
        <f>+A52+1</f>
        <v>49</v>
      </c>
      <c r="B53" s="213" t="s">
        <v>1073</v>
      </c>
      <c r="C53" s="214" t="s">
        <v>1074</v>
      </c>
      <c r="D53" s="214" t="s">
        <v>1583</v>
      </c>
      <c r="E53" s="45">
        <v>42984</v>
      </c>
      <c r="F53" s="70">
        <f>330000+525000+375000</f>
        <v>1230000</v>
      </c>
      <c r="G53" s="70">
        <f t="shared" si="0"/>
        <v>1377600</v>
      </c>
      <c r="H53" s="70">
        <f>+F53/J53</f>
        <v>123000</v>
      </c>
      <c r="I53" s="70">
        <f t="shared" si="5"/>
        <v>14760</v>
      </c>
      <c r="J53" s="73">
        <v>10</v>
      </c>
      <c r="K53" s="36">
        <v>4</v>
      </c>
      <c r="L53" s="69">
        <f t="shared" si="2"/>
        <v>137760</v>
      </c>
      <c r="M53" s="68">
        <f t="shared" si="3"/>
        <v>551040</v>
      </c>
      <c r="N53" s="68">
        <f>+H53*K53</f>
        <v>492000</v>
      </c>
      <c r="O53" s="78" t="s">
        <v>1584</v>
      </c>
      <c r="P53" s="71" t="s">
        <v>1585</v>
      </c>
      <c r="Q53" s="44"/>
    </row>
    <row r="54" spans="1:17" ht="24" customHeight="1">
      <c r="A54" s="65">
        <f>+A53+1</f>
        <v>50</v>
      </c>
      <c r="B54" s="74" t="s">
        <v>1586</v>
      </c>
      <c r="C54" s="75" t="s">
        <v>1587</v>
      </c>
      <c r="D54" s="75" t="s">
        <v>1588</v>
      </c>
      <c r="E54" s="45">
        <v>43041</v>
      </c>
      <c r="F54" s="70">
        <f>5099000+100000</f>
        <v>5199000</v>
      </c>
      <c r="G54" s="70">
        <f t="shared" si="0"/>
        <v>5947656</v>
      </c>
      <c r="H54" s="70">
        <f>+F54/J54</f>
        <v>433250</v>
      </c>
      <c r="I54" s="70">
        <f t="shared" si="5"/>
        <v>62388</v>
      </c>
      <c r="J54" s="73">
        <v>12</v>
      </c>
      <c r="K54" s="36">
        <v>9</v>
      </c>
      <c r="L54" s="69">
        <f t="shared" si="2"/>
        <v>495638</v>
      </c>
      <c r="M54" s="68">
        <f t="shared" si="3"/>
        <v>4460742</v>
      </c>
      <c r="N54" s="68">
        <f>+H54*K54</f>
        <v>3899250</v>
      </c>
      <c r="O54" s="78" t="s">
        <v>1589</v>
      </c>
      <c r="P54" s="71" t="s">
        <v>1590</v>
      </c>
      <c r="Q54" s="44"/>
    </row>
    <row r="55" spans="1:17" ht="24" customHeight="1">
      <c r="A55" s="65">
        <f t="shared" ref="A55:A79" si="6">+A54+1</f>
        <v>51</v>
      </c>
      <c r="B55" s="228" t="s">
        <v>1591</v>
      </c>
      <c r="C55" s="229" t="s">
        <v>1592</v>
      </c>
      <c r="D55" s="229" t="s">
        <v>1593</v>
      </c>
      <c r="E55" s="147">
        <v>42958</v>
      </c>
      <c r="F55" s="230">
        <f>330000+375000</f>
        <v>705000</v>
      </c>
      <c r="G55" s="230">
        <f t="shared" si="0"/>
        <v>789600</v>
      </c>
      <c r="H55" s="230">
        <f>+F55/J55</f>
        <v>70500</v>
      </c>
      <c r="I55" s="238">
        <f t="shared" si="5"/>
        <v>8460</v>
      </c>
      <c r="J55" s="231">
        <v>10</v>
      </c>
      <c r="K55" s="150">
        <f>4+1</f>
        <v>5</v>
      </c>
      <c r="L55" s="68">
        <f t="shared" si="2"/>
        <v>78960</v>
      </c>
      <c r="M55" s="68">
        <f t="shared" si="3"/>
        <v>394800</v>
      </c>
      <c r="N55" s="68">
        <f>+H55*K55</f>
        <v>352500</v>
      </c>
      <c r="O55" s="79" t="s">
        <v>1594</v>
      </c>
      <c r="P55" s="78" t="s">
        <v>1595</v>
      </c>
      <c r="Q55" s="44"/>
    </row>
    <row r="56" spans="1:17" ht="24" customHeight="1">
      <c r="A56" s="65">
        <f t="shared" si="6"/>
        <v>52</v>
      </c>
      <c r="B56" s="228" t="s">
        <v>1591</v>
      </c>
      <c r="C56" s="229" t="s">
        <v>1592</v>
      </c>
      <c r="D56" s="229" t="s">
        <v>1596</v>
      </c>
      <c r="E56" s="147">
        <v>42958</v>
      </c>
      <c r="F56" s="230">
        <f>880000</f>
        <v>880000</v>
      </c>
      <c r="G56" s="230">
        <f t="shared" si="0"/>
        <v>985600</v>
      </c>
      <c r="H56" s="230">
        <f>+F56/J56</f>
        <v>88000</v>
      </c>
      <c r="I56" s="238">
        <f t="shared" si="5"/>
        <v>10560</v>
      </c>
      <c r="J56" s="231">
        <v>10</v>
      </c>
      <c r="K56" s="150">
        <f>4+1</f>
        <v>5</v>
      </c>
      <c r="L56" s="68">
        <f t="shared" si="2"/>
        <v>98560</v>
      </c>
      <c r="M56" s="68">
        <f t="shared" si="3"/>
        <v>492800</v>
      </c>
      <c r="N56" s="68">
        <f>+H56*K56</f>
        <v>440000</v>
      </c>
      <c r="O56" s="79" t="s">
        <v>1597</v>
      </c>
      <c r="P56" s="78" t="s">
        <v>1598</v>
      </c>
      <c r="Q56" s="44"/>
    </row>
    <row r="57" spans="1:17" s="344" customFormat="1" ht="24" customHeight="1">
      <c r="A57" s="335">
        <f t="shared" si="6"/>
        <v>53</v>
      </c>
      <c r="B57" s="336" t="s">
        <v>1599</v>
      </c>
      <c r="C57" s="337" t="s">
        <v>1600</v>
      </c>
      <c r="D57" s="337" t="s">
        <v>1601</v>
      </c>
      <c r="E57" s="338">
        <v>43041</v>
      </c>
      <c r="F57" s="339">
        <f>800000</f>
        <v>800000</v>
      </c>
      <c r="G57" s="339">
        <f t="shared" si="0"/>
        <v>1030800</v>
      </c>
      <c r="H57" s="339">
        <v>33350</v>
      </c>
      <c r="I57" s="339">
        <f t="shared" si="5"/>
        <v>9600</v>
      </c>
      <c r="J57" s="335">
        <v>24</v>
      </c>
      <c r="K57" s="340">
        <v>20</v>
      </c>
      <c r="L57" s="341">
        <f t="shared" si="2"/>
        <v>42950</v>
      </c>
      <c r="M57" s="339">
        <f t="shared" si="3"/>
        <v>859000</v>
      </c>
      <c r="N57" s="339">
        <f>F57-(H57*4)</f>
        <v>666600</v>
      </c>
      <c r="O57" s="342" t="s">
        <v>1464</v>
      </c>
      <c r="P57" s="343" t="s">
        <v>1602</v>
      </c>
    </row>
    <row r="58" spans="1:17" ht="24" customHeight="1">
      <c r="A58" s="65">
        <f t="shared" si="6"/>
        <v>54</v>
      </c>
      <c r="B58" s="74" t="s">
        <v>1603</v>
      </c>
      <c r="C58" s="75" t="s">
        <v>1600</v>
      </c>
      <c r="D58" s="75" t="s">
        <v>1601</v>
      </c>
      <c r="E58" s="45">
        <v>43073</v>
      </c>
      <c r="F58" s="70">
        <f>18705000-800000</f>
        <v>17905000</v>
      </c>
      <c r="G58" s="70">
        <f t="shared" si="0"/>
        <v>23064000</v>
      </c>
      <c r="H58" s="216">
        <f>961000-I58</f>
        <v>746140</v>
      </c>
      <c r="I58" s="70">
        <f t="shared" si="5"/>
        <v>214860</v>
      </c>
      <c r="J58" s="73">
        <v>24</v>
      </c>
      <c r="K58" s="36">
        <v>22</v>
      </c>
      <c r="L58" s="69">
        <f t="shared" si="2"/>
        <v>961000</v>
      </c>
      <c r="M58" s="68">
        <f t="shared" si="3"/>
        <v>21142000</v>
      </c>
      <c r="N58" s="33">
        <f>F58-(H58*2)</f>
        <v>16412720</v>
      </c>
      <c r="O58" s="217" t="s">
        <v>1464</v>
      </c>
      <c r="P58" s="217" t="s">
        <v>1604</v>
      </c>
      <c r="Q58" s="44"/>
    </row>
    <row r="59" spans="1:17" ht="24" customHeight="1">
      <c r="A59" s="65">
        <f t="shared" si="6"/>
        <v>55</v>
      </c>
      <c r="B59" s="213" t="s">
        <v>1605</v>
      </c>
      <c r="C59" s="214" t="s">
        <v>1606</v>
      </c>
      <c r="D59" s="214" t="s">
        <v>1607</v>
      </c>
      <c r="E59" s="45">
        <v>42984</v>
      </c>
      <c r="F59" s="70">
        <f>27750000+100000</f>
        <v>27850000</v>
      </c>
      <c r="G59" s="70">
        <f t="shared" si="0"/>
        <v>43920000</v>
      </c>
      <c r="H59" s="70">
        <f>915000-I59</f>
        <v>580800</v>
      </c>
      <c r="I59" s="70">
        <f t="shared" si="5"/>
        <v>334200</v>
      </c>
      <c r="J59" s="73">
        <v>48</v>
      </c>
      <c r="K59" s="36">
        <v>42</v>
      </c>
      <c r="L59" s="69">
        <f t="shared" si="2"/>
        <v>915000</v>
      </c>
      <c r="M59" s="68">
        <f t="shared" si="3"/>
        <v>38430000</v>
      </c>
      <c r="N59" s="121">
        <f>F59-(H59*6)</f>
        <v>24365200</v>
      </c>
      <c r="O59" s="78" t="s">
        <v>1608</v>
      </c>
      <c r="P59" s="71" t="s">
        <v>1609</v>
      </c>
      <c r="Q59" s="44"/>
    </row>
    <row r="60" spans="1:17" ht="24" customHeight="1">
      <c r="A60" s="65">
        <f t="shared" si="6"/>
        <v>56</v>
      </c>
      <c r="B60" s="74" t="s">
        <v>1378</v>
      </c>
      <c r="C60" s="75" t="s">
        <v>1379</v>
      </c>
      <c r="D60" s="75"/>
      <c r="E60" s="45">
        <v>43063</v>
      </c>
      <c r="F60" s="70">
        <f>100000+22000000</f>
        <v>22100000</v>
      </c>
      <c r="G60" s="70">
        <f t="shared" si="0"/>
        <v>31680000</v>
      </c>
      <c r="H60" s="216">
        <v>614800</v>
      </c>
      <c r="I60" s="70">
        <f t="shared" si="5"/>
        <v>265200</v>
      </c>
      <c r="J60" s="73">
        <v>36</v>
      </c>
      <c r="K60" s="36">
        <v>33</v>
      </c>
      <c r="L60" s="69">
        <f t="shared" si="2"/>
        <v>880000</v>
      </c>
      <c r="M60" s="68">
        <f t="shared" si="3"/>
        <v>29040000</v>
      </c>
      <c r="N60" s="234">
        <f>F60-(H60*3)</f>
        <v>20255600</v>
      </c>
      <c r="O60" s="78" t="s">
        <v>338</v>
      </c>
      <c r="P60" s="71" t="s">
        <v>1610</v>
      </c>
      <c r="Q60" s="44"/>
    </row>
    <row r="61" spans="1:17" ht="24" customHeight="1">
      <c r="A61" s="65">
        <f t="shared" si="6"/>
        <v>57</v>
      </c>
      <c r="B61" s="213" t="s">
        <v>1611</v>
      </c>
      <c r="C61" s="214" t="s">
        <v>1612</v>
      </c>
      <c r="D61" s="214" t="s">
        <v>1613</v>
      </c>
      <c r="E61" s="45">
        <v>42961</v>
      </c>
      <c r="F61" s="70">
        <f>75000+3175000</f>
        <v>3250000</v>
      </c>
      <c r="G61" s="70">
        <f t="shared" si="0"/>
        <v>3250000</v>
      </c>
      <c r="H61" s="70">
        <f>+F61/J61</f>
        <v>325000</v>
      </c>
      <c r="I61" s="70">
        <v>0</v>
      </c>
      <c r="J61" s="73">
        <v>10</v>
      </c>
      <c r="K61" s="36">
        <v>3</v>
      </c>
      <c r="L61" s="68">
        <f t="shared" si="2"/>
        <v>325000</v>
      </c>
      <c r="M61" s="68">
        <f t="shared" si="3"/>
        <v>975000</v>
      </c>
      <c r="N61" s="68">
        <f>+H61*K61</f>
        <v>975000</v>
      </c>
      <c r="O61" s="79" t="s">
        <v>1614</v>
      </c>
      <c r="P61" s="78" t="s">
        <v>1615</v>
      </c>
      <c r="Q61" s="44"/>
    </row>
    <row r="62" spans="1:17" ht="24" customHeight="1">
      <c r="A62" s="65">
        <f t="shared" si="6"/>
        <v>58</v>
      </c>
      <c r="B62" s="74" t="s">
        <v>1616</v>
      </c>
      <c r="C62" s="75" t="s">
        <v>1147</v>
      </c>
      <c r="D62" s="75" t="s">
        <v>1617</v>
      </c>
      <c r="E62" s="45">
        <v>43019</v>
      </c>
      <c r="F62" s="70">
        <v>540000</v>
      </c>
      <c r="G62" s="70">
        <f t="shared" si="0"/>
        <v>604800</v>
      </c>
      <c r="H62" s="70">
        <f>+F62/J62</f>
        <v>54000</v>
      </c>
      <c r="I62" s="70">
        <f t="shared" ref="I62:I79" si="7">+F62*1.2%</f>
        <v>6480</v>
      </c>
      <c r="J62" s="73">
        <v>10</v>
      </c>
      <c r="K62" s="36">
        <v>5</v>
      </c>
      <c r="L62" s="69">
        <f t="shared" si="2"/>
        <v>60480</v>
      </c>
      <c r="M62" s="68">
        <f t="shared" si="3"/>
        <v>302400</v>
      </c>
      <c r="N62" s="218">
        <f>+H62*K62</f>
        <v>270000</v>
      </c>
      <c r="O62" s="78" t="s">
        <v>1492</v>
      </c>
      <c r="P62" s="71" t="s">
        <v>1401</v>
      </c>
      <c r="Q62" s="44"/>
    </row>
    <row r="63" spans="1:17" ht="24" customHeight="1">
      <c r="A63" s="73">
        <f t="shared" si="6"/>
        <v>59</v>
      </c>
      <c r="B63" s="213" t="s">
        <v>1618</v>
      </c>
      <c r="C63" s="214" t="s">
        <v>1619</v>
      </c>
      <c r="D63" s="214" t="s">
        <v>1620</v>
      </c>
      <c r="E63" s="45">
        <v>42972</v>
      </c>
      <c r="F63" s="70">
        <f>308000</f>
        <v>308000</v>
      </c>
      <c r="G63" s="70">
        <f t="shared" si="0"/>
        <v>344960</v>
      </c>
      <c r="H63" s="70">
        <f>+F63/J63</f>
        <v>30800</v>
      </c>
      <c r="I63" s="70">
        <f t="shared" si="7"/>
        <v>3696</v>
      </c>
      <c r="J63" s="73">
        <v>10</v>
      </c>
      <c r="K63" s="36">
        <v>4</v>
      </c>
      <c r="L63" s="69">
        <f t="shared" si="2"/>
        <v>34496</v>
      </c>
      <c r="M63" s="68">
        <f t="shared" si="3"/>
        <v>137984</v>
      </c>
      <c r="N63" s="68">
        <f>+H63*K63</f>
        <v>123200</v>
      </c>
      <c r="O63" s="78" t="s">
        <v>1621</v>
      </c>
      <c r="P63" s="71" t="s">
        <v>1488</v>
      </c>
      <c r="Q63" s="44"/>
    </row>
    <row r="64" spans="1:17" ht="24" customHeight="1">
      <c r="A64" s="73">
        <f t="shared" si="6"/>
        <v>60</v>
      </c>
      <c r="B64" s="213" t="s">
        <v>1622</v>
      </c>
      <c r="C64" s="214" t="s">
        <v>1623</v>
      </c>
      <c r="D64" s="214" t="s">
        <v>1624</v>
      </c>
      <c r="E64" s="45">
        <v>42958</v>
      </c>
      <c r="F64" s="70">
        <f>880000+660000</f>
        <v>1540000</v>
      </c>
      <c r="G64" s="70">
        <f t="shared" si="0"/>
        <v>1724800</v>
      </c>
      <c r="H64" s="70">
        <f>+F64/J64</f>
        <v>154000</v>
      </c>
      <c r="I64" s="215">
        <f t="shared" si="7"/>
        <v>18480</v>
      </c>
      <c r="J64" s="73">
        <v>10</v>
      </c>
      <c r="K64" s="36">
        <v>4</v>
      </c>
      <c r="L64" s="68">
        <f t="shared" si="2"/>
        <v>172480</v>
      </c>
      <c r="M64" s="68">
        <f t="shared" si="3"/>
        <v>689920</v>
      </c>
      <c r="N64" s="68">
        <f>+H64*K64</f>
        <v>616000</v>
      </c>
      <c r="O64" s="79" t="s">
        <v>1625</v>
      </c>
      <c r="P64" s="78" t="s">
        <v>1598</v>
      </c>
      <c r="Q64" s="44"/>
    </row>
    <row r="65" spans="1:17" ht="24" customHeight="1">
      <c r="A65" s="73">
        <f t="shared" si="6"/>
        <v>61</v>
      </c>
      <c r="B65" s="213" t="s">
        <v>1626</v>
      </c>
      <c r="C65" s="214" t="s">
        <v>1627</v>
      </c>
      <c r="D65" s="214" t="s">
        <v>1628</v>
      </c>
      <c r="E65" s="45">
        <v>42941</v>
      </c>
      <c r="F65" s="70">
        <f>24900000+100000</f>
        <v>25000000</v>
      </c>
      <c r="G65" s="70">
        <f t="shared" si="0"/>
        <v>35838000</v>
      </c>
      <c r="H65" s="70">
        <f>995500-I65</f>
        <v>695500</v>
      </c>
      <c r="I65" s="215">
        <f t="shared" si="7"/>
        <v>300000</v>
      </c>
      <c r="J65" s="73">
        <v>36</v>
      </c>
      <c r="K65" s="36">
        <v>29</v>
      </c>
      <c r="L65" s="69">
        <f t="shared" si="2"/>
        <v>995500</v>
      </c>
      <c r="M65" s="68">
        <f t="shared" si="3"/>
        <v>28869500</v>
      </c>
      <c r="N65" s="85">
        <f>F65-(H65*7)</f>
        <v>20131500</v>
      </c>
      <c r="O65" s="78" t="s">
        <v>1629</v>
      </c>
      <c r="P65" s="71" t="s">
        <v>1630</v>
      </c>
      <c r="Q65" s="44"/>
    </row>
    <row r="66" spans="1:17" ht="24" customHeight="1">
      <c r="A66" s="73">
        <f t="shared" si="6"/>
        <v>62</v>
      </c>
      <c r="B66" s="213" t="s">
        <v>1631</v>
      </c>
      <c r="C66" s="214" t="s">
        <v>1632</v>
      </c>
      <c r="D66" s="73"/>
      <c r="E66" s="45">
        <v>42850</v>
      </c>
      <c r="F66" s="70">
        <f>3824000+75000</f>
        <v>3899000</v>
      </c>
      <c r="G66" s="70">
        <f t="shared" si="0"/>
        <v>4470000</v>
      </c>
      <c r="H66" s="70">
        <f>372500-I66</f>
        <v>325712</v>
      </c>
      <c r="I66" s="70">
        <f t="shared" si="7"/>
        <v>46788</v>
      </c>
      <c r="J66" s="73">
        <v>12</v>
      </c>
      <c r="K66" s="36">
        <v>2</v>
      </c>
      <c r="L66" s="69">
        <f t="shared" si="2"/>
        <v>372500</v>
      </c>
      <c r="M66" s="68">
        <f t="shared" si="3"/>
        <v>745000</v>
      </c>
      <c r="N66" s="121">
        <f>F66-(H66*10)</f>
        <v>641880</v>
      </c>
      <c r="O66" s="235"/>
      <c r="P66" s="235" t="s">
        <v>1571</v>
      </c>
      <c r="Q66" s="44"/>
    </row>
    <row r="67" spans="1:17" ht="24" customHeight="1">
      <c r="A67" s="73">
        <f t="shared" si="6"/>
        <v>63</v>
      </c>
      <c r="B67" s="213" t="s">
        <v>1633</v>
      </c>
      <c r="C67" s="214" t="s">
        <v>1634</v>
      </c>
      <c r="D67" s="214" t="s">
        <v>1635</v>
      </c>
      <c r="E67" s="45">
        <v>42957</v>
      </c>
      <c r="F67" s="70">
        <f>18935000</f>
        <v>18935000</v>
      </c>
      <c r="G67" s="70">
        <f t="shared" si="0"/>
        <v>29880000</v>
      </c>
      <c r="H67" s="70">
        <v>395280</v>
      </c>
      <c r="I67" s="70">
        <f t="shared" si="7"/>
        <v>227220</v>
      </c>
      <c r="J67" s="73">
        <v>48</v>
      </c>
      <c r="K67" s="36">
        <v>41</v>
      </c>
      <c r="L67" s="68">
        <f t="shared" si="2"/>
        <v>622500</v>
      </c>
      <c r="M67" s="68">
        <f t="shared" si="3"/>
        <v>25522500</v>
      </c>
      <c r="N67" s="85">
        <f>F67-(H67*7)</f>
        <v>16168040</v>
      </c>
      <c r="O67" s="78" t="s">
        <v>1636</v>
      </c>
      <c r="P67" s="78" t="s">
        <v>1637</v>
      </c>
      <c r="Q67" s="44"/>
    </row>
    <row r="68" spans="1:17" ht="24" customHeight="1">
      <c r="A68" s="73">
        <f t="shared" si="6"/>
        <v>64</v>
      </c>
      <c r="B68" s="74" t="s">
        <v>1221</v>
      </c>
      <c r="C68" s="75" t="s">
        <v>1222</v>
      </c>
      <c r="D68" s="75" t="s">
        <v>1638</v>
      </c>
      <c r="E68" s="45">
        <v>43089</v>
      </c>
      <c r="F68" s="70">
        <f>23250000</f>
        <v>23250000</v>
      </c>
      <c r="G68" s="70">
        <f t="shared" si="0"/>
        <v>36672000</v>
      </c>
      <c r="H68" s="216">
        <v>485000</v>
      </c>
      <c r="I68" s="70">
        <f t="shared" si="7"/>
        <v>279000</v>
      </c>
      <c r="J68" s="73">
        <v>48</v>
      </c>
      <c r="K68" s="36">
        <v>46</v>
      </c>
      <c r="L68" s="69">
        <f t="shared" si="2"/>
        <v>764000</v>
      </c>
      <c r="M68" s="68">
        <f t="shared" si="3"/>
        <v>35144000</v>
      </c>
      <c r="N68" s="33">
        <f>F68-(H68*2)</f>
        <v>22280000</v>
      </c>
      <c r="O68" s="232" t="s">
        <v>1505</v>
      </c>
      <c r="P68" s="217" t="s">
        <v>1506</v>
      </c>
      <c r="Q68" s="44"/>
    </row>
    <row r="69" spans="1:17" ht="24" customHeight="1">
      <c r="A69" s="73">
        <f t="shared" si="6"/>
        <v>65</v>
      </c>
      <c r="B69" s="213" t="s">
        <v>1639</v>
      </c>
      <c r="C69" s="214" t="s">
        <v>1640</v>
      </c>
      <c r="D69" s="214" t="s">
        <v>1641</v>
      </c>
      <c r="E69" s="45">
        <v>42956</v>
      </c>
      <c r="F69" s="70">
        <v>1276000</v>
      </c>
      <c r="G69" s="70">
        <f t="shared" ref="G69:G79" si="8">+J69*L69</f>
        <v>1429120</v>
      </c>
      <c r="H69" s="70">
        <f t="shared" ref="H69:H78" si="9">+F69/J69</f>
        <v>127600</v>
      </c>
      <c r="I69" s="70">
        <f t="shared" si="7"/>
        <v>15312</v>
      </c>
      <c r="J69" s="73">
        <v>10</v>
      </c>
      <c r="K69" s="36">
        <v>3</v>
      </c>
      <c r="L69" s="68">
        <f t="shared" ref="L69:L79" si="10">+H69+I69</f>
        <v>142912</v>
      </c>
      <c r="M69" s="68">
        <f t="shared" ref="M69:M79" si="11">+K69*L69</f>
        <v>428736</v>
      </c>
      <c r="N69" s="68">
        <f t="shared" ref="N69:N78" si="12">+H69*K69</f>
        <v>382800</v>
      </c>
      <c r="O69" s="79" t="s">
        <v>1519</v>
      </c>
      <c r="P69" s="78" t="s">
        <v>1520</v>
      </c>
      <c r="Q69" s="44"/>
    </row>
    <row r="70" spans="1:17" ht="24" customHeight="1">
      <c r="A70" s="73">
        <f t="shared" si="6"/>
        <v>66</v>
      </c>
      <c r="B70" s="213" t="s">
        <v>1642</v>
      </c>
      <c r="C70" s="214" t="s">
        <v>1277</v>
      </c>
      <c r="D70" s="214" t="s">
        <v>1643</v>
      </c>
      <c r="E70" s="45">
        <v>42956</v>
      </c>
      <c r="F70" s="70">
        <v>1980000</v>
      </c>
      <c r="G70" s="70">
        <f t="shared" si="8"/>
        <v>2217600</v>
      </c>
      <c r="H70" s="70">
        <f t="shared" si="9"/>
        <v>198000</v>
      </c>
      <c r="I70" s="70">
        <f t="shared" si="7"/>
        <v>23760</v>
      </c>
      <c r="J70" s="73">
        <v>10</v>
      </c>
      <c r="K70" s="36">
        <v>3</v>
      </c>
      <c r="L70" s="68">
        <f t="shared" si="10"/>
        <v>221760</v>
      </c>
      <c r="M70" s="68">
        <f t="shared" si="11"/>
        <v>665280</v>
      </c>
      <c r="N70" s="68">
        <f t="shared" si="12"/>
        <v>594000</v>
      </c>
      <c r="O70" s="79" t="s">
        <v>1644</v>
      </c>
      <c r="P70" s="78" t="s">
        <v>1645</v>
      </c>
      <c r="Q70" s="44"/>
    </row>
    <row r="71" spans="1:17" ht="24" customHeight="1">
      <c r="A71" s="73">
        <f t="shared" si="6"/>
        <v>67</v>
      </c>
      <c r="B71" s="213" t="s">
        <v>1646</v>
      </c>
      <c r="C71" s="214" t="s">
        <v>1647</v>
      </c>
      <c r="D71" s="214" t="s">
        <v>1648</v>
      </c>
      <c r="E71" s="45">
        <v>42956</v>
      </c>
      <c r="F71" s="70">
        <v>1276000</v>
      </c>
      <c r="G71" s="70">
        <f t="shared" si="8"/>
        <v>1429120</v>
      </c>
      <c r="H71" s="70">
        <f t="shared" si="9"/>
        <v>127600</v>
      </c>
      <c r="I71" s="70">
        <f t="shared" si="7"/>
        <v>15312</v>
      </c>
      <c r="J71" s="73">
        <v>10</v>
      </c>
      <c r="K71" s="36">
        <v>3</v>
      </c>
      <c r="L71" s="68">
        <f t="shared" si="10"/>
        <v>142912</v>
      </c>
      <c r="M71" s="68">
        <f t="shared" si="11"/>
        <v>428736</v>
      </c>
      <c r="N71" s="68">
        <f t="shared" si="12"/>
        <v>382800</v>
      </c>
      <c r="O71" s="79" t="s">
        <v>1649</v>
      </c>
      <c r="P71" s="78" t="s">
        <v>1520</v>
      </c>
      <c r="Q71" s="44"/>
    </row>
    <row r="72" spans="1:17" ht="24" customHeight="1">
      <c r="A72" s="65">
        <f t="shared" si="6"/>
        <v>68</v>
      </c>
      <c r="B72" s="213" t="s">
        <v>1650</v>
      </c>
      <c r="C72" s="214" t="s">
        <v>1651</v>
      </c>
      <c r="D72" s="214" t="s">
        <v>1652</v>
      </c>
      <c r="E72" s="45">
        <v>42956</v>
      </c>
      <c r="F72" s="70">
        <v>1540000</v>
      </c>
      <c r="G72" s="70">
        <f t="shared" si="8"/>
        <v>1724800</v>
      </c>
      <c r="H72" s="70">
        <f t="shared" si="9"/>
        <v>154000</v>
      </c>
      <c r="I72" s="70">
        <f t="shared" si="7"/>
        <v>18480</v>
      </c>
      <c r="J72" s="73">
        <v>10</v>
      </c>
      <c r="K72" s="36">
        <v>3</v>
      </c>
      <c r="L72" s="68">
        <f t="shared" si="10"/>
        <v>172480</v>
      </c>
      <c r="M72" s="68">
        <f t="shared" si="11"/>
        <v>517440</v>
      </c>
      <c r="N72" s="68">
        <f t="shared" si="12"/>
        <v>462000</v>
      </c>
      <c r="O72" s="79" t="s">
        <v>1653</v>
      </c>
      <c r="P72" s="78" t="s">
        <v>1654</v>
      </c>
      <c r="Q72" s="44"/>
    </row>
    <row r="73" spans="1:17" ht="24" customHeight="1">
      <c r="A73" s="73">
        <f t="shared" si="6"/>
        <v>69</v>
      </c>
      <c r="B73" s="213" t="s">
        <v>1655</v>
      </c>
      <c r="C73" s="214" t="s">
        <v>1656</v>
      </c>
      <c r="D73" s="214" t="s">
        <v>1657</v>
      </c>
      <c r="E73" s="45">
        <v>42872</v>
      </c>
      <c r="F73" s="70">
        <f>15000+150000</f>
        <v>165000</v>
      </c>
      <c r="G73" s="70">
        <f t="shared" si="8"/>
        <v>188760</v>
      </c>
      <c r="H73" s="70">
        <f t="shared" si="9"/>
        <v>13750</v>
      </c>
      <c r="I73" s="70">
        <f t="shared" si="7"/>
        <v>1980</v>
      </c>
      <c r="J73" s="73">
        <v>12</v>
      </c>
      <c r="K73" s="36">
        <v>2</v>
      </c>
      <c r="L73" s="69">
        <f t="shared" si="10"/>
        <v>15730</v>
      </c>
      <c r="M73" s="68">
        <f t="shared" si="11"/>
        <v>31460</v>
      </c>
      <c r="N73" s="68">
        <f t="shared" si="12"/>
        <v>27500</v>
      </c>
      <c r="O73" s="235" t="s">
        <v>338</v>
      </c>
      <c r="P73" s="235" t="s">
        <v>1658</v>
      </c>
      <c r="Q73" s="44"/>
    </row>
    <row r="74" spans="1:17" ht="24" customHeight="1">
      <c r="A74" s="65">
        <f t="shared" si="6"/>
        <v>70</v>
      </c>
      <c r="B74" s="213" t="s">
        <v>1655</v>
      </c>
      <c r="C74" s="214" t="s">
        <v>1656</v>
      </c>
      <c r="D74" s="214" t="s">
        <v>1657</v>
      </c>
      <c r="E74" s="45">
        <v>42872</v>
      </c>
      <c r="F74" s="70">
        <f>15000+150000</f>
        <v>165000</v>
      </c>
      <c r="G74" s="70">
        <f t="shared" si="8"/>
        <v>188760</v>
      </c>
      <c r="H74" s="70">
        <f t="shared" si="9"/>
        <v>13750</v>
      </c>
      <c r="I74" s="70">
        <f t="shared" si="7"/>
        <v>1980</v>
      </c>
      <c r="J74" s="73">
        <v>12</v>
      </c>
      <c r="K74" s="36">
        <v>2</v>
      </c>
      <c r="L74" s="69">
        <f t="shared" si="10"/>
        <v>15730</v>
      </c>
      <c r="M74" s="68">
        <f t="shared" si="11"/>
        <v>31460</v>
      </c>
      <c r="N74" s="68">
        <f t="shared" si="12"/>
        <v>27500</v>
      </c>
      <c r="O74" s="235" t="s">
        <v>338</v>
      </c>
      <c r="P74" s="235" t="s">
        <v>1658</v>
      </c>
      <c r="Q74" s="44"/>
    </row>
    <row r="75" spans="1:17" ht="24" customHeight="1">
      <c r="A75" s="73">
        <f t="shared" si="6"/>
        <v>71</v>
      </c>
      <c r="B75" s="74" t="s">
        <v>1659</v>
      </c>
      <c r="C75" s="75" t="s">
        <v>1660</v>
      </c>
      <c r="D75" s="75" t="s">
        <v>1661</v>
      </c>
      <c r="E75" s="45">
        <v>43068</v>
      </c>
      <c r="F75" s="70">
        <f>1480000+148000</f>
        <v>1628000</v>
      </c>
      <c r="G75" s="70">
        <f t="shared" si="8"/>
        <v>1823360</v>
      </c>
      <c r="H75" s="70">
        <f t="shared" si="9"/>
        <v>162800</v>
      </c>
      <c r="I75" s="70">
        <f t="shared" si="7"/>
        <v>19536</v>
      </c>
      <c r="J75" s="73">
        <v>10</v>
      </c>
      <c r="K75" s="36">
        <v>7</v>
      </c>
      <c r="L75" s="69">
        <f t="shared" si="10"/>
        <v>182336</v>
      </c>
      <c r="M75" s="68">
        <f t="shared" si="11"/>
        <v>1276352</v>
      </c>
      <c r="N75" s="68">
        <f t="shared" si="12"/>
        <v>1139600</v>
      </c>
      <c r="O75" s="78" t="s">
        <v>1662</v>
      </c>
      <c r="P75" s="71" t="s">
        <v>1663</v>
      </c>
      <c r="Q75" s="44"/>
    </row>
    <row r="76" spans="1:17" ht="24" customHeight="1">
      <c r="A76" s="65">
        <f t="shared" si="6"/>
        <v>72</v>
      </c>
      <c r="B76" s="74" t="s">
        <v>1664</v>
      </c>
      <c r="C76" s="75" t="s">
        <v>1665</v>
      </c>
      <c r="D76" s="75" t="s">
        <v>1666</v>
      </c>
      <c r="E76" s="45">
        <v>43146</v>
      </c>
      <c r="F76" s="70">
        <f>330000</f>
        <v>330000</v>
      </c>
      <c r="G76" s="70">
        <f t="shared" si="8"/>
        <v>349800</v>
      </c>
      <c r="H76" s="119">
        <f t="shared" si="9"/>
        <v>66000</v>
      </c>
      <c r="I76" s="119">
        <f t="shared" si="7"/>
        <v>3960</v>
      </c>
      <c r="J76" s="73">
        <v>5</v>
      </c>
      <c r="K76" s="36">
        <v>4</v>
      </c>
      <c r="L76" s="69">
        <f t="shared" si="10"/>
        <v>69960</v>
      </c>
      <c r="M76" s="68">
        <f t="shared" si="11"/>
        <v>279840</v>
      </c>
      <c r="N76" s="70">
        <f t="shared" si="12"/>
        <v>264000</v>
      </c>
      <c r="O76" s="71" t="s">
        <v>191</v>
      </c>
      <c r="P76" s="71" t="s">
        <v>1667</v>
      </c>
      <c r="Q76" s="44"/>
    </row>
    <row r="77" spans="1:17" ht="24" customHeight="1">
      <c r="A77" s="73">
        <f t="shared" si="6"/>
        <v>73</v>
      </c>
      <c r="B77" s="74" t="s">
        <v>1668</v>
      </c>
      <c r="C77" s="75" t="s">
        <v>1669</v>
      </c>
      <c r="D77" s="75" t="s">
        <v>1670</v>
      </c>
      <c r="E77" s="45">
        <v>43146</v>
      </c>
      <c r="F77" s="70">
        <f>330000</f>
        <v>330000</v>
      </c>
      <c r="G77" s="70">
        <f t="shared" si="8"/>
        <v>349800</v>
      </c>
      <c r="H77" s="119">
        <f t="shared" si="9"/>
        <v>66000</v>
      </c>
      <c r="I77" s="119">
        <f t="shared" si="7"/>
        <v>3960</v>
      </c>
      <c r="J77" s="73">
        <v>5</v>
      </c>
      <c r="K77" s="36">
        <v>4</v>
      </c>
      <c r="L77" s="69">
        <f t="shared" si="10"/>
        <v>69960</v>
      </c>
      <c r="M77" s="68">
        <f t="shared" si="11"/>
        <v>279840</v>
      </c>
      <c r="N77" s="70">
        <f t="shared" si="12"/>
        <v>264000</v>
      </c>
      <c r="O77" s="71" t="s">
        <v>191</v>
      </c>
      <c r="P77" s="71" t="s">
        <v>1667</v>
      </c>
      <c r="Q77" s="44"/>
    </row>
    <row r="78" spans="1:17" ht="24" customHeight="1">
      <c r="A78" s="73">
        <f t="shared" si="6"/>
        <v>74</v>
      </c>
      <c r="B78" s="74" t="s">
        <v>1671</v>
      </c>
      <c r="C78" s="75" t="s">
        <v>1672</v>
      </c>
      <c r="D78" s="75" t="s">
        <v>1673</v>
      </c>
      <c r="E78" s="45">
        <v>43146</v>
      </c>
      <c r="F78" s="70">
        <f>330000*2</f>
        <v>660000</v>
      </c>
      <c r="G78" s="70">
        <f t="shared" si="8"/>
        <v>699600</v>
      </c>
      <c r="H78" s="119">
        <f t="shared" si="9"/>
        <v>132000</v>
      </c>
      <c r="I78" s="119">
        <f t="shared" si="7"/>
        <v>7920</v>
      </c>
      <c r="J78" s="73">
        <v>5</v>
      </c>
      <c r="K78" s="36">
        <v>4</v>
      </c>
      <c r="L78" s="69">
        <f t="shared" si="10"/>
        <v>139920</v>
      </c>
      <c r="M78" s="68">
        <f t="shared" si="11"/>
        <v>559680</v>
      </c>
      <c r="N78" s="70">
        <f t="shared" si="12"/>
        <v>528000</v>
      </c>
      <c r="O78" s="71" t="s">
        <v>191</v>
      </c>
      <c r="P78" s="71" t="s">
        <v>1667</v>
      </c>
      <c r="Q78" s="44"/>
    </row>
    <row r="79" spans="1:17" ht="24" customHeight="1">
      <c r="A79" s="73">
        <f t="shared" si="6"/>
        <v>75</v>
      </c>
      <c r="B79" s="74" t="s">
        <v>1674</v>
      </c>
      <c r="C79" s="75" t="s">
        <v>1426</v>
      </c>
      <c r="D79" s="75" t="s">
        <v>1675</v>
      </c>
      <c r="E79" s="45">
        <v>43146</v>
      </c>
      <c r="F79" s="70">
        <f>252000+28000</f>
        <v>280000</v>
      </c>
      <c r="G79" s="70">
        <f t="shared" si="8"/>
        <v>291000</v>
      </c>
      <c r="H79" s="119">
        <f>97000-I79</f>
        <v>93640</v>
      </c>
      <c r="I79" s="119">
        <f t="shared" si="7"/>
        <v>3360</v>
      </c>
      <c r="J79" s="73">
        <v>3</v>
      </c>
      <c r="K79" s="36">
        <f>2</f>
        <v>2</v>
      </c>
      <c r="L79" s="69">
        <f t="shared" si="10"/>
        <v>97000</v>
      </c>
      <c r="M79" s="68">
        <f t="shared" si="11"/>
        <v>194000</v>
      </c>
      <c r="N79" s="239">
        <f>F79-(H79*1)</f>
        <v>186360</v>
      </c>
      <c r="O79" s="78" t="s">
        <v>186</v>
      </c>
      <c r="P79" s="78" t="s">
        <v>1676</v>
      </c>
      <c r="Q79" s="44"/>
    </row>
    <row r="80" spans="1:17" ht="24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44"/>
    </row>
    <row r="81" spans="1:17" ht="24" customHeight="1">
      <c r="A81" s="39"/>
      <c r="B81" s="39" t="s">
        <v>7</v>
      </c>
      <c r="C81" s="39"/>
      <c r="D81" s="39"/>
      <c r="E81" s="39"/>
      <c r="F81" s="123">
        <f>SUM(F5:F80)</f>
        <v>462162500</v>
      </c>
      <c r="G81" s="123">
        <f t="shared" ref="G81:N81" si="13">SUM(G5:G80)</f>
        <v>635464136</v>
      </c>
      <c r="H81" s="123">
        <f t="shared" si="13"/>
        <v>20617232</v>
      </c>
      <c r="I81" s="123">
        <f t="shared" si="13"/>
        <v>5449070</v>
      </c>
      <c r="J81" s="123">
        <f t="shared" si="13"/>
        <v>1222</v>
      </c>
      <c r="K81" s="123">
        <f t="shared" si="13"/>
        <v>836</v>
      </c>
      <c r="L81" s="123">
        <f t="shared" si="13"/>
        <v>26066302</v>
      </c>
      <c r="M81" s="123">
        <f t="shared" si="13"/>
        <v>506402842</v>
      </c>
      <c r="N81" s="123">
        <f t="shared" si="13"/>
        <v>359548226</v>
      </c>
      <c r="O81" s="39"/>
      <c r="P81" s="39"/>
      <c r="Q81" s="44"/>
    </row>
    <row r="82" spans="1:17" ht="24" customHeight="1">
      <c r="A82" s="44"/>
      <c r="C82" s="44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</row>
    <row r="83" spans="1:17" ht="24" customHeight="1">
      <c r="A83" s="44"/>
      <c r="C83" s="44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</row>
    <row r="84" spans="1:17" ht="24" customHeight="1">
      <c r="A84" s="44"/>
      <c r="C84" s="44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</row>
    <row r="85" spans="1:17" ht="24" customHeight="1">
      <c r="A85" s="44"/>
      <c r="C85" s="44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</row>
    <row r="86" spans="1:17" ht="24" customHeight="1">
      <c r="A86" s="44"/>
      <c r="C86" s="44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</row>
    <row r="87" spans="1:17" ht="24" customHeight="1">
      <c r="A87" s="44"/>
      <c r="C87" s="44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</row>
    <row r="88" spans="1:17" ht="24" customHeight="1">
      <c r="A88" s="44"/>
      <c r="C88" s="44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</row>
    <row r="89" spans="1:17" ht="24" customHeight="1">
      <c r="A89" s="44"/>
      <c r="C89" s="44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</row>
    <row r="90" spans="1:17" ht="24" customHeight="1">
      <c r="A90" s="44"/>
      <c r="C90" s="44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</row>
    <row r="91" spans="1:17" ht="24" customHeight="1">
      <c r="A91" s="44"/>
      <c r="C91" s="44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</row>
    <row r="92" spans="1:17" ht="24" customHeight="1">
      <c r="A92" s="44"/>
      <c r="C92" s="44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</row>
    <row r="93" spans="1:17" ht="24" customHeight="1">
      <c r="A93" s="44"/>
      <c r="C93" s="44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</row>
    <row r="94" spans="1:17" ht="24" customHeight="1">
      <c r="A94" s="44"/>
      <c r="C94" s="44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</row>
    <row r="95" spans="1:17" ht="24" customHeight="1">
      <c r="A95" s="44"/>
      <c r="C95" s="44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</row>
    <row r="96" spans="1:17" ht="24" customHeight="1">
      <c r="A96" s="44"/>
      <c r="C96" s="44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</row>
    <row r="97" spans="1:17" ht="24" customHeight="1">
      <c r="A97" s="44"/>
      <c r="C97" s="44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</row>
    <row r="98" spans="1:17" ht="24" customHeight="1">
      <c r="A98" s="44"/>
      <c r="C98" s="44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</row>
    <row r="99" spans="1:17" ht="24" customHeight="1">
      <c r="A99" s="44"/>
      <c r="C99" s="44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</row>
    <row r="100" spans="1:17" ht="24" customHeight="1">
      <c r="A100" s="44"/>
      <c r="C100" s="44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</row>
    <row r="101" spans="1:17" ht="24" customHeight="1">
      <c r="A101" s="44"/>
      <c r="C101" s="44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</row>
    <row r="102" spans="1:17" ht="24" customHeight="1">
      <c r="A102" s="44"/>
      <c r="C102" s="44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</row>
    <row r="103" spans="1:17" ht="24" customHeight="1">
      <c r="A103" s="44"/>
      <c r="C103" s="44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</row>
    <row r="104" spans="1:17" ht="24" customHeight="1">
      <c r="A104" s="44"/>
      <c r="C104" s="44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</row>
    <row r="105" spans="1:17" ht="24" customHeight="1">
      <c r="A105" s="44"/>
      <c r="C105" s="44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</row>
    <row r="106" spans="1:17" ht="24" customHeight="1">
      <c r="A106" s="44"/>
      <c r="C106" s="44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</row>
    <row r="107" spans="1:17" ht="24" customHeight="1">
      <c r="A107" s="44"/>
      <c r="C107" s="44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</row>
    <row r="108" spans="1:17" ht="24" customHeight="1">
      <c r="A108" s="44"/>
      <c r="C108" s="44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</row>
    <row r="109" spans="1:17" ht="24" customHeight="1">
      <c r="A109" s="44"/>
      <c r="C109" s="44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</row>
    <row r="110" spans="1:17" ht="24" customHeight="1">
      <c r="A110" s="44"/>
      <c r="C110" s="44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</row>
    <row r="111" spans="1:17" ht="24" customHeight="1">
      <c r="A111" s="44"/>
      <c r="C111" s="44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</row>
    <row r="112" spans="1:17" ht="24" customHeight="1">
      <c r="A112" s="44"/>
      <c r="C112" s="44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</row>
    <row r="113" spans="1:17" ht="24" customHeight="1">
      <c r="A113" s="44"/>
      <c r="C113" s="44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</row>
    <row r="114" spans="1:17" ht="24" customHeight="1">
      <c r="A114" s="44"/>
      <c r="C114" s="44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</row>
    <row r="115" spans="1:17" ht="24" customHeight="1">
      <c r="A115" s="44"/>
      <c r="C115" s="44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</row>
    <row r="116" spans="1:17" ht="24" customHeight="1">
      <c r="A116" s="44"/>
      <c r="C116" s="44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</row>
    <row r="117" spans="1:17" ht="24" customHeight="1">
      <c r="A117" s="44"/>
      <c r="C117" s="44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</row>
    <row r="118" spans="1:17" ht="24" customHeight="1">
      <c r="A118" s="44"/>
      <c r="C118" s="44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</row>
    <row r="119" spans="1:17" ht="24" customHeight="1">
      <c r="A119" s="44"/>
      <c r="C119" s="44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</row>
    <row r="120" spans="1:17" ht="24" customHeight="1">
      <c r="A120" s="44"/>
      <c r="C120" s="44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</row>
    <row r="121" spans="1:17" ht="24" customHeight="1">
      <c r="A121" s="44"/>
      <c r="C121" s="44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</row>
    <row r="122" spans="1:17" ht="24" customHeight="1">
      <c r="A122" s="44"/>
      <c r="C122" s="44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</row>
    <row r="123" spans="1:17" ht="24" customHeight="1">
      <c r="A123" s="44"/>
      <c r="C123" s="44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</row>
    <row r="124" spans="1:17" ht="24" customHeight="1">
      <c r="A124" s="44"/>
      <c r="C124" s="44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</row>
    <row r="125" spans="1:17" ht="24" customHeight="1">
      <c r="A125" s="44"/>
      <c r="C125" s="44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</row>
    <row r="126" spans="1:17" ht="24" customHeight="1">
      <c r="A126" s="44"/>
      <c r="C126" s="44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</row>
    <row r="127" spans="1:17" ht="24" customHeight="1">
      <c r="A127" s="44"/>
      <c r="C127" s="44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</row>
    <row r="128" spans="1:17" ht="24" customHeight="1">
      <c r="A128" s="44"/>
      <c r="C128" s="44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</row>
    <row r="129" spans="1:17" ht="24" customHeight="1">
      <c r="A129" s="44"/>
      <c r="C129" s="44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</row>
    <row r="130" spans="1:17" ht="24" customHeight="1">
      <c r="A130" s="44"/>
      <c r="C130" s="44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</row>
    <row r="131" spans="1:17" ht="24" customHeight="1">
      <c r="A131" s="44"/>
      <c r="C131" s="44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</row>
    <row r="132" spans="1:17" ht="24" customHeight="1">
      <c r="A132" s="44"/>
      <c r="C132" s="44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</row>
    <row r="133" spans="1:17" ht="24" customHeight="1">
      <c r="A133" s="44"/>
      <c r="C133" s="44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</row>
    <row r="134" spans="1:17" ht="24" customHeight="1">
      <c r="A134" s="44"/>
      <c r="C134" s="44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</row>
    <row r="135" spans="1:17" ht="24" customHeight="1">
      <c r="A135" s="44"/>
      <c r="C135" s="44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</row>
    <row r="136" spans="1:17" ht="24" customHeight="1">
      <c r="A136" s="44"/>
      <c r="C136" s="44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</row>
    <row r="137" spans="1:17" ht="24" customHeight="1">
      <c r="A137" s="44"/>
      <c r="C137" s="44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</row>
    <row r="138" spans="1:17" ht="24" customHeight="1">
      <c r="A138" s="44"/>
      <c r="C138" s="44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</row>
    <row r="139" spans="1:17" ht="24" customHeight="1">
      <c r="A139" s="44"/>
      <c r="C139" s="44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</row>
    <row r="140" spans="1:17" ht="24" customHeight="1">
      <c r="A140" s="44"/>
      <c r="C140" s="44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</row>
    <row r="141" spans="1:17" ht="24" customHeight="1">
      <c r="A141" s="44"/>
      <c r="C141" s="44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</row>
    <row r="142" spans="1:17" ht="24" customHeight="1">
      <c r="A142" s="44"/>
      <c r="C142" s="44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</row>
    <row r="143" spans="1:17" ht="24" customHeight="1">
      <c r="A143" s="44"/>
      <c r="C143" s="44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</row>
    <row r="144" spans="1:17" ht="24" customHeight="1">
      <c r="A144" s="44"/>
      <c r="C144" s="44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</row>
    <row r="145" spans="1:17" ht="24" customHeight="1">
      <c r="A145" s="44"/>
      <c r="C145" s="44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</row>
    <row r="146" spans="1:17" ht="24" customHeight="1">
      <c r="A146" s="44"/>
      <c r="C146" s="44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</row>
    <row r="147" spans="1:17" ht="24" customHeight="1">
      <c r="A147" s="44"/>
      <c r="C147" s="44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</row>
    <row r="148" spans="1:17" ht="24" customHeight="1">
      <c r="A148" s="44"/>
      <c r="C148" s="44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</row>
    <row r="149" spans="1:17" ht="24" customHeight="1">
      <c r="A149" s="44"/>
      <c r="C149" s="44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</row>
    <row r="150" spans="1:17" ht="24" customHeight="1">
      <c r="A150" s="44"/>
      <c r="C150" s="44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</row>
    <row r="151" spans="1:17" ht="24" customHeight="1">
      <c r="A151" s="44"/>
      <c r="C151" s="44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</row>
    <row r="152" spans="1:17" ht="24" customHeight="1">
      <c r="A152" s="44"/>
      <c r="C152" s="44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</row>
    <row r="153" spans="1:17" ht="24" customHeight="1">
      <c r="A153" s="44"/>
      <c r="C153" s="44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</row>
    <row r="154" spans="1:17" ht="24" customHeight="1">
      <c r="A154" s="44"/>
      <c r="C154" s="44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</row>
    <row r="155" spans="1:17" ht="24" customHeight="1">
      <c r="A155" s="44"/>
      <c r="C155" s="44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</row>
    <row r="156" spans="1:17" ht="24" customHeight="1">
      <c r="A156" s="44"/>
      <c r="C156" s="44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</row>
    <row r="157" spans="1:17" ht="24" customHeight="1">
      <c r="A157" s="44"/>
      <c r="C157" s="44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</row>
    <row r="158" spans="1:17" ht="24" customHeight="1">
      <c r="A158" s="44"/>
      <c r="C158" s="44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</row>
    <row r="159" spans="1:17" ht="24" customHeight="1">
      <c r="A159" s="44"/>
      <c r="C159" s="44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</row>
    <row r="160" spans="1:17" ht="24" customHeight="1">
      <c r="A160" s="44"/>
      <c r="C160" s="44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</row>
    <row r="161" spans="1:17" ht="24" customHeight="1">
      <c r="A161" s="44"/>
      <c r="C161" s="44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</row>
    <row r="162" spans="1:17" ht="24" customHeight="1">
      <c r="A162" s="44"/>
      <c r="C162" s="44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</row>
    <row r="163" spans="1:17" ht="24" customHeight="1">
      <c r="A163" s="44"/>
      <c r="C163" s="44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</row>
    <row r="164" spans="1:17" ht="24" customHeight="1">
      <c r="A164" s="44"/>
      <c r="C164" s="44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</row>
    <row r="165" spans="1:17" ht="24" customHeight="1">
      <c r="A165" s="44"/>
      <c r="C165" s="44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</row>
    <row r="166" spans="1:17" ht="24" customHeight="1">
      <c r="A166" s="44"/>
      <c r="C166" s="44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</row>
    <row r="167" spans="1:17" ht="24" customHeight="1">
      <c r="A167" s="44"/>
      <c r="C167" s="44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</row>
    <row r="168" spans="1:17" ht="24" customHeight="1">
      <c r="A168" s="44"/>
      <c r="C168" s="44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</row>
    <row r="169" spans="1:17" ht="24" customHeight="1">
      <c r="A169" s="44"/>
      <c r="C169" s="44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</row>
    <row r="170" spans="1:17" ht="24" customHeight="1">
      <c r="A170" s="44"/>
      <c r="C170" s="44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</row>
    <row r="171" spans="1:17" ht="24" customHeight="1">
      <c r="A171" s="44"/>
      <c r="C171" s="44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</row>
    <row r="172" spans="1:17" ht="24" customHeight="1">
      <c r="A172" s="44"/>
      <c r="C172" s="44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</row>
    <row r="173" spans="1:17" ht="24" customHeight="1">
      <c r="A173" s="44"/>
      <c r="C173" s="44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</row>
    <row r="174" spans="1:17" ht="24" customHeight="1">
      <c r="A174" s="44"/>
      <c r="C174" s="44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</row>
    <row r="175" spans="1:17" ht="24" customHeight="1">
      <c r="A175" s="44"/>
      <c r="C175" s="44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</row>
    <row r="176" spans="1:17" ht="24" customHeight="1">
      <c r="A176" s="44"/>
      <c r="C176" s="44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</row>
    <row r="177" spans="1:17" ht="24" customHeight="1">
      <c r="A177" s="44"/>
      <c r="C177" s="44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</row>
    <row r="178" spans="1:17" ht="24" customHeight="1">
      <c r="A178" s="44"/>
      <c r="C178" s="44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</row>
    <row r="179" spans="1:17" ht="24" customHeight="1">
      <c r="A179" s="44"/>
      <c r="C179" s="44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</row>
    <row r="180" spans="1:17" ht="24" customHeight="1">
      <c r="A180" s="44"/>
      <c r="C180" s="44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</row>
    <row r="181" spans="1:17" ht="24" customHeight="1">
      <c r="A181" s="44"/>
      <c r="C181" s="44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</row>
    <row r="182" spans="1:17" ht="24" customHeight="1">
      <c r="A182" s="44"/>
      <c r="C182" s="44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19"/>
  <sheetViews>
    <sheetView showGridLines="0" view="pageBreakPreview" zoomScaleSheetLayoutView="100" workbookViewId="0">
      <pane ySplit="4" topLeftCell="A5" activePane="bottomLeft" state="frozen"/>
      <selection pane="bottomLeft" activeCell="B5" sqref="B5"/>
    </sheetView>
  </sheetViews>
  <sheetFormatPr defaultRowHeight="15.75"/>
  <cols>
    <col min="1" max="1" width="9" style="8" customWidth="1"/>
    <col min="2" max="2" width="26" style="44" bestFit="1" customWidth="1"/>
    <col min="3" max="3" width="8.7109375" style="8" bestFit="1" customWidth="1"/>
    <col min="4" max="4" width="13.85546875" style="187" bestFit="1" customWidth="1"/>
    <col min="5" max="6" width="16.140625" style="173" bestFit="1" customWidth="1"/>
    <col min="7" max="7" width="16.140625" style="174" bestFit="1" customWidth="1"/>
    <col min="8" max="8" width="10.7109375" style="175" customWidth="1"/>
    <col min="9" max="9" width="8.28515625" style="8" bestFit="1" customWidth="1"/>
    <col min="10" max="10" width="8.140625" style="44" bestFit="1" customWidth="1"/>
    <col min="11" max="12" width="16.140625" style="177" bestFit="1" customWidth="1"/>
    <col min="13" max="13" width="20.5703125" style="175" bestFit="1" customWidth="1"/>
    <col min="14" max="14" width="15.7109375" style="178" bestFit="1" customWidth="1"/>
    <col min="15" max="15" width="32.140625" style="179" bestFit="1" customWidth="1"/>
    <col min="16" max="26" width="9.140625" style="2"/>
    <col min="27" max="16384" width="9.140625" style="44"/>
  </cols>
  <sheetData>
    <row r="1" spans="1:26" ht="23.25" customHeight="1">
      <c r="A1" s="88" t="s">
        <v>0</v>
      </c>
      <c r="B1" s="2"/>
      <c r="C1" s="3"/>
      <c r="D1" s="4"/>
      <c r="E1" s="4"/>
      <c r="F1" s="188"/>
      <c r="G1" s="188"/>
      <c r="H1" s="188"/>
      <c r="I1" s="189"/>
      <c r="K1" s="91"/>
      <c r="L1" s="91"/>
      <c r="M1" s="5"/>
      <c r="N1" s="92"/>
      <c r="O1" s="1"/>
    </row>
    <row r="2" spans="1:26" ht="23.25" customHeight="1">
      <c r="A2" s="93" t="s">
        <v>1677</v>
      </c>
      <c r="B2" s="2"/>
      <c r="C2" s="3"/>
      <c r="D2" s="4"/>
      <c r="E2" s="4"/>
      <c r="F2" s="188"/>
      <c r="G2" s="188"/>
      <c r="H2" s="188"/>
      <c r="I2" s="189"/>
      <c r="K2" s="91"/>
      <c r="L2" s="91"/>
      <c r="M2" s="5"/>
      <c r="N2" s="92"/>
      <c r="O2" s="1"/>
    </row>
    <row r="3" spans="1:26" s="8" customFormat="1" ht="23.25" customHeight="1">
      <c r="A3" s="94" t="s">
        <v>2</v>
      </c>
      <c r="B3" s="94" t="s">
        <v>3</v>
      </c>
      <c r="C3" s="94" t="s">
        <v>4</v>
      </c>
      <c r="D3" s="96" t="s">
        <v>5</v>
      </c>
      <c r="E3" s="97" t="s">
        <v>6</v>
      </c>
      <c r="F3" s="97" t="s">
        <v>7</v>
      </c>
      <c r="G3" s="94" t="s">
        <v>8</v>
      </c>
      <c r="H3" s="98" t="s">
        <v>9</v>
      </c>
      <c r="I3" s="99" t="s">
        <v>10</v>
      </c>
      <c r="J3" s="94" t="s">
        <v>11</v>
      </c>
      <c r="K3" s="100" t="s">
        <v>12</v>
      </c>
      <c r="L3" s="101" t="s">
        <v>13</v>
      </c>
      <c r="M3" s="104" t="s">
        <v>14</v>
      </c>
      <c r="N3" s="240" t="s">
        <v>79</v>
      </c>
      <c r="O3" s="94" t="s">
        <v>80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8" customFormat="1" ht="23.25" customHeight="1">
      <c r="A4" s="241"/>
      <c r="B4" s="241"/>
      <c r="C4" s="241"/>
      <c r="D4" s="242" t="s">
        <v>18</v>
      </c>
      <c r="E4" s="243"/>
      <c r="F4" s="244" t="s">
        <v>6</v>
      </c>
      <c r="G4" s="241"/>
      <c r="H4" s="245"/>
      <c r="I4" s="246"/>
      <c r="J4" s="241" t="s">
        <v>19</v>
      </c>
      <c r="K4" s="247" t="s">
        <v>20</v>
      </c>
      <c r="L4" s="248" t="s">
        <v>9</v>
      </c>
      <c r="M4" s="249"/>
      <c r="N4" s="250"/>
      <c r="O4" s="251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264" customFormat="1">
      <c r="A5" s="252">
        <v>1</v>
      </c>
      <c r="B5" s="253" t="s">
        <v>537</v>
      </c>
      <c r="C5" s="254" t="s">
        <v>538</v>
      </c>
      <c r="D5" s="255">
        <v>42776</v>
      </c>
      <c r="E5" s="256">
        <v>56000</v>
      </c>
      <c r="F5" s="257">
        <f t="shared" ref="F5:F26" si="0">+I5*K5</f>
        <v>56000</v>
      </c>
      <c r="G5" s="258">
        <f t="shared" ref="G5:G26" si="1">+E5/I5</f>
        <v>56000</v>
      </c>
      <c r="H5" s="258">
        <v>0</v>
      </c>
      <c r="I5" s="259">
        <v>1</v>
      </c>
      <c r="J5" s="259">
        <v>1</v>
      </c>
      <c r="K5" s="260">
        <f t="shared" ref="K5:K26" si="2">+G5+H5</f>
        <v>56000</v>
      </c>
      <c r="L5" s="261">
        <f t="shared" ref="L5:L26" si="3">+J5*K5</f>
        <v>56000</v>
      </c>
      <c r="M5" s="261">
        <f t="shared" ref="M5:M26" si="4">+G5*J5</f>
        <v>56000</v>
      </c>
      <c r="N5" s="262"/>
      <c r="O5" s="263" t="s">
        <v>1678</v>
      </c>
    </row>
    <row r="6" spans="1:26" s="264" customFormat="1">
      <c r="A6" s="252">
        <f t="shared" ref="A6:A24" si="5">+A5+1</f>
        <v>2</v>
      </c>
      <c r="B6" s="253" t="s">
        <v>537</v>
      </c>
      <c r="C6" s="254" t="s">
        <v>538</v>
      </c>
      <c r="D6" s="255">
        <v>42804</v>
      </c>
      <c r="E6" s="256">
        <v>56000</v>
      </c>
      <c r="F6" s="257">
        <f t="shared" si="0"/>
        <v>56000</v>
      </c>
      <c r="G6" s="258">
        <f t="shared" si="1"/>
        <v>56000</v>
      </c>
      <c r="H6" s="258">
        <v>0</v>
      </c>
      <c r="I6" s="259">
        <v>1</v>
      </c>
      <c r="J6" s="259">
        <v>1</v>
      </c>
      <c r="K6" s="260">
        <f t="shared" si="2"/>
        <v>56000</v>
      </c>
      <c r="L6" s="261">
        <f t="shared" si="3"/>
        <v>56000</v>
      </c>
      <c r="M6" s="261">
        <f t="shared" si="4"/>
        <v>56000</v>
      </c>
      <c r="N6" s="262"/>
      <c r="O6" s="263" t="s">
        <v>1678</v>
      </c>
    </row>
    <row r="7" spans="1:26" s="264" customFormat="1">
      <c r="A7" s="252">
        <f t="shared" si="5"/>
        <v>3</v>
      </c>
      <c r="B7" s="253" t="s">
        <v>537</v>
      </c>
      <c r="C7" s="254" t="s">
        <v>538</v>
      </c>
      <c r="D7" s="255">
        <v>42835</v>
      </c>
      <c r="E7" s="256">
        <v>56000</v>
      </c>
      <c r="F7" s="257">
        <f t="shared" si="0"/>
        <v>56000</v>
      </c>
      <c r="G7" s="258">
        <f t="shared" si="1"/>
        <v>56000</v>
      </c>
      <c r="H7" s="258">
        <v>0</v>
      </c>
      <c r="I7" s="259">
        <v>1</v>
      </c>
      <c r="J7" s="259">
        <v>1</v>
      </c>
      <c r="K7" s="265">
        <f t="shared" si="2"/>
        <v>56000</v>
      </c>
      <c r="L7" s="266">
        <f t="shared" si="3"/>
        <v>56000</v>
      </c>
      <c r="M7" s="266">
        <f t="shared" si="4"/>
        <v>56000</v>
      </c>
      <c r="N7" s="262"/>
      <c r="O7" s="263" t="s">
        <v>1679</v>
      </c>
    </row>
    <row r="8" spans="1:26" s="264" customFormat="1">
      <c r="A8" s="252">
        <f t="shared" si="5"/>
        <v>4</v>
      </c>
      <c r="B8" s="253" t="s">
        <v>537</v>
      </c>
      <c r="C8" s="254" t="s">
        <v>538</v>
      </c>
      <c r="D8" s="255">
        <v>42865</v>
      </c>
      <c r="E8" s="256">
        <v>56000</v>
      </c>
      <c r="F8" s="257">
        <f t="shared" si="0"/>
        <v>56000</v>
      </c>
      <c r="G8" s="258">
        <f t="shared" si="1"/>
        <v>56000</v>
      </c>
      <c r="H8" s="258">
        <v>0</v>
      </c>
      <c r="I8" s="259">
        <v>1</v>
      </c>
      <c r="J8" s="259">
        <v>1</v>
      </c>
      <c r="K8" s="265">
        <f t="shared" si="2"/>
        <v>56000</v>
      </c>
      <c r="L8" s="266">
        <f t="shared" si="3"/>
        <v>56000</v>
      </c>
      <c r="M8" s="266">
        <f t="shared" si="4"/>
        <v>56000</v>
      </c>
      <c r="N8" s="262"/>
      <c r="O8" s="263" t="s">
        <v>1680</v>
      </c>
    </row>
    <row r="9" spans="1:26" s="264" customFormat="1">
      <c r="A9" s="252">
        <f t="shared" si="5"/>
        <v>5</v>
      </c>
      <c r="B9" s="253" t="s">
        <v>537</v>
      </c>
      <c r="C9" s="254" t="s">
        <v>538</v>
      </c>
      <c r="D9" s="255">
        <v>42896</v>
      </c>
      <c r="E9" s="267">
        <v>56000</v>
      </c>
      <c r="F9" s="268">
        <f t="shared" si="0"/>
        <v>56000</v>
      </c>
      <c r="G9" s="269">
        <f t="shared" si="1"/>
        <v>56000</v>
      </c>
      <c r="H9" s="270">
        <v>0</v>
      </c>
      <c r="I9" s="271">
        <v>1</v>
      </c>
      <c r="J9" s="259">
        <v>1</v>
      </c>
      <c r="K9" s="260">
        <f t="shared" si="2"/>
        <v>56000</v>
      </c>
      <c r="L9" s="261">
        <f t="shared" si="3"/>
        <v>56000</v>
      </c>
      <c r="M9" s="261">
        <f t="shared" si="4"/>
        <v>56000</v>
      </c>
      <c r="N9" s="272"/>
      <c r="O9" s="263" t="s">
        <v>1681</v>
      </c>
    </row>
    <row r="10" spans="1:26" s="275" customFormat="1" ht="23.25" customHeight="1">
      <c r="A10" s="273">
        <f t="shared" si="5"/>
        <v>6</v>
      </c>
      <c r="B10" s="253" t="s">
        <v>537</v>
      </c>
      <c r="C10" s="254" t="s">
        <v>538</v>
      </c>
      <c r="D10" s="255">
        <v>42926</v>
      </c>
      <c r="E10" s="274">
        <v>56000</v>
      </c>
      <c r="F10" s="268">
        <f t="shared" si="0"/>
        <v>56000</v>
      </c>
      <c r="G10" s="269">
        <f t="shared" si="1"/>
        <v>56000</v>
      </c>
      <c r="H10" s="270">
        <v>0</v>
      </c>
      <c r="I10" s="271">
        <v>1</v>
      </c>
      <c r="J10" s="259">
        <v>1</v>
      </c>
      <c r="K10" s="260">
        <f t="shared" si="2"/>
        <v>56000</v>
      </c>
      <c r="L10" s="261">
        <f t="shared" si="3"/>
        <v>56000</v>
      </c>
      <c r="M10" s="261">
        <f t="shared" si="4"/>
        <v>56000</v>
      </c>
      <c r="N10" s="272"/>
      <c r="O10" s="263" t="s">
        <v>1682</v>
      </c>
    </row>
    <row r="11" spans="1:26" s="275" customFormat="1" ht="23.25" customHeight="1">
      <c r="A11" s="252">
        <f t="shared" si="5"/>
        <v>7</v>
      </c>
      <c r="B11" s="253" t="s">
        <v>537</v>
      </c>
      <c r="C11" s="254" t="s">
        <v>538</v>
      </c>
      <c r="D11" s="255">
        <v>42957</v>
      </c>
      <c r="E11" s="274">
        <v>56000</v>
      </c>
      <c r="F11" s="268">
        <f t="shared" si="0"/>
        <v>56000</v>
      </c>
      <c r="G11" s="269">
        <f t="shared" si="1"/>
        <v>56000</v>
      </c>
      <c r="H11" s="270">
        <v>0</v>
      </c>
      <c r="I11" s="271">
        <v>1</v>
      </c>
      <c r="J11" s="259">
        <v>1</v>
      </c>
      <c r="K11" s="260">
        <f t="shared" si="2"/>
        <v>56000</v>
      </c>
      <c r="L11" s="261">
        <f t="shared" si="3"/>
        <v>56000</v>
      </c>
      <c r="M11" s="261">
        <f t="shared" si="4"/>
        <v>56000</v>
      </c>
      <c r="N11" s="272"/>
      <c r="O11" s="263" t="s">
        <v>1683</v>
      </c>
    </row>
    <row r="12" spans="1:26" s="275" customFormat="1" ht="23.25" customHeight="1">
      <c r="A12" s="252">
        <f t="shared" si="5"/>
        <v>8</v>
      </c>
      <c r="B12" s="253" t="s">
        <v>537</v>
      </c>
      <c r="C12" s="254" t="s">
        <v>538</v>
      </c>
      <c r="D12" s="255">
        <v>42988</v>
      </c>
      <c r="E12" s="274">
        <v>56000</v>
      </c>
      <c r="F12" s="268">
        <f t="shared" si="0"/>
        <v>56000</v>
      </c>
      <c r="G12" s="269">
        <f t="shared" si="1"/>
        <v>56000</v>
      </c>
      <c r="H12" s="270">
        <v>0</v>
      </c>
      <c r="I12" s="271">
        <v>1</v>
      </c>
      <c r="J12" s="259">
        <v>1</v>
      </c>
      <c r="K12" s="260">
        <f t="shared" si="2"/>
        <v>56000</v>
      </c>
      <c r="L12" s="261">
        <f t="shared" si="3"/>
        <v>56000</v>
      </c>
      <c r="M12" s="261">
        <f t="shared" si="4"/>
        <v>56000</v>
      </c>
      <c r="N12" s="272"/>
      <c r="O12" s="263" t="s">
        <v>1684</v>
      </c>
    </row>
    <row r="13" spans="1:26" s="275" customFormat="1" ht="23.25" customHeight="1">
      <c r="A13" s="252">
        <f t="shared" si="5"/>
        <v>9</v>
      </c>
      <c r="B13" s="253" t="s">
        <v>537</v>
      </c>
      <c r="C13" s="254" t="s">
        <v>538</v>
      </c>
      <c r="D13" s="255">
        <v>43018</v>
      </c>
      <c r="E13" s="274">
        <v>56000</v>
      </c>
      <c r="F13" s="268">
        <f t="shared" si="0"/>
        <v>56000</v>
      </c>
      <c r="G13" s="269">
        <f t="shared" si="1"/>
        <v>56000</v>
      </c>
      <c r="H13" s="270">
        <v>0</v>
      </c>
      <c r="I13" s="271">
        <v>1</v>
      </c>
      <c r="J13" s="259">
        <v>1</v>
      </c>
      <c r="K13" s="260">
        <f t="shared" si="2"/>
        <v>56000</v>
      </c>
      <c r="L13" s="261">
        <f t="shared" si="3"/>
        <v>56000</v>
      </c>
      <c r="M13" s="261">
        <f t="shared" si="4"/>
        <v>56000</v>
      </c>
      <c r="N13" s="272"/>
      <c r="O13" s="276" t="s">
        <v>1685</v>
      </c>
    </row>
    <row r="14" spans="1:26" s="275" customFormat="1" ht="23.25" customHeight="1">
      <c r="A14" s="252">
        <f t="shared" si="5"/>
        <v>10</v>
      </c>
      <c r="B14" s="253" t="s">
        <v>537</v>
      </c>
      <c r="C14" s="254" t="s">
        <v>538</v>
      </c>
      <c r="D14" s="255">
        <v>43049</v>
      </c>
      <c r="E14" s="277">
        <v>56000</v>
      </c>
      <c r="F14" s="268">
        <f t="shared" si="0"/>
        <v>56000</v>
      </c>
      <c r="G14" s="269">
        <f t="shared" si="1"/>
        <v>56000</v>
      </c>
      <c r="H14" s="270">
        <v>0</v>
      </c>
      <c r="I14" s="271">
        <v>1</v>
      </c>
      <c r="J14" s="259">
        <v>1</v>
      </c>
      <c r="K14" s="260">
        <f t="shared" si="2"/>
        <v>56000</v>
      </c>
      <c r="L14" s="261">
        <f t="shared" si="3"/>
        <v>56000</v>
      </c>
      <c r="M14" s="261">
        <f t="shared" si="4"/>
        <v>56000</v>
      </c>
      <c r="N14" s="272"/>
      <c r="O14" s="276" t="s">
        <v>1686</v>
      </c>
    </row>
    <row r="15" spans="1:26" s="275" customFormat="1" ht="23.25" customHeight="1">
      <c r="A15" s="252">
        <f t="shared" si="5"/>
        <v>11</v>
      </c>
      <c r="B15" s="253" t="s">
        <v>537</v>
      </c>
      <c r="C15" s="254" t="s">
        <v>538</v>
      </c>
      <c r="D15" s="255">
        <v>43079</v>
      </c>
      <c r="E15" s="278">
        <v>56000</v>
      </c>
      <c r="F15" s="268">
        <f t="shared" si="0"/>
        <v>56000</v>
      </c>
      <c r="G15" s="269">
        <f t="shared" si="1"/>
        <v>56000</v>
      </c>
      <c r="H15" s="270">
        <v>0</v>
      </c>
      <c r="I15" s="271">
        <v>1</v>
      </c>
      <c r="J15" s="259">
        <v>1</v>
      </c>
      <c r="K15" s="260">
        <f t="shared" si="2"/>
        <v>56000</v>
      </c>
      <c r="L15" s="261">
        <f t="shared" si="3"/>
        <v>56000</v>
      </c>
      <c r="M15" s="261">
        <f t="shared" si="4"/>
        <v>56000</v>
      </c>
      <c r="N15" s="279"/>
      <c r="O15" s="276" t="s">
        <v>1687</v>
      </c>
    </row>
    <row r="16" spans="1:26" s="275" customFormat="1" ht="23.25" customHeight="1">
      <c r="A16" s="252">
        <f t="shared" si="5"/>
        <v>12</v>
      </c>
      <c r="B16" s="253" t="s">
        <v>537</v>
      </c>
      <c r="C16" s="254" t="s">
        <v>538</v>
      </c>
      <c r="D16" s="255">
        <v>43110</v>
      </c>
      <c r="E16" s="277">
        <v>56000</v>
      </c>
      <c r="F16" s="268">
        <f t="shared" si="0"/>
        <v>56000</v>
      </c>
      <c r="G16" s="269">
        <f t="shared" si="1"/>
        <v>56000</v>
      </c>
      <c r="H16" s="270">
        <v>0</v>
      </c>
      <c r="I16" s="271">
        <v>1</v>
      </c>
      <c r="J16" s="259">
        <v>1</v>
      </c>
      <c r="K16" s="260">
        <f t="shared" si="2"/>
        <v>56000</v>
      </c>
      <c r="L16" s="260">
        <f t="shared" si="3"/>
        <v>56000</v>
      </c>
      <c r="M16" s="280">
        <f t="shared" si="4"/>
        <v>56000</v>
      </c>
      <c r="N16" s="272"/>
      <c r="O16" s="276" t="s">
        <v>1688</v>
      </c>
    </row>
    <row r="17" spans="1:26" ht="23.25" customHeight="1">
      <c r="A17" s="36">
        <f>+A16+1</f>
        <v>13</v>
      </c>
      <c r="B17" s="145" t="s">
        <v>593</v>
      </c>
      <c r="C17" s="152" t="s">
        <v>594</v>
      </c>
      <c r="D17" s="147">
        <v>42988</v>
      </c>
      <c r="E17" s="281">
        <v>47750</v>
      </c>
      <c r="F17" s="223">
        <f t="shared" si="0"/>
        <v>47750</v>
      </c>
      <c r="G17" s="148">
        <f t="shared" si="1"/>
        <v>47750</v>
      </c>
      <c r="H17" s="222">
        <v>0</v>
      </c>
      <c r="I17" s="150">
        <v>1</v>
      </c>
      <c r="J17" s="282">
        <v>1</v>
      </c>
      <c r="K17" s="42">
        <f t="shared" si="2"/>
        <v>47750</v>
      </c>
      <c r="L17" s="283">
        <f t="shared" si="3"/>
        <v>47750</v>
      </c>
      <c r="M17" s="283">
        <f t="shared" si="4"/>
        <v>47750</v>
      </c>
      <c r="N17" s="284"/>
      <c r="O17" s="43" t="s">
        <v>1684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3.25" customHeight="1">
      <c r="A18" s="36">
        <f t="shared" si="5"/>
        <v>14</v>
      </c>
      <c r="B18" s="145" t="s">
        <v>593</v>
      </c>
      <c r="C18" s="152" t="s">
        <v>594</v>
      </c>
      <c r="D18" s="147">
        <v>43049</v>
      </c>
      <c r="E18" s="285">
        <v>47750</v>
      </c>
      <c r="F18" s="223">
        <f t="shared" si="0"/>
        <v>47750</v>
      </c>
      <c r="G18" s="148">
        <f t="shared" si="1"/>
        <v>47750</v>
      </c>
      <c r="H18" s="222">
        <v>0</v>
      </c>
      <c r="I18" s="150">
        <v>1</v>
      </c>
      <c r="J18" s="282">
        <v>1</v>
      </c>
      <c r="K18" s="42">
        <f t="shared" si="2"/>
        <v>47750</v>
      </c>
      <c r="L18" s="283">
        <f t="shared" si="3"/>
        <v>47750</v>
      </c>
      <c r="M18" s="283">
        <f t="shared" si="4"/>
        <v>47750</v>
      </c>
      <c r="N18" s="284"/>
      <c r="O18" s="286" t="s">
        <v>1686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23.25" customHeight="1">
      <c r="A19" s="36">
        <f t="shared" si="5"/>
        <v>15</v>
      </c>
      <c r="B19" s="145" t="s">
        <v>593</v>
      </c>
      <c r="C19" s="152" t="s">
        <v>594</v>
      </c>
      <c r="D19" s="147">
        <v>43079</v>
      </c>
      <c r="E19" s="287">
        <v>47750</v>
      </c>
      <c r="F19" s="223">
        <f t="shared" si="0"/>
        <v>47750</v>
      </c>
      <c r="G19" s="148">
        <f t="shared" si="1"/>
        <v>47750</v>
      </c>
      <c r="H19" s="222">
        <v>0</v>
      </c>
      <c r="I19" s="150">
        <v>1</v>
      </c>
      <c r="J19" s="282">
        <v>1</v>
      </c>
      <c r="K19" s="42">
        <f t="shared" si="2"/>
        <v>47750</v>
      </c>
      <c r="L19" s="283">
        <f t="shared" si="3"/>
        <v>47750</v>
      </c>
      <c r="M19" s="283">
        <f t="shared" si="4"/>
        <v>47750</v>
      </c>
      <c r="N19" s="284"/>
      <c r="O19" s="286" t="s">
        <v>1687</v>
      </c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23.25" customHeight="1">
      <c r="A20" s="36">
        <f t="shared" si="5"/>
        <v>16</v>
      </c>
      <c r="B20" s="145" t="s">
        <v>593</v>
      </c>
      <c r="C20" s="152" t="s">
        <v>594</v>
      </c>
      <c r="D20" s="147">
        <v>43110</v>
      </c>
      <c r="E20" s="285">
        <v>47750</v>
      </c>
      <c r="F20" s="223">
        <f t="shared" si="0"/>
        <v>47750</v>
      </c>
      <c r="G20" s="148">
        <f t="shared" si="1"/>
        <v>47750</v>
      </c>
      <c r="H20" s="222">
        <v>0</v>
      </c>
      <c r="I20" s="150">
        <v>1</v>
      </c>
      <c r="J20" s="282">
        <v>1</v>
      </c>
      <c r="K20" s="42">
        <f t="shared" si="2"/>
        <v>47750</v>
      </c>
      <c r="L20" s="42">
        <f t="shared" si="3"/>
        <v>47750</v>
      </c>
      <c r="M20" s="224">
        <f t="shared" si="4"/>
        <v>47750</v>
      </c>
      <c r="N20" s="284"/>
      <c r="O20" s="286" t="s">
        <v>1688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23.25" customHeight="1">
      <c r="A21" s="36">
        <f t="shared" si="5"/>
        <v>17</v>
      </c>
      <c r="B21" s="288" t="s">
        <v>1689</v>
      </c>
      <c r="C21" s="289" t="s">
        <v>1690</v>
      </c>
      <c r="D21" s="147">
        <v>43110</v>
      </c>
      <c r="E21" s="281">
        <v>100000</v>
      </c>
      <c r="F21" s="223">
        <f t="shared" si="0"/>
        <v>100000</v>
      </c>
      <c r="G21" s="148">
        <f t="shared" si="1"/>
        <v>100000</v>
      </c>
      <c r="H21" s="222">
        <v>0</v>
      </c>
      <c r="I21" s="150">
        <v>1</v>
      </c>
      <c r="J21" s="282">
        <v>1</v>
      </c>
      <c r="K21" s="42">
        <f t="shared" si="2"/>
        <v>100000</v>
      </c>
      <c r="L21" s="42">
        <f t="shared" si="3"/>
        <v>100000</v>
      </c>
      <c r="M21" s="224">
        <f t="shared" si="4"/>
        <v>100000</v>
      </c>
      <c r="N21" s="290"/>
      <c r="O21" s="286" t="s">
        <v>1691</v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23.25" customHeight="1">
      <c r="A22" s="36">
        <f t="shared" si="5"/>
        <v>18</v>
      </c>
      <c r="B22" s="288" t="s">
        <v>1692</v>
      </c>
      <c r="C22" s="289" t="s">
        <v>1693</v>
      </c>
      <c r="D22" s="291">
        <v>42561</v>
      </c>
      <c r="E22" s="292">
        <v>500000</v>
      </c>
      <c r="F22" s="293">
        <f t="shared" si="0"/>
        <v>500000</v>
      </c>
      <c r="G22" s="148">
        <f t="shared" si="1"/>
        <v>500000</v>
      </c>
      <c r="H22" s="149">
        <v>0</v>
      </c>
      <c r="I22" s="150">
        <v>1</v>
      </c>
      <c r="J22" s="282">
        <v>1</v>
      </c>
      <c r="K22" s="42">
        <f t="shared" si="2"/>
        <v>500000</v>
      </c>
      <c r="L22" s="283">
        <f t="shared" si="3"/>
        <v>500000</v>
      </c>
      <c r="M22" s="283">
        <f t="shared" si="4"/>
        <v>500000</v>
      </c>
      <c r="N22" s="167"/>
      <c r="O22" s="43" t="s">
        <v>1694</v>
      </c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23.25" customHeight="1">
      <c r="A23" s="36">
        <f t="shared" si="5"/>
        <v>19</v>
      </c>
      <c r="B23" s="145" t="s">
        <v>1695</v>
      </c>
      <c r="C23" s="146" t="s">
        <v>1696</v>
      </c>
      <c r="D23" s="291">
        <v>42561</v>
      </c>
      <c r="E23" s="292">
        <v>750000</v>
      </c>
      <c r="F23" s="293">
        <f t="shared" si="0"/>
        <v>750000</v>
      </c>
      <c r="G23" s="148">
        <f t="shared" si="1"/>
        <v>750000</v>
      </c>
      <c r="H23" s="149">
        <v>0</v>
      </c>
      <c r="I23" s="150">
        <v>1</v>
      </c>
      <c r="J23" s="282">
        <v>1</v>
      </c>
      <c r="K23" s="42">
        <f t="shared" si="2"/>
        <v>750000</v>
      </c>
      <c r="L23" s="283">
        <f t="shared" si="3"/>
        <v>750000</v>
      </c>
      <c r="M23" s="283">
        <f t="shared" si="4"/>
        <v>750000</v>
      </c>
      <c r="N23" s="167"/>
      <c r="O23" s="43" t="s">
        <v>1694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23.25" customHeight="1">
      <c r="A24" s="36">
        <f t="shared" si="5"/>
        <v>20</v>
      </c>
      <c r="B24" s="145" t="s">
        <v>1695</v>
      </c>
      <c r="C24" s="146" t="s">
        <v>1696</v>
      </c>
      <c r="D24" s="147">
        <v>42745</v>
      </c>
      <c r="E24" s="294">
        <f>7500000*10%</f>
        <v>750000</v>
      </c>
      <c r="F24" s="295">
        <f t="shared" si="0"/>
        <v>750000</v>
      </c>
      <c r="G24" s="296">
        <f t="shared" si="1"/>
        <v>750000</v>
      </c>
      <c r="H24" s="296">
        <v>0</v>
      </c>
      <c r="I24" s="150">
        <v>1</v>
      </c>
      <c r="J24" s="282">
        <v>1</v>
      </c>
      <c r="K24" s="42">
        <f t="shared" si="2"/>
        <v>750000</v>
      </c>
      <c r="L24" s="283">
        <f t="shared" si="3"/>
        <v>750000</v>
      </c>
      <c r="M24" s="283">
        <f t="shared" si="4"/>
        <v>750000</v>
      </c>
      <c r="N24" s="80"/>
      <c r="O24" s="43" t="s">
        <v>1697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s="275" customFormat="1" ht="23.25" customHeight="1">
      <c r="A25" s="252">
        <f>+A24+1</f>
        <v>21</v>
      </c>
      <c r="B25" s="253" t="s">
        <v>537</v>
      </c>
      <c r="C25" s="254" t="s">
        <v>538</v>
      </c>
      <c r="D25" s="255">
        <v>43141</v>
      </c>
      <c r="E25" s="277">
        <v>56000</v>
      </c>
      <c r="F25" s="268">
        <f t="shared" si="0"/>
        <v>56000</v>
      </c>
      <c r="G25" s="269">
        <f t="shared" si="1"/>
        <v>56000</v>
      </c>
      <c r="H25" s="270">
        <v>0</v>
      </c>
      <c r="I25" s="271">
        <v>1</v>
      </c>
      <c r="J25" s="259">
        <v>1</v>
      </c>
      <c r="K25" s="260">
        <f t="shared" si="2"/>
        <v>56000</v>
      </c>
      <c r="L25" s="260">
        <f t="shared" si="3"/>
        <v>56000</v>
      </c>
      <c r="M25" s="280">
        <f t="shared" si="4"/>
        <v>56000</v>
      </c>
      <c r="N25" s="272"/>
      <c r="O25" s="276" t="s">
        <v>1698</v>
      </c>
    </row>
    <row r="26" spans="1:26" ht="23.25" customHeight="1">
      <c r="A26" s="36">
        <f>+A25+1</f>
        <v>22</v>
      </c>
      <c r="B26" s="145" t="s">
        <v>593</v>
      </c>
      <c r="C26" s="152" t="s">
        <v>594</v>
      </c>
      <c r="D26" s="147">
        <v>43141</v>
      </c>
      <c r="E26" s="285">
        <v>47750</v>
      </c>
      <c r="F26" s="223">
        <f t="shared" si="0"/>
        <v>47750</v>
      </c>
      <c r="G26" s="148">
        <f t="shared" si="1"/>
        <v>47750</v>
      </c>
      <c r="H26" s="222">
        <v>0</v>
      </c>
      <c r="I26" s="150">
        <v>1</v>
      </c>
      <c r="J26" s="282">
        <v>1</v>
      </c>
      <c r="K26" s="42">
        <f t="shared" si="2"/>
        <v>47750</v>
      </c>
      <c r="L26" s="42">
        <f t="shared" si="3"/>
        <v>47750</v>
      </c>
      <c r="M26" s="224">
        <f t="shared" si="4"/>
        <v>47750</v>
      </c>
      <c r="N26" s="284"/>
      <c r="O26" s="286" t="s">
        <v>1698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23.25" customHeight="1">
      <c r="A27" s="36"/>
      <c r="B27" s="297"/>
      <c r="C27" s="298"/>
      <c r="D27" s="299"/>
      <c r="E27" s="125"/>
      <c r="F27" s="125"/>
      <c r="G27" s="125"/>
      <c r="H27" s="125"/>
      <c r="I27" s="159"/>
      <c r="J27" s="36"/>
      <c r="K27" s="125"/>
      <c r="L27" s="300"/>
      <c r="M27" s="125"/>
      <c r="N27" s="284"/>
      <c r="O27" s="301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23.25" customHeight="1">
      <c r="A28" s="36"/>
      <c r="B28" s="164" t="s">
        <v>7</v>
      </c>
      <c r="C28" s="36"/>
      <c r="D28" s="165"/>
      <c r="E28" s="46">
        <f t="shared" ref="E28:M28" si="6">SUM(E5:E27)</f>
        <v>3066750</v>
      </c>
      <c r="F28" s="46">
        <f t="shared" si="6"/>
        <v>3066750</v>
      </c>
      <c r="G28" s="46">
        <f t="shared" si="6"/>
        <v>3066750</v>
      </c>
      <c r="H28" s="46">
        <f t="shared" si="6"/>
        <v>0</v>
      </c>
      <c r="I28" s="46">
        <f t="shared" si="6"/>
        <v>22</v>
      </c>
      <c r="J28" s="46">
        <f t="shared" si="6"/>
        <v>22</v>
      </c>
      <c r="K28" s="46">
        <f t="shared" si="6"/>
        <v>3066750</v>
      </c>
      <c r="L28" s="46">
        <f t="shared" si="6"/>
        <v>3066750</v>
      </c>
      <c r="M28" s="46">
        <f t="shared" si="6"/>
        <v>3066750</v>
      </c>
      <c r="N28" s="167"/>
      <c r="O28" s="168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>
      <c r="B29" s="27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>
      <c r="B30" s="27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>
      <c r="B31" s="27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>
      <c r="B32" s="27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>
      <c r="B33" s="27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>
      <c r="B34" s="275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>
      <c r="B35" s="275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>
      <c r="B36" s="275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>
      <c r="B37" s="275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>
      <c r="B38" s="275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>
      <c r="A39" s="44"/>
      <c r="B39" s="275"/>
      <c r="C39" s="44"/>
      <c r="D39" s="44"/>
      <c r="E39" s="44"/>
      <c r="F39" s="44"/>
      <c r="G39" s="44"/>
      <c r="H39" s="44"/>
      <c r="I39" s="44"/>
      <c r="K39" s="44"/>
      <c r="L39" s="44"/>
      <c r="M39" s="135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>
      <c r="A40" s="44"/>
      <c r="B40" s="275"/>
      <c r="C40" s="44"/>
      <c r="D40" s="44"/>
      <c r="E40" s="44"/>
      <c r="F40" s="44"/>
      <c r="G40" s="44"/>
      <c r="H40" s="44"/>
      <c r="I40" s="44"/>
      <c r="K40" s="44"/>
      <c r="L40" s="44"/>
      <c r="M40" s="135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>
      <c r="A41" s="44"/>
      <c r="B41" s="275"/>
      <c r="C41" s="44"/>
      <c r="D41" s="44"/>
      <c r="E41" s="44"/>
      <c r="F41" s="44"/>
      <c r="G41" s="44"/>
      <c r="H41" s="44"/>
      <c r="I41" s="44"/>
      <c r="K41" s="44"/>
      <c r="L41" s="44"/>
      <c r="M41" s="135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>
      <c r="A42" s="44"/>
      <c r="B42" s="275"/>
      <c r="C42" s="44"/>
      <c r="D42" s="44"/>
      <c r="E42" s="44"/>
      <c r="F42" s="44"/>
      <c r="G42" s="44"/>
      <c r="H42" s="44"/>
      <c r="I42" s="44"/>
      <c r="K42" s="44"/>
      <c r="L42" s="44"/>
      <c r="M42" s="135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>
      <c r="A43" s="44"/>
      <c r="B43" s="275"/>
      <c r="C43" s="44"/>
      <c r="D43" s="44"/>
      <c r="E43" s="44"/>
      <c r="F43" s="44"/>
      <c r="G43" s="44"/>
      <c r="H43" s="44"/>
      <c r="I43" s="44"/>
      <c r="K43" s="44"/>
      <c r="L43" s="44"/>
      <c r="M43" s="135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>
      <c r="A44" s="44"/>
      <c r="B44" s="275"/>
      <c r="C44" s="44"/>
      <c r="D44" s="44"/>
      <c r="E44" s="44"/>
      <c r="F44" s="44"/>
      <c r="G44" s="44"/>
      <c r="H44" s="44"/>
      <c r="I44" s="44"/>
      <c r="K44" s="44"/>
      <c r="L44" s="44"/>
      <c r="M44" s="135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>
      <c r="A45" s="44"/>
      <c r="B45" s="275"/>
      <c r="C45" s="44"/>
      <c r="D45" s="44"/>
      <c r="E45" s="44"/>
      <c r="F45" s="44"/>
      <c r="G45" s="44"/>
      <c r="H45" s="44"/>
      <c r="I45" s="44"/>
      <c r="K45" s="44"/>
      <c r="L45" s="44"/>
      <c r="M45" s="135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>
      <c r="A46" s="44"/>
      <c r="B46" s="275"/>
      <c r="C46" s="44"/>
      <c r="D46" s="44"/>
      <c r="E46" s="44"/>
      <c r="F46" s="44"/>
      <c r="G46" s="44"/>
      <c r="H46" s="44"/>
      <c r="I46" s="44"/>
      <c r="K46" s="44"/>
      <c r="L46" s="44"/>
      <c r="M46" s="135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>
      <c r="A47" s="44"/>
      <c r="B47" s="275"/>
      <c r="C47" s="44"/>
      <c r="D47" s="44"/>
      <c r="E47" s="44"/>
      <c r="F47" s="44"/>
      <c r="G47" s="44"/>
      <c r="H47" s="44"/>
      <c r="I47" s="44"/>
      <c r="K47" s="44"/>
      <c r="L47" s="44"/>
      <c r="M47" s="135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>
      <c r="A48" s="44"/>
      <c r="B48" s="275"/>
      <c r="C48" s="44"/>
      <c r="D48" s="44"/>
      <c r="E48" s="44"/>
      <c r="F48" s="44"/>
      <c r="G48" s="44"/>
      <c r="H48" s="44"/>
      <c r="I48" s="44"/>
      <c r="K48" s="44"/>
      <c r="L48" s="44"/>
      <c r="M48" s="135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>
      <c r="A49" s="44"/>
      <c r="B49" s="275"/>
      <c r="C49" s="44"/>
      <c r="D49" s="44"/>
      <c r="E49" s="44"/>
      <c r="F49" s="44"/>
      <c r="G49" s="44"/>
      <c r="H49" s="44"/>
      <c r="I49" s="44"/>
      <c r="K49" s="44"/>
      <c r="L49" s="44"/>
      <c r="M49" s="135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>
      <c r="A50" s="44"/>
      <c r="B50" s="275"/>
      <c r="C50" s="44"/>
      <c r="D50" s="44"/>
      <c r="E50" s="44"/>
      <c r="F50" s="44"/>
      <c r="G50" s="44"/>
      <c r="H50" s="44"/>
      <c r="I50" s="44"/>
      <c r="K50" s="44"/>
      <c r="L50" s="44"/>
      <c r="M50" s="135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>
      <c r="A51" s="44"/>
      <c r="B51" s="275"/>
      <c r="C51" s="44"/>
      <c r="D51" s="44"/>
      <c r="E51" s="44"/>
      <c r="F51" s="44"/>
      <c r="G51" s="44"/>
      <c r="H51" s="44"/>
      <c r="I51" s="44"/>
      <c r="K51" s="44"/>
      <c r="L51" s="44"/>
      <c r="M51" s="135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>
      <c r="A52" s="44"/>
      <c r="B52" s="275"/>
      <c r="C52" s="44"/>
      <c r="D52" s="44"/>
      <c r="E52" s="44"/>
      <c r="F52" s="44"/>
      <c r="G52" s="44"/>
      <c r="H52" s="44"/>
      <c r="I52" s="44"/>
      <c r="K52" s="44"/>
      <c r="L52" s="44"/>
      <c r="M52" s="135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>
      <c r="A53" s="44"/>
      <c r="B53" s="275"/>
      <c r="C53" s="44"/>
      <c r="D53" s="44"/>
      <c r="E53" s="44"/>
      <c r="F53" s="44"/>
      <c r="G53" s="44"/>
      <c r="H53" s="44"/>
      <c r="I53" s="44"/>
      <c r="K53" s="44"/>
      <c r="L53" s="44"/>
      <c r="M53" s="135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>
      <c r="A54" s="44"/>
      <c r="B54" s="275"/>
      <c r="C54" s="44"/>
      <c r="D54" s="44"/>
      <c r="E54" s="44"/>
      <c r="F54" s="44"/>
      <c r="G54" s="44"/>
      <c r="H54" s="44"/>
      <c r="I54" s="44"/>
      <c r="K54" s="44"/>
      <c r="L54" s="44"/>
      <c r="M54" s="135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>
      <c r="A55" s="44"/>
      <c r="B55" s="275"/>
      <c r="C55" s="44"/>
      <c r="D55" s="44"/>
      <c r="E55" s="44"/>
      <c r="F55" s="44"/>
      <c r="G55" s="44"/>
      <c r="H55" s="44"/>
      <c r="I55" s="44"/>
      <c r="K55" s="44"/>
      <c r="L55" s="44"/>
      <c r="M55" s="135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>
      <c r="A56" s="44"/>
      <c r="B56" s="275"/>
      <c r="C56" s="44"/>
      <c r="D56" s="44"/>
      <c r="E56" s="44"/>
      <c r="F56" s="44"/>
      <c r="G56" s="44"/>
      <c r="H56" s="44"/>
      <c r="I56" s="44"/>
      <c r="K56" s="44"/>
      <c r="L56" s="44"/>
      <c r="M56" s="135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>
      <c r="A57" s="44"/>
      <c r="B57" s="275"/>
      <c r="C57" s="44"/>
      <c r="D57" s="44"/>
      <c r="E57" s="44"/>
      <c r="F57" s="44"/>
      <c r="G57" s="44"/>
      <c r="H57" s="44"/>
      <c r="I57" s="44"/>
      <c r="K57" s="44"/>
      <c r="L57" s="44"/>
      <c r="M57" s="135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>
      <c r="A58" s="44"/>
      <c r="B58" s="275"/>
      <c r="C58" s="44"/>
      <c r="D58" s="44"/>
      <c r="E58" s="44"/>
      <c r="F58" s="44"/>
      <c r="G58" s="44"/>
      <c r="H58" s="44"/>
      <c r="I58" s="44"/>
      <c r="K58" s="44"/>
      <c r="L58" s="44"/>
      <c r="M58" s="135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>
      <c r="A59" s="44"/>
      <c r="B59" s="275"/>
      <c r="C59" s="44"/>
      <c r="D59" s="44"/>
      <c r="E59" s="44"/>
      <c r="F59" s="44"/>
      <c r="G59" s="44"/>
      <c r="H59" s="44"/>
      <c r="I59" s="44"/>
      <c r="K59" s="44"/>
      <c r="L59" s="44"/>
      <c r="M59" s="135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>
      <c r="A60" s="44"/>
      <c r="B60" s="275"/>
      <c r="C60" s="44"/>
      <c r="D60" s="44"/>
      <c r="E60" s="44"/>
      <c r="F60" s="44"/>
      <c r="G60" s="44"/>
      <c r="H60" s="44"/>
      <c r="I60" s="44"/>
      <c r="K60" s="44"/>
      <c r="L60" s="44"/>
      <c r="M60" s="135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>
      <c r="A61" s="44"/>
      <c r="B61" s="275"/>
      <c r="C61" s="44"/>
      <c r="D61" s="44"/>
      <c r="E61" s="44"/>
      <c r="F61" s="44"/>
      <c r="G61" s="44"/>
      <c r="H61" s="44"/>
      <c r="I61" s="44"/>
      <c r="K61" s="44"/>
      <c r="L61" s="44"/>
      <c r="M61" s="135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>
      <c r="A62" s="44"/>
      <c r="B62" s="275"/>
      <c r="C62" s="44"/>
      <c r="D62" s="44"/>
      <c r="E62" s="44"/>
      <c r="F62" s="44"/>
      <c r="G62" s="44"/>
      <c r="H62" s="44"/>
      <c r="I62" s="44"/>
      <c r="K62" s="44"/>
      <c r="L62" s="44"/>
      <c r="M62" s="135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>
      <c r="A63" s="44"/>
      <c r="B63" s="275"/>
      <c r="C63" s="44"/>
      <c r="D63" s="44"/>
      <c r="E63" s="44"/>
      <c r="F63" s="44"/>
      <c r="G63" s="44"/>
      <c r="H63" s="44"/>
      <c r="I63" s="44"/>
      <c r="K63" s="44"/>
      <c r="L63" s="44"/>
      <c r="M63" s="135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>
      <c r="A64" s="44"/>
      <c r="B64" s="275"/>
      <c r="C64" s="44"/>
      <c r="D64" s="44"/>
      <c r="E64" s="44"/>
      <c r="F64" s="44"/>
      <c r="G64" s="44"/>
      <c r="H64" s="44"/>
      <c r="I64" s="44"/>
      <c r="K64" s="44"/>
      <c r="L64" s="44"/>
      <c r="M64" s="135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>
      <c r="A65" s="44"/>
      <c r="B65" s="275"/>
      <c r="C65" s="44"/>
      <c r="D65" s="44"/>
      <c r="E65" s="44"/>
      <c r="F65" s="44"/>
      <c r="G65" s="44"/>
      <c r="H65" s="44"/>
      <c r="I65" s="44"/>
      <c r="K65" s="44"/>
      <c r="L65" s="44"/>
      <c r="M65" s="135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>
      <c r="A66" s="44"/>
      <c r="B66" s="275"/>
      <c r="C66" s="44"/>
      <c r="D66" s="44"/>
      <c r="E66" s="44"/>
      <c r="F66" s="44"/>
      <c r="G66" s="44"/>
      <c r="H66" s="44"/>
      <c r="I66" s="44"/>
      <c r="K66" s="44"/>
      <c r="L66" s="44"/>
      <c r="M66" s="13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>
      <c r="A67" s="44"/>
      <c r="B67" s="275"/>
      <c r="C67" s="44"/>
      <c r="D67" s="44"/>
      <c r="E67" s="44"/>
      <c r="F67" s="44"/>
      <c r="G67" s="44"/>
      <c r="H67" s="44"/>
      <c r="I67" s="44"/>
      <c r="K67" s="44"/>
      <c r="L67" s="44"/>
      <c r="M67" s="135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>
      <c r="A68" s="44"/>
      <c r="B68" s="275"/>
      <c r="C68" s="44"/>
      <c r="D68" s="44"/>
      <c r="E68" s="44"/>
      <c r="F68" s="44"/>
      <c r="G68" s="44"/>
      <c r="H68" s="44"/>
      <c r="I68" s="44"/>
      <c r="K68" s="44"/>
      <c r="L68" s="44"/>
      <c r="M68" s="135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>
      <c r="A69" s="44"/>
      <c r="B69" s="275"/>
      <c r="C69" s="44"/>
      <c r="D69" s="44"/>
      <c r="E69" s="44"/>
      <c r="F69" s="44"/>
      <c r="G69" s="44"/>
      <c r="H69" s="44"/>
      <c r="I69" s="44"/>
      <c r="K69" s="44"/>
      <c r="L69" s="44"/>
      <c r="M69" s="135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>
      <c r="A70" s="44"/>
      <c r="B70" s="275"/>
      <c r="C70" s="44"/>
      <c r="D70" s="44"/>
      <c r="E70" s="44"/>
      <c r="F70" s="44"/>
      <c r="G70" s="44"/>
      <c r="H70" s="44"/>
      <c r="I70" s="44"/>
      <c r="K70" s="44"/>
      <c r="L70" s="44"/>
      <c r="M70" s="135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>
      <c r="A71" s="44"/>
      <c r="B71" s="275"/>
      <c r="C71" s="44"/>
      <c r="D71" s="44"/>
      <c r="E71" s="44"/>
      <c r="F71" s="44"/>
      <c r="G71" s="44"/>
      <c r="H71" s="44"/>
      <c r="I71" s="44"/>
      <c r="K71" s="44"/>
      <c r="L71" s="44"/>
      <c r="M71" s="135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>
      <c r="A72" s="44"/>
      <c r="B72" s="275"/>
      <c r="C72" s="44"/>
      <c r="D72" s="44"/>
      <c r="E72" s="44"/>
      <c r="F72" s="44"/>
      <c r="G72" s="44"/>
      <c r="H72" s="44"/>
      <c r="I72" s="44"/>
      <c r="K72" s="44"/>
      <c r="L72" s="44"/>
      <c r="M72" s="135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>
      <c r="A73" s="44"/>
      <c r="B73" s="275"/>
      <c r="C73" s="44"/>
      <c r="D73" s="44"/>
      <c r="E73" s="44"/>
      <c r="F73" s="44"/>
      <c r="G73" s="44"/>
      <c r="H73" s="44"/>
      <c r="I73" s="44"/>
      <c r="K73" s="44"/>
      <c r="L73" s="44"/>
      <c r="M73" s="135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>
      <c r="A74" s="44"/>
      <c r="B74" s="275"/>
      <c r="C74" s="44"/>
      <c r="D74" s="44"/>
      <c r="E74" s="44"/>
      <c r="F74" s="44"/>
      <c r="G74" s="44"/>
      <c r="H74" s="44"/>
      <c r="I74" s="44"/>
      <c r="K74" s="44"/>
      <c r="L74" s="44"/>
      <c r="M74" s="135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>
      <c r="A75" s="44"/>
      <c r="B75" s="275"/>
      <c r="C75" s="44"/>
      <c r="D75" s="44"/>
      <c r="E75" s="44"/>
      <c r="F75" s="44"/>
      <c r="G75" s="44"/>
      <c r="H75" s="44"/>
      <c r="I75" s="44"/>
      <c r="K75" s="44"/>
      <c r="L75" s="44"/>
      <c r="M75" s="135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>
      <c r="A76" s="44"/>
      <c r="B76" s="275"/>
      <c r="C76" s="44"/>
      <c r="D76" s="44"/>
      <c r="E76" s="44"/>
      <c r="F76" s="44"/>
      <c r="G76" s="44"/>
      <c r="H76" s="44"/>
      <c r="I76" s="44"/>
      <c r="K76" s="44"/>
      <c r="L76" s="44"/>
      <c r="M76" s="135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>
      <c r="A77" s="44"/>
      <c r="B77" s="275"/>
      <c r="C77" s="44"/>
      <c r="D77" s="44"/>
      <c r="E77" s="44"/>
      <c r="F77" s="44"/>
      <c r="G77" s="44"/>
      <c r="H77" s="44"/>
      <c r="I77" s="44"/>
      <c r="K77" s="44"/>
      <c r="L77" s="44"/>
      <c r="M77" s="135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>
      <c r="A78" s="44"/>
      <c r="B78" s="275"/>
      <c r="C78" s="44"/>
      <c r="D78" s="44"/>
      <c r="E78" s="44"/>
      <c r="F78" s="44"/>
      <c r="G78" s="44"/>
      <c r="H78" s="44"/>
      <c r="I78" s="44"/>
      <c r="K78" s="44"/>
      <c r="L78" s="44"/>
      <c r="M78" s="135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>
      <c r="A79" s="44"/>
      <c r="B79" s="275"/>
      <c r="C79" s="44"/>
      <c r="D79" s="44"/>
      <c r="E79" s="44"/>
      <c r="F79" s="44"/>
      <c r="G79" s="44"/>
      <c r="H79" s="44"/>
      <c r="I79" s="44"/>
      <c r="K79" s="44"/>
      <c r="L79" s="44"/>
      <c r="M79" s="135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>
      <c r="A80" s="44"/>
      <c r="B80" s="275"/>
      <c r="C80" s="44"/>
      <c r="D80" s="44"/>
      <c r="E80" s="44"/>
      <c r="F80" s="44"/>
      <c r="G80" s="44"/>
      <c r="H80" s="44"/>
      <c r="I80" s="44"/>
      <c r="K80" s="44"/>
      <c r="L80" s="44"/>
      <c r="M80" s="135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>
      <c r="A81" s="44"/>
      <c r="B81" s="275"/>
      <c r="C81" s="44"/>
      <c r="D81" s="44"/>
      <c r="E81" s="44"/>
      <c r="F81" s="44"/>
      <c r="G81" s="44"/>
      <c r="H81" s="44"/>
      <c r="I81" s="44"/>
      <c r="K81" s="44"/>
      <c r="L81" s="44"/>
      <c r="M81" s="135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>
      <c r="A82" s="44"/>
      <c r="B82" s="275"/>
      <c r="C82" s="44"/>
      <c r="D82" s="44"/>
      <c r="E82" s="44"/>
      <c r="F82" s="44"/>
      <c r="G82" s="44"/>
      <c r="H82" s="44"/>
      <c r="I82" s="44"/>
      <c r="K82" s="44"/>
      <c r="L82" s="44"/>
      <c r="M82" s="135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>
      <c r="A83" s="44"/>
      <c r="B83" s="275"/>
      <c r="C83" s="44"/>
      <c r="D83" s="44"/>
      <c r="E83" s="44"/>
      <c r="F83" s="44"/>
      <c r="G83" s="44"/>
      <c r="H83" s="44"/>
      <c r="I83" s="44"/>
      <c r="K83" s="44"/>
      <c r="L83" s="44"/>
      <c r="M83" s="135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>
      <c r="A84" s="44"/>
      <c r="B84" s="275"/>
      <c r="C84" s="44"/>
      <c r="D84" s="44"/>
      <c r="E84" s="44"/>
      <c r="F84" s="44"/>
      <c r="G84" s="44"/>
      <c r="H84" s="44"/>
      <c r="I84" s="44"/>
      <c r="K84" s="44"/>
      <c r="L84" s="44"/>
      <c r="M84" s="135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>
      <c r="A85" s="44"/>
      <c r="B85" s="275"/>
      <c r="C85" s="44"/>
      <c r="D85" s="44"/>
      <c r="E85" s="44"/>
      <c r="F85" s="44"/>
      <c r="G85" s="44"/>
      <c r="H85" s="44"/>
      <c r="I85" s="44"/>
      <c r="K85" s="44"/>
      <c r="L85" s="44"/>
      <c r="M85" s="135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>
      <c r="A86" s="44"/>
      <c r="B86" s="275"/>
      <c r="C86" s="44"/>
      <c r="D86" s="44"/>
      <c r="E86" s="44"/>
      <c r="F86" s="44"/>
      <c r="G86" s="44"/>
      <c r="H86" s="44"/>
      <c r="I86" s="44"/>
      <c r="K86" s="44"/>
      <c r="L86" s="44"/>
      <c r="M86" s="135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>
      <c r="A87" s="44"/>
      <c r="B87" s="275"/>
      <c r="C87" s="44"/>
      <c r="D87" s="44"/>
      <c r="E87" s="44"/>
      <c r="F87" s="44"/>
      <c r="G87" s="44"/>
      <c r="H87" s="44"/>
      <c r="I87" s="44"/>
      <c r="K87" s="44"/>
      <c r="L87" s="44"/>
      <c r="M87" s="135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>
      <c r="A88" s="44"/>
      <c r="B88" s="275"/>
      <c r="C88" s="44"/>
      <c r="D88" s="44"/>
      <c r="E88" s="44"/>
      <c r="F88" s="44"/>
      <c r="G88" s="44"/>
      <c r="H88" s="44"/>
      <c r="I88" s="44"/>
      <c r="K88" s="44"/>
      <c r="L88" s="44"/>
      <c r="M88" s="135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>
      <c r="A89" s="44"/>
      <c r="B89" s="275"/>
      <c r="C89" s="44"/>
      <c r="D89" s="44"/>
      <c r="E89" s="44"/>
      <c r="F89" s="44"/>
      <c r="G89" s="44"/>
      <c r="H89" s="44"/>
      <c r="I89" s="44"/>
      <c r="K89" s="44"/>
      <c r="L89" s="44"/>
      <c r="M89" s="135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>
      <c r="A90" s="44"/>
      <c r="B90" s="275"/>
      <c r="C90" s="44"/>
      <c r="D90" s="44"/>
      <c r="E90" s="44"/>
      <c r="F90" s="44"/>
      <c r="G90" s="44"/>
      <c r="H90" s="44"/>
      <c r="I90" s="44"/>
      <c r="K90" s="44"/>
      <c r="L90" s="44"/>
      <c r="M90" s="135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>
      <c r="A91" s="44"/>
      <c r="B91" s="275"/>
      <c r="C91" s="44"/>
      <c r="D91" s="44"/>
      <c r="E91" s="44"/>
      <c r="F91" s="44"/>
      <c r="G91" s="44"/>
      <c r="H91" s="44"/>
      <c r="I91" s="44"/>
      <c r="K91" s="44"/>
      <c r="L91" s="44"/>
      <c r="M91" s="135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>
      <c r="A92" s="44"/>
      <c r="B92" s="275"/>
      <c r="C92" s="44"/>
      <c r="D92" s="44"/>
      <c r="E92" s="44"/>
      <c r="F92" s="44"/>
      <c r="G92" s="44"/>
      <c r="H92" s="44"/>
      <c r="I92" s="44"/>
      <c r="K92" s="44"/>
      <c r="L92" s="44"/>
      <c r="M92" s="135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>
      <c r="A93" s="44"/>
      <c r="B93" s="275"/>
      <c r="C93" s="44"/>
      <c r="D93" s="44"/>
      <c r="E93" s="44"/>
      <c r="F93" s="44"/>
      <c r="G93" s="44"/>
      <c r="H93" s="44"/>
      <c r="I93" s="44"/>
      <c r="K93" s="44"/>
      <c r="L93" s="44"/>
      <c r="M93" s="135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>
      <c r="A94" s="44"/>
      <c r="B94" s="275"/>
      <c r="C94" s="44"/>
      <c r="D94" s="44"/>
      <c r="E94" s="44"/>
      <c r="F94" s="44"/>
      <c r="G94" s="44"/>
      <c r="H94" s="44"/>
      <c r="I94" s="44"/>
      <c r="K94" s="44"/>
      <c r="L94" s="44"/>
      <c r="M94" s="135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>
      <c r="A95" s="44"/>
      <c r="B95" s="275"/>
      <c r="C95" s="44"/>
      <c r="D95" s="44"/>
      <c r="E95" s="44"/>
      <c r="F95" s="44"/>
      <c r="G95" s="44"/>
      <c r="H95" s="44"/>
      <c r="I95" s="44"/>
      <c r="K95" s="44"/>
      <c r="L95" s="44"/>
      <c r="M95" s="135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>
      <c r="A96" s="44"/>
      <c r="B96" s="275"/>
      <c r="C96" s="44"/>
      <c r="D96" s="44"/>
      <c r="E96" s="44"/>
      <c r="F96" s="44"/>
      <c r="G96" s="44"/>
      <c r="H96" s="44"/>
      <c r="I96" s="44"/>
      <c r="K96" s="44"/>
      <c r="L96" s="44"/>
      <c r="M96" s="135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>
      <c r="A97" s="44"/>
      <c r="B97" s="275"/>
      <c r="C97" s="44"/>
      <c r="D97" s="44"/>
      <c r="E97" s="44"/>
      <c r="F97" s="44"/>
      <c r="G97" s="44"/>
      <c r="H97" s="44"/>
      <c r="I97" s="44"/>
      <c r="K97" s="44"/>
      <c r="L97" s="44"/>
      <c r="M97" s="135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>
      <c r="A98" s="44"/>
      <c r="B98" s="275"/>
      <c r="C98" s="44"/>
      <c r="D98" s="44"/>
      <c r="E98" s="44"/>
      <c r="F98" s="44"/>
      <c r="G98" s="44"/>
      <c r="H98" s="44"/>
      <c r="I98" s="44"/>
      <c r="K98" s="44"/>
      <c r="L98" s="44"/>
      <c r="M98" s="135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>
      <c r="A99" s="44"/>
      <c r="B99" s="275"/>
      <c r="C99" s="44"/>
      <c r="D99" s="44"/>
      <c r="E99" s="44"/>
      <c r="F99" s="44"/>
      <c r="G99" s="44"/>
      <c r="H99" s="44"/>
      <c r="I99" s="44"/>
      <c r="K99" s="44"/>
      <c r="L99" s="44"/>
      <c r="M99" s="135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>
      <c r="A100" s="44"/>
      <c r="B100" s="275"/>
      <c r="C100" s="44"/>
      <c r="D100" s="44"/>
      <c r="E100" s="44"/>
      <c r="F100" s="44"/>
      <c r="G100" s="44"/>
      <c r="H100" s="44"/>
      <c r="I100" s="44"/>
      <c r="K100" s="44"/>
      <c r="L100" s="44"/>
      <c r="M100" s="135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>
      <c r="A101" s="44"/>
      <c r="B101" s="275"/>
      <c r="C101" s="44"/>
      <c r="D101" s="44"/>
      <c r="E101" s="44"/>
      <c r="F101" s="44"/>
      <c r="G101" s="44"/>
      <c r="H101" s="44"/>
      <c r="I101" s="44"/>
      <c r="K101" s="44"/>
      <c r="L101" s="44"/>
      <c r="M101" s="135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>
      <c r="A102" s="44"/>
      <c r="B102" s="275"/>
      <c r="C102" s="44"/>
      <c r="D102" s="44"/>
      <c r="E102" s="44"/>
      <c r="F102" s="44"/>
      <c r="G102" s="44"/>
      <c r="H102" s="44"/>
      <c r="I102" s="44"/>
      <c r="K102" s="44"/>
      <c r="L102" s="44"/>
      <c r="M102" s="135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>
      <c r="A103" s="44"/>
      <c r="B103" s="275"/>
      <c r="C103" s="44"/>
      <c r="D103" s="44"/>
      <c r="E103" s="44"/>
      <c r="F103" s="44"/>
      <c r="G103" s="44"/>
      <c r="H103" s="44"/>
      <c r="I103" s="44"/>
      <c r="K103" s="44"/>
      <c r="L103" s="44"/>
      <c r="M103" s="135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>
      <c r="A104" s="44"/>
      <c r="B104" s="275"/>
      <c r="C104" s="44"/>
      <c r="D104" s="44"/>
      <c r="E104" s="44"/>
      <c r="F104" s="44"/>
      <c r="G104" s="44"/>
      <c r="H104" s="44"/>
      <c r="I104" s="44"/>
      <c r="K104" s="44"/>
      <c r="L104" s="44"/>
      <c r="M104" s="135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>
      <c r="A105" s="44"/>
      <c r="B105" s="275"/>
      <c r="C105" s="44"/>
      <c r="D105" s="44"/>
      <c r="E105" s="44"/>
      <c r="F105" s="44"/>
      <c r="G105" s="44"/>
      <c r="H105" s="44"/>
      <c r="I105" s="44"/>
      <c r="K105" s="44"/>
      <c r="L105" s="44"/>
      <c r="M105" s="135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>
      <c r="A106" s="44"/>
      <c r="B106" s="275"/>
      <c r="C106" s="44"/>
      <c r="D106" s="44"/>
      <c r="E106" s="44"/>
      <c r="F106" s="44"/>
      <c r="G106" s="44"/>
      <c r="H106" s="44"/>
      <c r="I106" s="44"/>
      <c r="K106" s="44"/>
      <c r="L106" s="44"/>
      <c r="M106" s="135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>
      <c r="A107" s="44"/>
      <c r="B107" s="275"/>
      <c r="C107" s="44"/>
      <c r="D107" s="44"/>
      <c r="E107" s="44"/>
      <c r="F107" s="44"/>
      <c r="G107" s="44"/>
      <c r="H107" s="44"/>
      <c r="I107" s="44"/>
      <c r="K107" s="44"/>
      <c r="L107" s="44"/>
      <c r="M107" s="135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>
      <c r="A108" s="44"/>
      <c r="B108" s="275"/>
      <c r="C108" s="44"/>
      <c r="D108" s="44"/>
      <c r="E108" s="44"/>
      <c r="F108" s="44"/>
      <c r="G108" s="44"/>
      <c r="H108" s="44"/>
      <c r="I108" s="44"/>
      <c r="K108" s="44"/>
      <c r="L108" s="44"/>
      <c r="M108" s="135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>
      <c r="A109" s="44"/>
      <c r="B109" s="275"/>
      <c r="C109" s="44"/>
      <c r="D109" s="44"/>
      <c r="E109" s="44"/>
      <c r="F109" s="44"/>
      <c r="G109" s="44"/>
      <c r="H109" s="44"/>
      <c r="I109" s="44"/>
      <c r="K109" s="44"/>
      <c r="L109" s="44"/>
      <c r="M109" s="135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>
      <c r="A110" s="44"/>
      <c r="B110" s="275"/>
      <c r="C110" s="44"/>
      <c r="D110" s="44"/>
      <c r="E110" s="44"/>
      <c r="F110" s="44"/>
      <c r="G110" s="44"/>
      <c r="H110" s="44"/>
      <c r="I110" s="44"/>
      <c r="K110" s="44"/>
      <c r="L110" s="44"/>
      <c r="M110" s="135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>
      <c r="A111" s="44"/>
      <c r="B111" s="275"/>
      <c r="C111" s="44"/>
      <c r="D111" s="44"/>
      <c r="E111" s="44"/>
      <c r="F111" s="44"/>
      <c r="G111" s="44"/>
      <c r="H111" s="44"/>
      <c r="I111" s="44"/>
      <c r="K111" s="44"/>
      <c r="L111" s="44"/>
      <c r="M111" s="135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>
      <c r="A112" s="44"/>
      <c r="B112" s="275"/>
      <c r="C112" s="44"/>
      <c r="D112" s="44"/>
      <c r="E112" s="44"/>
      <c r="F112" s="44"/>
      <c r="G112" s="44"/>
      <c r="H112" s="44"/>
      <c r="I112" s="44"/>
      <c r="K112" s="44"/>
      <c r="L112" s="44"/>
      <c r="M112" s="135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>
      <c r="A113" s="44"/>
      <c r="B113" s="275"/>
      <c r="C113" s="44"/>
      <c r="D113" s="44"/>
      <c r="E113" s="44"/>
      <c r="F113" s="44"/>
      <c r="G113" s="44"/>
      <c r="H113" s="44"/>
      <c r="I113" s="44"/>
      <c r="K113" s="44"/>
      <c r="L113" s="44"/>
      <c r="M113" s="135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>
      <c r="A114" s="44"/>
      <c r="B114" s="275"/>
      <c r="C114" s="44"/>
      <c r="D114" s="44"/>
      <c r="E114" s="44"/>
      <c r="F114" s="44"/>
      <c r="G114" s="44"/>
      <c r="H114" s="44"/>
      <c r="I114" s="44"/>
      <c r="K114" s="44"/>
      <c r="L114" s="44"/>
      <c r="M114" s="135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>
      <c r="A115" s="44"/>
      <c r="B115" s="275"/>
      <c r="C115" s="44"/>
      <c r="D115" s="44"/>
      <c r="E115" s="44"/>
      <c r="F115" s="44"/>
      <c r="G115" s="44"/>
      <c r="H115" s="44"/>
      <c r="I115" s="44"/>
      <c r="K115" s="44"/>
      <c r="L115" s="44"/>
      <c r="M115" s="135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>
      <c r="A116" s="44"/>
      <c r="B116" s="275"/>
      <c r="C116" s="44"/>
      <c r="D116" s="44"/>
      <c r="E116" s="44"/>
      <c r="F116" s="44"/>
      <c r="G116" s="44"/>
      <c r="H116" s="44"/>
      <c r="I116" s="44"/>
      <c r="K116" s="44"/>
      <c r="L116" s="44"/>
      <c r="M116" s="135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>
      <c r="A117" s="44"/>
      <c r="B117" s="275"/>
      <c r="C117" s="44"/>
      <c r="D117" s="44"/>
      <c r="E117" s="44"/>
      <c r="F117" s="44"/>
      <c r="G117" s="44"/>
      <c r="H117" s="44"/>
      <c r="I117" s="44"/>
      <c r="K117" s="44"/>
      <c r="L117" s="44"/>
      <c r="M117" s="135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>
      <c r="A118" s="44"/>
      <c r="B118" s="275"/>
      <c r="C118" s="44"/>
      <c r="D118" s="44"/>
      <c r="E118" s="44"/>
      <c r="F118" s="44"/>
      <c r="G118" s="44"/>
      <c r="H118" s="44"/>
      <c r="I118" s="44"/>
      <c r="K118" s="44"/>
      <c r="L118" s="44"/>
      <c r="M118" s="135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>
      <c r="A119" s="44"/>
      <c r="B119" s="275"/>
      <c r="C119" s="44"/>
      <c r="D119" s="44"/>
      <c r="E119" s="44"/>
      <c r="F119" s="44"/>
      <c r="G119" s="44"/>
      <c r="H119" s="44"/>
      <c r="I119" s="44"/>
      <c r="K119" s="44"/>
      <c r="L119" s="44"/>
      <c r="M119" s="135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4"/>
  <sheetViews>
    <sheetView showGridLines="0" view="pageBreakPreview" zoomScaleSheetLayoutView="100" workbookViewId="0">
      <pane ySplit="4" topLeftCell="A5" activePane="bottomLeft" state="frozen"/>
      <selection pane="bottomLeft" activeCell="O7" sqref="O7"/>
    </sheetView>
  </sheetViews>
  <sheetFormatPr defaultRowHeight="15.75"/>
  <cols>
    <col min="1" max="1" width="9.7109375" style="8" bestFit="1" customWidth="1"/>
    <col min="2" max="2" width="22.85546875" style="44" bestFit="1" customWidth="1"/>
    <col min="3" max="3" width="10.140625" style="8" bestFit="1" customWidth="1"/>
    <col min="4" max="4" width="13.28515625" style="187" bestFit="1" customWidth="1"/>
    <col min="5" max="5" width="15.7109375" style="173" bestFit="1" customWidth="1"/>
    <col min="6" max="6" width="15" style="173" bestFit="1" customWidth="1"/>
    <col min="7" max="7" width="15.7109375" style="174" bestFit="1" customWidth="1"/>
    <col min="8" max="8" width="12.28515625" style="175" bestFit="1" customWidth="1"/>
    <col min="9" max="9" width="8" style="8" bestFit="1" customWidth="1"/>
    <col min="10" max="10" width="8" style="44" bestFit="1" customWidth="1"/>
    <col min="11" max="11" width="16" style="177" bestFit="1" customWidth="1"/>
    <col min="12" max="12" width="16.28515625" style="175" bestFit="1" customWidth="1"/>
    <col min="13" max="13" width="18.5703125" style="177" bestFit="1" customWidth="1"/>
    <col min="14" max="14" width="15.7109375" style="178" bestFit="1" customWidth="1"/>
    <col min="15" max="15" width="30.85546875" style="179" bestFit="1" customWidth="1"/>
    <col min="16" max="26" width="9.140625" style="2"/>
    <col min="27" max="16384" width="9.140625" style="44"/>
  </cols>
  <sheetData>
    <row r="1" spans="1:26" ht="29.25" customHeight="1">
      <c r="A1" s="88" t="s">
        <v>0</v>
      </c>
      <c r="B1" s="2"/>
      <c r="C1" s="3"/>
      <c r="D1" s="4"/>
      <c r="E1" s="4"/>
      <c r="F1" s="188"/>
      <c r="G1" s="188"/>
      <c r="H1" s="188"/>
      <c r="I1" s="189"/>
      <c r="J1" s="189"/>
      <c r="K1" s="91"/>
      <c r="L1" s="5"/>
      <c r="M1" s="91"/>
      <c r="N1" s="92"/>
      <c r="O1" s="1"/>
    </row>
    <row r="2" spans="1:26" ht="29.25" customHeight="1">
      <c r="A2" s="93" t="s">
        <v>1699</v>
      </c>
      <c r="B2" s="2"/>
      <c r="C2" s="3"/>
      <c r="D2" s="4"/>
      <c r="E2" s="4"/>
      <c r="F2" s="188"/>
      <c r="G2" s="188"/>
      <c r="H2" s="188"/>
      <c r="I2" s="189"/>
      <c r="J2" s="189"/>
      <c r="K2" s="91"/>
      <c r="L2" s="5"/>
      <c r="M2" s="91"/>
      <c r="N2" s="92"/>
      <c r="O2" s="1"/>
    </row>
    <row r="3" spans="1:26" s="8" customFormat="1" ht="29.25" customHeight="1">
      <c r="A3" s="94" t="s">
        <v>2</v>
      </c>
      <c r="B3" s="94" t="s">
        <v>3</v>
      </c>
      <c r="C3" s="94" t="s">
        <v>4</v>
      </c>
      <c r="D3" s="96" t="s">
        <v>5</v>
      </c>
      <c r="E3" s="97" t="s">
        <v>6</v>
      </c>
      <c r="F3" s="97" t="s">
        <v>7</v>
      </c>
      <c r="G3" s="94" t="s">
        <v>8</v>
      </c>
      <c r="H3" s="98" t="s">
        <v>9</v>
      </c>
      <c r="I3" s="99" t="s">
        <v>10</v>
      </c>
      <c r="J3" s="94" t="s">
        <v>11</v>
      </c>
      <c r="K3" s="100" t="s">
        <v>12</v>
      </c>
      <c r="L3" s="104" t="s">
        <v>13</v>
      </c>
      <c r="M3" s="101" t="s">
        <v>14</v>
      </c>
      <c r="N3" s="240" t="s">
        <v>79</v>
      </c>
      <c r="O3" s="94" t="s">
        <v>80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8" customFormat="1" ht="29.25" customHeight="1">
      <c r="A4" s="106"/>
      <c r="B4" s="106"/>
      <c r="C4" s="106"/>
      <c r="D4" s="108" t="s">
        <v>18</v>
      </c>
      <c r="E4" s="109"/>
      <c r="F4" s="110" t="s">
        <v>6</v>
      </c>
      <c r="G4" s="106"/>
      <c r="H4" s="111"/>
      <c r="I4" s="112"/>
      <c r="J4" s="106" t="s">
        <v>19</v>
      </c>
      <c r="K4" s="113" t="s">
        <v>20</v>
      </c>
      <c r="L4" s="118" t="s">
        <v>9</v>
      </c>
      <c r="M4" s="114"/>
      <c r="N4" s="302"/>
      <c r="O4" s="30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305" customFormat="1">
      <c r="A5" s="36">
        <v>1</v>
      </c>
      <c r="B5" s="145" t="s">
        <v>1422</v>
      </c>
      <c r="C5" s="146" t="s">
        <v>1423</v>
      </c>
      <c r="D5" s="147">
        <v>42714</v>
      </c>
      <c r="E5" s="304">
        <v>23280</v>
      </c>
      <c r="F5" s="223">
        <f t="shared" ref="F5:F68" si="0">+I5*K5</f>
        <v>23280</v>
      </c>
      <c r="G5" s="148">
        <f t="shared" ref="G5:G68" si="1">+E5/I5</f>
        <v>23280</v>
      </c>
      <c r="H5" s="222">
        <v>0</v>
      </c>
      <c r="I5" s="150">
        <v>1</v>
      </c>
      <c r="J5" s="150">
        <v>1</v>
      </c>
      <c r="K5" s="42">
        <f t="shared" ref="K5:K68" si="2">+G5+H5</f>
        <v>23280</v>
      </c>
      <c r="L5" s="42">
        <f t="shared" ref="L5:L68" si="3">+J5*K5</f>
        <v>23280</v>
      </c>
      <c r="M5" s="224">
        <f t="shared" ref="M5:M68" si="4">+G5*J5</f>
        <v>23280</v>
      </c>
      <c r="N5" s="39"/>
      <c r="O5" s="43" t="s">
        <v>1700</v>
      </c>
    </row>
    <row r="6" spans="1:26" s="305" customFormat="1">
      <c r="A6" s="36">
        <f t="shared" ref="A6:A69" si="5">+A5+1</f>
        <v>2</v>
      </c>
      <c r="B6" s="145" t="s">
        <v>1422</v>
      </c>
      <c r="C6" s="146" t="s">
        <v>1423</v>
      </c>
      <c r="D6" s="147">
        <v>42745</v>
      </c>
      <c r="E6" s="306">
        <v>90000</v>
      </c>
      <c r="F6" s="223">
        <f t="shared" si="0"/>
        <v>90000</v>
      </c>
      <c r="G6" s="148">
        <f t="shared" si="1"/>
        <v>90000</v>
      </c>
      <c r="H6" s="222">
        <v>0</v>
      </c>
      <c r="I6" s="150">
        <v>1</v>
      </c>
      <c r="J6" s="150">
        <v>1</v>
      </c>
      <c r="K6" s="42">
        <f t="shared" si="2"/>
        <v>90000</v>
      </c>
      <c r="L6" s="42">
        <f t="shared" si="3"/>
        <v>90000</v>
      </c>
      <c r="M6" s="224">
        <f t="shared" si="4"/>
        <v>90000</v>
      </c>
      <c r="N6" s="39"/>
      <c r="O6" s="43" t="s">
        <v>1701</v>
      </c>
    </row>
    <row r="7" spans="1:26" s="305" customFormat="1">
      <c r="A7" s="36">
        <f t="shared" si="5"/>
        <v>3</v>
      </c>
      <c r="B7" s="219" t="s">
        <v>1422</v>
      </c>
      <c r="C7" s="220" t="s">
        <v>1423</v>
      </c>
      <c r="D7" s="147">
        <v>42776</v>
      </c>
      <c r="E7" s="222">
        <v>66660</v>
      </c>
      <c r="F7" s="223">
        <f t="shared" si="0"/>
        <v>66660</v>
      </c>
      <c r="G7" s="148">
        <f t="shared" si="1"/>
        <v>66660</v>
      </c>
      <c r="H7" s="222">
        <v>0</v>
      </c>
      <c r="I7" s="150">
        <v>1</v>
      </c>
      <c r="J7" s="150">
        <v>1</v>
      </c>
      <c r="K7" s="42">
        <f t="shared" si="2"/>
        <v>66660</v>
      </c>
      <c r="L7" s="42">
        <f t="shared" si="3"/>
        <v>66660</v>
      </c>
      <c r="M7" s="224">
        <f t="shared" si="4"/>
        <v>66660</v>
      </c>
      <c r="N7" s="167"/>
      <c r="O7" s="43" t="s">
        <v>1702</v>
      </c>
    </row>
    <row r="8" spans="1:26" s="305" customFormat="1">
      <c r="A8" s="36">
        <f t="shared" si="5"/>
        <v>4</v>
      </c>
      <c r="B8" s="145" t="s">
        <v>1422</v>
      </c>
      <c r="C8" s="146" t="s">
        <v>1423</v>
      </c>
      <c r="D8" s="147">
        <v>42776</v>
      </c>
      <c r="E8" s="304">
        <f>7500000*1.2%</f>
        <v>90000</v>
      </c>
      <c r="F8" s="223">
        <f t="shared" si="0"/>
        <v>90000</v>
      </c>
      <c r="G8" s="148">
        <f t="shared" si="1"/>
        <v>90000</v>
      </c>
      <c r="H8" s="222">
        <v>0</v>
      </c>
      <c r="I8" s="150">
        <v>1</v>
      </c>
      <c r="J8" s="150">
        <v>1</v>
      </c>
      <c r="K8" s="42">
        <f t="shared" si="2"/>
        <v>90000</v>
      </c>
      <c r="L8" s="42">
        <f t="shared" si="3"/>
        <v>90000</v>
      </c>
      <c r="M8" s="224">
        <f t="shared" si="4"/>
        <v>90000</v>
      </c>
      <c r="N8" s="167"/>
      <c r="O8" s="43" t="s">
        <v>1703</v>
      </c>
    </row>
    <row r="9" spans="1:26" s="305" customFormat="1">
      <c r="A9" s="36">
        <f t="shared" si="5"/>
        <v>5</v>
      </c>
      <c r="B9" s="219" t="s">
        <v>1422</v>
      </c>
      <c r="C9" s="220" t="s">
        <v>1423</v>
      </c>
      <c r="D9" s="147">
        <v>42804</v>
      </c>
      <c r="E9" s="222">
        <v>66660</v>
      </c>
      <c r="F9" s="223">
        <f t="shared" si="0"/>
        <v>66660</v>
      </c>
      <c r="G9" s="148">
        <f t="shared" si="1"/>
        <v>66660</v>
      </c>
      <c r="H9" s="222">
        <v>0</v>
      </c>
      <c r="I9" s="150">
        <v>1</v>
      </c>
      <c r="J9" s="150">
        <v>1</v>
      </c>
      <c r="K9" s="42">
        <f t="shared" si="2"/>
        <v>66660</v>
      </c>
      <c r="L9" s="42">
        <f t="shared" si="3"/>
        <v>66660</v>
      </c>
      <c r="M9" s="224">
        <f t="shared" si="4"/>
        <v>66660</v>
      </c>
      <c r="N9" s="39"/>
      <c r="O9" s="43" t="s">
        <v>1702</v>
      </c>
    </row>
    <row r="10" spans="1:26" s="305" customFormat="1">
      <c r="A10" s="36">
        <f t="shared" si="5"/>
        <v>6</v>
      </c>
      <c r="B10" s="145" t="s">
        <v>1422</v>
      </c>
      <c r="C10" s="146" t="s">
        <v>1423</v>
      </c>
      <c r="D10" s="147">
        <v>42804</v>
      </c>
      <c r="E10" s="304">
        <f>7500000*1.2%</f>
        <v>90000</v>
      </c>
      <c r="F10" s="223">
        <f t="shared" si="0"/>
        <v>90000</v>
      </c>
      <c r="G10" s="148">
        <f t="shared" si="1"/>
        <v>90000</v>
      </c>
      <c r="H10" s="222">
        <v>0</v>
      </c>
      <c r="I10" s="150">
        <v>1</v>
      </c>
      <c r="J10" s="150">
        <v>1</v>
      </c>
      <c r="K10" s="42">
        <f t="shared" si="2"/>
        <v>90000</v>
      </c>
      <c r="L10" s="42">
        <f t="shared" si="3"/>
        <v>90000</v>
      </c>
      <c r="M10" s="224">
        <f t="shared" si="4"/>
        <v>90000</v>
      </c>
      <c r="N10" s="39"/>
      <c r="O10" s="43" t="s">
        <v>1704</v>
      </c>
    </row>
    <row r="11" spans="1:26" s="305" customFormat="1">
      <c r="A11" s="36">
        <f t="shared" si="5"/>
        <v>7</v>
      </c>
      <c r="B11" s="145" t="s">
        <v>1422</v>
      </c>
      <c r="C11" s="146" t="s">
        <v>1423</v>
      </c>
      <c r="D11" s="147">
        <v>42835</v>
      </c>
      <c r="E11" s="304">
        <f>7500000*1.2%</f>
        <v>90000</v>
      </c>
      <c r="F11" s="223">
        <f t="shared" si="0"/>
        <v>90000</v>
      </c>
      <c r="G11" s="148">
        <f t="shared" si="1"/>
        <v>90000</v>
      </c>
      <c r="H11" s="222">
        <v>0</v>
      </c>
      <c r="I11" s="150">
        <v>1</v>
      </c>
      <c r="J11" s="150">
        <v>1</v>
      </c>
      <c r="K11" s="42">
        <f t="shared" si="2"/>
        <v>90000</v>
      </c>
      <c r="L11" s="42">
        <f t="shared" si="3"/>
        <v>90000</v>
      </c>
      <c r="M11" s="224">
        <f t="shared" si="4"/>
        <v>90000</v>
      </c>
      <c r="N11" s="39"/>
      <c r="O11" s="43" t="s">
        <v>1705</v>
      </c>
    </row>
    <row r="12" spans="1:26" s="305" customFormat="1">
      <c r="A12" s="36">
        <f t="shared" si="5"/>
        <v>8</v>
      </c>
      <c r="B12" s="219" t="s">
        <v>1422</v>
      </c>
      <c r="C12" s="220" t="s">
        <v>1423</v>
      </c>
      <c r="D12" s="147">
        <v>42865</v>
      </c>
      <c r="E12" s="222">
        <v>66660</v>
      </c>
      <c r="F12" s="223">
        <f t="shared" si="0"/>
        <v>66660</v>
      </c>
      <c r="G12" s="148">
        <f t="shared" si="1"/>
        <v>66660</v>
      </c>
      <c r="H12" s="222">
        <v>0</v>
      </c>
      <c r="I12" s="150">
        <v>1</v>
      </c>
      <c r="J12" s="150">
        <v>1</v>
      </c>
      <c r="K12" s="42">
        <f t="shared" si="2"/>
        <v>66660</v>
      </c>
      <c r="L12" s="42">
        <f t="shared" si="3"/>
        <v>66660</v>
      </c>
      <c r="M12" s="224">
        <f t="shared" si="4"/>
        <v>66660</v>
      </c>
      <c r="N12" s="39"/>
      <c r="O12" s="43" t="s">
        <v>1706</v>
      </c>
    </row>
    <row r="13" spans="1:26" s="305" customFormat="1">
      <c r="A13" s="36">
        <f t="shared" si="5"/>
        <v>9</v>
      </c>
      <c r="B13" s="145" t="s">
        <v>1422</v>
      </c>
      <c r="C13" s="307" t="s">
        <v>1423</v>
      </c>
      <c r="D13" s="147">
        <v>42865</v>
      </c>
      <c r="E13" s="304">
        <f>7500000*1.2%</f>
        <v>90000</v>
      </c>
      <c r="F13" s="223">
        <f t="shared" si="0"/>
        <v>90000</v>
      </c>
      <c r="G13" s="148">
        <f t="shared" si="1"/>
        <v>90000</v>
      </c>
      <c r="H13" s="222">
        <v>0</v>
      </c>
      <c r="I13" s="150">
        <v>1</v>
      </c>
      <c r="J13" s="150">
        <v>1</v>
      </c>
      <c r="K13" s="42">
        <f t="shared" si="2"/>
        <v>90000</v>
      </c>
      <c r="L13" s="42">
        <f t="shared" si="3"/>
        <v>90000</v>
      </c>
      <c r="M13" s="224">
        <f t="shared" si="4"/>
        <v>90000</v>
      </c>
      <c r="N13" s="39"/>
      <c r="O13" s="43" t="s">
        <v>1707</v>
      </c>
    </row>
    <row r="14" spans="1:26" s="305" customFormat="1">
      <c r="A14" s="36">
        <f t="shared" si="5"/>
        <v>10</v>
      </c>
      <c r="B14" s="219" t="s">
        <v>1422</v>
      </c>
      <c r="C14" s="220" t="s">
        <v>1423</v>
      </c>
      <c r="D14" s="147">
        <v>42896</v>
      </c>
      <c r="E14" s="308">
        <v>66660</v>
      </c>
      <c r="F14" s="223">
        <f t="shared" si="0"/>
        <v>66660</v>
      </c>
      <c r="G14" s="148">
        <f t="shared" si="1"/>
        <v>66660</v>
      </c>
      <c r="H14" s="222">
        <v>0</v>
      </c>
      <c r="I14" s="150">
        <v>1</v>
      </c>
      <c r="J14" s="150">
        <v>1</v>
      </c>
      <c r="K14" s="42">
        <f t="shared" si="2"/>
        <v>66660</v>
      </c>
      <c r="L14" s="42">
        <f t="shared" si="3"/>
        <v>66660</v>
      </c>
      <c r="M14" s="224">
        <f t="shared" si="4"/>
        <v>66660</v>
      </c>
      <c r="N14" s="284"/>
      <c r="O14" s="43" t="s">
        <v>1708</v>
      </c>
    </row>
    <row r="15" spans="1:26" s="305" customFormat="1">
      <c r="A15" s="36">
        <f t="shared" si="5"/>
        <v>11</v>
      </c>
      <c r="B15" s="145" t="s">
        <v>1422</v>
      </c>
      <c r="C15" s="146" t="s">
        <v>1423</v>
      </c>
      <c r="D15" s="147">
        <v>42896</v>
      </c>
      <c r="E15" s="285">
        <f>7500000*1.2%</f>
        <v>90000</v>
      </c>
      <c r="F15" s="223">
        <f t="shared" si="0"/>
        <v>90000</v>
      </c>
      <c r="G15" s="148">
        <f t="shared" si="1"/>
        <v>90000</v>
      </c>
      <c r="H15" s="222">
        <v>0</v>
      </c>
      <c r="I15" s="150">
        <v>1</v>
      </c>
      <c r="J15" s="150">
        <v>1</v>
      </c>
      <c r="K15" s="42">
        <f t="shared" si="2"/>
        <v>90000</v>
      </c>
      <c r="L15" s="42">
        <f t="shared" si="3"/>
        <v>90000</v>
      </c>
      <c r="M15" s="224">
        <f t="shared" si="4"/>
        <v>90000</v>
      </c>
      <c r="N15" s="284"/>
      <c r="O15" s="43" t="s">
        <v>1709</v>
      </c>
    </row>
    <row r="16" spans="1:26" s="305" customFormat="1">
      <c r="A16" s="36">
        <f t="shared" si="5"/>
        <v>12</v>
      </c>
      <c r="B16" s="219" t="s">
        <v>1422</v>
      </c>
      <c r="C16" s="220" t="s">
        <v>1423</v>
      </c>
      <c r="D16" s="147">
        <v>42926</v>
      </c>
      <c r="E16" s="308">
        <v>66660</v>
      </c>
      <c r="F16" s="223">
        <f t="shared" si="0"/>
        <v>66660</v>
      </c>
      <c r="G16" s="148">
        <f t="shared" si="1"/>
        <v>66660</v>
      </c>
      <c r="H16" s="222">
        <v>0</v>
      </c>
      <c r="I16" s="150">
        <v>1</v>
      </c>
      <c r="J16" s="150">
        <v>1</v>
      </c>
      <c r="K16" s="42">
        <f t="shared" si="2"/>
        <v>66660</v>
      </c>
      <c r="L16" s="42">
        <f t="shared" si="3"/>
        <v>66660</v>
      </c>
      <c r="M16" s="224">
        <f t="shared" si="4"/>
        <v>66660</v>
      </c>
      <c r="N16" s="284"/>
      <c r="O16" s="43" t="s">
        <v>1710</v>
      </c>
    </row>
    <row r="17" spans="1:26" s="305" customFormat="1">
      <c r="A17" s="36">
        <f t="shared" si="5"/>
        <v>13</v>
      </c>
      <c r="B17" s="145" t="s">
        <v>1422</v>
      </c>
      <c r="C17" s="146" t="s">
        <v>1423</v>
      </c>
      <c r="D17" s="147">
        <v>42926</v>
      </c>
      <c r="E17" s="285">
        <f>7500000*1.2%</f>
        <v>90000</v>
      </c>
      <c r="F17" s="223">
        <f t="shared" si="0"/>
        <v>90000</v>
      </c>
      <c r="G17" s="148">
        <f t="shared" si="1"/>
        <v>90000</v>
      </c>
      <c r="H17" s="222">
        <v>0</v>
      </c>
      <c r="I17" s="150">
        <v>1</v>
      </c>
      <c r="J17" s="150">
        <v>1</v>
      </c>
      <c r="K17" s="42">
        <f t="shared" si="2"/>
        <v>90000</v>
      </c>
      <c r="L17" s="42">
        <f t="shared" si="3"/>
        <v>90000</v>
      </c>
      <c r="M17" s="224">
        <f t="shared" si="4"/>
        <v>90000</v>
      </c>
      <c r="N17" s="284"/>
      <c r="O17" s="43" t="s">
        <v>1711</v>
      </c>
    </row>
    <row r="18" spans="1:26" s="305" customFormat="1">
      <c r="A18" s="36">
        <f t="shared" si="5"/>
        <v>14</v>
      </c>
      <c r="B18" s="219" t="s">
        <v>1422</v>
      </c>
      <c r="C18" s="220" t="s">
        <v>1423</v>
      </c>
      <c r="D18" s="147">
        <v>42957</v>
      </c>
      <c r="E18" s="308">
        <v>66660</v>
      </c>
      <c r="F18" s="223">
        <f t="shared" si="0"/>
        <v>66660</v>
      </c>
      <c r="G18" s="148">
        <f t="shared" si="1"/>
        <v>66660</v>
      </c>
      <c r="H18" s="222">
        <v>0</v>
      </c>
      <c r="I18" s="150">
        <v>1</v>
      </c>
      <c r="J18" s="150">
        <v>1</v>
      </c>
      <c r="K18" s="42">
        <f t="shared" si="2"/>
        <v>66660</v>
      </c>
      <c r="L18" s="42">
        <f t="shared" si="3"/>
        <v>66660</v>
      </c>
      <c r="M18" s="224">
        <f t="shared" si="4"/>
        <v>66660</v>
      </c>
      <c r="N18" s="284"/>
      <c r="O18" s="43" t="s">
        <v>1712</v>
      </c>
    </row>
    <row r="19" spans="1:26" s="305" customFormat="1">
      <c r="A19" s="36">
        <f t="shared" si="5"/>
        <v>15</v>
      </c>
      <c r="B19" s="145" t="s">
        <v>1422</v>
      </c>
      <c r="C19" s="146" t="s">
        <v>1423</v>
      </c>
      <c r="D19" s="147">
        <v>42957</v>
      </c>
      <c r="E19" s="309">
        <f>7500000*1.2%</f>
        <v>90000</v>
      </c>
      <c r="F19" s="223">
        <f t="shared" si="0"/>
        <v>90000</v>
      </c>
      <c r="G19" s="148">
        <f t="shared" si="1"/>
        <v>90000</v>
      </c>
      <c r="H19" s="222">
        <v>0</v>
      </c>
      <c r="I19" s="150">
        <v>1</v>
      </c>
      <c r="J19" s="150">
        <v>1</v>
      </c>
      <c r="K19" s="42">
        <f t="shared" si="2"/>
        <v>90000</v>
      </c>
      <c r="L19" s="42">
        <f t="shared" si="3"/>
        <v>90000</v>
      </c>
      <c r="M19" s="224">
        <f t="shared" si="4"/>
        <v>90000</v>
      </c>
      <c r="N19" s="284"/>
      <c r="O19" s="43" t="s">
        <v>1713</v>
      </c>
    </row>
    <row r="20" spans="1:26" s="305" customFormat="1">
      <c r="A20" s="36">
        <f t="shared" si="5"/>
        <v>16</v>
      </c>
      <c r="B20" s="145" t="s">
        <v>1422</v>
      </c>
      <c r="C20" s="146" t="s">
        <v>1423</v>
      </c>
      <c r="D20" s="147">
        <v>42988</v>
      </c>
      <c r="E20" s="309">
        <f>7500000*1.2%</f>
        <v>90000</v>
      </c>
      <c r="F20" s="223">
        <f t="shared" si="0"/>
        <v>90000</v>
      </c>
      <c r="G20" s="148">
        <f t="shared" si="1"/>
        <v>90000</v>
      </c>
      <c r="H20" s="222">
        <v>0</v>
      </c>
      <c r="I20" s="150">
        <v>1</v>
      </c>
      <c r="J20" s="150">
        <v>1</v>
      </c>
      <c r="K20" s="42">
        <f t="shared" si="2"/>
        <v>90000</v>
      </c>
      <c r="L20" s="42">
        <f t="shared" si="3"/>
        <v>90000</v>
      </c>
      <c r="M20" s="224">
        <f t="shared" si="4"/>
        <v>90000</v>
      </c>
      <c r="N20" s="284"/>
      <c r="O20" s="43" t="s">
        <v>1714</v>
      </c>
    </row>
    <row r="21" spans="1:26" s="305" customFormat="1">
      <c r="A21" s="36">
        <f t="shared" si="5"/>
        <v>17</v>
      </c>
      <c r="B21" s="219" t="s">
        <v>1422</v>
      </c>
      <c r="C21" s="220" t="s">
        <v>1423</v>
      </c>
      <c r="D21" s="147">
        <v>42988</v>
      </c>
      <c r="E21" s="310">
        <v>66660</v>
      </c>
      <c r="F21" s="223">
        <f t="shared" si="0"/>
        <v>66660</v>
      </c>
      <c r="G21" s="148">
        <f t="shared" si="1"/>
        <v>66660</v>
      </c>
      <c r="H21" s="222">
        <v>0</v>
      </c>
      <c r="I21" s="150">
        <v>1</v>
      </c>
      <c r="J21" s="150">
        <v>1</v>
      </c>
      <c r="K21" s="42">
        <f t="shared" si="2"/>
        <v>66660</v>
      </c>
      <c r="L21" s="42">
        <f t="shared" si="3"/>
        <v>66660</v>
      </c>
      <c r="M21" s="224">
        <f t="shared" si="4"/>
        <v>66660</v>
      </c>
      <c r="N21" s="284"/>
      <c r="O21" s="43" t="s">
        <v>1715</v>
      </c>
    </row>
    <row r="22" spans="1:26" s="305" customFormat="1">
      <c r="A22" s="36">
        <f t="shared" si="5"/>
        <v>18</v>
      </c>
      <c r="B22" s="219" t="s">
        <v>1422</v>
      </c>
      <c r="C22" s="220" t="s">
        <v>1423</v>
      </c>
      <c r="D22" s="147">
        <v>43018</v>
      </c>
      <c r="E22" s="308">
        <v>66660</v>
      </c>
      <c r="F22" s="223">
        <f t="shared" si="0"/>
        <v>66660</v>
      </c>
      <c r="G22" s="148">
        <f t="shared" si="1"/>
        <v>66660</v>
      </c>
      <c r="H22" s="222">
        <v>0</v>
      </c>
      <c r="I22" s="150">
        <v>1</v>
      </c>
      <c r="J22" s="150">
        <v>1</v>
      </c>
      <c r="K22" s="42">
        <f t="shared" si="2"/>
        <v>66660</v>
      </c>
      <c r="L22" s="42">
        <f t="shared" si="3"/>
        <v>66660</v>
      </c>
      <c r="M22" s="224">
        <f t="shared" si="4"/>
        <v>66660</v>
      </c>
      <c r="N22" s="284"/>
      <c r="O22" s="43" t="s">
        <v>1716</v>
      </c>
    </row>
    <row r="23" spans="1:26">
      <c r="A23" s="36">
        <f t="shared" si="5"/>
        <v>19</v>
      </c>
      <c r="B23" s="145" t="s">
        <v>1422</v>
      </c>
      <c r="C23" s="146" t="s">
        <v>1423</v>
      </c>
      <c r="D23" s="147">
        <v>43018</v>
      </c>
      <c r="E23" s="285">
        <f>7500000*1.2%</f>
        <v>90000</v>
      </c>
      <c r="F23" s="223">
        <f t="shared" si="0"/>
        <v>90000</v>
      </c>
      <c r="G23" s="148">
        <f t="shared" si="1"/>
        <v>90000</v>
      </c>
      <c r="H23" s="222">
        <v>0</v>
      </c>
      <c r="I23" s="150">
        <v>1</v>
      </c>
      <c r="J23" s="150">
        <v>1</v>
      </c>
      <c r="K23" s="42">
        <f t="shared" si="2"/>
        <v>90000</v>
      </c>
      <c r="L23" s="42">
        <f t="shared" si="3"/>
        <v>90000</v>
      </c>
      <c r="M23" s="224">
        <f t="shared" si="4"/>
        <v>90000</v>
      </c>
      <c r="N23" s="284"/>
      <c r="O23" s="43" t="s">
        <v>1717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>
      <c r="A24" s="36">
        <f t="shared" si="5"/>
        <v>20</v>
      </c>
      <c r="B24" s="219" t="s">
        <v>1422</v>
      </c>
      <c r="C24" s="220" t="s">
        <v>1423</v>
      </c>
      <c r="D24" s="147">
        <v>43049</v>
      </c>
      <c r="E24" s="308">
        <v>66660</v>
      </c>
      <c r="F24" s="223">
        <f t="shared" si="0"/>
        <v>66660</v>
      </c>
      <c r="G24" s="148">
        <f t="shared" si="1"/>
        <v>66660</v>
      </c>
      <c r="H24" s="222">
        <v>0</v>
      </c>
      <c r="I24" s="150">
        <v>1</v>
      </c>
      <c r="J24" s="150">
        <v>1</v>
      </c>
      <c r="K24" s="42">
        <f t="shared" si="2"/>
        <v>66660</v>
      </c>
      <c r="L24" s="42">
        <f t="shared" si="3"/>
        <v>66660</v>
      </c>
      <c r="M24" s="224">
        <f t="shared" si="4"/>
        <v>66660</v>
      </c>
      <c r="N24" s="284"/>
      <c r="O24" s="43" t="s">
        <v>1718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>
      <c r="A25" s="36">
        <f t="shared" si="5"/>
        <v>21</v>
      </c>
      <c r="B25" s="145" t="s">
        <v>1422</v>
      </c>
      <c r="C25" s="146" t="s">
        <v>1423</v>
      </c>
      <c r="D25" s="147">
        <v>43018</v>
      </c>
      <c r="E25" s="285">
        <f>7500000*1.2%</f>
        <v>90000</v>
      </c>
      <c r="F25" s="223">
        <f t="shared" si="0"/>
        <v>90000</v>
      </c>
      <c r="G25" s="148">
        <f t="shared" si="1"/>
        <v>90000</v>
      </c>
      <c r="H25" s="222">
        <v>0</v>
      </c>
      <c r="I25" s="150">
        <v>1</v>
      </c>
      <c r="J25" s="150">
        <v>1</v>
      </c>
      <c r="K25" s="42">
        <f t="shared" si="2"/>
        <v>90000</v>
      </c>
      <c r="L25" s="42">
        <f t="shared" si="3"/>
        <v>90000</v>
      </c>
      <c r="M25" s="224">
        <f t="shared" si="4"/>
        <v>90000</v>
      </c>
      <c r="N25" s="284"/>
      <c r="O25" s="43" t="s">
        <v>1719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>
      <c r="A26" s="36">
        <f t="shared" si="5"/>
        <v>22</v>
      </c>
      <c r="B26" s="145" t="s">
        <v>1422</v>
      </c>
      <c r="C26" s="146" t="s">
        <v>1423</v>
      </c>
      <c r="D26" s="147">
        <v>43079</v>
      </c>
      <c r="E26" s="149">
        <v>90000</v>
      </c>
      <c r="F26" s="223">
        <f t="shared" si="0"/>
        <v>90000</v>
      </c>
      <c r="G26" s="148">
        <f t="shared" si="1"/>
        <v>90000</v>
      </c>
      <c r="H26" s="222">
        <v>0</v>
      </c>
      <c r="I26" s="150">
        <v>1</v>
      </c>
      <c r="J26" s="150">
        <v>1</v>
      </c>
      <c r="K26" s="42">
        <f t="shared" si="2"/>
        <v>90000</v>
      </c>
      <c r="L26" s="42">
        <f t="shared" si="3"/>
        <v>90000</v>
      </c>
      <c r="M26" s="224">
        <f t="shared" si="4"/>
        <v>90000</v>
      </c>
      <c r="N26" s="284"/>
      <c r="O26" s="43" t="s">
        <v>1720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>
      <c r="A27" s="36">
        <f t="shared" si="5"/>
        <v>23</v>
      </c>
      <c r="B27" s="219" t="s">
        <v>1422</v>
      </c>
      <c r="C27" s="220" t="s">
        <v>1423</v>
      </c>
      <c r="D27" s="147">
        <v>43079</v>
      </c>
      <c r="E27" s="311">
        <v>66660</v>
      </c>
      <c r="F27" s="223">
        <f t="shared" si="0"/>
        <v>66660</v>
      </c>
      <c r="G27" s="148">
        <f t="shared" si="1"/>
        <v>66660</v>
      </c>
      <c r="H27" s="222">
        <v>0</v>
      </c>
      <c r="I27" s="150">
        <v>1</v>
      </c>
      <c r="J27" s="150">
        <v>1</v>
      </c>
      <c r="K27" s="42">
        <f t="shared" si="2"/>
        <v>66660</v>
      </c>
      <c r="L27" s="42">
        <f t="shared" si="3"/>
        <v>66660</v>
      </c>
      <c r="M27" s="224">
        <f t="shared" si="4"/>
        <v>66660</v>
      </c>
      <c r="N27" s="284"/>
      <c r="O27" s="43" t="s">
        <v>1721</v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>
      <c r="A28" s="36">
        <f t="shared" si="5"/>
        <v>24</v>
      </c>
      <c r="B28" s="219" t="s">
        <v>1422</v>
      </c>
      <c r="C28" s="220" t="s">
        <v>1423</v>
      </c>
      <c r="D28" s="147">
        <v>43110</v>
      </c>
      <c r="E28" s="308">
        <v>66660</v>
      </c>
      <c r="F28" s="223">
        <f t="shared" si="0"/>
        <v>66660</v>
      </c>
      <c r="G28" s="148">
        <f t="shared" si="1"/>
        <v>66660</v>
      </c>
      <c r="H28" s="222">
        <v>0</v>
      </c>
      <c r="I28" s="150">
        <v>1</v>
      </c>
      <c r="J28" s="150">
        <v>1</v>
      </c>
      <c r="K28" s="42">
        <f t="shared" si="2"/>
        <v>66660</v>
      </c>
      <c r="L28" s="42">
        <f t="shared" si="3"/>
        <v>66660</v>
      </c>
      <c r="M28" s="224">
        <f t="shared" si="4"/>
        <v>66660</v>
      </c>
      <c r="N28" s="284"/>
      <c r="O28" s="43" t="s">
        <v>1722</v>
      </c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s="275" customFormat="1">
      <c r="A29" s="252">
        <f t="shared" si="5"/>
        <v>25</v>
      </c>
      <c r="B29" s="253" t="s">
        <v>537</v>
      </c>
      <c r="C29" s="254" t="s">
        <v>538</v>
      </c>
      <c r="D29" s="255">
        <v>42776</v>
      </c>
      <c r="E29" s="312">
        <v>60000</v>
      </c>
      <c r="F29" s="268">
        <f t="shared" si="0"/>
        <v>60000</v>
      </c>
      <c r="G29" s="269">
        <f t="shared" si="1"/>
        <v>60000</v>
      </c>
      <c r="H29" s="270">
        <v>0</v>
      </c>
      <c r="I29" s="271">
        <v>1</v>
      </c>
      <c r="J29" s="271">
        <v>1</v>
      </c>
      <c r="K29" s="260">
        <f t="shared" si="2"/>
        <v>60000</v>
      </c>
      <c r="L29" s="260">
        <f t="shared" si="3"/>
        <v>60000</v>
      </c>
      <c r="M29" s="280">
        <f t="shared" si="4"/>
        <v>60000</v>
      </c>
      <c r="N29" s="313"/>
      <c r="O29" s="263" t="s">
        <v>1702</v>
      </c>
    </row>
    <row r="30" spans="1:26" s="275" customFormat="1">
      <c r="A30" s="252">
        <f t="shared" si="5"/>
        <v>26</v>
      </c>
      <c r="B30" s="253" t="s">
        <v>537</v>
      </c>
      <c r="C30" s="254" t="s">
        <v>538</v>
      </c>
      <c r="D30" s="255">
        <v>42804</v>
      </c>
      <c r="E30" s="312">
        <v>60000</v>
      </c>
      <c r="F30" s="268">
        <f t="shared" si="0"/>
        <v>60000</v>
      </c>
      <c r="G30" s="269">
        <f t="shared" si="1"/>
        <v>60000</v>
      </c>
      <c r="H30" s="270">
        <v>0</v>
      </c>
      <c r="I30" s="271">
        <v>1</v>
      </c>
      <c r="J30" s="271">
        <v>1</v>
      </c>
      <c r="K30" s="260">
        <f t="shared" si="2"/>
        <v>60000</v>
      </c>
      <c r="L30" s="260">
        <f t="shared" si="3"/>
        <v>60000</v>
      </c>
      <c r="M30" s="280">
        <f t="shared" si="4"/>
        <v>60000</v>
      </c>
      <c r="N30" s="164"/>
      <c r="O30" s="263" t="s">
        <v>1702</v>
      </c>
    </row>
    <row r="31" spans="1:26" s="275" customFormat="1">
      <c r="A31" s="252">
        <f t="shared" si="5"/>
        <v>27</v>
      </c>
      <c r="B31" s="253" t="s">
        <v>537</v>
      </c>
      <c r="C31" s="254" t="s">
        <v>538</v>
      </c>
      <c r="D31" s="255">
        <v>42835</v>
      </c>
      <c r="E31" s="312">
        <v>56000</v>
      </c>
      <c r="F31" s="268">
        <f t="shared" si="0"/>
        <v>56000</v>
      </c>
      <c r="G31" s="269">
        <f t="shared" si="1"/>
        <v>56000</v>
      </c>
      <c r="H31" s="270">
        <v>0</v>
      </c>
      <c r="I31" s="271">
        <v>1</v>
      </c>
      <c r="J31" s="271">
        <v>1</v>
      </c>
      <c r="K31" s="260">
        <f t="shared" si="2"/>
        <v>56000</v>
      </c>
      <c r="L31" s="260">
        <f t="shared" si="3"/>
        <v>56000</v>
      </c>
      <c r="M31" s="280">
        <f t="shared" si="4"/>
        <v>56000</v>
      </c>
      <c r="N31" s="164"/>
      <c r="O31" s="263" t="s">
        <v>1723</v>
      </c>
    </row>
    <row r="32" spans="1:26" s="275" customFormat="1">
      <c r="A32" s="252">
        <f t="shared" si="5"/>
        <v>28</v>
      </c>
      <c r="B32" s="253" t="s">
        <v>537</v>
      </c>
      <c r="C32" s="254" t="s">
        <v>538</v>
      </c>
      <c r="D32" s="255">
        <v>42865</v>
      </c>
      <c r="E32" s="312">
        <v>60000</v>
      </c>
      <c r="F32" s="268">
        <f t="shared" si="0"/>
        <v>60000</v>
      </c>
      <c r="G32" s="269">
        <f t="shared" si="1"/>
        <v>60000</v>
      </c>
      <c r="H32" s="270">
        <v>0</v>
      </c>
      <c r="I32" s="271">
        <v>1</v>
      </c>
      <c r="J32" s="271">
        <v>1</v>
      </c>
      <c r="K32" s="260">
        <f t="shared" si="2"/>
        <v>60000</v>
      </c>
      <c r="L32" s="260">
        <f t="shared" si="3"/>
        <v>60000</v>
      </c>
      <c r="M32" s="280">
        <f t="shared" si="4"/>
        <v>60000</v>
      </c>
      <c r="N32" s="164"/>
      <c r="O32" s="263" t="s">
        <v>1706</v>
      </c>
    </row>
    <row r="33" spans="1:26" s="275" customFormat="1">
      <c r="A33" s="252">
        <f t="shared" si="5"/>
        <v>29</v>
      </c>
      <c r="B33" s="253" t="s">
        <v>537</v>
      </c>
      <c r="C33" s="254" t="s">
        <v>538</v>
      </c>
      <c r="D33" s="255">
        <v>42896</v>
      </c>
      <c r="E33" s="277">
        <v>60000</v>
      </c>
      <c r="F33" s="268">
        <f t="shared" si="0"/>
        <v>60000</v>
      </c>
      <c r="G33" s="269">
        <f t="shared" si="1"/>
        <v>60000</v>
      </c>
      <c r="H33" s="270">
        <v>0</v>
      </c>
      <c r="I33" s="271">
        <v>1</v>
      </c>
      <c r="J33" s="271">
        <v>1</v>
      </c>
      <c r="K33" s="260">
        <f t="shared" si="2"/>
        <v>60000</v>
      </c>
      <c r="L33" s="260">
        <f t="shared" si="3"/>
        <v>60000</v>
      </c>
      <c r="M33" s="280">
        <f t="shared" si="4"/>
        <v>60000</v>
      </c>
      <c r="N33" s="272"/>
      <c r="O33" s="263" t="s">
        <v>1708</v>
      </c>
    </row>
    <row r="34" spans="1:26" s="275" customFormat="1">
      <c r="A34" s="252">
        <f t="shared" si="5"/>
        <v>30</v>
      </c>
      <c r="B34" s="253" t="s">
        <v>537</v>
      </c>
      <c r="C34" s="254" t="s">
        <v>538</v>
      </c>
      <c r="D34" s="255">
        <v>42926</v>
      </c>
      <c r="E34" s="277">
        <v>60000</v>
      </c>
      <c r="F34" s="268">
        <f t="shared" si="0"/>
        <v>60000</v>
      </c>
      <c r="G34" s="269">
        <f t="shared" si="1"/>
        <v>60000</v>
      </c>
      <c r="H34" s="270">
        <v>0</v>
      </c>
      <c r="I34" s="271">
        <v>1</v>
      </c>
      <c r="J34" s="271">
        <v>1</v>
      </c>
      <c r="K34" s="260">
        <f t="shared" si="2"/>
        <v>60000</v>
      </c>
      <c r="L34" s="260">
        <f t="shared" si="3"/>
        <v>60000</v>
      </c>
      <c r="M34" s="280">
        <f t="shared" si="4"/>
        <v>60000</v>
      </c>
      <c r="N34" s="272"/>
      <c r="O34" s="263" t="s">
        <v>1710</v>
      </c>
    </row>
    <row r="35" spans="1:26" s="275" customFormat="1">
      <c r="A35" s="252">
        <f t="shared" si="5"/>
        <v>31</v>
      </c>
      <c r="B35" s="253" t="s">
        <v>537</v>
      </c>
      <c r="C35" s="254" t="s">
        <v>538</v>
      </c>
      <c r="D35" s="255">
        <v>42957</v>
      </c>
      <c r="E35" s="277">
        <v>60000</v>
      </c>
      <c r="F35" s="268">
        <f t="shared" si="0"/>
        <v>60000</v>
      </c>
      <c r="G35" s="269">
        <f t="shared" si="1"/>
        <v>60000</v>
      </c>
      <c r="H35" s="270">
        <v>0</v>
      </c>
      <c r="I35" s="271">
        <v>1</v>
      </c>
      <c r="J35" s="271">
        <v>1</v>
      </c>
      <c r="K35" s="260">
        <f t="shared" si="2"/>
        <v>60000</v>
      </c>
      <c r="L35" s="260">
        <f t="shared" si="3"/>
        <v>60000</v>
      </c>
      <c r="M35" s="280">
        <f t="shared" si="4"/>
        <v>60000</v>
      </c>
      <c r="N35" s="272"/>
      <c r="O35" s="263" t="s">
        <v>1712</v>
      </c>
    </row>
    <row r="36" spans="1:26" s="275" customFormat="1">
      <c r="A36" s="252">
        <f t="shared" si="5"/>
        <v>32</v>
      </c>
      <c r="B36" s="253" t="s">
        <v>537</v>
      </c>
      <c r="C36" s="254" t="s">
        <v>538</v>
      </c>
      <c r="D36" s="255">
        <v>42988</v>
      </c>
      <c r="E36" s="314">
        <v>60000</v>
      </c>
      <c r="F36" s="268">
        <f t="shared" si="0"/>
        <v>60000</v>
      </c>
      <c r="G36" s="269">
        <f t="shared" si="1"/>
        <v>60000</v>
      </c>
      <c r="H36" s="270">
        <v>0</v>
      </c>
      <c r="I36" s="271">
        <v>1</v>
      </c>
      <c r="J36" s="271">
        <v>1</v>
      </c>
      <c r="K36" s="260">
        <f t="shared" si="2"/>
        <v>60000</v>
      </c>
      <c r="L36" s="260">
        <f t="shared" si="3"/>
        <v>60000</v>
      </c>
      <c r="M36" s="280">
        <f t="shared" si="4"/>
        <v>60000</v>
      </c>
      <c r="N36" s="272"/>
      <c r="O36" s="263" t="s">
        <v>1715</v>
      </c>
    </row>
    <row r="37" spans="1:26" s="275" customFormat="1">
      <c r="A37" s="252">
        <f t="shared" si="5"/>
        <v>33</v>
      </c>
      <c r="B37" s="253" t="s">
        <v>537</v>
      </c>
      <c r="C37" s="254" t="s">
        <v>538</v>
      </c>
      <c r="D37" s="255">
        <v>43018</v>
      </c>
      <c r="E37" s="277">
        <v>60000</v>
      </c>
      <c r="F37" s="268">
        <f t="shared" si="0"/>
        <v>60000</v>
      </c>
      <c r="G37" s="269">
        <f t="shared" si="1"/>
        <v>60000</v>
      </c>
      <c r="H37" s="270">
        <v>0</v>
      </c>
      <c r="I37" s="271">
        <v>1</v>
      </c>
      <c r="J37" s="271">
        <v>1</v>
      </c>
      <c r="K37" s="260">
        <f t="shared" si="2"/>
        <v>60000</v>
      </c>
      <c r="L37" s="260">
        <f t="shared" si="3"/>
        <v>60000</v>
      </c>
      <c r="M37" s="280">
        <f t="shared" si="4"/>
        <v>60000</v>
      </c>
      <c r="N37" s="272"/>
      <c r="O37" s="263" t="s">
        <v>1716</v>
      </c>
    </row>
    <row r="38" spans="1:26" s="275" customFormat="1">
      <c r="A38" s="252">
        <f t="shared" si="5"/>
        <v>34</v>
      </c>
      <c r="B38" s="253" t="s">
        <v>537</v>
      </c>
      <c r="C38" s="254" t="s">
        <v>538</v>
      </c>
      <c r="D38" s="255">
        <v>43049</v>
      </c>
      <c r="E38" s="277">
        <v>60000</v>
      </c>
      <c r="F38" s="268">
        <f t="shared" si="0"/>
        <v>60000</v>
      </c>
      <c r="G38" s="269">
        <f t="shared" si="1"/>
        <v>60000</v>
      </c>
      <c r="H38" s="270">
        <v>0</v>
      </c>
      <c r="I38" s="271">
        <v>1</v>
      </c>
      <c r="J38" s="271">
        <v>1</v>
      </c>
      <c r="K38" s="260">
        <f t="shared" si="2"/>
        <v>60000</v>
      </c>
      <c r="L38" s="260">
        <f t="shared" si="3"/>
        <v>60000</v>
      </c>
      <c r="M38" s="280">
        <f t="shared" si="4"/>
        <v>60000</v>
      </c>
      <c r="N38" s="272"/>
      <c r="O38" s="263" t="s">
        <v>1718</v>
      </c>
    </row>
    <row r="39" spans="1:26" s="275" customFormat="1">
      <c r="A39" s="252">
        <f t="shared" si="5"/>
        <v>35</v>
      </c>
      <c r="B39" s="253" t="s">
        <v>537</v>
      </c>
      <c r="C39" s="254" t="s">
        <v>538</v>
      </c>
      <c r="D39" s="255">
        <v>43079</v>
      </c>
      <c r="E39" s="315">
        <v>60000</v>
      </c>
      <c r="F39" s="268">
        <f t="shared" si="0"/>
        <v>60000</v>
      </c>
      <c r="G39" s="269">
        <f t="shared" si="1"/>
        <v>60000</v>
      </c>
      <c r="H39" s="270">
        <v>0</v>
      </c>
      <c r="I39" s="271">
        <v>1</v>
      </c>
      <c r="J39" s="271">
        <v>1</v>
      </c>
      <c r="K39" s="260">
        <f t="shared" si="2"/>
        <v>60000</v>
      </c>
      <c r="L39" s="260">
        <f t="shared" si="3"/>
        <v>60000</v>
      </c>
      <c r="M39" s="280">
        <f t="shared" si="4"/>
        <v>60000</v>
      </c>
      <c r="N39" s="272"/>
      <c r="O39" s="263" t="s">
        <v>1721</v>
      </c>
    </row>
    <row r="40" spans="1:26" s="275" customFormat="1">
      <c r="A40" s="252">
        <f t="shared" si="5"/>
        <v>36</v>
      </c>
      <c r="B40" s="253" t="s">
        <v>537</v>
      </c>
      <c r="C40" s="254" t="s">
        <v>538</v>
      </c>
      <c r="D40" s="255">
        <v>43110</v>
      </c>
      <c r="E40" s="277">
        <v>60000</v>
      </c>
      <c r="F40" s="268">
        <f t="shared" si="0"/>
        <v>60000</v>
      </c>
      <c r="G40" s="269">
        <f t="shared" si="1"/>
        <v>60000</v>
      </c>
      <c r="H40" s="270">
        <v>0</v>
      </c>
      <c r="I40" s="271">
        <v>1</v>
      </c>
      <c r="J40" s="271">
        <v>1</v>
      </c>
      <c r="K40" s="260">
        <f t="shared" si="2"/>
        <v>60000</v>
      </c>
      <c r="L40" s="260">
        <f t="shared" si="3"/>
        <v>60000</v>
      </c>
      <c r="M40" s="280">
        <f t="shared" si="4"/>
        <v>60000</v>
      </c>
      <c r="N40" s="272"/>
      <c r="O40" s="263" t="s">
        <v>1722</v>
      </c>
    </row>
    <row r="41" spans="1:26">
      <c r="A41" s="36">
        <f t="shared" si="5"/>
        <v>37</v>
      </c>
      <c r="B41" s="145" t="s">
        <v>593</v>
      </c>
      <c r="C41" s="152" t="s">
        <v>594</v>
      </c>
      <c r="D41" s="147">
        <v>43079</v>
      </c>
      <c r="E41" s="149">
        <v>60000</v>
      </c>
      <c r="F41" s="223">
        <f t="shared" si="0"/>
        <v>60000</v>
      </c>
      <c r="G41" s="148">
        <f t="shared" si="1"/>
        <v>60000</v>
      </c>
      <c r="H41" s="222">
        <v>0</v>
      </c>
      <c r="I41" s="150">
        <v>1</v>
      </c>
      <c r="J41" s="150">
        <v>1</v>
      </c>
      <c r="K41" s="42">
        <f t="shared" si="2"/>
        <v>60000</v>
      </c>
      <c r="L41" s="42">
        <f t="shared" si="3"/>
        <v>60000</v>
      </c>
      <c r="M41" s="224">
        <f t="shared" si="4"/>
        <v>60000</v>
      </c>
      <c r="N41" s="284"/>
      <c r="O41" s="43" t="s">
        <v>1721</v>
      </c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>
      <c r="A42" s="36">
        <f t="shared" si="5"/>
        <v>38</v>
      </c>
      <c r="B42" s="145" t="s">
        <v>593</v>
      </c>
      <c r="C42" s="152" t="s">
        <v>594</v>
      </c>
      <c r="D42" s="147">
        <v>43110</v>
      </c>
      <c r="E42" s="285">
        <v>60000</v>
      </c>
      <c r="F42" s="223">
        <f t="shared" si="0"/>
        <v>60000</v>
      </c>
      <c r="G42" s="148">
        <f t="shared" si="1"/>
        <v>60000</v>
      </c>
      <c r="H42" s="222">
        <v>0</v>
      </c>
      <c r="I42" s="150">
        <v>1</v>
      </c>
      <c r="J42" s="150">
        <v>1</v>
      </c>
      <c r="K42" s="42">
        <f t="shared" si="2"/>
        <v>60000</v>
      </c>
      <c r="L42" s="42">
        <f t="shared" si="3"/>
        <v>60000</v>
      </c>
      <c r="M42" s="224">
        <f t="shared" si="4"/>
        <v>60000</v>
      </c>
      <c r="N42" s="284"/>
      <c r="O42" s="43" t="s">
        <v>1722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>
      <c r="A43" s="36">
        <f t="shared" si="5"/>
        <v>39</v>
      </c>
      <c r="B43" s="145" t="s">
        <v>1724</v>
      </c>
      <c r="C43" s="146" t="s">
        <v>1725</v>
      </c>
      <c r="D43" s="147">
        <v>43018</v>
      </c>
      <c r="E43" s="309">
        <f>2000000*1.2%</f>
        <v>24000</v>
      </c>
      <c r="F43" s="223">
        <f t="shared" si="0"/>
        <v>24000</v>
      </c>
      <c r="G43" s="148">
        <f t="shared" si="1"/>
        <v>24000</v>
      </c>
      <c r="H43" s="222">
        <v>0</v>
      </c>
      <c r="I43" s="150">
        <v>1</v>
      </c>
      <c r="J43" s="150">
        <v>1</v>
      </c>
      <c r="K43" s="42">
        <f t="shared" si="2"/>
        <v>24000</v>
      </c>
      <c r="L43" s="42">
        <f t="shared" si="3"/>
        <v>24000</v>
      </c>
      <c r="M43" s="224">
        <f t="shared" si="4"/>
        <v>24000</v>
      </c>
      <c r="N43" s="284"/>
      <c r="O43" s="43" t="s">
        <v>1726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>
      <c r="A44" s="73">
        <f t="shared" si="5"/>
        <v>40</v>
      </c>
      <c r="B44" s="145" t="s">
        <v>1724</v>
      </c>
      <c r="C44" s="146" t="s">
        <v>1725</v>
      </c>
      <c r="D44" s="147">
        <v>43079</v>
      </c>
      <c r="E44" s="316">
        <v>24000</v>
      </c>
      <c r="F44" s="223">
        <f t="shared" si="0"/>
        <v>24000</v>
      </c>
      <c r="G44" s="148">
        <f t="shared" si="1"/>
        <v>24000</v>
      </c>
      <c r="H44" s="222">
        <v>0</v>
      </c>
      <c r="I44" s="150">
        <v>1</v>
      </c>
      <c r="J44" s="150">
        <v>1</v>
      </c>
      <c r="K44" s="42">
        <f t="shared" si="2"/>
        <v>24000</v>
      </c>
      <c r="L44" s="42">
        <f t="shared" si="3"/>
        <v>24000</v>
      </c>
      <c r="M44" s="224">
        <f t="shared" si="4"/>
        <v>24000</v>
      </c>
      <c r="N44" s="284"/>
      <c r="O44" s="43" t="s">
        <v>1727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>
      <c r="A45" s="73">
        <f t="shared" si="5"/>
        <v>41</v>
      </c>
      <c r="B45" s="145" t="s">
        <v>1724</v>
      </c>
      <c r="C45" s="146" t="s">
        <v>1725</v>
      </c>
      <c r="D45" s="147">
        <v>43110</v>
      </c>
      <c r="E45" s="317">
        <f>2000000*1.2%</f>
        <v>24000</v>
      </c>
      <c r="F45" s="223">
        <f t="shared" si="0"/>
        <v>24000</v>
      </c>
      <c r="G45" s="148">
        <f t="shared" si="1"/>
        <v>24000</v>
      </c>
      <c r="H45" s="222">
        <v>0</v>
      </c>
      <c r="I45" s="150">
        <v>1</v>
      </c>
      <c r="J45" s="150">
        <v>1</v>
      </c>
      <c r="K45" s="42">
        <f t="shared" si="2"/>
        <v>24000</v>
      </c>
      <c r="L45" s="42">
        <f t="shared" si="3"/>
        <v>24000</v>
      </c>
      <c r="M45" s="224">
        <f t="shared" si="4"/>
        <v>24000</v>
      </c>
      <c r="N45" s="290"/>
      <c r="O45" s="318" t="s">
        <v>1728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>
      <c r="A46" s="73">
        <f t="shared" si="5"/>
        <v>42</v>
      </c>
      <c r="B46" s="319" t="s">
        <v>1692</v>
      </c>
      <c r="C46" s="320" t="s">
        <v>1693</v>
      </c>
      <c r="D46" s="291">
        <v>42653</v>
      </c>
      <c r="E46" s="222">
        <f t="shared" ref="E46:E51" si="6">5000000*1.2%</f>
        <v>60000</v>
      </c>
      <c r="F46" s="223">
        <f t="shared" si="0"/>
        <v>60000</v>
      </c>
      <c r="G46" s="148">
        <f t="shared" si="1"/>
        <v>60000</v>
      </c>
      <c r="H46" s="222">
        <v>0</v>
      </c>
      <c r="I46" s="150">
        <v>1</v>
      </c>
      <c r="J46" s="150">
        <v>1</v>
      </c>
      <c r="K46" s="42">
        <f t="shared" si="2"/>
        <v>60000</v>
      </c>
      <c r="L46" s="42">
        <f t="shared" si="3"/>
        <v>60000</v>
      </c>
      <c r="M46" s="224">
        <f t="shared" si="4"/>
        <v>60000</v>
      </c>
      <c r="N46" s="39"/>
      <c r="O46" s="43" t="s">
        <v>1729</v>
      </c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>
      <c r="A47" s="36">
        <f t="shared" si="5"/>
        <v>43</v>
      </c>
      <c r="B47" s="145" t="s">
        <v>1692</v>
      </c>
      <c r="C47" s="320" t="s">
        <v>1693</v>
      </c>
      <c r="D47" s="147">
        <v>42684</v>
      </c>
      <c r="E47" s="304">
        <f t="shared" si="6"/>
        <v>60000</v>
      </c>
      <c r="F47" s="223">
        <f t="shared" si="0"/>
        <v>60000</v>
      </c>
      <c r="G47" s="148">
        <f t="shared" si="1"/>
        <v>60000</v>
      </c>
      <c r="H47" s="222">
        <v>0</v>
      </c>
      <c r="I47" s="150">
        <v>1</v>
      </c>
      <c r="J47" s="150">
        <v>1</v>
      </c>
      <c r="K47" s="42">
        <f t="shared" si="2"/>
        <v>60000</v>
      </c>
      <c r="L47" s="42">
        <f t="shared" si="3"/>
        <v>60000</v>
      </c>
      <c r="M47" s="224">
        <f t="shared" si="4"/>
        <v>60000</v>
      </c>
      <c r="N47" s="39"/>
      <c r="O47" s="43" t="s">
        <v>1730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>
      <c r="A48" s="36">
        <f t="shared" si="5"/>
        <v>44</v>
      </c>
      <c r="B48" s="145" t="s">
        <v>1692</v>
      </c>
      <c r="C48" s="320" t="s">
        <v>1693</v>
      </c>
      <c r="D48" s="147">
        <v>42684</v>
      </c>
      <c r="E48" s="304">
        <f t="shared" si="6"/>
        <v>60000</v>
      </c>
      <c r="F48" s="223">
        <f t="shared" si="0"/>
        <v>60000</v>
      </c>
      <c r="G48" s="148">
        <f t="shared" si="1"/>
        <v>60000</v>
      </c>
      <c r="H48" s="222">
        <v>0</v>
      </c>
      <c r="I48" s="150">
        <v>1</v>
      </c>
      <c r="J48" s="150">
        <v>1</v>
      </c>
      <c r="K48" s="42">
        <f t="shared" si="2"/>
        <v>60000</v>
      </c>
      <c r="L48" s="42">
        <f t="shared" si="3"/>
        <v>60000</v>
      </c>
      <c r="M48" s="224">
        <f t="shared" si="4"/>
        <v>60000</v>
      </c>
      <c r="N48" s="39"/>
      <c r="O48" s="43" t="s">
        <v>1731</v>
      </c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>
      <c r="A49" s="36">
        <f t="shared" si="5"/>
        <v>45</v>
      </c>
      <c r="B49" s="145" t="s">
        <v>1692</v>
      </c>
      <c r="C49" s="146" t="s">
        <v>1693</v>
      </c>
      <c r="D49" s="147">
        <v>42714</v>
      </c>
      <c r="E49" s="304">
        <f t="shared" si="6"/>
        <v>60000</v>
      </c>
      <c r="F49" s="223">
        <f t="shared" si="0"/>
        <v>60000</v>
      </c>
      <c r="G49" s="148">
        <f t="shared" si="1"/>
        <v>60000</v>
      </c>
      <c r="H49" s="222">
        <v>0</v>
      </c>
      <c r="I49" s="150">
        <v>1</v>
      </c>
      <c r="J49" s="150">
        <v>1</v>
      </c>
      <c r="K49" s="42">
        <f t="shared" si="2"/>
        <v>60000</v>
      </c>
      <c r="L49" s="42">
        <f t="shared" si="3"/>
        <v>60000</v>
      </c>
      <c r="M49" s="224">
        <f t="shared" si="4"/>
        <v>60000</v>
      </c>
      <c r="N49" s="39"/>
      <c r="O49" s="43" t="s">
        <v>1732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>
      <c r="A50" s="36">
        <f t="shared" si="5"/>
        <v>46</v>
      </c>
      <c r="B50" s="145" t="s">
        <v>1692</v>
      </c>
      <c r="C50" s="146" t="s">
        <v>1693</v>
      </c>
      <c r="D50" s="147">
        <v>42714</v>
      </c>
      <c r="E50" s="304">
        <f t="shared" si="6"/>
        <v>60000</v>
      </c>
      <c r="F50" s="223">
        <f t="shared" si="0"/>
        <v>60000</v>
      </c>
      <c r="G50" s="148">
        <f t="shared" si="1"/>
        <v>60000</v>
      </c>
      <c r="H50" s="222">
        <v>0</v>
      </c>
      <c r="I50" s="150">
        <v>1</v>
      </c>
      <c r="J50" s="150">
        <v>1</v>
      </c>
      <c r="K50" s="42">
        <f t="shared" si="2"/>
        <v>60000</v>
      </c>
      <c r="L50" s="42">
        <f t="shared" si="3"/>
        <v>60000</v>
      </c>
      <c r="M50" s="224">
        <f t="shared" si="4"/>
        <v>60000</v>
      </c>
      <c r="N50" s="39"/>
      <c r="O50" s="43" t="s">
        <v>1733</v>
      </c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>
      <c r="A51" s="36">
        <f t="shared" si="5"/>
        <v>47</v>
      </c>
      <c r="B51" s="145" t="s">
        <v>1692</v>
      </c>
      <c r="C51" s="146" t="s">
        <v>1693</v>
      </c>
      <c r="D51" s="147">
        <v>42745</v>
      </c>
      <c r="E51" s="304">
        <f t="shared" si="6"/>
        <v>60000</v>
      </c>
      <c r="F51" s="223">
        <f t="shared" si="0"/>
        <v>60000</v>
      </c>
      <c r="G51" s="148">
        <f t="shared" si="1"/>
        <v>60000</v>
      </c>
      <c r="H51" s="222">
        <v>0</v>
      </c>
      <c r="I51" s="150">
        <v>1</v>
      </c>
      <c r="J51" s="150">
        <v>1</v>
      </c>
      <c r="K51" s="42">
        <f t="shared" si="2"/>
        <v>60000</v>
      </c>
      <c r="L51" s="42">
        <f t="shared" si="3"/>
        <v>60000</v>
      </c>
      <c r="M51" s="224">
        <f t="shared" si="4"/>
        <v>60000</v>
      </c>
      <c r="N51" s="39"/>
      <c r="O51" s="43" t="s">
        <v>1734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>
      <c r="A52" s="36">
        <f t="shared" si="5"/>
        <v>48</v>
      </c>
      <c r="B52" s="319" t="s">
        <v>1692</v>
      </c>
      <c r="C52" s="320" t="s">
        <v>1693</v>
      </c>
      <c r="D52" s="147">
        <v>42745</v>
      </c>
      <c r="E52" s="222">
        <v>60000</v>
      </c>
      <c r="F52" s="223">
        <f t="shared" si="0"/>
        <v>60000</v>
      </c>
      <c r="G52" s="148">
        <f t="shared" si="1"/>
        <v>60000</v>
      </c>
      <c r="H52" s="222">
        <v>0</v>
      </c>
      <c r="I52" s="150">
        <v>1</v>
      </c>
      <c r="J52" s="150">
        <v>1</v>
      </c>
      <c r="K52" s="42">
        <f t="shared" si="2"/>
        <v>60000</v>
      </c>
      <c r="L52" s="42">
        <f t="shared" si="3"/>
        <v>60000</v>
      </c>
      <c r="M52" s="224">
        <f t="shared" si="4"/>
        <v>60000</v>
      </c>
      <c r="N52" s="39"/>
      <c r="O52" s="43" t="s">
        <v>1735</v>
      </c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>
      <c r="A53" s="36">
        <f t="shared" si="5"/>
        <v>49</v>
      </c>
      <c r="B53" s="145" t="s">
        <v>1692</v>
      </c>
      <c r="C53" s="146" t="s">
        <v>1693</v>
      </c>
      <c r="D53" s="147">
        <v>42776</v>
      </c>
      <c r="E53" s="321">
        <f t="shared" ref="E53:E64" si="7">5000000*1.2%</f>
        <v>60000</v>
      </c>
      <c r="F53" s="223">
        <f t="shared" si="0"/>
        <v>60000</v>
      </c>
      <c r="G53" s="148">
        <f t="shared" si="1"/>
        <v>60000</v>
      </c>
      <c r="H53" s="222">
        <v>0</v>
      </c>
      <c r="I53" s="150">
        <v>1</v>
      </c>
      <c r="J53" s="150">
        <v>1</v>
      </c>
      <c r="K53" s="42">
        <f t="shared" si="2"/>
        <v>60000</v>
      </c>
      <c r="L53" s="42">
        <f t="shared" si="3"/>
        <v>60000</v>
      </c>
      <c r="M53" s="224">
        <f t="shared" si="4"/>
        <v>60000</v>
      </c>
      <c r="N53" s="167"/>
      <c r="O53" s="43" t="s">
        <v>1736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>
      <c r="A54" s="36">
        <f t="shared" si="5"/>
        <v>50</v>
      </c>
      <c r="B54" s="145" t="s">
        <v>1692</v>
      </c>
      <c r="C54" s="146" t="s">
        <v>1693</v>
      </c>
      <c r="D54" s="147">
        <v>42776</v>
      </c>
      <c r="E54" s="304">
        <f t="shared" si="7"/>
        <v>60000</v>
      </c>
      <c r="F54" s="223">
        <f t="shared" si="0"/>
        <v>60000</v>
      </c>
      <c r="G54" s="148">
        <f t="shared" si="1"/>
        <v>60000</v>
      </c>
      <c r="H54" s="222">
        <v>0</v>
      </c>
      <c r="I54" s="150">
        <v>1</v>
      </c>
      <c r="J54" s="150">
        <v>1</v>
      </c>
      <c r="K54" s="42">
        <f t="shared" si="2"/>
        <v>60000</v>
      </c>
      <c r="L54" s="42">
        <f t="shared" si="3"/>
        <v>60000</v>
      </c>
      <c r="M54" s="224">
        <f t="shared" si="4"/>
        <v>60000</v>
      </c>
      <c r="N54" s="167"/>
      <c r="O54" s="43" t="s">
        <v>1737</v>
      </c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>
      <c r="A55" s="36">
        <f t="shared" si="5"/>
        <v>51</v>
      </c>
      <c r="B55" s="145" t="s">
        <v>1692</v>
      </c>
      <c r="C55" s="146" t="s">
        <v>1693</v>
      </c>
      <c r="D55" s="147">
        <v>42804</v>
      </c>
      <c r="E55" s="321">
        <f t="shared" si="7"/>
        <v>60000</v>
      </c>
      <c r="F55" s="223">
        <f t="shared" si="0"/>
        <v>60000</v>
      </c>
      <c r="G55" s="148">
        <f t="shared" si="1"/>
        <v>60000</v>
      </c>
      <c r="H55" s="222">
        <v>0</v>
      </c>
      <c r="I55" s="150">
        <v>1</v>
      </c>
      <c r="J55" s="150">
        <v>1</v>
      </c>
      <c r="K55" s="42">
        <f t="shared" si="2"/>
        <v>60000</v>
      </c>
      <c r="L55" s="42">
        <f t="shared" si="3"/>
        <v>60000</v>
      </c>
      <c r="M55" s="224">
        <f t="shared" si="4"/>
        <v>60000</v>
      </c>
      <c r="N55" s="39"/>
      <c r="O55" s="43" t="s">
        <v>1738</v>
      </c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>
      <c r="A56" s="36">
        <f t="shared" si="5"/>
        <v>52</v>
      </c>
      <c r="B56" s="145" t="s">
        <v>1692</v>
      </c>
      <c r="C56" s="146" t="s">
        <v>1693</v>
      </c>
      <c r="D56" s="147">
        <v>42804</v>
      </c>
      <c r="E56" s="304">
        <f t="shared" si="7"/>
        <v>60000</v>
      </c>
      <c r="F56" s="223">
        <f t="shared" si="0"/>
        <v>60000</v>
      </c>
      <c r="G56" s="148">
        <f t="shared" si="1"/>
        <v>60000</v>
      </c>
      <c r="H56" s="222">
        <v>0</v>
      </c>
      <c r="I56" s="150">
        <v>1</v>
      </c>
      <c r="J56" s="150">
        <v>1</v>
      </c>
      <c r="K56" s="42">
        <f t="shared" si="2"/>
        <v>60000</v>
      </c>
      <c r="L56" s="42">
        <f t="shared" si="3"/>
        <v>60000</v>
      </c>
      <c r="M56" s="224">
        <f t="shared" si="4"/>
        <v>60000</v>
      </c>
      <c r="N56" s="39"/>
      <c r="O56" s="43" t="s">
        <v>1739</v>
      </c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>
      <c r="A57" s="36">
        <f t="shared" si="5"/>
        <v>53</v>
      </c>
      <c r="B57" s="145" t="s">
        <v>1692</v>
      </c>
      <c r="C57" s="146" t="s">
        <v>1693</v>
      </c>
      <c r="D57" s="147">
        <v>42835</v>
      </c>
      <c r="E57" s="321">
        <f t="shared" si="7"/>
        <v>60000</v>
      </c>
      <c r="F57" s="223">
        <f t="shared" si="0"/>
        <v>60000</v>
      </c>
      <c r="G57" s="148">
        <f t="shared" si="1"/>
        <v>60000</v>
      </c>
      <c r="H57" s="222">
        <v>0</v>
      </c>
      <c r="I57" s="150">
        <v>1</v>
      </c>
      <c r="J57" s="150">
        <v>1</v>
      </c>
      <c r="K57" s="42">
        <f t="shared" si="2"/>
        <v>60000</v>
      </c>
      <c r="L57" s="42">
        <f t="shared" si="3"/>
        <v>60000</v>
      </c>
      <c r="M57" s="224">
        <f t="shared" si="4"/>
        <v>60000</v>
      </c>
      <c r="N57" s="39"/>
      <c r="O57" s="43" t="s">
        <v>1740</v>
      </c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>
      <c r="A58" s="36">
        <f t="shared" si="5"/>
        <v>54</v>
      </c>
      <c r="B58" s="145" t="s">
        <v>1692</v>
      </c>
      <c r="C58" s="146" t="s">
        <v>1693</v>
      </c>
      <c r="D58" s="147">
        <v>42835</v>
      </c>
      <c r="E58" s="304">
        <f t="shared" si="7"/>
        <v>60000</v>
      </c>
      <c r="F58" s="223">
        <f t="shared" si="0"/>
        <v>60000</v>
      </c>
      <c r="G58" s="148">
        <f t="shared" si="1"/>
        <v>60000</v>
      </c>
      <c r="H58" s="222">
        <v>0</v>
      </c>
      <c r="I58" s="150">
        <v>1</v>
      </c>
      <c r="J58" s="150">
        <v>1</v>
      </c>
      <c r="K58" s="42">
        <f t="shared" si="2"/>
        <v>60000</v>
      </c>
      <c r="L58" s="42">
        <f t="shared" si="3"/>
        <v>60000</v>
      </c>
      <c r="M58" s="224">
        <f t="shared" si="4"/>
        <v>60000</v>
      </c>
      <c r="N58" s="39"/>
      <c r="O58" s="43" t="s">
        <v>1741</v>
      </c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>
      <c r="A59" s="36">
        <f t="shared" si="5"/>
        <v>55</v>
      </c>
      <c r="B59" s="145" t="s">
        <v>1692</v>
      </c>
      <c r="C59" s="146" t="s">
        <v>1693</v>
      </c>
      <c r="D59" s="147">
        <v>42865</v>
      </c>
      <c r="E59" s="304">
        <f t="shared" si="7"/>
        <v>60000</v>
      </c>
      <c r="F59" s="223">
        <f t="shared" si="0"/>
        <v>60000</v>
      </c>
      <c r="G59" s="148">
        <f t="shared" si="1"/>
        <v>60000</v>
      </c>
      <c r="H59" s="222">
        <v>0</v>
      </c>
      <c r="I59" s="150">
        <v>1</v>
      </c>
      <c r="J59" s="150">
        <v>1</v>
      </c>
      <c r="K59" s="42">
        <f t="shared" si="2"/>
        <v>60000</v>
      </c>
      <c r="L59" s="42">
        <f t="shared" si="3"/>
        <v>60000</v>
      </c>
      <c r="M59" s="224">
        <f t="shared" si="4"/>
        <v>60000</v>
      </c>
      <c r="N59" s="39"/>
      <c r="O59" s="43" t="s">
        <v>1742</v>
      </c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>
      <c r="A60" s="36">
        <f t="shared" si="5"/>
        <v>56</v>
      </c>
      <c r="B60" s="145" t="s">
        <v>1692</v>
      </c>
      <c r="C60" s="146" t="s">
        <v>1693</v>
      </c>
      <c r="D60" s="147">
        <v>42865</v>
      </c>
      <c r="E60" s="304">
        <f t="shared" si="7"/>
        <v>60000</v>
      </c>
      <c r="F60" s="223">
        <f t="shared" si="0"/>
        <v>60000</v>
      </c>
      <c r="G60" s="148">
        <f t="shared" si="1"/>
        <v>60000</v>
      </c>
      <c r="H60" s="222">
        <v>0</v>
      </c>
      <c r="I60" s="150">
        <v>1</v>
      </c>
      <c r="J60" s="150">
        <v>1</v>
      </c>
      <c r="K60" s="42">
        <f t="shared" si="2"/>
        <v>60000</v>
      </c>
      <c r="L60" s="42">
        <f t="shared" si="3"/>
        <v>60000</v>
      </c>
      <c r="M60" s="224">
        <f t="shared" si="4"/>
        <v>60000</v>
      </c>
      <c r="N60" s="39"/>
      <c r="O60" s="43" t="s">
        <v>1743</v>
      </c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>
      <c r="A61" s="36">
        <f t="shared" si="5"/>
        <v>57</v>
      </c>
      <c r="B61" s="148" t="s">
        <v>1692</v>
      </c>
      <c r="C61" s="157" t="s">
        <v>1693</v>
      </c>
      <c r="D61" s="147">
        <v>42896</v>
      </c>
      <c r="E61" s="285">
        <f t="shared" si="7"/>
        <v>60000</v>
      </c>
      <c r="F61" s="223">
        <f t="shared" si="0"/>
        <v>60000</v>
      </c>
      <c r="G61" s="148">
        <f t="shared" si="1"/>
        <v>60000</v>
      </c>
      <c r="H61" s="222">
        <v>0</v>
      </c>
      <c r="I61" s="150">
        <v>1</v>
      </c>
      <c r="J61" s="150">
        <v>1</v>
      </c>
      <c r="K61" s="42">
        <f t="shared" si="2"/>
        <v>60000</v>
      </c>
      <c r="L61" s="42">
        <f t="shared" si="3"/>
        <v>60000</v>
      </c>
      <c r="M61" s="224">
        <f t="shared" si="4"/>
        <v>60000</v>
      </c>
      <c r="N61" s="284"/>
      <c r="O61" s="43" t="s">
        <v>1744</v>
      </c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>
      <c r="A62" s="36">
        <f t="shared" si="5"/>
        <v>58</v>
      </c>
      <c r="B62" s="148" t="s">
        <v>1692</v>
      </c>
      <c r="C62" s="157" t="s">
        <v>1693</v>
      </c>
      <c r="D62" s="147">
        <v>42926</v>
      </c>
      <c r="E62" s="285">
        <f t="shared" si="7"/>
        <v>60000</v>
      </c>
      <c r="F62" s="223">
        <f t="shared" si="0"/>
        <v>60000</v>
      </c>
      <c r="G62" s="148">
        <f t="shared" si="1"/>
        <v>60000</v>
      </c>
      <c r="H62" s="222">
        <v>0</v>
      </c>
      <c r="I62" s="150">
        <v>1</v>
      </c>
      <c r="J62" s="150">
        <v>1</v>
      </c>
      <c r="K62" s="42">
        <f t="shared" si="2"/>
        <v>60000</v>
      </c>
      <c r="L62" s="42">
        <f t="shared" si="3"/>
        <v>60000</v>
      </c>
      <c r="M62" s="224">
        <f t="shared" si="4"/>
        <v>60000</v>
      </c>
      <c r="N62" s="284"/>
      <c r="O62" s="43" t="s">
        <v>1745</v>
      </c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>
      <c r="A63" s="36">
        <f t="shared" si="5"/>
        <v>59</v>
      </c>
      <c r="B63" s="322" t="s">
        <v>1692</v>
      </c>
      <c r="C63" s="323" t="s">
        <v>1693</v>
      </c>
      <c r="D63" s="147">
        <v>42957</v>
      </c>
      <c r="E63" s="285">
        <f t="shared" si="7"/>
        <v>60000</v>
      </c>
      <c r="F63" s="223">
        <f t="shared" si="0"/>
        <v>60000</v>
      </c>
      <c r="G63" s="148">
        <f t="shared" si="1"/>
        <v>60000</v>
      </c>
      <c r="H63" s="222">
        <v>0</v>
      </c>
      <c r="I63" s="150">
        <v>1</v>
      </c>
      <c r="J63" s="150">
        <v>1</v>
      </c>
      <c r="K63" s="42">
        <f t="shared" si="2"/>
        <v>60000</v>
      </c>
      <c r="L63" s="42">
        <f t="shared" si="3"/>
        <v>60000</v>
      </c>
      <c r="M63" s="224">
        <f t="shared" si="4"/>
        <v>60000</v>
      </c>
      <c r="N63" s="284"/>
      <c r="O63" s="43" t="s">
        <v>1746</v>
      </c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>
      <c r="A64" s="36">
        <f t="shared" si="5"/>
        <v>60</v>
      </c>
      <c r="B64" s="145" t="s">
        <v>1692</v>
      </c>
      <c r="C64" s="146" t="s">
        <v>1693</v>
      </c>
      <c r="D64" s="147">
        <v>42988</v>
      </c>
      <c r="E64" s="285">
        <f t="shared" si="7"/>
        <v>60000</v>
      </c>
      <c r="F64" s="223">
        <f t="shared" si="0"/>
        <v>60000</v>
      </c>
      <c r="G64" s="148">
        <f t="shared" si="1"/>
        <v>60000</v>
      </c>
      <c r="H64" s="222">
        <v>0</v>
      </c>
      <c r="I64" s="150">
        <v>1</v>
      </c>
      <c r="J64" s="150">
        <v>1</v>
      </c>
      <c r="K64" s="42">
        <f t="shared" si="2"/>
        <v>60000</v>
      </c>
      <c r="L64" s="42">
        <f t="shared" si="3"/>
        <v>60000</v>
      </c>
      <c r="M64" s="224">
        <f t="shared" si="4"/>
        <v>60000</v>
      </c>
      <c r="N64" s="284"/>
      <c r="O64" s="43" t="s">
        <v>1747</v>
      </c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>
      <c r="A65" s="36">
        <f t="shared" si="5"/>
        <v>61</v>
      </c>
      <c r="B65" s="145" t="s">
        <v>1692</v>
      </c>
      <c r="C65" s="146" t="s">
        <v>1693</v>
      </c>
      <c r="D65" s="147">
        <v>42988</v>
      </c>
      <c r="E65" s="285">
        <f>2500000*1.2%</f>
        <v>30000</v>
      </c>
      <c r="F65" s="223">
        <f t="shared" si="0"/>
        <v>30000</v>
      </c>
      <c r="G65" s="148">
        <f t="shared" si="1"/>
        <v>30000</v>
      </c>
      <c r="H65" s="222">
        <v>0</v>
      </c>
      <c r="I65" s="150">
        <v>1</v>
      </c>
      <c r="J65" s="150">
        <v>1</v>
      </c>
      <c r="K65" s="42">
        <f t="shared" si="2"/>
        <v>30000</v>
      </c>
      <c r="L65" s="42">
        <f t="shared" si="3"/>
        <v>30000</v>
      </c>
      <c r="M65" s="224">
        <f t="shared" si="4"/>
        <v>30000</v>
      </c>
      <c r="N65" s="284"/>
      <c r="O65" s="43" t="s">
        <v>1748</v>
      </c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>
      <c r="A66" s="36">
        <f t="shared" si="5"/>
        <v>62</v>
      </c>
      <c r="B66" s="145" t="s">
        <v>1692</v>
      </c>
      <c r="C66" s="146" t="s">
        <v>1693</v>
      </c>
      <c r="D66" s="147">
        <v>43018</v>
      </c>
      <c r="E66" s="285">
        <f>2500000*1.2%</f>
        <v>30000</v>
      </c>
      <c r="F66" s="223">
        <f t="shared" si="0"/>
        <v>30000</v>
      </c>
      <c r="G66" s="148">
        <f t="shared" si="1"/>
        <v>30000</v>
      </c>
      <c r="H66" s="222">
        <v>0</v>
      </c>
      <c r="I66" s="150">
        <v>1</v>
      </c>
      <c r="J66" s="150">
        <v>1</v>
      </c>
      <c r="K66" s="42">
        <f t="shared" si="2"/>
        <v>30000</v>
      </c>
      <c r="L66" s="42">
        <f t="shared" si="3"/>
        <v>30000</v>
      </c>
      <c r="M66" s="224">
        <f t="shared" si="4"/>
        <v>30000</v>
      </c>
      <c r="N66" s="284"/>
      <c r="O66" s="43" t="s">
        <v>1749</v>
      </c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>
      <c r="A67" s="36">
        <f t="shared" si="5"/>
        <v>63</v>
      </c>
      <c r="B67" s="145" t="s">
        <v>1692</v>
      </c>
      <c r="C67" s="146" t="s">
        <v>1693</v>
      </c>
      <c r="D67" s="147">
        <v>43018</v>
      </c>
      <c r="E67" s="309">
        <f>5000000*1.2%</f>
        <v>60000</v>
      </c>
      <c r="F67" s="223">
        <f t="shared" si="0"/>
        <v>60000</v>
      </c>
      <c r="G67" s="148">
        <f t="shared" si="1"/>
        <v>60000</v>
      </c>
      <c r="H67" s="222">
        <v>0</v>
      </c>
      <c r="I67" s="150">
        <v>1</v>
      </c>
      <c r="J67" s="150">
        <v>1</v>
      </c>
      <c r="K67" s="42">
        <f t="shared" si="2"/>
        <v>60000</v>
      </c>
      <c r="L67" s="42">
        <f t="shared" si="3"/>
        <v>60000</v>
      </c>
      <c r="M67" s="224">
        <f t="shared" si="4"/>
        <v>60000</v>
      </c>
      <c r="N67" s="284"/>
      <c r="O67" s="43" t="s">
        <v>1750</v>
      </c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>
      <c r="A68" s="36">
        <f t="shared" si="5"/>
        <v>64</v>
      </c>
      <c r="B68" s="145" t="s">
        <v>1692</v>
      </c>
      <c r="C68" s="146" t="s">
        <v>1693</v>
      </c>
      <c r="D68" s="147">
        <v>43018</v>
      </c>
      <c r="E68" s="285">
        <f>2500000*1.2%</f>
        <v>30000</v>
      </c>
      <c r="F68" s="223">
        <f t="shared" si="0"/>
        <v>30000</v>
      </c>
      <c r="G68" s="148">
        <f t="shared" si="1"/>
        <v>30000</v>
      </c>
      <c r="H68" s="222">
        <v>0</v>
      </c>
      <c r="I68" s="150">
        <v>1</v>
      </c>
      <c r="J68" s="150">
        <v>1</v>
      </c>
      <c r="K68" s="42">
        <f t="shared" si="2"/>
        <v>30000</v>
      </c>
      <c r="L68" s="42">
        <f t="shared" si="3"/>
        <v>30000</v>
      </c>
      <c r="M68" s="224">
        <f t="shared" si="4"/>
        <v>30000</v>
      </c>
      <c r="N68" s="284"/>
      <c r="O68" s="43" t="s">
        <v>1751</v>
      </c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>
      <c r="A69" s="36">
        <f t="shared" si="5"/>
        <v>65</v>
      </c>
      <c r="B69" s="145" t="s">
        <v>1692</v>
      </c>
      <c r="C69" s="146" t="s">
        <v>1693</v>
      </c>
      <c r="D69" s="147">
        <v>43018</v>
      </c>
      <c r="E69" s="309">
        <f>5000000*1.2%</f>
        <v>60000</v>
      </c>
      <c r="F69" s="223">
        <f t="shared" ref="F69:F132" si="8">+I69*K69</f>
        <v>60000</v>
      </c>
      <c r="G69" s="148">
        <f t="shared" ref="G69:G132" si="9">+E69/I69</f>
        <v>60000</v>
      </c>
      <c r="H69" s="222">
        <v>0</v>
      </c>
      <c r="I69" s="150">
        <v>1</v>
      </c>
      <c r="J69" s="150">
        <v>1</v>
      </c>
      <c r="K69" s="42">
        <f t="shared" ref="K69:K132" si="10">+G69+H69</f>
        <v>60000</v>
      </c>
      <c r="L69" s="42">
        <f t="shared" ref="L69:L132" si="11">+J69*K69</f>
        <v>60000</v>
      </c>
      <c r="M69" s="224">
        <f t="shared" ref="M69:M132" si="12">+G69*J69</f>
        <v>60000</v>
      </c>
      <c r="N69" s="284"/>
      <c r="O69" s="324" t="s">
        <v>1726</v>
      </c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>
      <c r="A70" s="36">
        <f t="shared" ref="A70:A104" si="13">+A69+1</f>
        <v>66</v>
      </c>
      <c r="B70" s="145" t="s">
        <v>1692</v>
      </c>
      <c r="C70" s="146" t="s">
        <v>1693</v>
      </c>
      <c r="D70" s="147">
        <v>43079</v>
      </c>
      <c r="E70" s="149">
        <v>30000</v>
      </c>
      <c r="F70" s="223">
        <f t="shared" si="8"/>
        <v>30000</v>
      </c>
      <c r="G70" s="148">
        <f t="shared" si="9"/>
        <v>30000</v>
      </c>
      <c r="H70" s="222">
        <v>0</v>
      </c>
      <c r="I70" s="150">
        <v>1</v>
      </c>
      <c r="J70" s="150">
        <v>1</v>
      </c>
      <c r="K70" s="42">
        <f t="shared" si="10"/>
        <v>30000</v>
      </c>
      <c r="L70" s="42">
        <f t="shared" si="11"/>
        <v>30000</v>
      </c>
      <c r="M70" s="224">
        <f t="shared" si="12"/>
        <v>30000</v>
      </c>
      <c r="N70" s="284"/>
      <c r="O70" s="43" t="s">
        <v>1752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>
      <c r="A71" s="36">
        <f t="shared" si="13"/>
        <v>67</v>
      </c>
      <c r="B71" s="145" t="s">
        <v>1692</v>
      </c>
      <c r="C71" s="146" t="s">
        <v>1693</v>
      </c>
      <c r="D71" s="147">
        <v>43079</v>
      </c>
      <c r="E71" s="316">
        <v>60000</v>
      </c>
      <c r="F71" s="223">
        <f t="shared" si="8"/>
        <v>60000</v>
      </c>
      <c r="G71" s="148">
        <f t="shared" si="9"/>
        <v>60000</v>
      </c>
      <c r="H71" s="222">
        <v>0</v>
      </c>
      <c r="I71" s="150">
        <v>1</v>
      </c>
      <c r="J71" s="150">
        <v>1</v>
      </c>
      <c r="K71" s="42">
        <f t="shared" si="10"/>
        <v>60000</v>
      </c>
      <c r="L71" s="42">
        <f t="shared" si="11"/>
        <v>60000</v>
      </c>
      <c r="M71" s="224">
        <f t="shared" si="12"/>
        <v>60000</v>
      </c>
      <c r="N71" s="284"/>
      <c r="O71" s="324" t="s">
        <v>1727</v>
      </c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>
      <c r="A72" s="36">
        <f t="shared" si="13"/>
        <v>68</v>
      </c>
      <c r="B72" s="145" t="s">
        <v>1692</v>
      </c>
      <c r="C72" s="146" t="s">
        <v>1693</v>
      </c>
      <c r="D72" s="147">
        <v>43110</v>
      </c>
      <c r="E72" s="285">
        <f>2500000*1.2%</f>
        <v>30000</v>
      </c>
      <c r="F72" s="223">
        <f t="shared" si="8"/>
        <v>30000</v>
      </c>
      <c r="G72" s="148">
        <f t="shared" si="9"/>
        <v>30000</v>
      </c>
      <c r="H72" s="222">
        <v>0</v>
      </c>
      <c r="I72" s="150">
        <v>1</v>
      </c>
      <c r="J72" s="150">
        <v>1</v>
      </c>
      <c r="K72" s="42">
        <f t="shared" si="10"/>
        <v>30000</v>
      </c>
      <c r="L72" s="42">
        <f t="shared" si="11"/>
        <v>30000</v>
      </c>
      <c r="M72" s="224">
        <f t="shared" si="12"/>
        <v>30000</v>
      </c>
      <c r="N72" s="290"/>
      <c r="O72" s="318" t="s">
        <v>1753</v>
      </c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>
      <c r="A73" s="36">
        <f t="shared" si="13"/>
        <v>69</v>
      </c>
      <c r="B73" s="145" t="s">
        <v>1692</v>
      </c>
      <c r="C73" s="146" t="s">
        <v>1693</v>
      </c>
      <c r="D73" s="147">
        <v>43110</v>
      </c>
      <c r="E73" s="309">
        <f>5000000*1.2%</f>
        <v>60000</v>
      </c>
      <c r="F73" s="223">
        <f t="shared" si="8"/>
        <v>60000</v>
      </c>
      <c r="G73" s="148">
        <f t="shared" si="9"/>
        <v>60000</v>
      </c>
      <c r="H73" s="222">
        <v>0</v>
      </c>
      <c r="I73" s="150">
        <v>1</v>
      </c>
      <c r="J73" s="150">
        <v>1</v>
      </c>
      <c r="K73" s="42">
        <f t="shared" si="10"/>
        <v>60000</v>
      </c>
      <c r="L73" s="42">
        <f t="shared" si="11"/>
        <v>60000</v>
      </c>
      <c r="M73" s="224">
        <f t="shared" si="12"/>
        <v>60000</v>
      </c>
      <c r="N73" s="290"/>
      <c r="O73" s="318" t="s">
        <v>1728</v>
      </c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>
      <c r="A74" s="36">
        <f t="shared" si="13"/>
        <v>70</v>
      </c>
      <c r="B74" s="145" t="s">
        <v>1754</v>
      </c>
      <c r="C74" s="146" t="s">
        <v>1755</v>
      </c>
      <c r="D74" s="147">
        <v>43018</v>
      </c>
      <c r="E74" s="285">
        <f>4000000*1.2%</f>
        <v>48000</v>
      </c>
      <c r="F74" s="223">
        <f t="shared" si="8"/>
        <v>48000</v>
      </c>
      <c r="G74" s="148">
        <f t="shared" si="9"/>
        <v>48000</v>
      </c>
      <c r="H74" s="222">
        <v>0</v>
      </c>
      <c r="I74" s="150">
        <v>1</v>
      </c>
      <c r="J74" s="150">
        <v>1</v>
      </c>
      <c r="K74" s="42">
        <f t="shared" si="10"/>
        <v>48000</v>
      </c>
      <c r="L74" s="42">
        <f t="shared" si="11"/>
        <v>48000</v>
      </c>
      <c r="M74" s="224">
        <f t="shared" si="12"/>
        <v>48000</v>
      </c>
      <c r="N74" s="284"/>
      <c r="O74" s="43" t="s">
        <v>1751</v>
      </c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>
      <c r="A75" s="36">
        <f t="shared" si="13"/>
        <v>71</v>
      </c>
      <c r="B75" s="145" t="s">
        <v>1754</v>
      </c>
      <c r="C75" s="146" t="s">
        <v>1755</v>
      </c>
      <c r="D75" s="147">
        <v>43079</v>
      </c>
      <c r="E75" s="149">
        <v>48000</v>
      </c>
      <c r="F75" s="223">
        <f t="shared" si="8"/>
        <v>48000</v>
      </c>
      <c r="G75" s="148">
        <f t="shared" si="9"/>
        <v>48000</v>
      </c>
      <c r="H75" s="222">
        <v>0</v>
      </c>
      <c r="I75" s="150">
        <v>1</v>
      </c>
      <c r="J75" s="150">
        <v>1</v>
      </c>
      <c r="K75" s="42">
        <f t="shared" si="10"/>
        <v>48000</v>
      </c>
      <c r="L75" s="42">
        <f t="shared" si="11"/>
        <v>48000</v>
      </c>
      <c r="M75" s="224">
        <f t="shared" si="12"/>
        <v>48000</v>
      </c>
      <c r="N75" s="284"/>
      <c r="O75" s="43" t="s">
        <v>1752</v>
      </c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>
      <c r="A76" s="36">
        <f t="shared" si="13"/>
        <v>72</v>
      </c>
      <c r="B76" s="145" t="s">
        <v>1756</v>
      </c>
      <c r="C76" s="146" t="s">
        <v>1755</v>
      </c>
      <c r="D76" s="147">
        <v>43079</v>
      </c>
      <c r="E76" s="317">
        <v>201934</v>
      </c>
      <c r="F76" s="223">
        <f t="shared" si="8"/>
        <v>201934</v>
      </c>
      <c r="G76" s="148">
        <f t="shared" si="9"/>
        <v>201934</v>
      </c>
      <c r="H76" s="222">
        <v>0</v>
      </c>
      <c r="I76" s="150">
        <v>1</v>
      </c>
      <c r="J76" s="150">
        <v>1</v>
      </c>
      <c r="K76" s="42">
        <f t="shared" si="10"/>
        <v>201934</v>
      </c>
      <c r="L76" s="42">
        <f t="shared" si="11"/>
        <v>201934</v>
      </c>
      <c r="M76" s="224">
        <f t="shared" si="12"/>
        <v>201934</v>
      </c>
      <c r="N76" s="284"/>
      <c r="O76" s="43" t="s">
        <v>1757</v>
      </c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>
      <c r="A77" s="36">
        <f t="shared" si="13"/>
        <v>73</v>
      </c>
      <c r="B77" s="145" t="s">
        <v>1754</v>
      </c>
      <c r="C77" s="146" t="s">
        <v>1755</v>
      </c>
      <c r="D77" s="147">
        <v>43110</v>
      </c>
      <c r="E77" s="285">
        <f>4000000*1.2%</f>
        <v>48000</v>
      </c>
      <c r="F77" s="223">
        <f t="shared" si="8"/>
        <v>48000</v>
      </c>
      <c r="G77" s="148">
        <f t="shared" si="9"/>
        <v>48000</v>
      </c>
      <c r="H77" s="222">
        <v>0</v>
      </c>
      <c r="I77" s="150">
        <v>1</v>
      </c>
      <c r="J77" s="150">
        <v>1</v>
      </c>
      <c r="K77" s="42">
        <f t="shared" si="10"/>
        <v>48000</v>
      </c>
      <c r="L77" s="42">
        <f t="shared" si="11"/>
        <v>48000</v>
      </c>
      <c r="M77" s="224">
        <f t="shared" si="12"/>
        <v>48000</v>
      </c>
      <c r="N77" s="290"/>
      <c r="O77" s="318" t="s">
        <v>1753</v>
      </c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>
      <c r="A78" s="36">
        <f t="shared" si="13"/>
        <v>74</v>
      </c>
      <c r="B78" s="319" t="s">
        <v>1695</v>
      </c>
      <c r="C78" s="320" t="s">
        <v>1696</v>
      </c>
      <c r="D78" s="291">
        <v>42439</v>
      </c>
      <c r="E78" s="222">
        <v>90000</v>
      </c>
      <c r="F78" s="223">
        <f t="shared" si="8"/>
        <v>90000</v>
      </c>
      <c r="G78" s="148">
        <f t="shared" si="9"/>
        <v>90000</v>
      </c>
      <c r="H78" s="222">
        <v>0</v>
      </c>
      <c r="I78" s="150">
        <v>1</v>
      </c>
      <c r="J78" s="150">
        <v>1</v>
      </c>
      <c r="K78" s="42">
        <f t="shared" si="10"/>
        <v>90000</v>
      </c>
      <c r="L78" s="42">
        <f t="shared" si="11"/>
        <v>90000</v>
      </c>
      <c r="M78" s="224">
        <f t="shared" si="12"/>
        <v>90000</v>
      </c>
      <c r="N78" s="39"/>
      <c r="O78" s="43" t="s">
        <v>1758</v>
      </c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>
      <c r="A79" s="36">
        <f t="shared" si="13"/>
        <v>75</v>
      </c>
      <c r="B79" s="145" t="s">
        <v>1695</v>
      </c>
      <c r="C79" s="146" t="s">
        <v>1696</v>
      </c>
      <c r="D79" s="291">
        <v>42439</v>
      </c>
      <c r="E79" s="304">
        <f>7500000*1.2%</f>
        <v>90000</v>
      </c>
      <c r="F79" s="223">
        <f t="shared" si="8"/>
        <v>90000</v>
      </c>
      <c r="G79" s="148">
        <f t="shared" si="9"/>
        <v>90000</v>
      </c>
      <c r="H79" s="222">
        <v>0</v>
      </c>
      <c r="I79" s="150">
        <v>1</v>
      </c>
      <c r="J79" s="150">
        <v>1</v>
      </c>
      <c r="K79" s="42">
        <f t="shared" si="10"/>
        <v>90000</v>
      </c>
      <c r="L79" s="42">
        <f t="shared" si="11"/>
        <v>90000</v>
      </c>
      <c r="M79" s="224">
        <f t="shared" si="12"/>
        <v>90000</v>
      </c>
      <c r="N79" s="39"/>
      <c r="O79" s="43" t="s">
        <v>1759</v>
      </c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>
      <c r="A80" s="36">
        <f t="shared" si="13"/>
        <v>76</v>
      </c>
      <c r="B80" s="319" t="s">
        <v>1695</v>
      </c>
      <c r="C80" s="320" t="s">
        <v>1696</v>
      </c>
      <c r="D80" s="291">
        <v>42470</v>
      </c>
      <c r="E80" s="222">
        <v>90000</v>
      </c>
      <c r="F80" s="223">
        <f t="shared" si="8"/>
        <v>90000</v>
      </c>
      <c r="G80" s="148">
        <f t="shared" si="9"/>
        <v>90000</v>
      </c>
      <c r="H80" s="222">
        <v>0</v>
      </c>
      <c r="I80" s="150">
        <v>1</v>
      </c>
      <c r="J80" s="150">
        <v>1</v>
      </c>
      <c r="K80" s="42">
        <f t="shared" si="10"/>
        <v>90000</v>
      </c>
      <c r="L80" s="42">
        <f t="shared" si="11"/>
        <v>90000</v>
      </c>
      <c r="M80" s="224">
        <f t="shared" si="12"/>
        <v>90000</v>
      </c>
      <c r="N80" s="39"/>
      <c r="O80" s="43" t="s">
        <v>1760</v>
      </c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>
      <c r="A81" s="36">
        <f t="shared" si="13"/>
        <v>77</v>
      </c>
      <c r="B81" s="145" t="s">
        <v>1695</v>
      </c>
      <c r="C81" s="146" t="s">
        <v>1696</v>
      </c>
      <c r="D81" s="291">
        <v>42470</v>
      </c>
      <c r="E81" s="304">
        <f>7500000*1.2%</f>
        <v>90000</v>
      </c>
      <c r="F81" s="223">
        <f t="shared" si="8"/>
        <v>90000</v>
      </c>
      <c r="G81" s="148">
        <f t="shared" si="9"/>
        <v>90000</v>
      </c>
      <c r="H81" s="222">
        <v>0</v>
      </c>
      <c r="I81" s="150">
        <v>1</v>
      </c>
      <c r="J81" s="150">
        <v>1</v>
      </c>
      <c r="K81" s="42">
        <f t="shared" si="10"/>
        <v>90000</v>
      </c>
      <c r="L81" s="42">
        <f t="shared" si="11"/>
        <v>90000</v>
      </c>
      <c r="M81" s="224">
        <f t="shared" si="12"/>
        <v>90000</v>
      </c>
      <c r="N81" s="39"/>
      <c r="O81" s="43" t="s">
        <v>1761</v>
      </c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>
      <c r="A82" s="36">
        <f t="shared" si="13"/>
        <v>78</v>
      </c>
      <c r="B82" s="319" t="s">
        <v>1695</v>
      </c>
      <c r="C82" s="320" t="s">
        <v>1696</v>
      </c>
      <c r="D82" s="291">
        <v>42500</v>
      </c>
      <c r="E82" s="222">
        <v>90000</v>
      </c>
      <c r="F82" s="223">
        <f t="shared" si="8"/>
        <v>90000</v>
      </c>
      <c r="G82" s="148">
        <f t="shared" si="9"/>
        <v>90000</v>
      </c>
      <c r="H82" s="222">
        <v>0</v>
      </c>
      <c r="I82" s="150">
        <v>1</v>
      </c>
      <c r="J82" s="150">
        <v>1</v>
      </c>
      <c r="K82" s="42">
        <f t="shared" si="10"/>
        <v>90000</v>
      </c>
      <c r="L82" s="42">
        <f t="shared" si="11"/>
        <v>90000</v>
      </c>
      <c r="M82" s="224">
        <f t="shared" si="12"/>
        <v>90000</v>
      </c>
      <c r="N82" s="39"/>
      <c r="O82" s="43" t="s">
        <v>1762</v>
      </c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>
      <c r="A83" s="36">
        <f t="shared" si="13"/>
        <v>79</v>
      </c>
      <c r="B83" s="319" t="s">
        <v>1695</v>
      </c>
      <c r="C83" s="320" t="s">
        <v>1696</v>
      </c>
      <c r="D83" s="291">
        <v>42531</v>
      </c>
      <c r="E83" s="222">
        <v>90000</v>
      </c>
      <c r="F83" s="223">
        <f t="shared" si="8"/>
        <v>90000</v>
      </c>
      <c r="G83" s="148">
        <f t="shared" si="9"/>
        <v>90000</v>
      </c>
      <c r="H83" s="222">
        <v>0</v>
      </c>
      <c r="I83" s="150">
        <v>1</v>
      </c>
      <c r="J83" s="150">
        <v>1</v>
      </c>
      <c r="K83" s="42">
        <f t="shared" si="10"/>
        <v>90000</v>
      </c>
      <c r="L83" s="42">
        <f t="shared" si="11"/>
        <v>90000</v>
      </c>
      <c r="M83" s="224">
        <f t="shared" si="12"/>
        <v>90000</v>
      </c>
      <c r="N83" s="39"/>
      <c r="O83" s="43" t="s">
        <v>1763</v>
      </c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>
      <c r="A84" s="36">
        <f t="shared" si="13"/>
        <v>80</v>
      </c>
      <c r="B84" s="145" t="s">
        <v>1695</v>
      </c>
      <c r="C84" s="320" t="s">
        <v>1696</v>
      </c>
      <c r="D84" s="291">
        <v>42531</v>
      </c>
      <c r="E84" s="304">
        <f t="shared" ref="E84:E97" si="14">7500000*1.2%</f>
        <v>90000</v>
      </c>
      <c r="F84" s="223">
        <f t="shared" si="8"/>
        <v>90000</v>
      </c>
      <c r="G84" s="148">
        <f t="shared" si="9"/>
        <v>90000</v>
      </c>
      <c r="H84" s="222">
        <v>0</v>
      </c>
      <c r="I84" s="150">
        <v>1</v>
      </c>
      <c r="J84" s="150">
        <v>1</v>
      </c>
      <c r="K84" s="42">
        <f t="shared" si="10"/>
        <v>90000</v>
      </c>
      <c r="L84" s="42">
        <f t="shared" si="11"/>
        <v>90000</v>
      </c>
      <c r="M84" s="224">
        <f t="shared" si="12"/>
        <v>90000</v>
      </c>
      <c r="N84" s="39"/>
      <c r="O84" s="43" t="s">
        <v>1764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>
      <c r="A85" s="36">
        <f t="shared" si="13"/>
        <v>81</v>
      </c>
      <c r="B85" s="288" t="s">
        <v>1695</v>
      </c>
      <c r="C85" s="289" t="s">
        <v>1696</v>
      </c>
      <c r="D85" s="291">
        <v>42561</v>
      </c>
      <c r="E85" s="304">
        <f t="shared" si="14"/>
        <v>90000</v>
      </c>
      <c r="F85" s="223">
        <f t="shared" si="8"/>
        <v>90000</v>
      </c>
      <c r="G85" s="148">
        <f t="shared" si="9"/>
        <v>90000</v>
      </c>
      <c r="H85" s="222">
        <v>0</v>
      </c>
      <c r="I85" s="150">
        <v>1</v>
      </c>
      <c r="J85" s="150">
        <v>1</v>
      </c>
      <c r="K85" s="42">
        <f t="shared" si="10"/>
        <v>90000</v>
      </c>
      <c r="L85" s="42">
        <f t="shared" si="11"/>
        <v>90000</v>
      </c>
      <c r="M85" s="224">
        <f t="shared" si="12"/>
        <v>90000</v>
      </c>
      <c r="N85" s="39"/>
      <c r="O85" s="43" t="s">
        <v>1765</v>
      </c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>
      <c r="A86" s="36">
        <f t="shared" si="13"/>
        <v>82</v>
      </c>
      <c r="B86" s="288" t="s">
        <v>1695</v>
      </c>
      <c r="C86" s="289" t="s">
        <v>1696</v>
      </c>
      <c r="D86" s="291">
        <v>42561</v>
      </c>
      <c r="E86" s="304">
        <f t="shared" si="14"/>
        <v>90000</v>
      </c>
      <c r="F86" s="223">
        <f t="shared" si="8"/>
        <v>90000</v>
      </c>
      <c r="G86" s="148">
        <f t="shared" si="9"/>
        <v>90000</v>
      </c>
      <c r="H86" s="222">
        <v>0</v>
      </c>
      <c r="I86" s="150">
        <v>1</v>
      </c>
      <c r="J86" s="150">
        <v>1</v>
      </c>
      <c r="K86" s="42">
        <f t="shared" si="10"/>
        <v>90000</v>
      </c>
      <c r="L86" s="42">
        <f t="shared" si="11"/>
        <v>90000</v>
      </c>
      <c r="M86" s="224">
        <f t="shared" si="12"/>
        <v>90000</v>
      </c>
      <c r="N86" s="39"/>
      <c r="O86" s="43" t="s">
        <v>1766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>
      <c r="A87" s="36">
        <f t="shared" si="13"/>
        <v>83</v>
      </c>
      <c r="B87" s="288" t="s">
        <v>1695</v>
      </c>
      <c r="C87" s="289" t="s">
        <v>1696</v>
      </c>
      <c r="D87" s="291">
        <v>42592</v>
      </c>
      <c r="E87" s="304">
        <f t="shared" si="14"/>
        <v>90000</v>
      </c>
      <c r="F87" s="223">
        <f t="shared" si="8"/>
        <v>90000</v>
      </c>
      <c r="G87" s="148">
        <f t="shared" si="9"/>
        <v>90000</v>
      </c>
      <c r="H87" s="222">
        <v>0</v>
      </c>
      <c r="I87" s="150">
        <v>1</v>
      </c>
      <c r="J87" s="150">
        <v>1</v>
      </c>
      <c r="K87" s="42">
        <f t="shared" si="10"/>
        <v>90000</v>
      </c>
      <c r="L87" s="42">
        <f t="shared" si="11"/>
        <v>90000</v>
      </c>
      <c r="M87" s="224">
        <f t="shared" si="12"/>
        <v>90000</v>
      </c>
      <c r="N87" s="39"/>
      <c r="O87" s="43" t="s">
        <v>1767</v>
      </c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>
      <c r="A88" s="36">
        <f t="shared" si="13"/>
        <v>84</v>
      </c>
      <c r="B88" s="288" t="s">
        <v>1695</v>
      </c>
      <c r="C88" s="289" t="s">
        <v>1696</v>
      </c>
      <c r="D88" s="291">
        <v>42592</v>
      </c>
      <c r="E88" s="325">
        <f t="shared" si="14"/>
        <v>90000</v>
      </c>
      <c r="F88" s="326">
        <f t="shared" si="8"/>
        <v>90000</v>
      </c>
      <c r="G88" s="327">
        <f t="shared" si="9"/>
        <v>90000</v>
      </c>
      <c r="H88" s="328">
        <v>0</v>
      </c>
      <c r="I88" s="329">
        <v>1</v>
      </c>
      <c r="J88" s="150">
        <v>1</v>
      </c>
      <c r="K88" s="42">
        <f t="shared" si="10"/>
        <v>90000</v>
      </c>
      <c r="L88" s="42">
        <f t="shared" si="11"/>
        <v>90000</v>
      </c>
      <c r="M88" s="224">
        <f t="shared" si="12"/>
        <v>90000</v>
      </c>
      <c r="N88" s="2"/>
      <c r="O88" s="43" t="s">
        <v>1768</v>
      </c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>
      <c r="A89" s="36">
        <f t="shared" si="13"/>
        <v>85</v>
      </c>
      <c r="B89" s="330" t="s">
        <v>1695</v>
      </c>
      <c r="C89" s="331" t="s">
        <v>1696</v>
      </c>
      <c r="D89" s="291">
        <v>42623</v>
      </c>
      <c r="E89" s="222">
        <f t="shared" si="14"/>
        <v>90000</v>
      </c>
      <c r="F89" s="326">
        <f t="shared" si="8"/>
        <v>90000</v>
      </c>
      <c r="G89" s="327">
        <f t="shared" si="9"/>
        <v>90000</v>
      </c>
      <c r="H89" s="328">
        <v>0</v>
      </c>
      <c r="I89" s="329">
        <v>1</v>
      </c>
      <c r="J89" s="150">
        <v>1</v>
      </c>
      <c r="K89" s="42">
        <f t="shared" si="10"/>
        <v>90000</v>
      </c>
      <c r="L89" s="42">
        <f t="shared" si="11"/>
        <v>90000</v>
      </c>
      <c r="M89" s="224">
        <f t="shared" si="12"/>
        <v>90000</v>
      </c>
      <c r="N89" s="39"/>
      <c r="O89" s="43" t="s">
        <v>1769</v>
      </c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>
      <c r="A90" s="36">
        <f t="shared" si="13"/>
        <v>86</v>
      </c>
      <c r="B90" s="330" t="s">
        <v>1695</v>
      </c>
      <c r="C90" s="331" t="s">
        <v>1696</v>
      </c>
      <c r="D90" s="291">
        <v>42623</v>
      </c>
      <c r="E90" s="222">
        <f t="shared" si="14"/>
        <v>90000</v>
      </c>
      <c r="F90" s="326">
        <f t="shared" si="8"/>
        <v>90000</v>
      </c>
      <c r="G90" s="327">
        <f t="shared" si="9"/>
        <v>90000</v>
      </c>
      <c r="H90" s="328">
        <v>0</v>
      </c>
      <c r="I90" s="329">
        <v>1</v>
      </c>
      <c r="J90" s="150">
        <v>1</v>
      </c>
      <c r="K90" s="42">
        <f t="shared" si="10"/>
        <v>90000</v>
      </c>
      <c r="L90" s="42">
        <f t="shared" si="11"/>
        <v>90000</v>
      </c>
      <c r="M90" s="224">
        <f t="shared" si="12"/>
        <v>90000</v>
      </c>
      <c r="N90" s="39"/>
      <c r="O90" s="43" t="s">
        <v>1770</v>
      </c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>
      <c r="A91" s="36">
        <f t="shared" si="13"/>
        <v>87</v>
      </c>
      <c r="B91" s="319" t="s">
        <v>1695</v>
      </c>
      <c r="C91" s="320" t="s">
        <v>1696</v>
      </c>
      <c r="D91" s="291">
        <v>42653</v>
      </c>
      <c r="E91" s="332">
        <f t="shared" si="14"/>
        <v>90000</v>
      </c>
      <c r="F91" s="326">
        <f t="shared" si="8"/>
        <v>90000</v>
      </c>
      <c r="G91" s="327">
        <f t="shared" si="9"/>
        <v>90000</v>
      </c>
      <c r="H91" s="328">
        <v>0</v>
      </c>
      <c r="I91" s="329">
        <v>1</v>
      </c>
      <c r="J91" s="150">
        <v>1</v>
      </c>
      <c r="K91" s="42">
        <f t="shared" si="10"/>
        <v>90000</v>
      </c>
      <c r="L91" s="42">
        <f t="shared" si="11"/>
        <v>90000</v>
      </c>
      <c r="M91" s="224">
        <f t="shared" si="12"/>
        <v>90000</v>
      </c>
      <c r="N91" s="2"/>
      <c r="O91" s="43" t="s">
        <v>1769</v>
      </c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>
      <c r="A92" s="36">
        <f t="shared" si="13"/>
        <v>88</v>
      </c>
      <c r="B92" s="319" t="s">
        <v>1695</v>
      </c>
      <c r="C92" s="320" t="s">
        <v>1696</v>
      </c>
      <c r="D92" s="291">
        <v>42653</v>
      </c>
      <c r="E92" s="222">
        <f t="shared" si="14"/>
        <v>90000</v>
      </c>
      <c r="F92" s="326">
        <f t="shared" si="8"/>
        <v>90000</v>
      </c>
      <c r="G92" s="327">
        <f t="shared" si="9"/>
        <v>90000</v>
      </c>
      <c r="H92" s="328">
        <v>0</v>
      </c>
      <c r="I92" s="329">
        <v>1</v>
      </c>
      <c r="J92" s="150">
        <v>1</v>
      </c>
      <c r="K92" s="42">
        <f t="shared" si="10"/>
        <v>90000</v>
      </c>
      <c r="L92" s="42">
        <f t="shared" si="11"/>
        <v>90000</v>
      </c>
      <c r="M92" s="224">
        <f t="shared" si="12"/>
        <v>90000</v>
      </c>
      <c r="N92" s="39"/>
      <c r="O92" s="43" t="s">
        <v>1770</v>
      </c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>
      <c r="A93" s="36">
        <f t="shared" si="13"/>
        <v>89</v>
      </c>
      <c r="B93" s="145" t="s">
        <v>1695</v>
      </c>
      <c r="C93" s="146" t="s">
        <v>1696</v>
      </c>
      <c r="D93" s="147">
        <v>42684</v>
      </c>
      <c r="E93" s="304">
        <f t="shared" si="14"/>
        <v>90000</v>
      </c>
      <c r="F93" s="326">
        <f t="shared" si="8"/>
        <v>90000</v>
      </c>
      <c r="G93" s="327">
        <f t="shared" si="9"/>
        <v>90000</v>
      </c>
      <c r="H93" s="328">
        <v>0</v>
      </c>
      <c r="I93" s="329">
        <v>1</v>
      </c>
      <c r="J93" s="150">
        <v>1</v>
      </c>
      <c r="K93" s="42">
        <f t="shared" si="10"/>
        <v>90000</v>
      </c>
      <c r="L93" s="42">
        <f t="shared" si="11"/>
        <v>90000</v>
      </c>
      <c r="M93" s="224">
        <f t="shared" si="12"/>
        <v>90000</v>
      </c>
      <c r="N93" s="39"/>
      <c r="O93" s="43" t="s">
        <v>1771</v>
      </c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>
      <c r="A94" s="36">
        <f t="shared" si="13"/>
        <v>90</v>
      </c>
      <c r="B94" s="145" t="s">
        <v>1695</v>
      </c>
      <c r="C94" s="320" t="s">
        <v>1696</v>
      </c>
      <c r="D94" s="147">
        <v>42684</v>
      </c>
      <c r="E94" s="304">
        <f t="shared" si="14"/>
        <v>90000</v>
      </c>
      <c r="F94" s="326">
        <f t="shared" si="8"/>
        <v>90000</v>
      </c>
      <c r="G94" s="327">
        <f t="shared" si="9"/>
        <v>90000</v>
      </c>
      <c r="H94" s="328">
        <v>0</v>
      </c>
      <c r="I94" s="329">
        <v>1</v>
      </c>
      <c r="J94" s="150">
        <v>1</v>
      </c>
      <c r="K94" s="42">
        <f t="shared" si="10"/>
        <v>90000</v>
      </c>
      <c r="L94" s="42">
        <f t="shared" si="11"/>
        <v>90000</v>
      </c>
      <c r="M94" s="224">
        <f t="shared" si="12"/>
        <v>90000</v>
      </c>
      <c r="N94" s="39"/>
      <c r="O94" s="43" t="s">
        <v>1730</v>
      </c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>
      <c r="A95" s="36">
        <f t="shared" si="13"/>
        <v>91</v>
      </c>
      <c r="B95" s="145" t="s">
        <v>1695</v>
      </c>
      <c r="C95" s="146" t="s">
        <v>1696</v>
      </c>
      <c r="D95" s="147">
        <v>42714</v>
      </c>
      <c r="E95" s="304">
        <f t="shared" si="14"/>
        <v>90000</v>
      </c>
      <c r="F95" s="326">
        <f t="shared" si="8"/>
        <v>90000</v>
      </c>
      <c r="G95" s="327">
        <f t="shared" si="9"/>
        <v>90000</v>
      </c>
      <c r="H95" s="328">
        <v>0</v>
      </c>
      <c r="I95" s="329">
        <v>1</v>
      </c>
      <c r="J95" s="150">
        <v>1</v>
      </c>
      <c r="K95" s="42">
        <f t="shared" si="10"/>
        <v>90000</v>
      </c>
      <c r="L95" s="42">
        <f t="shared" si="11"/>
        <v>90000</v>
      </c>
      <c r="M95" s="224">
        <f t="shared" si="12"/>
        <v>90000</v>
      </c>
      <c r="N95" s="39"/>
      <c r="O95" s="43" t="s">
        <v>1700</v>
      </c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>
      <c r="A96" s="36">
        <f t="shared" si="13"/>
        <v>92</v>
      </c>
      <c r="B96" s="145" t="s">
        <v>1695</v>
      </c>
      <c r="C96" s="146" t="s">
        <v>1696</v>
      </c>
      <c r="D96" s="147">
        <v>42714</v>
      </c>
      <c r="E96" s="304">
        <f t="shared" si="14"/>
        <v>90000</v>
      </c>
      <c r="F96" s="326">
        <f t="shared" si="8"/>
        <v>90000</v>
      </c>
      <c r="G96" s="327">
        <f t="shared" si="9"/>
        <v>90000</v>
      </c>
      <c r="H96" s="328">
        <v>0</v>
      </c>
      <c r="I96" s="329">
        <v>1</v>
      </c>
      <c r="J96" s="150">
        <v>1</v>
      </c>
      <c r="K96" s="42">
        <f t="shared" si="10"/>
        <v>90000</v>
      </c>
      <c r="L96" s="42">
        <f t="shared" si="11"/>
        <v>90000</v>
      </c>
      <c r="M96" s="224">
        <f t="shared" si="12"/>
        <v>90000</v>
      </c>
      <c r="N96" s="39"/>
      <c r="O96" s="43" t="s">
        <v>1732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>
      <c r="A97" s="36">
        <f t="shared" si="13"/>
        <v>93</v>
      </c>
      <c r="B97" s="145" t="s">
        <v>1695</v>
      </c>
      <c r="C97" s="146" t="s">
        <v>1696</v>
      </c>
      <c r="D97" s="147">
        <v>42745</v>
      </c>
      <c r="E97" s="304">
        <f t="shared" si="14"/>
        <v>90000</v>
      </c>
      <c r="F97" s="326">
        <f t="shared" si="8"/>
        <v>90000</v>
      </c>
      <c r="G97" s="327">
        <f t="shared" si="9"/>
        <v>90000</v>
      </c>
      <c r="H97" s="328">
        <v>0</v>
      </c>
      <c r="I97" s="329">
        <v>1</v>
      </c>
      <c r="J97" s="150">
        <v>1</v>
      </c>
      <c r="K97" s="42">
        <f t="shared" si="10"/>
        <v>90000</v>
      </c>
      <c r="L97" s="42">
        <f t="shared" si="11"/>
        <v>90000</v>
      </c>
      <c r="M97" s="224">
        <f t="shared" si="12"/>
        <v>90000</v>
      </c>
      <c r="N97" s="39"/>
      <c r="O97" s="43" t="s">
        <v>1734</v>
      </c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>
      <c r="A98" s="36">
        <f t="shared" si="13"/>
        <v>94</v>
      </c>
      <c r="B98" s="145" t="s">
        <v>1695</v>
      </c>
      <c r="C98" s="146" t="s">
        <v>1696</v>
      </c>
      <c r="D98" s="147">
        <v>42745</v>
      </c>
      <c r="E98" s="306">
        <v>90000</v>
      </c>
      <c r="F98" s="326">
        <f t="shared" si="8"/>
        <v>90000</v>
      </c>
      <c r="G98" s="327">
        <f t="shared" si="9"/>
        <v>90000</v>
      </c>
      <c r="H98" s="328">
        <v>0</v>
      </c>
      <c r="I98" s="329">
        <v>1</v>
      </c>
      <c r="J98" s="150">
        <v>1</v>
      </c>
      <c r="K98" s="42">
        <f t="shared" si="10"/>
        <v>90000</v>
      </c>
      <c r="L98" s="42">
        <f t="shared" si="11"/>
        <v>90000</v>
      </c>
      <c r="M98" s="224">
        <f t="shared" si="12"/>
        <v>90000</v>
      </c>
      <c r="N98" s="39"/>
      <c r="O98" s="43" t="s">
        <v>1701</v>
      </c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>
      <c r="A99" s="36">
        <f t="shared" si="13"/>
        <v>95</v>
      </c>
      <c r="B99" s="145" t="s">
        <v>1695</v>
      </c>
      <c r="C99" s="146" t="s">
        <v>1696</v>
      </c>
      <c r="D99" s="147">
        <v>42776</v>
      </c>
      <c r="E99" s="304">
        <f t="shared" ref="E99:E107" si="15">7500000*1.2%</f>
        <v>90000</v>
      </c>
      <c r="F99" s="223">
        <f t="shared" si="8"/>
        <v>90000</v>
      </c>
      <c r="G99" s="148">
        <f t="shared" si="9"/>
        <v>90000</v>
      </c>
      <c r="H99" s="222">
        <v>0</v>
      </c>
      <c r="I99" s="150">
        <v>1</v>
      </c>
      <c r="J99" s="150">
        <v>1</v>
      </c>
      <c r="K99" s="42">
        <f t="shared" si="10"/>
        <v>90000</v>
      </c>
      <c r="L99" s="42">
        <f t="shared" si="11"/>
        <v>90000</v>
      </c>
      <c r="M99" s="224">
        <f t="shared" si="12"/>
        <v>90000</v>
      </c>
      <c r="N99" s="167"/>
      <c r="O99" s="43" t="s">
        <v>1703</v>
      </c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>
      <c r="A100" s="36">
        <f t="shared" si="13"/>
        <v>96</v>
      </c>
      <c r="B100" s="145" t="s">
        <v>1695</v>
      </c>
      <c r="C100" s="146" t="s">
        <v>1696</v>
      </c>
      <c r="D100" s="147">
        <v>42776</v>
      </c>
      <c r="E100" s="304">
        <f t="shared" si="15"/>
        <v>90000</v>
      </c>
      <c r="F100" s="223">
        <f t="shared" si="8"/>
        <v>90000</v>
      </c>
      <c r="G100" s="148">
        <f t="shared" si="9"/>
        <v>90000</v>
      </c>
      <c r="H100" s="222">
        <v>0</v>
      </c>
      <c r="I100" s="150">
        <v>1</v>
      </c>
      <c r="J100" s="150">
        <v>1</v>
      </c>
      <c r="K100" s="42">
        <f t="shared" si="10"/>
        <v>90000</v>
      </c>
      <c r="L100" s="42">
        <f t="shared" si="11"/>
        <v>90000</v>
      </c>
      <c r="M100" s="224">
        <f t="shared" si="12"/>
        <v>90000</v>
      </c>
      <c r="N100" s="167"/>
      <c r="O100" s="43" t="s">
        <v>1737</v>
      </c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>
      <c r="A101" s="36">
        <f t="shared" si="13"/>
        <v>97</v>
      </c>
      <c r="B101" s="145" t="s">
        <v>1695</v>
      </c>
      <c r="C101" s="146" t="s">
        <v>1696</v>
      </c>
      <c r="D101" s="147">
        <v>42804</v>
      </c>
      <c r="E101" s="304">
        <f t="shared" si="15"/>
        <v>90000</v>
      </c>
      <c r="F101" s="223">
        <f t="shared" si="8"/>
        <v>90000</v>
      </c>
      <c r="G101" s="148">
        <f t="shared" si="9"/>
        <v>90000</v>
      </c>
      <c r="H101" s="222">
        <v>0</v>
      </c>
      <c r="I101" s="150">
        <v>1</v>
      </c>
      <c r="J101" s="150">
        <v>1</v>
      </c>
      <c r="K101" s="42">
        <f t="shared" si="10"/>
        <v>90000</v>
      </c>
      <c r="L101" s="42">
        <f t="shared" si="11"/>
        <v>90000</v>
      </c>
      <c r="M101" s="224">
        <f t="shared" si="12"/>
        <v>90000</v>
      </c>
      <c r="N101" s="39"/>
      <c r="O101" s="43" t="s">
        <v>1704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>
      <c r="A102" s="36">
        <f t="shared" si="13"/>
        <v>98</v>
      </c>
      <c r="B102" s="145" t="s">
        <v>1695</v>
      </c>
      <c r="C102" s="146" t="s">
        <v>1696</v>
      </c>
      <c r="D102" s="147">
        <v>42804</v>
      </c>
      <c r="E102" s="304">
        <f t="shared" si="15"/>
        <v>90000</v>
      </c>
      <c r="F102" s="223">
        <f t="shared" si="8"/>
        <v>90000</v>
      </c>
      <c r="G102" s="148">
        <f t="shared" si="9"/>
        <v>90000</v>
      </c>
      <c r="H102" s="222">
        <v>0</v>
      </c>
      <c r="I102" s="150">
        <v>1</v>
      </c>
      <c r="J102" s="150">
        <v>1</v>
      </c>
      <c r="K102" s="42">
        <f t="shared" si="10"/>
        <v>90000</v>
      </c>
      <c r="L102" s="42">
        <f t="shared" si="11"/>
        <v>90000</v>
      </c>
      <c r="M102" s="224">
        <f t="shared" si="12"/>
        <v>90000</v>
      </c>
      <c r="N102" s="39"/>
      <c r="O102" s="43" t="s">
        <v>1739</v>
      </c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>
      <c r="A103" s="36">
        <f t="shared" si="13"/>
        <v>99</v>
      </c>
      <c r="B103" s="145" t="s">
        <v>1695</v>
      </c>
      <c r="C103" s="146" t="s">
        <v>1696</v>
      </c>
      <c r="D103" s="147">
        <v>42835</v>
      </c>
      <c r="E103" s="304">
        <f t="shared" si="15"/>
        <v>90000</v>
      </c>
      <c r="F103" s="223">
        <f t="shared" si="8"/>
        <v>90000</v>
      </c>
      <c r="G103" s="148">
        <f t="shared" si="9"/>
        <v>90000</v>
      </c>
      <c r="H103" s="222">
        <v>0</v>
      </c>
      <c r="I103" s="150">
        <v>1</v>
      </c>
      <c r="J103" s="150">
        <v>1</v>
      </c>
      <c r="K103" s="42">
        <f t="shared" si="10"/>
        <v>90000</v>
      </c>
      <c r="L103" s="42">
        <f t="shared" si="11"/>
        <v>90000</v>
      </c>
      <c r="M103" s="224">
        <f t="shared" si="12"/>
        <v>90000</v>
      </c>
      <c r="N103" s="39"/>
      <c r="O103" s="43" t="s">
        <v>1705</v>
      </c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>
      <c r="A104" s="36">
        <f t="shared" si="13"/>
        <v>100</v>
      </c>
      <c r="B104" s="145" t="s">
        <v>1695</v>
      </c>
      <c r="C104" s="146" t="s">
        <v>1696</v>
      </c>
      <c r="D104" s="147">
        <v>42835</v>
      </c>
      <c r="E104" s="304">
        <f t="shared" si="15"/>
        <v>90000</v>
      </c>
      <c r="F104" s="223">
        <f t="shared" si="8"/>
        <v>90000</v>
      </c>
      <c r="G104" s="148">
        <f t="shared" si="9"/>
        <v>90000</v>
      </c>
      <c r="H104" s="222">
        <v>0</v>
      </c>
      <c r="I104" s="150">
        <v>1</v>
      </c>
      <c r="J104" s="150">
        <v>1</v>
      </c>
      <c r="K104" s="42">
        <f t="shared" si="10"/>
        <v>90000</v>
      </c>
      <c r="L104" s="42">
        <f t="shared" si="11"/>
        <v>90000</v>
      </c>
      <c r="M104" s="224">
        <f t="shared" si="12"/>
        <v>90000</v>
      </c>
      <c r="N104" s="39"/>
      <c r="O104" s="43" t="s">
        <v>1741</v>
      </c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>
      <c r="A105" s="36">
        <f>+A104+1</f>
        <v>101</v>
      </c>
      <c r="B105" s="145" t="s">
        <v>1695</v>
      </c>
      <c r="C105" s="307" t="s">
        <v>1696</v>
      </c>
      <c r="D105" s="147">
        <v>42865</v>
      </c>
      <c r="E105" s="304">
        <f t="shared" si="15"/>
        <v>90000</v>
      </c>
      <c r="F105" s="223">
        <f t="shared" si="8"/>
        <v>90000</v>
      </c>
      <c r="G105" s="148">
        <f t="shared" si="9"/>
        <v>90000</v>
      </c>
      <c r="H105" s="222">
        <v>0</v>
      </c>
      <c r="I105" s="150">
        <v>1</v>
      </c>
      <c r="J105" s="150">
        <v>1</v>
      </c>
      <c r="K105" s="42">
        <f t="shared" si="10"/>
        <v>90000</v>
      </c>
      <c r="L105" s="42">
        <f t="shared" si="11"/>
        <v>90000</v>
      </c>
      <c r="M105" s="224">
        <f t="shared" si="12"/>
        <v>90000</v>
      </c>
      <c r="N105" s="39"/>
      <c r="O105" s="43" t="s">
        <v>1707</v>
      </c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>
      <c r="A106" s="36">
        <f>+A105+1</f>
        <v>102</v>
      </c>
      <c r="B106" s="145" t="s">
        <v>1695</v>
      </c>
      <c r="C106" s="307" t="s">
        <v>1696</v>
      </c>
      <c r="D106" s="147">
        <v>42865</v>
      </c>
      <c r="E106" s="304">
        <f t="shared" si="15"/>
        <v>90000</v>
      </c>
      <c r="F106" s="223">
        <f t="shared" si="8"/>
        <v>90000</v>
      </c>
      <c r="G106" s="148">
        <f t="shared" si="9"/>
        <v>90000</v>
      </c>
      <c r="H106" s="222">
        <v>0</v>
      </c>
      <c r="I106" s="150">
        <v>1</v>
      </c>
      <c r="J106" s="150">
        <v>1</v>
      </c>
      <c r="K106" s="42">
        <f t="shared" si="10"/>
        <v>90000</v>
      </c>
      <c r="L106" s="42">
        <f t="shared" si="11"/>
        <v>90000</v>
      </c>
      <c r="M106" s="224">
        <f t="shared" si="12"/>
        <v>90000</v>
      </c>
      <c r="N106" s="39"/>
      <c r="O106" s="43" t="s">
        <v>1742</v>
      </c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>
      <c r="A107" s="36">
        <f>+A106+1</f>
        <v>103</v>
      </c>
      <c r="B107" s="145" t="s">
        <v>1695</v>
      </c>
      <c r="C107" s="146" t="s">
        <v>1696</v>
      </c>
      <c r="D107" s="147">
        <v>42896</v>
      </c>
      <c r="E107" s="285">
        <f t="shared" si="15"/>
        <v>90000</v>
      </c>
      <c r="F107" s="223">
        <f t="shared" si="8"/>
        <v>90000</v>
      </c>
      <c r="G107" s="148">
        <f t="shared" si="9"/>
        <v>90000</v>
      </c>
      <c r="H107" s="222">
        <v>0</v>
      </c>
      <c r="I107" s="150">
        <v>1</v>
      </c>
      <c r="J107" s="150">
        <v>1</v>
      </c>
      <c r="K107" s="42">
        <f t="shared" si="10"/>
        <v>90000</v>
      </c>
      <c r="L107" s="42">
        <f t="shared" si="11"/>
        <v>90000</v>
      </c>
      <c r="M107" s="224">
        <f t="shared" si="12"/>
        <v>90000</v>
      </c>
      <c r="N107" s="284"/>
      <c r="O107" s="43" t="s">
        <v>1709</v>
      </c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>
      <c r="A108" s="36">
        <f>+A107+1</f>
        <v>104</v>
      </c>
      <c r="B108" s="145" t="s">
        <v>1695</v>
      </c>
      <c r="C108" s="146" t="s">
        <v>1696</v>
      </c>
      <c r="D108" s="147">
        <v>42926</v>
      </c>
      <c r="E108" s="285">
        <v>90000</v>
      </c>
      <c r="F108" s="223">
        <f t="shared" si="8"/>
        <v>90000</v>
      </c>
      <c r="G108" s="148">
        <f t="shared" si="9"/>
        <v>90000</v>
      </c>
      <c r="H108" s="222">
        <v>0</v>
      </c>
      <c r="I108" s="150">
        <v>1</v>
      </c>
      <c r="J108" s="150">
        <v>1</v>
      </c>
      <c r="K108" s="42">
        <f t="shared" si="10"/>
        <v>90000</v>
      </c>
      <c r="L108" s="42">
        <f t="shared" si="11"/>
        <v>90000</v>
      </c>
      <c r="M108" s="224">
        <f t="shared" si="12"/>
        <v>90000</v>
      </c>
      <c r="N108" s="284"/>
      <c r="O108" s="43" t="s">
        <v>1772</v>
      </c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>
      <c r="A109" s="36">
        <f t="shared" ref="A109:A132" si="16">+A108+1</f>
        <v>105</v>
      </c>
      <c r="B109" s="145" t="s">
        <v>1695</v>
      </c>
      <c r="C109" s="146" t="s">
        <v>1696</v>
      </c>
      <c r="D109" s="147">
        <v>42926</v>
      </c>
      <c r="E109" s="285">
        <f t="shared" ref="E109:E117" si="17">7500000*1.2%</f>
        <v>90000</v>
      </c>
      <c r="F109" s="223">
        <f t="shared" si="8"/>
        <v>90000</v>
      </c>
      <c r="G109" s="148">
        <f t="shared" si="9"/>
        <v>90000</v>
      </c>
      <c r="H109" s="222">
        <v>0</v>
      </c>
      <c r="I109" s="150">
        <v>1</v>
      </c>
      <c r="J109" s="150">
        <v>1</v>
      </c>
      <c r="K109" s="42">
        <f t="shared" si="10"/>
        <v>90000</v>
      </c>
      <c r="L109" s="42">
        <f t="shared" si="11"/>
        <v>90000</v>
      </c>
      <c r="M109" s="224">
        <f t="shared" si="12"/>
        <v>90000</v>
      </c>
      <c r="N109" s="284"/>
      <c r="O109" s="43" t="s">
        <v>1711</v>
      </c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>
      <c r="A110" s="36">
        <f t="shared" si="16"/>
        <v>106</v>
      </c>
      <c r="B110" s="145" t="s">
        <v>1695</v>
      </c>
      <c r="C110" s="146" t="s">
        <v>1696</v>
      </c>
      <c r="D110" s="147">
        <v>42957</v>
      </c>
      <c r="E110" s="309">
        <f t="shared" si="17"/>
        <v>90000</v>
      </c>
      <c r="F110" s="223">
        <f t="shared" si="8"/>
        <v>90000</v>
      </c>
      <c r="G110" s="148">
        <f t="shared" si="9"/>
        <v>90000</v>
      </c>
      <c r="H110" s="222">
        <v>0</v>
      </c>
      <c r="I110" s="150">
        <v>1</v>
      </c>
      <c r="J110" s="150">
        <v>1</v>
      </c>
      <c r="K110" s="42">
        <f t="shared" si="10"/>
        <v>90000</v>
      </c>
      <c r="L110" s="42">
        <f t="shared" si="11"/>
        <v>90000</v>
      </c>
      <c r="M110" s="224">
        <f t="shared" si="12"/>
        <v>90000</v>
      </c>
      <c r="N110" s="284"/>
      <c r="O110" s="43" t="s">
        <v>1713</v>
      </c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>
      <c r="A111" s="36">
        <f t="shared" si="16"/>
        <v>107</v>
      </c>
      <c r="B111" s="145" t="s">
        <v>1695</v>
      </c>
      <c r="C111" s="146" t="s">
        <v>1696</v>
      </c>
      <c r="D111" s="147">
        <v>42957</v>
      </c>
      <c r="E111" s="285">
        <f t="shared" si="17"/>
        <v>90000</v>
      </c>
      <c r="F111" s="223">
        <f t="shared" si="8"/>
        <v>90000</v>
      </c>
      <c r="G111" s="148">
        <f t="shared" si="9"/>
        <v>90000</v>
      </c>
      <c r="H111" s="222">
        <v>0</v>
      </c>
      <c r="I111" s="150">
        <v>1</v>
      </c>
      <c r="J111" s="150">
        <v>1</v>
      </c>
      <c r="K111" s="42">
        <f t="shared" si="10"/>
        <v>90000</v>
      </c>
      <c r="L111" s="42">
        <f t="shared" si="11"/>
        <v>90000</v>
      </c>
      <c r="M111" s="224">
        <f t="shared" si="12"/>
        <v>90000</v>
      </c>
      <c r="N111" s="284"/>
      <c r="O111" s="43" t="s">
        <v>1773</v>
      </c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>
      <c r="A112" s="36">
        <f t="shared" si="16"/>
        <v>108</v>
      </c>
      <c r="B112" s="145" t="s">
        <v>1695</v>
      </c>
      <c r="C112" s="146" t="s">
        <v>1696</v>
      </c>
      <c r="D112" s="147">
        <v>42988</v>
      </c>
      <c r="E112" s="309">
        <f t="shared" si="17"/>
        <v>90000</v>
      </c>
      <c r="F112" s="223">
        <f t="shared" si="8"/>
        <v>90000</v>
      </c>
      <c r="G112" s="148">
        <f t="shared" si="9"/>
        <v>90000</v>
      </c>
      <c r="H112" s="222">
        <v>0</v>
      </c>
      <c r="I112" s="150">
        <v>1</v>
      </c>
      <c r="J112" s="150">
        <v>1</v>
      </c>
      <c r="K112" s="42">
        <f t="shared" si="10"/>
        <v>90000</v>
      </c>
      <c r="L112" s="42">
        <f t="shared" si="11"/>
        <v>90000</v>
      </c>
      <c r="M112" s="224">
        <f t="shared" si="12"/>
        <v>90000</v>
      </c>
      <c r="N112" s="284"/>
      <c r="O112" s="43" t="s">
        <v>1714</v>
      </c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>
      <c r="A113" s="36">
        <f t="shared" si="16"/>
        <v>109</v>
      </c>
      <c r="B113" s="145" t="s">
        <v>1695</v>
      </c>
      <c r="C113" s="146" t="s">
        <v>1696</v>
      </c>
      <c r="D113" s="147">
        <v>42988</v>
      </c>
      <c r="E113" s="285">
        <f t="shared" si="17"/>
        <v>90000</v>
      </c>
      <c r="F113" s="223">
        <f t="shared" si="8"/>
        <v>90000</v>
      </c>
      <c r="G113" s="148">
        <f t="shared" si="9"/>
        <v>90000</v>
      </c>
      <c r="H113" s="222">
        <v>0</v>
      </c>
      <c r="I113" s="150">
        <v>1</v>
      </c>
      <c r="J113" s="150">
        <v>1</v>
      </c>
      <c r="K113" s="42">
        <f t="shared" si="10"/>
        <v>90000</v>
      </c>
      <c r="L113" s="42">
        <f t="shared" si="11"/>
        <v>90000</v>
      </c>
      <c r="M113" s="224">
        <f t="shared" si="12"/>
        <v>90000</v>
      </c>
      <c r="N113" s="284"/>
      <c r="O113" s="43" t="s">
        <v>1748</v>
      </c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>
      <c r="A114" s="36">
        <f t="shared" si="16"/>
        <v>110</v>
      </c>
      <c r="B114" s="288" t="s">
        <v>1695</v>
      </c>
      <c r="C114" s="289" t="s">
        <v>1696</v>
      </c>
      <c r="D114" s="147">
        <v>43018</v>
      </c>
      <c r="E114" s="285">
        <f t="shared" si="17"/>
        <v>90000</v>
      </c>
      <c r="F114" s="223">
        <f t="shared" si="8"/>
        <v>90000</v>
      </c>
      <c r="G114" s="148">
        <f t="shared" si="9"/>
        <v>90000</v>
      </c>
      <c r="H114" s="222">
        <v>0</v>
      </c>
      <c r="I114" s="150">
        <v>1</v>
      </c>
      <c r="J114" s="150">
        <v>1</v>
      </c>
      <c r="K114" s="42">
        <f t="shared" si="10"/>
        <v>90000</v>
      </c>
      <c r="L114" s="42">
        <f t="shared" si="11"/>
        <v>90000</v>
      </c>
      <c r="M114" s="224">
        <f t="shared" si="12"/>
        <v>90000</v>
      </c>
      <c r="N114" s="284"/>
      <c r="O114" s="43" t="s">
        <v>1717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>
      <c r="A115" s="36">
        <f t="shared" si="16"/>
        <v>111</v>
      </c>
      <c r="B115" s="288" t="s">
        <v>1695</v>
      </c>
      <c r="C115" s="289" t="s">
        <v>1696</v>
      </c>
      <c r="D115" s="147">
        <v>43018</v>
      </c>
      <c r="E115" s="285">
        <f t="shared" si="17"/>
        <v>90000</v>
      </c>
      <c r="F115" s="223">
        <f t="shared" si="8"/>
        <v>90000</v>
      </c>
      <c r="G115" s="148">
        <f t="shared" si="9"/>
        <v>90000</v>
      </c>
      <c r="H115" s="222">
        <v>0</v>
      </c>
      <c r="I115" s="150">
        <v>1</v>
      </c>
      <c r="J115" s="150">
        <v>1</v>
      </c>
      <c r="K115" s="42">
        <f t="shared" si="10"/>
        <v>90000</v>
      </c>
      <c r="L115" s="42">
        <f t="shared" si="11"/>
        <v>90000</v>
      </c>
      <c r="M115" s="224">
        <f t="shared" si="12"/>
        <v>90000</v>
      </c>
      <c r="N115" s="284"/>
      <c r="O115" s="43" t="s">
        <v>1749</v>
      </c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>
      <c r="A116" s="36">
        <f t="shared" si="16"/>
        <v>112</v>
      </c>
      <c r="B116" s="288" t="s">
        <v>1695</v>
      </c>
      <c r="C116" s="289" t="s">
        <v>1696</v>
      </c>
      <c r="D116" s="147">
        <v>43018</v>
      </c>
      <c r="E116" s="285">
        <f t="shared" si="17"/>
        <v>90000</v>
      </c>
      <c r="F116" s="223">
        <f t="shared" si="8"/>
        <v>90000</v>
      </c>
      <c r="G116" s="148">
        <f t="shared" si="9"/>
        <v>90000</v>
      </c>
      <c r="H116" s="222">
        <v>0</v>
      </c>
      <c r="I116" s="150">
        <v>1</v>
      </c>
      <c r="J116" s="150">
        <v>1</v>
      </c>
      <c r="K116" s="42">
        <f t="shared" si="10"/>
        <v>90000</v>
      </c>
      <c r="L116" s="42">
        <f t="shared" si="11"/>
        <v>90000</v>
      </c>
      <c r="M116" s="224">
        <f t="shared" si="12"/>
        <v>90000</v>
      </c>
      <c r="N116" s="284"/>
      <c r="O116" s="324" t="s">
        <v>1719</v>
      </c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>
      <c r="A117" s="36">
        <f t="shared" si="16"/>
        <v>113</v>
      </c>
      <c r="B117" s="288" t="s">
        <v>1695</v>
      </c>
      <c r="C117" s="289" t="s">
        <v>1696</v>
      </c>
      <c r="D117" s="147">
        <v>43018</v>
      </c>
      <c r="E117" s="285">
        <f t="shared" si="17"/>
        <v>90000</v>
      </c>
      <c r="F117" s="223">
        <f t="shared" si="8"/>
        <v>90000</v>
      </c>
      <c r="G117" s="148">
        <f t="shared" si="9"/>
        <v>90000</v>
      </c>
      <c r="H117" s="222">
        <v>0</v>
      </c>
      <c r="I117" s="150">
        <v>1</v>
      </c>
      <c r="J117" s="150">
        <v>1</v>
      </c>
      <c r="K117" s="42">
        <f t="shared" si="10"/>
        <v>90000</v>
      </c>
      <c r="L117" s="42">
        <f t="shared" si="11"/>
        <v>90000</v>
      </c>
      <c r="M117" s="224">
        <f t="shared" si="12"/>
        <v>90000</v>
      </c>
      <c r="N117" s="284"/>
      <c r="O117" s="43" t="s">
        <v>1751</v>
      </c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>
      <c r="A118" s="36">
        <f t="shared" si="16"/>
        <v>114</v>
      </c>
      <c r="B118" s="145" t="s">
        <v>1695</v>
      </c>
      <c r="C118" s="146" t="s">
        <v>1696</v>
      </c>
      <c r="D118" s="147">
        <v>43079</v>
      </c>
      <c r="E118" s="149">
        <v>90000</v>
      </c>
      <c r="F118" s="223">
        <f t="shared" si="8"/>
        <v>90000</v>
      </c>
      <c r="G118" s="148">
        <f t="shared" si="9"/>
        <v>90000</v>
      </c>
      <c r="H118" s="222">
        <v>0</v>
      </c>
      <c r="I118" s="150">
        <v>1</v>
      </c>
      <c r="J118" s="150">
        <v>1</v>
      </c>
      <c r="K118" s="42">
        <f t="shared" si="10"/>
        <v>90000</v>
      </c>
      <c r="L118" s="42">
        <f t="shared" si="11"/>
        <v>90000</v>
      </c>
      <c r="M118" s="224">
        <f t="shared" si="12"/>
        <v>90000</v>
      </c>
      <c r="N118" s="129"/>
      <c r="O118" s="324" t="s">
        <v>1720</v>
      </c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>
      <c r="A119" s="36">
        <f t="shared" si="16"/>
        <v>115</v>
      </c>
      <c r="B119" s="145" t="s">
        <v>1695</v>
      </c>
      <c r="C119" s="146" t="s">
        <v>1696</v>
      </c>
      <c r="D119" s="147">
        <v>43079</v>
      </c>
      <c r="E119" s="149">
        <v>90000</v>
      </c>
      <c r="F119" s="223">
        <f t="shared" si="8"/>
        <v>90000</v>
      </c>
      <c r="G119" s="148">
        <f t="shared" si="9"/>
        <v>90000</v>
      </c>
      <c r="H119" s="222">
        <v>0</v>
      </c>
      <c r="I119" s="150">
        <v>1</v>
      </c>
      <c r="J119" s="150">
        <v>1</v>
      </c>
      <c r="K119" s="42">
        <f t="shared" si="10"/>
        <v>90000</v>
      </c>
      <c r="L119" s="42">
        <f t="shared" si="11"/>
        <v>90000</v>
      </c>
      <c r="M119" s="224">
        <f t="shared" si="12"/>
        <v>90000</v>
      </c>
      <c r="N119" s="284"/>
      <c r="O119" s="43" t="s">
        <v>1752</v>
      </c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>
      <c r="A120" s="36">
        <f t="shared" si="16"/>
        <v>116</v>
      </c>
      <c r="B120" s="145" t="s">
        <v>1695</v>
      </c>
      <c r="C120" s="146" t="s">
        <v>1696</v>
      </c>
      <c r="D120" s="147">
        <v>43110</v>
      </c>
      <c r="E120" s="285">
        <f>7500000*1.2%</f>
        <v>90000</v>
      </c>
      <c r="F120" s="326">
        <f t="shared" si="8"/>
        <v>90000</v>
      </c>
      <c r="G120" s="327">
        <f t="shared" si="9"/>
        <v>90000</v>
      </c>
      <c r="H120" s="328">
        <v>0</v>
      </c>
      <c r="I120" s="329">
        <v>1</v>
      </c>
      <c r="J120" s="150">
        <v>1</v>
      </c>
      <c r="K120" s="333">
        <f t="shared" si="10"/>
        <v>90000</v>
      </c>
      <c r="L120" s="333">
        <f t="shared" si="11"/>
        <v>90000</v>
      </c>
      <c r="M120" s="334">
        <f t="shared" si="12"/>
        <v>90000</v>
      </c>
      <c r="N120" s="290"/>
      <c r="O120" s="318" t="s">
        <v>1753</v>
      </c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>
      <c r="A121" s="36">
        <f t="shared" si="16"/>
        <v>117</v>
      </c>
      <c r="B121" s="145" t="s">
        <v>537</v>
      </c>
      <c r="C121" s="146" t="s">
        <v>538</v>
      </c>
      <c r="D121" s="147">
        <v>43141</v>
      </c>
      <c r="E121" s="285">
        <v>60000</v>
      </c>
      <c r="F121" s="326">
        <f t="shared" si="8"/>
        <v>60000</v>
      </c>
      <c r="G121" s="327">
        <f t="shared" si="9"/>
        <v>60000</v>
      </c>
      <c r="H121" s="328">
        <v>0</v>
      </c>
      <c r="I121" s="329">
        <v>1</v>
      </c>
      <c r="J121" s="150">
        <v>1</v>
      </c>
      <c r="K121" s="333">
        <f t="shared" si="10"/>
        <v>60000</v>
      </c>
      <c r="L121" s="333">
        <f t="shared" si="11"/>
        <v>60000</v>
      </c>
      <c r="M121" s="334">
        <f t="shared" si="12"/>
        <v>60000</v>
      </c>
      <c r="N121" s="284"/>
      <c r="O121" s="43" t="s">
        <v>1774</v>
      </c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>
      <c r="A122" s="36">
        <f t="shared" si="16"/>
        <v>118</v>
      </c>
      <c r="B122" s="145" t="s">
        <v>593</v>
      </c>
      <c r="C122" s="152" t="s">
        <v>594</v>
      </c>
      <c r="D122" s="147">
        <v>43141</v>
      </c>
      <c r="E122" s="285">
        <v>60000</v>
      </c>
      <c r="F122" s="326">
        <f t="shared" si="8"/>
        <v>60000</v>
      </c>
      <c r="G122" s="327">
        <f t="shared" si="9"/>
        <v>60000</v>
      </c>
      <c r="H122" s="328">
        <v>0</v>
      </c>
      <c r="I122" s="329">
        <v>1</v>
      </c>
      <c r="J122" s="150">
        <v>1</v>
      </c>
      <c r="K122" s="333">
        <f t="shared" si="10"/>
        <v>60000</v>
      </c>
      <c r="L122" s="333">
        <f t="shared" si="11"/>
        <v>60000</v>
      </c>
      <c r="M122" s="334">
        <f t="shared" si="12"/>
        <v>60000</v>
      </c>
      <c r="N122" s="284"/>
      <c r="O122" s="43" t="s">
        <v>1774</v>
      </c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>
      <c r="A123" s="36">
        <f t="shared" si="16"/>
        <v>119</v>
      </c>
      <c r="B123" s="219" t="s">
        <v>1422</v>
      </c>
      <c r="C123" s="220" t="s">
        <v>1423</v>
      </c>
      <c r="D123" s="147">
        <v>43141</v>
      </c>
      <c r="E123" s="308">
        <v>66660</v>
      </c>
      <c r="F123" s="326">
        <f t="shared" si="8"/>
        <v>66660</v>
      </c>
      <c r="G123" s="327">
        <f t="shared" si="9"/>
        <v>66660</v>
      </c>
      <c r="H123" s="328">
        <v>0</v>
      </c>
      <c r="I123" s="329">
        <v>1</v>
      </c>
      <c r="J123" s="150">
        <v>1</v>
      </c>
      <c r="K123" s="333">
        <f t="shared" si="10"/>
        <v>66660</v>
      </c>
      <c r="L123" s="333">
        <f t="shared" si="11"/>
        <v>66660</v>
      </c>
      <c r="M123" s="334">
        <f t="shared" si="12"/>
        <v>66660</v>
      </c>
      <c r="N123" s="284"/>
      <c r="O123" s="43" t="s">
        <v>1774</v>
      </c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>
      <c r="A124" s="36">
        <f t="shared" si="16"/>
        <v>120</v>
      </c>
      <c r="B124" s="228" t="s">
        <v>1435</v>
      </c>
      <c r="C124" s="229" t="s">
        <v>1436</v>
      </c>
      <c r="D124" s="147">
        <v>43141</v>
      </c>
      <c r="E124" s="281">
        <v>269820</v>
      </c>
      <c r="F124" s="326">
        <f t="shared" si="8"/>
        <v>269820</v>
      </c>
      <c r="G124" s="327">
        <f t="shared" si="9"/>
        <v>269820</v>
      </c>
      <c r="H124" s="328">
        <v>0</v>
      </c>
      <c r="I124" s="329">
        <v>1</v>
      </c>
      <c r="J124" s="150">
        <v>1</v>
      </c>
      <c r="K124" s="333">
        <f t="shared" si="10"/>
        <v>269820</v>
      </c>
      <c r="L124" s="333">
        <f t="shared" si="11"/>
        <v>269820</v>
      </c>
      <c r="M124" s="334">
        <f t="shared" si="12"/>
        <v>269820</v>
      </c>
      <c r="N124" s="284"/>
      <c r="O124" s="43" t="s">
        <v>1774</v>
      </c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>
      <c r="A125" s="36">
        <f t="shared" si="16"/>
        <v>121</v>
      </c>
      <c r="B125" s="145" t="s">
        <v>1695</v>
      </c>
      <c r="C125" s="146" t="s">
        <v>1696</v>
      </c>
      <c r="D125" s="147">
        <v>43141</v>
      </c>
      <c r="E125" s="285">
        <f>7500000*1.2%</f>
        <v>90000</v>
      </c>
      <c r="F125" s="326">
        <f t="shared" si="8"/>
        <v>90000</v>
      </c>
      <c r="G125" s="327">
        <f t="shared" si="9"/>
        <v>90000</v>
      </c>
      <c r="H125" s="328">
        <v>0</v>
      </c>
      <c r="I125" s="329">
        <v>1</v>
      </c>
      <c r="J125" s="150">
        <v>1</v>
      </c>
      <c r="K125" s="333">
        <f t="shared" si="10"/>
        <v>90000</v>
      </c>
      <c r="L125" s="333">
        <f t="shared" si="11"/>
        <v>90000</v>
      </c>
      <c r="M125" s="334">
        <f t="shared" si="12"/>
        <v>90000</v>
      </c>
      <c r="N125" s="284"/>
      <c r="O125" s="43" t="s">
        <v>1775</v>
      </c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>
      <c r="A126" s="36">
        <f t="shared" si="16"/>
        <v>122</v>
      </c>
      <c r="B126" s="145" t="s">
        <v>1422</v>
      </c>
      <c r="C126" s="146" t="s">
        <v>1423</v>
      </c>
      <c r="D126" s="147">
        <v>43141</v>
      </c>
      <c r="E126" s="285">
        <f>7500000*1.2%</f>
        <v>90000</v>
      </c>
      <c r="F126" s="326">
        <f t="shared" si="8"/>
        <v>90000</v>
      </c>
      <c r="G126" s="327">
        <f t="shared" si="9"/>
        <v>90000</v>
      </c>
      <c r="H126" s="328">
        <v>0</v>
      </c>
      <c r="I126" s="329">
        <v>1</v>
      </c>
      <c r="J126" s="150">
        <v>1</v>
      </c>
      <c r="K126" s="333">
        <f t="shared" si="10"/>
        <v>90000</v>
      </c>
      <c r="L126" s="333">
        <f t="shared" si="11"/>
        <v>90000</v>
      </c>
      <c r="M126" s="334">
        <f t="shared" si="12"/>
        <v>90000</v>
      </c>
      <c r="N126" s="284"/>
      <c r="O126" s="43" t="s">
        <v>1775</v>
      </c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>
      <c r="A127" s="36">
        <f t="shared" si="16"/>
        <v>123</v>
      </c>
      <c r="B127" s="145" t="s">
        <v>1692</v>
      </c>
      <c r="C127" s="146" t="s">
        <v>1693</v>
      </c>
      <c r="D127" s="147">
        <v>43141</v>
      </c>
      <c r="E127" s="285">
        <f>2500000*1.2%</f>
        <v>30000</v>
      </c>
      <c r="F127" s="326">
        <f t="shared" si="8"/>
        <v>30000</v>
      </c>
      <c r="G127" s="327">
        <f t="shared" si="9"/>
        <v>30000</v>
      </c>
      <c r="H127" s="328">
        <v>0</v>
      </c>
      <c r="I127" s="329">
        <v>1</v>
      </c>
      <c r="J127" s="150">
        <v>1</v>
      </c>
      <c r="K127" s="333">
        <f t="shared" si="10"/>
        <v>30000</v>
      </c>
      <c r="L127" s="333">
        <f t="shared" si="11"/>
        <v>30000</v>
      </c>
      <c r="M127" s="334">
        <f t="shared" si="12"/>
        <v>30000</v>
      </c>
      <c r="N127" s="290"/>
      <c r="O127" s="43" t="s">
        <v>1776</v>
      </c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>
      <c r="A128" s="36">
        <f t="shared" si="16"/>
        <v>124</v>
      </c>
      <c r="B128" s="145" t="s">
        <v>1754</v>
      </c>
      <c r="C128" s="146" t="s">
        <v>1755</v>
      </c>
      <c r="D128" s="147">
        <v>43141</v>
      </c>
      <c r="E128" s="285">
        <f>1000000*1.2%</f>
        <v>12000</v>
      </c>
      <c r="F128" s="223">
        <f t="shared" si="8"/>
        <v>12000</v>
      </c>
      <c r="G128" s="148">
        <f t="shared" si="9"/>
        <v>12000</v>
      </c>
      <c r="H128" s="222">
        <v>0</v>
      </c>
      <c r="I128" s="150">
        <v>1</v>
      </c>
      <c r="J128" s="150">
        <v>1</v>
      </c>
      <c r="K128" s="42">
        <f t="shared" si="10"/>
        <v>12000</v>
      </c>
      <c r="L128" s="42">
        <f t="shared" si="11"/>
        <v>12000</v>
      </c>
      <c r="M128" s="224">
        <f t="shared" si="12"/>
        <v>12000</v>
      </c>
      <c r="N128" s="290"/>
      <c r="O128" s="43" t="s">
        <v>1776</v>
      </c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>
      <c r="A129" s="36">
        <f t="shared" si="16"/>
        <v>125</v>
      </c>
      <c r="B129" s="145" t="s">
        <v>1695</v>
      </c>
      <c r="C129" s="146" t="s">
        <v>1696</v>
      </c>
      <c r="D129" s="147">
        <v>43141</v>
      </c>
      <c r="E129" s="285">
        <f>7500000*1.2%</f>
        <v>90000</v>
      </c>
      <c r="F129" s="223">
        <f t="shared" si="8"/>
        <v>90000</v>
      </c>
      <c r="G129" s="148">
        <f t="shared" si="9"/>
        <v>90000</v>
      </c>
      <c r="H129" s="222">
        <v>0</v>
      </c>
      <c r="I129" s="150">
        <v>1</v>
      </c>
      <c r="J129" s="150">
        <v>1</v>
      </c>
      <c r="K129" s="42">
        <f t="shared" si="10"/>
        <v>90000</v>
      </c>
      <c r="L129" s="42">
        <f t="shared" si="11"/>
        <v>90000</v>
      </c>
      <c r="M129" s="224">
        <f t="shared" si="12"/>
        <v>90000</v>
      </c>
      <c r="N129" s="290"/>
      <c r="O129" s="43" t="s">
        <v>1776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>
      <c r="A130" s="36">
        <f t="shared" si="16"/>
        <v>126</v>
      </c>
      <c r="B130" s="145" t="s">
        <v>1692</v>
      </c>
      <c r="C130" s="146" t="s">
        <v>1693</v>
      </c>
      <c r="D130" s="147">
        <v>43141</v>
      </c>
      <c r="E130" s="309">
        <f>5000000*1.2%</f>
        <v>60000</v>
      </c>
      <c r="F130" s="223">
        <f t="shared" si="8"/>
        <v>60000</v>
      </c>
      <c r="G130" s="148">
        <f t="shared" si="9"/>
        <v>60000</v>
      </c>
      <c r="H130" s="222">
        <v>0</v>
      </c>
      <c r="I130" s="150">
        <v>1</v>
      </c>
      <c r="J130" s="150">
        <v>1</v>
      </c>
      <c r="K130" s="42">
        <f t="shared" si="10"/>
        <v>60000</v>
      </c>
      <c r="L130" s="42">
        <f t="shared" si="11"/>
        <v>60000</v>
      </c>
      <c r="M130" s="224">
        <f t="shared" si="12"/>
        <v>60000</v>
      </c>
      <c r="N130" s="290"/>
      <c r="O130" s="43" t="s">
        <v>1777</v>
      </c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>
      <c r="A131" s="36">
        <f t="shared" si="16"/>
        <v>127</v>
      </c>
      <c r="B131" s="145" t="s">
        <v>1778</v>
      </c>
      <c r="C131" s="146" t="s">
        <v>1779</v>
      </c>
      <c r="D131" s="147">
        <v>43141</v>
      </c>
      <c r="E131" s="308">
        <f>7000000*1.2%</f>
        <v>84000</v>
      </c>
      <c r="F131" s="223">
        <f t="shared" si="8"/>
        <v>84000</v>
      </c>
      <c r="G131" s="148">
        <f t="shared" si="9"/>
        <v>84000</v>
      </c>
      <c r="H131" s="222">
        <v>0</v>
      </c>
      <c r="I131" s="150">
        <v>1</v>
      </c>
      <c r="J131" s="150">
        <v>1</v>
      </c>
      <c r="K131" s="42">
        <f t="shared" si="10"/>
        <v>84000</v>
      </c>
      <c r="L131" s="42">
        <f t="shared" si="11"/>
        <v>84000</v>
      </c>
      <c r="M131" s="224">
        <f t="shared" si="12"/>
        <v>84000</v>
      </c>
      <c r="N131" s="290"/>
      <c r="O131" s="43" t="s">
        <v>1777</v>
      </c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>
      <c r="A132" s="36">
        <f t="shared" si="16"/>
        <v>128</v>
      </c>
      <c r="B132" s="145" t="s">
        <v>1724</v>
      </c>
      <c r="C132" s="146" t="s">
        <v>1725</v>
      </c>
      <c r="D132" s="147">
        <v>43141</v>
      </c>
      <c r="E132" s="317">
        <f>2000000*1.2%</f>
        <v>24000</v>
      </c>
      <c r="F132" s="223">
        <f t="shared" si="8"/>
        <v>24000</v>
      </c>
      <c r="G132" s="148">
        <f t="shared" si="9"/>
        <v>24000</v>
      </c>
      <c r="H132" s="222">
        <v>0</v>
      </c>
      <c r="I132" s="150">
        <v>1</v>
      </c>
      <c r="J132" s="150">
        <v>1</v>
      </c>
      <c r="K132" s="42">
        <f t="shared" si="10"/>
        <v>24000</v>
      </c>
      <c r="L132" s="42">
        <f t="shared" si="11"/>
        <v>24000</v>
      </c>
      <c r="M132" s="224">
        <f t="shared" si="12"/>
        <v>24000</v>
      </c>
      <c r="N132" s="290"/>
      <c r="O132" s="43" t="s">
        <v>1777</v>
      </c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>
      <c r="A133" s="36"/>
      <c r="B133" s="39"/>
      <c r="C133" s="36"/>
      <c r="D133" s="165"/>
      <c r="E133" s="122"/>
      <c r="F133" s="122"/>
      <c r="G133" s="166"/>
      <c r="H133" s="125"/>
      <c r="I133" s="36"/>
      <c r="J133" s="39"/>
      <c r="K133" s="138"/>
      <c r="L133" s="125"/>
      <c r="M133" s="138"/>
      <c r="N133" s="167"/>
      <c r="O133" s="168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>
      <c r="A134" s="36"/>
      <c r="B134" s="39" t="s">
        <v>7</v>
      </c>
      <c r="C134" s="36"/>
      <c r="D134" s="165"/>
      <c r="E134" s="122">
        <f>SUM(E5:E133)</f>
        <v>9426954</v>
      </c>
      <c r="F134" s="122">
        <f t="shared" ref="F134:M134" si="18">SUM(F5:F133)</f>
        <v>9426954</v>
      </c>
      <c r="G134" s="122">
        <f t="shared" si="18"/>
        <v>9426954</v>
      </c>
      <c r="H134" s="122">
        <f t="shared" si="18"/>
        <v>0</v>
      </c>
      <c r="I134" s="122">
        <f t="shared" si="18"/>
        <v>128</v>
      </c>
      <c r="J134" s="122">
        <f t="shared" si="18"/>
        <v>128</v>
      </c>
      <c r="K134" s="122">
        <f t="shared" si="18"/>
        <v>9426954</v>
      </c>
      <c r="L134" s="122">
        <f t="shared" si="18"/>
        <v>9426954</v>
      </c>
      <c r="M134" s="122">
        <f t="shared" si="18"/>
        <v>9426954</v>
      </c>
      <c r="N134" s="122"/>
      <c r="O134" s="168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</sheetData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pij baru akhr</vt:lpstr>
      <vt:lpstr>n</vt:lpstr>
      <vt:lpstr>brg n</vt:lpstr>
      <vt:lpstr>dend n</vt:lpstr>
      <vt:lpstr>bg n</vt:lpstr>
      <vt:lpstr>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RASHYA-IZAN</cp:lastModifiedBy>
  <dcterms:created xsi:type="dcterms:W3CDTF">2018-03-12T04:29:36Z</dcterms:created>
  <dcterms:modified xsi:type="dcterms:W3CDTF">2018-04-03T15:02:20Z</dcterms:modified>
</cp:coreProperties>
</file>