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isabe\Documents\Master thesis\Thesis_V1-Premise\"/>
    </mc:Choice>
  </mc:AlternateContent>
  <xr:revisionPtr revIDLastSave="0" documentId="13_ncr:1_{D2FDDC26-6BE4-45C2-B990-180D95E5DBA5}" xr6:coauthVersionLast="47" xr6:coauthVersionMax="47" xr10:uidLastSave="{00000000-0000-0000-0000-000000000000}"/>
  <bookViews>
    <workbookView xWindow="-108" yWindow="-108" windowWidth="23256" windowHeight="13896" activeTab="1" xr2:uid="{104BC5BE-EFD1-462B-BA7B-E4F248643ABE}"/>
  </bookViews>
  <sheets>
    <sheet name="General processes" sheetId="1" r:id="rId1"/>
    <sheet name="LCI" sheetId="5" r:id="rId2"/>
    <sheet name="EF" sheetId="3" r:id="rId3"/>
    <sheet name="check" sheetId="6" r:id="rId4"/>
    <sheet name="Assumption" sheetId="4" r:id="rId5"/>
  </sheets>
  <definedNames>
    <definedName name="_xlnm._FilterDatabase" localSheetId="3" hidden="1">check!$A$1:$C$120</definedName>
    <definedName name="_xlnm._FilterDatabase" localSheetId="0" hidden="1">'General processes'!$A$1:$AR$119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18" i="1" l="1" a="1"/>
  <c r="S118" i="1" s="1"/>
  <c r="T120" i="1"/>
  <c r="J121" i="1" a="1"/>
  <c r="J121" i="1" s="1"/>
  <c r="K121" i="1" a="1"/>
  <c r="K121" i="1" s="1"/>
  <c r="L121" i="1" a="1"/>
  <c r="L121" i="1" s="1"/>
  <c r="M121" i="1" a="1"/>
  <c r="M121" i="1" s="1"/>
  <c r="N121" i="1" a="1"/>
  <c r="N121" i="1" s="1"/>
  <c r="J120" i="1" a="1"/>
  <c r="J120" i="1" s="1"/>
  <c r="K120" i="1" a="1"/>
  <c r="K120" i="1" s="1"/>
  <c r="L120" i="1" a="1"/>
  <c r="L120" i="1" s="1"/>
  <c r="M120" i="1" a="1"/>
  <c r="M120" i="1" s="1"/>
  <c r="N120" i="1" a="1"/>
  <c r="N120" i="1" s="1"/>
  <c r="I23" i="5"/>
  <c r="S3" i="1" a="1"/>
  <c r="S3" i="1" s="1"/>
  <c r="T3" i="1"/>
  <c r="U3" i="1" a="1"/>
  <c r="U3" i="1" s="1"/>
  <c r="S4" i="1" a="1"/>
  <c r="S4" i="1" s="1"/>
  <c r="T4" i="1"/>
  <c r="U4" i="1" a="1"/>
  <c r="U4" i="1" s="1"/>
  <c r="S5" i="1" a="1"/>
  <c r="S5" i="1" s="1"/>
  <c r="T5" i="1"/>
  <c r="U5" i="1" a="1"/>
  <c r="U5" i="1" s="1"/>
  <c r="S6" i="1" a="1"/>
  <c r="S6" i="1" s="1"/>
  <c r="T6" i="1"/>
  <c r="U6" i="1" a="1"/>
  <c r="U6" i="1" s="1"/>
  <c r="S7" i="1" a="1"/>
  <c r="S7" i="1" s="1"/>
  <c r="T7" i="1"/>
  <c r="U7" i="1" a="1"/>
  <c r="U7" i="1" s="1"/>
  <c r="S8" i="1" a="1"/>
  <c r="S8" i="1" s="1"/>
  <c r="T8" i="1"/>
  <c r="U8" i="1" a="1"/>
  <c r="U8" i="1" s="1"/>
  <c r="S9" i="1" a="1"/>
  <c r="S9" i="1" s="1"/>
  <c r="T9" i="1"/>
  <c r="U9" i="1" a="1"/>
  <c r="U9" i="1" s="1"/>
  <c r="S10" i="1" a="1"/>
  <c r="S10" i="1" s="1"/>
  <c r="T10" i="1"/>
  <c r="U10" i="1" a="1"/>
  <c r="U10" i="1" s="1"/>
  <c r="S11" i="1" a="1"/>
  <c r="S11" i="1" s="1"/>
  <c r="T11" i="1"/>
  <c r="U11" i="1" a="1"/>
  <c r="U11" i="1" s="1"/>
  <c r="S12" i="1" a="1"/>
  <c r="S12" i="1" s="1"/>
  <c r="T12" i="1"/>
  <c r="U12" i="1" a="1"/>
  <c r="U12" i="1" s="1"/>
  <c r="S13" i="1" a="1"/>
  <c r="S13" i="1" s="1"/>
  <c r="T13" i="1"/>
  <c r="U13" i="1" a="1"/>
  <c r="U13" i="1" s="1"/>
  <c r="S15" i="1" a="1"/>
  <c r="S15" i="1" s="1"/>
  <c r="T15" i="1"/>
  <c r="U15" i="1" a="1"/>
  <c r="U15" i="1" s="1"/>
  <c r="S17" i="1" a="1"/>
  <c r="S17" i="1" s="1"/>
  <c r="T17" i="1"/>
  <c r="U17" i="1" a="1"/>
  <c r="U17" i="1" s="1"/>
  <c r="S14" i="1" a="1"/>
  <c r="S14" i="1" s="1"/>
  <c r="T14" i="1"/>
  <c r="U14" i="1" a="1"/>
  <c r="U14" i="1" s="1"/>
  <c r="S16" i="1" a="1"/>
  <c r="S16" i="1" s="1"/>
  <c r="T16" i="1"/>
  <c r="U16" i="1" a="1"/>
  <c r="U16" i="1" s="1"/>
  <c r="S18" i="1" a="1"/>
  <c r="S18" i="1" s="1"/>
  <c r="T18" i="1"/>
  <c r="U18" i="1" a="1"/>
  <c r="U18" i="1" s="1"/>
  <c r="S19" i="1" a="1"/>
  <c r="S19" i="1" s="1"/>
  <c r="T19" i="1"/>
  <c r="U19" i="1" a="1"/>
  <c r="U19" i="1" s="1"/>
  <c r="S20" i="1" a="1"/>
  <c r="S20" i="1" s="1"/>
  <c r="T20" i="1"/>
  <c r="U20" i="1" a="1"/>
  <c r="U20" i="1" s="1"/>
  <c r="S21" i="1" a="1"/>
  <c r="S21" i="1" s="1"/>
  <c r="T21" i="1"/>
  <c r="U21" i="1" a="1"/>
  <c r="U21" i="1" s="1"/>
  <c r="S23" i="1" a="1"/>
  <c r="S23" i="1" s="1"/>
  <c r="T23" i="1"/>
  <c r="U23" i="1" a="1"/>
  <c r="U23" i="1" s="1"/>
  <c r="S22" i="1" a="1"/>
  <c r="S22" i="1" s="1"/>
  <c r="T22" i="1"/>
  <c r="U22" i="1" a="1"/>
  <c r="U22" i="1" s="1"/>
  <c r="S33" i="1" a="1"/>
  <c r="S33" i="1" s="1"/>
  <c r="T33" i="1"/>
  <c r="U33" i="1" a="1"/>
  <c r="U33" i="1" s="1"/>
  <c r="S24" i="1" a="1"/>
  <c r="S24" i="1" s="1"/>
  <c r="T24" i="1"/>
  <c r="U24" i="1" a="1"/>
  <c r="U24" i="1" s="1"/>
  <c r="S25" i="1" a="1"/>
  <c r="S25" i="1" s="1"/>
  <c r="T25" i="1"/>
  <c r="U25" i="1" a="1"/>
  <c r="U25" i="1" s="1"/>
  <c r="S26" i="1" a="1"/>
  <c r="S26" i="1" s="1"/>
  <c r="T26" i="1"/>
  <c r="U26" i="1" a="1"/>
  <c r="U26" i="1" s="1"/>
  <c r="S27" i="1" a="1"/>
  <c r="S27" i="1" s="1"/>
  <c r="T27" i="1"/>
  <c r="U27" i="1" a="1"/>
  <c r="U27" i="1" s="1"/>
  <c r="S28" i="1" a="1"/>
  <c r="S28" i="1" s="1"/>
  <c r="T28" i="1"/>
  <c r="U28" i="1" a="1"/>
  <c r="U28" i="1" s="1"/>
  <c r="S30" i="1" a="1"/>
  <c r="S30" i="1" s="1"/>
  <c r="T30" i="1"/>
  <c r="U30" i="1" a="1"/>
  <c r="U30" i="1" s="1"/>
  <c r="S44" i="1" a="1"/>
  <c r="S44" i="1" s="1"/>
  <c r="T44" i="1"/>
  <c r="U44" i="1" a="1"/>
  <c r="U44" i="1" s="1"/>
  <c r="S29" i="1" a="1"/>
  <c r="S29" i="1" s="1"/>
  <c r="T29" i="1"/>
  <c r="U29" i="1" a="1"/>
  <c r="U29" i="1" s="1"/>
  <c r="S31" i="1" a="1"/>
  <c r="S31" i="1" s="1"/>
  <c r="T31" i="1"/>
  <c r="U31" i="1" a="1"/>
  <c r="U31" i="1" s="1"/>
  <c r="S32" i="1" a="1"/>
  <c r="S32" i="1" s="1"/>
  <c r="T32" i="1"/>
  <c r="U32" i="1" a="1"/>
  <c r="U32" i="1" s="1"/>
  <c r="S34" i="1" a="1"/>
  <c r="S34" i="1" s="1"/>
  <c r="T34" i="1"/>
  <c r="U34" i="1" a="1"/>
  <c r="U34" i="1" s="1"/>
  <c r="S35" i="1" a="1"/>
  <c r="S35" i="1" s="1"/>
  <c r="T35" i="1"/>
  <c r="U35" i="1" a="1"/>
  <c r="U35" i="1" s="1"/>
  <c r="S36" i="1" a="1"/>
  <c r="S36" i="1" s="1"/>
  <c r="T36" i="1"/>
  <c r="U36" i="1" a="1"/>
  <c r="U36" i="1" s="1"/>
  <c r="S37" i="1" a="1"/>
  <c r="S37" i="1" s="1"/>
  <c r="T37" i="1"/>
  <c r="U37" i="1" a="1"/>
  <c r="U37" i="1" s="1"/>
  <c r="S101" i="1" a="1"/>
  <c r="S101" i="1" s="1"/>
  <c r="T101" i="1"/>
  <c r="U101" i="1" a="1"/>
  <c r="U101" i="1" s="1"/>
  <c r="S39" i="1" a="1"/>
  <c r="S39" i="1" s="1"/>
  <c r="T39" i="1"/>
  <c r="U39" i="1" a="1"/>
  <c r="U39" i="1" s="1"/>
  <c r="S40" i="1" a="1"/>
  <c r="S40" i="1" s="1"/>
  <c r="T40" i="1"/>
  <c r="U40" i="1" a="1"/>
  <c r="U40" i="1" s="1"/>
  <c r="S41" i="1" a="1"/>
  <c r="S41" i="1" s="1"/>
  <c r="T41" i="1"/>
  <c r="U41" i="1" a="1"/>
  <c r="U41" i="1" s="1"/>
  <c r="S42" i="1" a="1"/>
  <c r="S42" i="1" s="1"/>
  <c r="T42" i="1"/>
  <c r="U42" i="1" a="1"/>
  <c r="U42" i="1" s="1"/>
  <c r="S43" i="1" a="1"/>
  <c r="S43" i="1" s="1"/>
  <c r="T43" i="1"/>
  <c r="U43" i="1" a="1"/>
  <c r="U43" i="1" s="1"/>
  <c r="S45" i="1" a="1"/>
  <c r="S45" i="1" s="1"/>
  <c r="T45" i="1"/>
  <c r="U45" i="1" a="1"/>
  <c r="U45" i="1" s="1"/>
  <c r="S47" i="1" a="1"/>
  <c r="S47" i="1" s="1"/>
  <c r="T47" i="1"/>
  <c r="U47" i="1" a="1"/>
  <c r="U47" i="1" s="1"/>
  <c r="S50" i="1" a="1"/>
  <c r="S50" i="1" s="1"/>
  <c r="T50" i="1"/>
  <c r="U50" i="1" a="1"/>
  <c r="U50" i="1" s="1"/>
  <c r="S46" i="1" a="1"/>
  <c r="S46" i="1" s="1"/>
  <c r="T46" i="1"/>
  <c r="U46" i="1" a="1"/>
  <c r="U46" i="1" s="1"/>
  <c r="S52" i="1" a="1"/>
  <c r="S52" i="1" s="1"/>
  <c r="T52" i="1"/>
  <c r="U52" i="1" a="1"/>
  <c r="U52" i="1" s="1"/>
  <c r="S49" i="1" a="1"/>
  <c r="S49" i="1" s="1"/>
  <c r="T49" i="1"/>
  <c r="U49" i="1" a="1"/>
  <c r="U49" i="1" s="1"/>
  <c r="S48" i="1" a="1"/>
  <c r="S48" i="1" s="1"/>
  <c r="T48" i="1"/>
  <c r="U48" i="1" a="1"/>
  <c r="U48" i="1" s="1"/>
  <c r="S51" i="1" a="1"/>
  <c r="S51" i="1" s="1"/>
  <c r="T51" i="1"/>
  <c r="U51" i="1" a="1"/>
  <c r="U51" i="1" s="1"/>
  <c r="S53" i="1" a="1"/>
  <c r="S53" i="1" s="1"/>
  <c r="T53" i="1"/>
  <c r="U53" i="1" a="1"/>
  <c r="U53" i="1" s="1"/>
  <c r="S54" i="1" a="1"/>
  <c r="S54" i="1" s="1"/>
  <c r="T54" i="1"/>
  <c r="U54" i="1" a="1"/>
  <c r="U54" i="1" s="1"/>
  <c r="S57" i="1" a="1"/>
  <c r="S57" i="1" s="1"/>
  <c r="T57" i="1"/>
  <c r="U57" i="1" a="1"/>
  <c r="U57" i="1" s="1"/>
  <c r="S55" i="1" a="1"/>
  <c r="S55" i="1" s="1"/>
  <c r="T55" i="1"/>
  <c r="U55" i="1" a="1"/>
  <c r="U55" i="1" s="1"/>
  <c r="S56" i="1" a="1"/>
  <c r="S56" i="1" s="1"/>
  <c r="T56" i="1"/>
  <c r="U56" i="1" a="1"/>
  <c r="U56" i="1" s="1"/>
  <c r="S70" i="1" a="1"/>
  <c r="S70" i="1" s="1"/>
  <c r="T70" i="1"/>
  <c r="U70" i="1" a="1"/>
  <c r="U70" i="1" s="1"/>
  <c r="S59" i="1" a="1"/>
  <c r="S59" i="1" s="1"/>
  <c r="T59" i="1"/>
  <c r="U59" i="1" a="1"/>
  <c r="U59" i="1" s="1"/>
  <c r="S58" i="1" a="1"/>
  <c r="S58" i="1" s="1"/>
  <c r="T58" i="1"/>
  <c r="U58" i="1" a="1"/>
  <c r="U58" i="1" s="1"/>
  <c r="S60" i="1" a="1"/>
  <c r="S60" i="1" s="1"/>
  <c r="T60" i="1"/>
  <c r="U60" i="1" a="1"/>
  <c r="U60" i="1" s="1"/>
  <c r="S62" i="1" a="1"/>
  <c r="S62" i="1" s="1"/>
  <c r="T62" i="1"/>
  <c r="U62" i="1" a="1"/>
  <c r="U62" i="1" s="1"/>
  <c r="S64" i="1" a="1"/>
  <c r="S64" i="1" s="1"/>
  <c r="T64" i="1"/>
  <c r="U64" i="1" a="1"/>
  <c r="U64" i="1" s="1"/>
  <c r="S65" i="1" a="1"/>
  <c r="S65" i="1" s="1"/>
  <c r="T65" i="1"/>
  <c r="U65" i="1" a="1"/>
  <c r="U65" i="1" s="1"/>
  <c r="S63" i="1" a="1"/>
  <c r="S63" i="1" s="1"/>
  <c r="T63" i="1"/>
  <c r="U63" i="1" a="1"/>
  <c r="U63" i="1" s="1"/>
  <c r="S67" i="1" a="1"/>
  <c r="S67" i="1" s="1"/>
  <c r="T67" i="1"/>
  <c r="U67" i="1" a="1"/>
  <c r="U67" i="1" s="1"/>
  <c r="S61" i="1" a="1"/>
  <c r="S61" i="1" s="1"/>
  <c r="T61" i="1"/>
  <c r="U61" i="1" a="1"/>
  <c r="U61" i="1" s="1"/>
  <c r="S71" i="1" a="1"/>
  <c r="S71" i="1" s="1"/>
  <c r="T71" i="1"/>
  <c r="U71" i="1" a="1"/>
  <c r="U71" i="1" s="1"/>
  <c r="S73" i="1" a="1"/>
  <c r="S73" i="1" s="1"/>
  <c r="T73" i="1"/>
  <c r="U73" i="1" a="1"/>
  <c r="U73" i="1" s="1"/>
  <c r="S72" i="1" a="1"/>
  <c r="S72" i="1" s="1"/>
  <c r="T72" i="1"/>
  <c r="U72" i="1" a="1"/>
  <c r="U72" i="1" s="1"/>
  <c r="S66" i="1" a="1"/>
  <c r="S66" i="1" s="1"/>
  <c r="T66" i="1"/>
  <c r="U66" i="1" a="1"/>
  <c r="U66" i="1" s="1"/>
  <c r="S76" i="1" a="1"/>
  <c r="S76" i="1" s="1"/>
  <c r="T76" i="1"/>
  <c r="U76" i="1" a="1"/>
  <c r="U76" i="1" s="1"/>
  <c r="S68" i="1" a="1"/>
  <c r="S68" i="1" s="1"/>
  <c r="T68" i="1"/>
  <c r="U68" i="1" a="1"/>
  <c r="U68" i="1" s="1"/>
  <c r="S69" i="1" a="1"/>
  <c r="S69" i="1" s="1"/>
  <c r="T69" i="1"/>
  <c r="U69" i="1" a="1"/>
  <c r="U69" i="1" s="1"/>
  <c r="S77" i="1" a="1"/>
  <c r="S77" i="1" s="1"/>
  <c r="T77" i="1"/>
  <c r="U77" i="1" a="1"/>
  <c r="U77" i="1" s="1"/>
  <c r="S74" i="1" a="1"/>
  <c r="S74" i="1" s="1"/>
  <c r="T74" i="1"/>
  <c r="U74" i="1" a="1"/>
  <c r="U74" i="1" s="1"/>
  <c r="S78" i="1" a="1"/>
  <c r="S78" i="1" s="1"/>
  <c r="T78" i="1"/>
  <c r="U78" i="1" a="1"/>
  <c r="U78" i="1" s="1"/>
  <c r="S83" i="1" a="1"/>
  <c r="S83" i="1" s="1"/>
  <c r="T83" i="1"/>
  <c r="U83" i="1" a="1"/>
  <c r="U83" i="1" s="1"/>
  <c r="S75" i="1" a="1"/>
  <c r="S75" i="1" s="1"/>
  <c r="T75" i="1"/>
  <c r="U75" i="1" a="1"/>
  <c r="U75" i="1" s="1"/>
  <c r="S81" i="1" a="1"/>
  <c r="S81" i="1" s="1"/>
  <c r="T81" i="1"/>
  <c r="U81" i="1" a="1"/>
  <c r="U81" i="1" s="1"/>
  <c r="S79" i="1" a="1"/>
  <c r="S79" i="1" s="1"/>
  <c r="T79" i="1"/>
  <c r="U79" i="1" a="1"/>
  <c r="U79" i="1" s="1"/>
  <c r="S84" i="1" a="1"/>
  <c r="S84" i="1" s="1"/>
  <c r="T84" i="1"/>
  <c r="U84" i="1" a="1"/>
  <c r="U84" i="1" s="1"/>
  <c r="S80" i="1" a="1"/>
  <c r="S80" i="1" s="1"/>
  <c r="T80" i="1"/>
  <c r="U80" i="1" a="1"/>
  <c r="U80" i="1" s="1"/>
  <c r="S95" i="1" a="1"/>
  <c r="S95" i="1" s="1"/>
  <c r="T95" i="1"/>
  <c r="U95" i="1" a="1"/>
  <c r="U95" i="1" s="1"/>
  <c r="S94" i="1" a="1"/>
  <c r="S94" i="1" s="1"/>
  <c r="T94" i="1"/>
  <c r="U94" i="1" a="1"/>
  <c r="U94" i="1" s="1"/>
  <c r="S85" i="1" a="1"/>
  <c r="S85" i="1" s="1"/>
  <c r="T85" i="1"/>
  <c r="U85" i="1" a="1"/>
  <c r="U85" i="1" s="1"/>
  <c r="S88" i="1" a="1"/>
  <c r="S88" i="1" s="1"/>
  <c r="T88" i="1"/>
  <c r="U88" i="1" a="1"/>
  <c r="U88" i="1" s="1"/>
  <c r="S38" i="1" a="1"/>
  <c r="S38" i="1" s="1"/>
  <c r="T38" i="1"/>
  <c r="U38" i="1" a="1"/>
  <c r="U38" i="1" s="1"/>
  <c r="S86" i="1" a="1"/>
  <c r="S86" i="1" s="1"/>
  <c r="T86" i="1"/>
  <c r="U86" i="1" a="1"/>
  <c r="U86" i="1" s="1"/>
  <c r="S82" i="1" a="1"/>
  <c r="S82" i="1" s="1"/>
  <c r="T82" i="1"/>
  <c r="U82" i="1" a="1"/>
  <c r="U82" i="1" s="1"/>
  <c r="S89" i="1" a="1"/>
  <c r="S89" i="1" s="1"/>
  <c r="T89" i="1"/>
  <c r="U89" i="1" a="1"/>
  <c r="U89" i="1" s="1"/>
  <c r="S91" i="1" a="1"/>
  <c r="S91" i="1" s="1"/>
  <c r="T91" i="1"/>
  <c r="U91" i="1" a="1"/>
  <c r="U91" i="1" s="1"/>
  <c r="S90" i="1" a="1"/>
  <c r="S90" i="1" s="1"/>
  <c r="T90" i="1"/>
  <c r="U90" i="1" a="1"/>
  <c r="U90" i="1" s="1"/>
  <c r="S87" i="1" a="1"/>
  <c r="S87" i="1" s="1"/>
  <c r="T87" i="1"/>
  <c r="U87" i="1" a="1"/>
  <c r="U87" i="1" s="1"/>
  <c r="S97" i="1" a="1"/>
  <c r="S97" i="1" s="1"/>
  <c r="T97" i="1"/>
  <c r="U97" i="1" a="1"/>
  <c r="U97" i="1" s="1"/>
  <c r="S93" i="1" a="1"/>
  <c r="S93" i="1" s="1"/>
  <c r="T93" i="1"/>
  <c r="U93" i="1" a="1"/>
  <c r="U93" i="1" s="1"/>
  <c r="S98" i="1" a="1"/>
  <c r="S98" i="1" s="1"/>
  <c r="T98" i="1"/>
  <c r="U98" i="1" a="1"/>
  <c r="U98" i="1" s="1"/>
  <c r="S99" i="1" a="1"/>
  <c r="S99" i="1" s="1"/>
  <c r="T99" i="1"/>
  <c r="U99" i="1" a="1"/>
  <c r="U99" i="1" s="1"/>
  <c r="S100" i="1" a="1"/>
  <c r="S100" i="1" s="1"/>
  <c r="T100" i="1"/>
  <c r="U100" i="1" a="1"/>
  <c r="U100" i="1" s="1"/>
  <c r="S104" i="1" a="1"/>
  <c r="S104" i="1" s="1"/>
  <c r="T104" i="1"/>
  <c r="U104" i="1" a="1"/>
  <c r="U104" i="1" s="1"/>
  <c r="S92" i="1" a="1"/>
  <c r="S92" i="1" s="1"/>
  <c r="T92" i="1"/>
  <c r="U92" i="1" a="1"/>
  <c r="U92" i="1" s="1"/>
  <c r="S107" i="1" a="1"/>
  <c r="S107" i="1" s="1"/>
  <c r="T107" i="1"/>
  <c r="U107" i="1" a="1"/>
  <c r="U107" i="1" s="1"/>
  <c r="S108" i="1" a="1"/>
  <c r="S108" i="1" s="1"/>
  <c r="T108" i="1"/>
  <c r="U108" i="1" a="1"/>
  <c r="U108" i="1" s="1"/>
  <c r="S109" i="1" a="1"/>
  <c r="S109" i="1" s="1"/>
  <c r="T109" i="1"/>
  <c r="U109" i="1" a="1"/>
  <c r="U109" i="1" s="1"/>
  <c r="S110" i="1" a="1"/>
  <c r="S110" i="1" s="1"/>
  <c r="T110" i="1"/>
  <c r="U110" i="1" a="1"/>
  <c r="U110" i="1" s="1"/>
  <c r="S111" i="1" a="1"/>
  <c r="S111" i="1" s="1"/>
  <c r="T111" i="1"/>
  <c r="U111" i="1" a="1"/>
  <c r="U111" i="1" s="1"/>
  <c r="S102" i="1" a="1"/>
  <c r="S102" i="1" s="1"/>
  <c r="T102" i="1"/>
  <c r="U102" i="1" a="1"/>
  <c r="U102" i="1" s="1"/>
  <c r="S112" i="1" a="1"/>
  <c r="S112" i="1" s="1"/>
  <c r="T112" i="1"/>
  <c r="U112" i="1" a="1"/>
  <c r="U112" i="1" s="1"/>
  <c r="S113" i="1" a="1"/>
  <c r="S113" i="1" s="1"/>
  <c r="T113" i="1"/>
  <c r="U113" i="1" a="1"/>
  <c r="U113" i="1" s="1"/>
  <c r="S96" i="1" a="1"/>
  <c r="S96" i="1" s="1"/>
  <c r="T96" i="1"/>
  <c r="U96" i="1" a="1"/>
  <c r="U96" i="1" s="1"/>
  <c r="S114" i="1" a="1"/>
  <c r="S114" i="1" s="1"/>
  <c r="T114" i="1"/>
  <c r="U114" i="1" a="1"/>
  <c r="U114" i="1" s="1"/>
  <c r="S115" i="1" a="1"/>
  <c r="S115" i="1" s="1"/>
  <c r="T115" i="1"/>
  <c r="U115" i="1" a="1"/>
  <c r="U115" i="1" s="1"/>
  <c r="S103" i="1" a="1"/>
  <c r="S103" i="1" s="1"/>
  <c r="T103" i="1"/>
  <c r="U103" i="1" a="1"/>
  <c r="U103" i="1" s="1"/>
  <c r="S105" i="1" a="1"/>
  <c r="S105" i="1" s="1"/>
  <c r="T105" i="1"/>
  <c r="U105" i="1" a="1"/>
  <c r="U105" i="1" s="1"/>
  <c r="S116" i="1" a="1"/>
  <c r="S116" i="1" s="1"/>
  <c r="T116" i="1"/>
  <c r="U116" i="1" a="1"/>
  <c r="U116" i="1" s="1"/>
  <c r="S106" i="1" a="1"/>
  <c r="S106" i="1" s="1"/>
  <c r="T106" i="1"/>
  <c r="U106" i="1" a="1"/>
  <c r="U106" i="1" s="1"/>
  <c r="S117" i="1" a="1"/>
  <c r="S117" i="1" s="1"/>
  <c r="T117" i="1"/>
  <c r="U117" i="1" a="1"/>
  <c r="U117" i="1" s="1"/>
  <c r="T118" i="1"/>
  <c r="U118" i="1" a="1"/>
  <c r="U118" i="1" s="1"/>
  <c r="S119" i="1" a="1"/>
  <c r="S119" i="1" s="1"/>
  <c r="T119" i="1"/>
  <c r="U119" i="1" a="1"/>
  <c r="U119" i="1" s="1"/>
  <c r="U2" i="1" a="1"/>
  <c r="U2" i="1" s="1"/>
  <c r="U120" i="1" s="1"/>
  <c r="S2" i="1" a="1"/>
  <c r="S2" i="1" s="1"/>
  <c r="T2" i="1"/>
  <c r="N96" i="1" a="1"/>
  <c r="N96" i="1" s="1"/>
  <c r="N103" i="1" a="1"/>
  <c r="N103" i="1" s="1"/>
  <c r="N106" i="1" a="1"/>
  <c r="N106" i="1" s="1"/>
  <c r="I17" i="5"/>
  <c r="AE31" i="5"/>
  <c r="I31" i="5"/>
  <c r="AE15" i="5"/>
  <c r="I15" i="5"/>
  <c r="AE13" i="5"/>
  <c r="I13" i="5"/>
  <c r="AE11" i="5"/>
  <c r="I11" i="5"/>
  <c r="S120" i="1" l="1"/>
  <c r="AC121" i="1"/>
  <c r="AC120" i="1"/>
  <c r="E14" i="3"/>
  <c r="E13" i="3"/>
  <c r="L3" i="3"/>
  <c r="L4" i="3"/>
  <c r="L5" i="3"/>
  <c r="L6" i="3"/>
  <c r="L7" i="3"/>
  <c r="L8" i="3"/>
  <c r="L9" i="3"/>
  <c r="L10" i="3"/>
  <c r="L11" i="3"/>
  <c r="L12" i="3"/>
  <c r="L13" i="3"/>
  <c r="L14" i="3"/>
  <c r="L15" i="3"/>
  <c r="L16" i="3"/>
  <c r="L17" i="3"/>
  <c r="L18" i="3"/>
  <c r="L19" i="3"/>
  <c r="L20" i="3"/>
  <c r="L21" i="3"/>
  <c r="L22" i="3"/>
  <c r="L23" i="3"/>
  <c r="L24" i="3"/>
  <c r="L25" i="3"/>
  <c r="L26" i="3"/>
  <c r="L27" i="3"/>
  <c r="L2" i="3"/>
  <c r="E22" i="3"/>
  <c r="E21" i="3"/>
  <c r="E19" i="3"/>
  <c r="E16" i="3"/>
  <c r="E4" i="3"/>
  <c r="I9" i="3" l="1"/>
  <c r="I12" i="3" l="1"/>
  <c r="F12" i="3"/>
  <c r="E12" i="3"/>
  <c r="I6" i="3"/>
  <c r="F6" i="3"/>
  <c r="E6" i="3"/>
  <c r="B73" i="4"/>
  <c r="I13" i="3"/>
  <c r="F13" i="3"/>
  <c r="H13" i="3"/>
  <c r="G13" i="3"/>
  <c r="I19" i="3"/>
  <c r="H19" i="3"/>
  <c r="G19" i="3"/>
  <c r="F19" i="3"/>
  <c r="I16" i="3"/>
  <c r="G16" i="3"/>
  <c r="F16" i="3"/>
  <c r="I25" i="3"/>
  <c r="F25" i="3"/>
  <c r="E25" i="3"/>
  <c r="I26" i="3"/>
  <c r="F26" i="3"/>
  <c r="E26" i="3"/>
  <c r="I27" i="3"/>
  <c r="F27" i="3"/>
  <c r="E27" i="3"/>
  <c r="F9" i="3"/>
  <c r="E9" i="3"/>
  <c r="I18" i="3"/>
  <c r="F18" i="3"/>
  <c r="E18" i="3"/>
  <c r="E3" i="5"/>
  <c r="E4" i="5"/>
  <c r="E5" i="5"/>
  <c r="E6" i="5"/>
  <c r="E7" i="5"/>
  <c r="E9" i="5"/>
  <c r="E10" i="5"/>
  <c r="E11" i="5"/>
  <c r="E12" i="5"/>
  <c r="E13" i="5"/>
  <c r="E14" i="5"/>
  <c r="E15" i="5"/>
  <c r="E16" i="5"/>
  <c r="E17" i="5"/>
  <c r="E18" i="5"/>
  <c r="E19" i="5"/>
  <c r="E20" i="5"/>
  <c r="E21" i="5"/>
  <c r="E22" i="5"/>
  <c r="E23" i="5"/>
  <c r="E24" i="5"/>
  <c r="E25" i="5"/>
  <c r="E26" i="5"/>
  <c r="E30" i="5"/>
  <c r="E31" i="5"/>
  <c r="E32" i="5"/>
  <c r="E33" i="5"/>
  <c r="E34" i="5"/>
  <c r="E35" i="5"/>
  <c r="E36" i="5"/>
  <c r="E37" i="5"/>
  <c r="E38"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2" i="5"/>
  <c r="D3" i="4"/>
  <c r="AE119" i="5"/>
  <c r="AE118" i="5"/>
  <c r="AE117" i="5"/>
  <c r="AE116" i="5"/>
  <c r="AE115" i="5"/>
  <c r="AE114" i="5"/>
  <c r="AE113" i="5"/>
  <c r="AE112" i="5"/>
  <c r="AE111" i="5"/>
  <c r="AE110" i="5"/>
  <c r="AE109" i="5"/>
  <c r="AE108" i="5"/>
  <c r="AE107" i="5"/>
  <c r="AE106" i="5"/>
  <c r="AE105" i="5"/>
  <c r="AE104" i="5"/>
  <c r="AE103" i="5"/>
  <c r="AE102" i="5"/>
  <c r="AE101" i="5"/>
  <c r="AE100" i="5"/>
  <c r="AE99" i="5"/>
  <c r="AE98" i="5"/>
  <c r="AE97" i="5"/>
  <c r="AE96" i="5"/>
  <c r="AE95" i="5"/>
  <c r="AE94" i="5"/>
  <c r="AE93" i="5"/>
  <c r="AE92" i="5"/>
  <c r="AE91" i="5"/>
  <c r="AE90" i="5"/>
  <c r="AE89" i="5"/>
  <c r="AE88" i="5"/>
  <c r="AE87" i="5"/>
  <c r="AE86" i="5"/>
  <c r="AE85" i="5"/>
  <c r="AE84" i="5"/>
  <c r="AE83" i="5"/>
  <c r="AE82" i="5"/>
  <c r="AE81" i="5"/>
  <c r="AE80" i="5"/>
  <c r="AE79" i="5"/>
  <c r="AE78" i="5"/>
  <c r="AE77" i="5"/>
  <c r="AE76" i="5"/>
  <c r="AE75" i="5"/>
  <c r="AE74" i="5"/>
  <c r="AE73" i="5"/>
  <c r="AE72" i="5"/>
  <c r="AE71" i="5"/>
  <c r="AE70" i="5"/>
  <c r="AE69" i="5"/>
  <c r="AE49" i="5"/>
  <c r="AE48" i="5"/>
  <c r="AE47" i="5"/>
  <c r="AE42" i="5"/>
  <c r="AE41" i="5"/>
  <c r="AE32" i="5"/>
  <c r="AE30" i="5"/>
  <c r="AE17" i="5"/>
  <c r="AE16" i="5"/>
  <c r="AE14" i="5"/>
  <c r="AE12" i="5"/>
  <c r="AE10" i="5"/>
  <c r="AE9" i="5"/>
  <c r="AD37" i="5"/>
  <c r="AD32" i="5"/>
  <c r="AE26" i="5"/>
  <c r="AE25" i="5"/>
  <c r="AE24" i="5"/>
  <c r="AE23" i="5"/>
  <c r="AD11"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69" i="5"/>
  <c r="I101" i="1"/>
  <c r="AC64" i="5"/>
  <c r="AB64" i="5"/>
  <c r="I38" i="1"/>
  <c r="G61" i="5"/>
  <c r="I102" i="1"/>
  <c r="I93" i="1"/>
  <c r="I74" i="1"/>
  <c r="I48" i="5"/>
  <c r="I49" i="5"/>
  <c r="I47" i="5"/>
  <c r="G43" i="5"/>
  <c r="C46" i="4"/>
  <c r="C47" i="4"/>
  <c r="C45" i="4"/>
  <c r="C48" i="4" s="1"/>
  <c r="C51" i="4"/>
  <c r="C52" i="4"/>
  <c r="C53" i="4" s="1"/>
  <c r="I42" i="5"/>
  <c r="I41" i="5"/>
  <c r="H37" i="5"/>
  <c r="B31" i="4"/>
  <c r="L81" i="1" l="1" a="1"/>
  <c r="L81" i="1" s="1"/>
  <c r="Q81" i="1" s="1"/>
  <c r="N81" i="1" a="1"/>
  <c r="N81" i="1" s="1"/>
  <c r="V81" i="1" s="1"/>
  <c r="L79" i="1" a="1"/>
  <c r="L79" i="1" s="1"/>
  <c r="Q79" i="1" s="1"/>
  <c r="N79" i="1" a="1"/>
  <c r="N79" i="1" s="1"/>
  <c r="V79" i="1" s="1"/>
  <c r="L106" i="1" a="1"/>
  <c r="L106" i="1" s="1"/>
  <c r="J106" i="1" a="1"/>
  <c r="J106" i="1" s="1"/>
  <c r="K106" i="1" a="1"/>
  <c r="K106" i="1" s="1"/>
  <c r="M106" i="1" a="1"/>
  <c r="M106" i="1" s="1"/>
  <c r="L103" i="1" a="1"/>
  <c r="L103" i="1" s="1"/>
  <c r="J103" i="1" a="1"/>
  <c r="J103" i="1" s="1"/>
  <c r="K103" i="1" a="1"/>
  <c r="K103" i="1" s="1"/>
  <c r="M103" i="1" a="1"/>
  <c r="M103" i="1" s="1"/>
  <c r="L96" i="1" a="1"/>
  <c r="L96" i="1" s="1"/>
  <c r="J96" i="1" a="1"/>
  <c r="J96" i="1" s="1"/>
  <c r="K96" i="1" a="1"/>
  <c r="K96" i="1" s="1"/>
  <c r="M96" i="1" a="1"/>
  <c r="M96" i="1" s="1"/>
  <c r="J81" i="1" a="1"/>
  <c r="J81" i="1" s="1"/>
  <c r="K81" i="1" a="1"/>
  <c r="K81" i="1" s="1"/>
  <c r="P81" i="1" s="1"/>
  <c r="M81" i="1" a="1"/>
  <c r="M81" i="1" s="1"/>
  <c r="R81" i="1" s="1"/>
  <c r="K79" i="1" a="1"/>
  <c r="K79" i="1" s="1"/>
  <c r="P79" i="1" s="1"/>
  <c r="M79" i="1" a="1"/>
  <c r="M79" i="1" s="1"/>
  <c r="R79" i="1" s="1"/>
  <c r="J79" i="1" a="1"/>
  <c r="J79" i="1" s="1"/>
  <c r="E17" i="4"/>
  <c r="AB79" i="1" l="1"/>
  <c r="AA79" i="1"/>
  <c r="AB81" i="1"/>
  <c r="AA81" i="1"/>
  <c r="AC106" i="1"/>
  <c r="AC96" i="1"/>
  <c r="AC103" i="1"/>
  <c r="O79" i="1"/>
  <c r="AC79" i="1"/>
  <c r="O81" i="1"/>
  <c r="AC81" i="1"/>
  <c r="D15" i="4"/>
  <c r="D25" i="4"/>
  <c r="D24" i="4"/>
  <c r="D23" i="4"/>
  <c r="D22" i="4"/>
  <c r="D21" i="4"/>
  <c r="D20" i="4"/>
  <c r="D19" i="4"/>
  <c r="D18" i="4"/>
  <c r="D17" i="4"/>
  <c r="D16" i="4"/>
  <c r="B12" i="4"/>
  <c r="G30" i="5"/>
  <c r="N110" i="1" s="1" a="1"/>
  <c r="N110" i="1" s="1"/>
  <c r="G31" i="5"/>
  <c r="N82" i="1" s="1" a="1"/>
  <c r="N82" i="1" s="1"/>
  <c r="G32" i="5"/>
  <c r="N97" i="1" s="1" a="1"/>
  <c r="N97" i="1" s="1"/>
  <c r="G33" i="5"/>
  <c r="G34" i="5"/>
  <c r="G35" i="5"/>
  <c r="G36" i="5"/>
  <c r="G37" i="5"/>
  <c r="G38" i="5"/>
  <c r="G39" i="5"/>
  <c r="G40" i="5"/>
  <c r="G41" i="5"/>
  <c r="G42" i="5"/>
  <c r="G44" i="5"/>
  <c r="G45" i="5"/>
  <c r="G46" i="5"/>
  <c r="G47" i="5"/>
  <c r="G29" i="5"/>
  <c r="G28" i="5"/>
  <c r="I30" i="5"/>
  <c r="L89" i="1" l="1" a="1"/>
  <c r="L89" i="1" s="1"/>
  <c r="N89" i="1" a="1"/>
  <c r="N89" i="1" s="1"/>
  <c r="V89" i="1" s="1"/>
  <c r="L117" i="1" a="1"/>
  <c r="L117" i="1" s="1"/>
  <c r="N117" i="1" a="1"/>
  <c r="N117" i="1" s="1"/>
  <c r="L7" i="1" a="1"/>
  <c r="L7" i="1" s="1"/>
  <c r="N7" i="1" a="1"/>
  <c r="N7" i="1" s="1"/>
  <c r="V7" i="1" s="1"/>
  <c r="L11" i="1" a="1"/>
  <c r="L11" i="1" s="1"/>
  <c r="N11" i="1" a="1"/>
  <c r="N11" i="1" s="1"/>
  <c r="V11" i="1" s="1"/>
  <c r="L4" i="1" a="1"/>
  <c r="L4" i="1" s="1"/>
  <c r="N4" i="1" a="1"/>
  <c r="N4" i="1" s="1"/>
  <c r="L114" i="1" a="1"/>
  <c r="L114" i="1" s="1"/>
  <c r="N114" i="1" a="1"/>
  <c r="N114" i="1" s="1"/>
  <c r="L115" i="1" a="1"/>
  <c r="L115" i="1" s="1"/>
  <c r="N115" i="1" a="1"/>
  <c r="N115" i="1" s="1"/>
  <c r="V115" i="1" s="1"/>
  <c r="L116" i="1" a="1"/>
  <c r="L116" i="1" s="1"/>
  <c r="Q116" i="1" s="1"/>
  <c r="N116" i="1" a="1"/>
  <c r="N116" i="1" s="1"/>
  <c r="V116" i="1" s="1"/>
  <c r="L15" i="1" a="1"/>
  <c r="L15" i="1" s="1"/>
  <c r="N15" i="1" a="1"/>
  <c r="N15" i="1" s="1"/>
  <c r="L112" i="1" a="1"/>
  <c r="L112" i="1" s="1"/>
  <c r="N112" i="1" a="1"/>
  <c r="N112" i="1" s="1"/>
  <c r="L88" i="1" a="1"/>
  <c r="L88" i="1" s="1"/>
  <c r="N88" i="1" a="1"/>
  <c r="N88" i="1" s="1"/>
  <c r="V88" i="1" s="1"/>
  <c r="L33" i="1" a="1"/>
  <c r="L33" i="1" s="1"/>
  <c r="Q33" i="1" s="1"/>
  <c r="N33" i="1" a="1"/>
  <c r="N33" i="1" s="1"/>
  <c r="V33" i="1" s="1"/>
  <c r="L9" i="1" a="1"/>
  <c r="L9" i="1" s="1"/>
  <c r="N9" i="1" a="1"/>
  <c r="N9" i="1" s="1"/>
  <c r="L12" i="1" a="1"/>
  <c r="L12" i="1" s="1"/>
  <c r="N12" i="1" a="1"/>
  <c r="N12" i="1" s="1"/>
  <c r="V12" i="1" s="1"/>
  <c r="L85" i="1" a="1"/>
  <c r="L85" i="1" s="1"/>
  <c r="N85" i="1" a="1"/>
  <c r="N85" i="1" s="1"/>
  <c r="V85" i="1" s="1"/>
  <c r="L110" i="1" a="1"/>
  <c r="L110" i="1" s="1"/>
  <c r="Q110" i="1" s="1"/>
  <c r="L82" i="1" a="1"/>
  <c r="L82" i="1" s="1"/>
  <c r="Q82" i="1" s="1"/>
  <c r="K82" i="1" a="1"/>
  <c r="K82" i="1" s="1"/>
  <c r="P82" i="1" s="1"/>
  <c r="K115" i="1" a="1"/>
  <c r="K115" i="1" s="1"/>
  <c r="P115" i="1" s="1"/>
  <c r="Q115" i="1"/>
  <c r="M115" i="1" a="1"/>
  <c r="M115" i="1" s="1"/>
  <c r="R115" i="1" s="1"/>
  <c r="J115" i="1" a="1"/>
  <c r="J115" i="1" s="1"/>
  <c r="J89" i="1" a="1"/>
  <c r="J89" i="1" s="1"/>
  <c r="K89" i="1" a="1"/>
  <c r="K89" i="1" s="1"/>
  <c r="P89" i="1" s="1"/>
  <c r="Q89" i="1"/>
  <c r="M89" i="1" a="1"/>
  <c r="M89" i="1" s="1"/>
  <c r="R89" i="1" s="1"/>
  <c r="M82" i="1" a="1"/>
  <c r="M82" i="1" s="1"/>
  <c r="R82" i="1" s="1"/>
  <c r="V82" i="1"/>
  <c r="J82" i="1" a="1"/>
  <c r="J82" i="1" s="1"/>
  <c r="Q117" i="1"/>
  <c r="M117" i="1" a="1"/>
  <c r="M117" i="1" s="1"/>
  <c r="R117" i="1" s="1"/>
  <c r="V117" i="1"/>
  <c r="J117" i="1" a="1"/>
  <c r="J117" i="1" s="1"/>
  <c r="K117" i="1" a="1"/>
  <c r="K117" i="1" s="1"/>
  <c r="P117" i="1" s="1"/>
  <c r="M110" i="1" a="1"/>
  <c r="M110" i="1" s="1"/>
  <c r="R110" i="1" s="1"/>
  <c r="V110" i="1"/>
  <c r="J110" i="1" a="1"/>
  <c r="J110" i="1" s="1"/>
  <c r="K110" i="1" a="1"/>
  <c r="K110" i="1" s="1"/>
  <c r="P110" i="1" s="1"/>
  <c r="M33" i="1" a="1"/>
  <c r="M33" i="1" s="1"/>
  <c r="R33" i="1" s="1"/>
  <c r="J33" i="1" a="1"/>
  <c r="J33" i="1" s="1"/>
  <c r="K33" i="1" a="1"/>
  <c r="K33" i="1" s="1"/>
  <c r="P33" i="1" s="1"/>
  <c r="M12" i="1" a="1"/>
  <c r="M12" i="1" s="1"/>
  <c r="R12" i="1" s="1"/>
  <c r="J12" i="1" a="1"/>
  <c r="J12" i="1" s="1"/>
  <c r="K12" i="1" a="1"/>
  <c r="K12" i="1" s="1"/>
  <c r="P12" i="1" s="1"/>
  <c r="Q12" i="1"/>
  <c r="J114" i="1" a="1"/>
  <c r="J114" i="1" s="1"/>
  <c r="K114" i="1" a="1"/>
  <c r="K114" i="1" s="1"/>
  <c r="P114" i="1" s="1"/>
  <c r="Q114" i="1"/>
  <c r="M114" i="1" a="1"/>
  <c r="M114" i="1" s="1"/>
  <c r="R114" i="1" s="1"/>
  <c r="V114" i="1"/>
  <c r="J7" i="1" a="1"/>
  <c r="J7" i="1" s="1"/>
  <c r="K7" i="1" a="1"/>
  <c r="K7" i="1" s="1"/>
  <c r="P7" i="1" s="1"/>
  <c r="Q7" i="1"/>
  <c r="M7" i="1" a="1"/>
  <c r="M7" i="1" s="1"/>
  <c r="R7" i="1" s="1"/>
  <c r="V15" i="1"/>
  <c r="J15" i="1" a="1"/>
  <c r="J15" i="1" s="1"/>
  <c r="K15" i="1" a="1"/>
  <c r="K15" i="1" s="1"/>
  <c r="P15" i="1" s="1"/>
  <c r="Q15" i="1"/>
  <c r="M15" i="1" a="1"/>
  <c r="M15" i="1" s="1"/>
  <c r="R15" i="1" s="1"/>
  <c r="J85" i="1" a="1"/>
  <c r="J85" i="1" s="1"/>
  <c r="K85" i="1" a="1"/>
  <c r="K85" i="1" s="1"/>
  <c r="P85" i="1" s="1"/>
  <c r="Q85" i="1"/>
  <c r="M85" i="1" a="1"/>
  <c r="M85" i="1" s="1"/>
  <c r="R85" i="1" s="1"/>
  <c r="K11" i="1" a="1"/>
  <c r="K11" i="1" s="1"/>
  <c r="P11" i="1" s="1"/>
  <c r="Q11" i="1"/>
  <c r="M11" i="1" a="1"/>
  <c r="M11" i="1" s="1"/>
  <c r="R11" i="1" s="1"/>
  <c r="J11" i="1" a="1"/>
  <c r="J11" i="1" s="1"/>
  <c r="J116" i="1" a="1"/>
  <c r="J116" i="1" s="1"/>
  <c r="K116" i="1" a="1"/>
  <c r="K116" i="1" s="1"/>
  <c r="P116" i="1" s="1"/>
  <c r="M116" i="1" a="1"/>
  <c r="M116" i="1" s="1"/>
  <c r="R116" i="1" s="1"/>
  <c r="J112" i="1" a="1"/>
  <c r="J112" i="1" s="1"/>
  <c r="K112" i="1" a="1"/>
  <c r="K112" i="1" s="1"/>
  <c r="P112" i="1" s="1"/>
  <c r="Q112" i="1"/>
  <c r="M112" i="1" a="1"/>
  <c r="M112" i="1" s="1"/>
  <c r="R112" i="1" s="1"/>
  <c r="V112" i="1"/>
  <c r="K88" i="1" a="1"/>
  <c r="K88" i="1" s="1"/>
  <c r="P88" i="1" s="1"/>
  <c r="Q88" i="1"/>
  <c r="M88" i="1" a="1"/>
  <c r="M88" i="1" s="1"/>
  <c r="R88" i="1" s="1"/>
  <c r="J88" i="1" a="1"/>
  <c r="J88" i="1" s="1"/>
  <c r="J9" i="1" a="1"/>
  <c r="J9" i="1" s="1"/>
  <c r="K9" i="1" a="1"/>
  <c r="K9" i="1" s="1"/>
  <c r="P9" i="1" s="1"/>
  <c r="Q9" i="1"/>
  <c r="M9" i="1" a="1"/>
  <c r="M9" i="1" s="1"/>
  <c r="R9" i="1" s="1"/>
  <c r="V9" i="1"/>
  <c r="K4" i="1" a="1"/>
  <c r="K4" i="1" s="1"/>
  <c r="P4" i="1" s="1"/>
  <c r="Q4" i="1"/>
  <c r="M4" i="1" a="1"/>
  <c r="M4" i="1" s="1"/>
  <c r="R4" i="1" s="1"/>
  <c r="V4" i="1"/>
  <c r="J4" i="1" a="1"/>
  <c r="J4" i="1" s="1"/>
  <c r="J32" i="5"/>
  <c r="H32" i="5"/>
  <c r="M32" i="5"/>
  <c r="S32" i="5"/>
  <c r="R32" i="5"/>
  <c r="I32" i="5"/>
  <c r="I26" i="5"/>
  <c r="I25" i="5"/>
  <c r="I24" i="5"/>
  <c r="E4" i="4"/>
  <c r="J15" i="5"/>
  <c r="J13" i="5"/>
  <c r="J16" i="5"/>
  <c r="J14" i="5"/>
  <c r="J12" i="5"/>
  <c r="J10" i="5"/>
  <c r="J17" i="5"/>
  <c r="J11" i="5"/>
  <c r="I16" i="5"/>
  <c r="I14" i="5"/>
  <c r="I12" i="5"/>
  <c r="I9" i="5"/>
  <c r="I10" i="5"/>
  <c r="G4" i="4"/>
  <c r="G3" i="5"/>
  <c r="G4" i="5"/>
  <c r="G5" i="5"/>
  <c r="G6" i="5"/>
  <c r="G7" i="5"/>
  <c r="G8" i="5"/>
  <c r="G9" i="5"/>
  <c r="N17" i="1" s="1" a="1"/>
  <c r="N17" i="1" s="1"/>
  <c r="G10" i="5"/>
  <c r="N111" i="1" s="1" a="1"/>
  <c r="N111" i="1" s="1"/>
  <c r="G11" i="5"/>
  <c r="N86" i="1" s="1" a="1"/>
  <c r="N86" i="1" s="1"/>
  <c r="G12" i="5"/>
  <c r="G13" i="5"/>
  <c r="N87" i="1" s="1" a="1"/>
  <c r="N87" i="1" s="1"/>
  <c r="G14" i="5"/>
  <c r="G15" i="5"/>
  <c r="N91" i="1" s="1" a="1"/>
  <c r="N91" i="1" s="1"/>
  <c r="G16" i="5"/>
  <c r="N108" i="1" s="1" a="1"/>
  <c r="N108" i="1" s="1"/>
  <c r="G17" i="5"/>
  <c r="N92" i="1" s="1" a="1"/>
  <c r="N92" i="1" s="1"/>
  <c r="G18" i="5"/>
  <c r="G2" i="5"/>
  <c r="G5" i="4"/>
  <c r="G3" i="4"/>
  <c r="AB7" i="1" l="1"/>
  <c r="AA7" i="1"/>
  <c r="AB89" i="1"/>
  <c r="AA89" i="1"/>
  <c r="AB85" i="1"/>
  <c r="AA85" i="1"/>
  <c r="AB88" i="1"/>
  <c r="AA88" i="1"/>
  <c r="AB115" i="1"/>
  <c r="AA115" i="1"/>
  <c r="AB11" i="1"/>
  <c r="AA11" i="1"/>
  <c r="AB114" i="1"/>
  <c r="AA114" i="1"/>
  <c r="AB12" i="1"/>
  <c r="AA12" i="1"/>
  <c r="AB116" i="1"/>
  <c r="AA116" i="1"/>
  <c r="AB110" i="1"/>
  <c r="AA110" i="1"/>
  <c r="AB82" i="1"/>
  <c r="AA82" i="1"/>
  <c r="AB4" i="1"/>
  <c r="AA4" i="1"/>
  <c r="AB15" i="1"/>
  <c r="AA15" i="1"/>
  <c r="AB9" i="1"/>
  <c r="AA9" i="1"/>
  <c r="AB112" i="1"/>
  <c r="AA112" i="1"/>
  <c r="AB33" i="1"/>
  <c r="AA33" i="1"/>
  <c r="AB117" i="1"/>
  <c r="AA117" i="1"/>
  <c r="L95" i="1" a="1"/>
  <c r="L95" i="1" s="1"/>
  <c r="N95" i="1" a="1"/>
  <c r="N95" i="1" s="1"/>
  <c r="L118" i="1" a="1"/>
  <c r="L118" i="1" s="1"/>
  <c r="N118" i="1" a="1"/>
  <c r="N118" i="1" s="1"/>
  <c r="V118" i="1" s="1"/>
  <c r="L61" i="1" a="1"/>
  <c r="L61" i="1" s="1"/>
  <c r="N61" i="1" a="1"/>
  <c r="N61" i="1" s="1"/>
  <c r="L107" i="1" a="1"/>
  <c r="L107" i="1" s="1"/>
  <c r="N107" i="1" a="1"/>
  <c r="N107" i="1" s="1"/>
  <c r="V107" i="1" s="1"/>
  <c r="L66" i="1" a="1"/>
  <c r="L66" i="1" s="1"/>
  <c r="N66" i="1" a="1"/>
  <c r="N66" i="1" s="1"/>
  <c r="L104" i="1" a="1"/>
  <c r="L104" i="1" s="1"/>
  <c r="N104" i="1" a="1"/>
  <c r="N104" i="1" s="1"/>
  <c r="V104" i="1" s="1"/>
  <c r="L74" i="1" a="1"/>
  <c r="L74" i="1" s="1"/>
  <c r="N74" i="1" a="1"/>
  <c r="N74" i="1" s="1"/>
  <c r="V74" i="1" s="1"/>
  <c r="L80" i="1" a="1"/>
  <c r="L80" i="1" s="1"/>
  <c r="N80" i="1" a="1"/>
  <c r="N80" i="1" s="1"/>
  <c r="L102" i="1" a="1"/>
  <c r="L102" i="1" s="1"/>
  <c r="N102" i="1" a="1"/>
  <c r="N102" i="1" s="1"/>
  <c r="V102" i="1" s="1"/>
  <c r="L93" i="1" a="1"/>
  <c r="L93" i="1" s="1"/>
  <c r="N93" i="1" a="1"/>
  <c r="N93" i="1" s="1"/>
  <c r="V93" i="1" s="1"/>
  <c r="L111" i="1" a="1"/>
  <c r="L111" i="1" s="1"/>
  <c r="Q111" i="1" s="1"/>
  <c r="L97" i="1" a="1"/>
  <c r="L97" i="1" s="1"/>
  <c r="Q97" i="1" s="1"/>
  <c r="L86" i="1" a="1"/>
  <c r="L86" i="1" s="1"/>
  <c r="L17" i="1" a="1"/>
  <c r="L17" i="1" s="1"/>
  <c r="Q17" i="1" s="1"/>
  <c r="J97" i="1" a="1"/>
  <c r="J97" i="1" s="1"/>
  <c r="O97" i="1" s="1"/>
  <c r="L108" i="1" a="1"/>
  <c r="L108" i="1" s="1"/>
  <c r="Q108" i="1" s="1"/>
  <c r="V97" i="1"/>
  <c r="M97" i="1" a="1"/>
  <c r="M97" i="1" s="1"/>
  <c r="R97" i="1" s="1"/>
  <c r="K97" i="1" a="1"/>
  <c r="K97" i="1" s="1"/>
  <c r="P97" i="1" s="1"/>
  <c r="L92" i="1" a="1"/>
  <c r="L92" i="1" s="1"/>
  <c r="Q92" i="1" s="1"/>
  <c r="J92" i="1" a="1"/>
  <c r="J92" i="1" s="1"/>
  <c r="L91" i="1" a="1"/>
  <c r="L91" i="1" s="1"/>
  <c r="Q91" i="1" s="1"/>
  <c r="V91" i="1"/>
  <c r="L87" i="1" a="1"/>
  <c r="L87" i="1" s="1"/>
  <c r="Q87" i="1" s="1"/>
  <c r="O116" i="1"/>
  <c r="AC116" i="1"/>
  <c r="O88" i="1"/>
  <c r="AC88" i="1"/>
  <c r="O85" i="1"/>
  <c r="AC85" i="1"/>
  <c r="O117" i="1"/>
  <c r="AC117" i="1"/>
  <c r="O4" i="1"/>
  <c r="AC4" i="1"/>
  <c r="O112" i="1"/>
  <c r="AC112" i="1"/>
  <c r="O7" i="1"/>
  <c r="AC7" i="1"/>
  <c r="O12" i="1"/>
  <c r="AC12" i="1"/>
  <c r="O115" i="1"/>
  <c r="AC115" i="1"/>
  <c r="O15" i="1"/>
  <c r="AC15" i="1"/>
  <c r="O82" i="1"/>
  <c r="AC82" i="1"/>
  <c r="O89" i="1"/>
  <c r="AC89" i="1"/>
  <c r="O110" i="1"/>
  <c r="AC110" i="1"/>
  <c r="O9" i="1"/>
  <c r="AC9" i="1"/>
  <c r="O11" i="1"/>
  <c r="AC11" i="1"/>
  <c r="O114" i="1"/>
  <c r="AC114" i="1"/>
  <c r="O33" i="1"/>
  <c r="AC33" i="1"/>
  <c r="M95" i="1" a="1"/>
  <c r="M95" i="1" s="1"/>
  <c r="J95" i="1" a="1"/>
  <c r="J95" i="1" s="1"/>
  <c r="K95" i="1" a="1"/>
  <c r="K95" i="1" s="1"/>
  <c r="J111" i="1" a="1"/>
  <c r="J111" i="1" s="1"/>
  <c r="K111" i="1" a="1"/>
  <c r="K111" i="1" s="1"/>
  <c r="P111" i="1" s="1"/>
  <c r="M111" i="1" a="1"/>
  <c r="M111" i="1" s="1"/>
  <c r="R111" i="1" s="1"/>
  <c r="V111" i="1"/>
  <c r="M92" i="1" a="1"/>
  <c r="M92" i="1" s="1"/>
  <c r="R92" i="1" s="1"/>
  <c r="V92" i="1"/>
  <c r="K92" i="1" a="1"/>
  <c r="K92" i="1" s="1"/>
  <c r="P92" i="1" s="1"/>
  <c r="J17" i="1" a="1"/>
  <c r="J17" i="1" s="1"/>
  <c r="K17" i="1" a="1"/>
  <c r="K17" i="1" s="1"/>
  <c r="P17" i="1" s="1"/>
  <c r="M17" i="1" a="1"/>
  <c r="M17" i="1" s="1"/>
  <c r="R17" i="1" s="1"/>
  <c r="V17" i="1"/>
  <c r="M108" i="1" a="1"/>
  <c r="M108" i="1" s="1"/>
  <c r="R108" i="1" s="1"/>
  <c r="V108" i="1"/>
  <c r="J108" i="1" a="1"/>
  <c r="J108" i="1" s="1"/>
  <c r="K108" i="1" a="1"/>
  <c r="K108" i="1" s="1"/>
  <c r="P108" i="1" s="1"/>
  <c r="J118" i="1" a="1"/>
  <c r="J118" i="1" s="1"/>
  <c r="K118" i="1" a="1"/>
  <c r="K118" i="1" s="1"/>
  <c r="P118" i="1" s="1"/>
  <c r="Q118" i="1"/>
  <c r="M118" i="1" a="1"/>
  <c r="M118" i="1" s="1"/>
  <c r="R118" i="1" s="1"/>
  <c r="M91" i="1" a="1"/>
  <c r="M91" i="1" s="1"/>
  <c r="R91" i="1" s="1"/>
  <c r="J91" i="1" a="1"/>
  <c r="J91" i="1" s="1"/>
  <c r="K91" i="1" a="1"/>
  <c r="K91" i="1" s="1"/>
  <c r="P91" i="1" s="1"/>
  <c r="J61" i="1" a="1"/>
  <c r="J61" i="1" s="1"/>
  <c r="K61" i="1" a="1"/>
  <c r="K61" i="1" s="1"/>
  <c r="M61" i="1" a="1"/>
  <c r="M61" i="1" s="1"/>
  <c r="M107" i="1" a="1"/>
  <c r="M107" i="1" s="1"/>
  <c r="R107" i="1" s="1"/>
  <c r="J107" i="1" a="1"/>
  <c r="J107" i="1" s="1"/>
  <c r="K107" i="1" a="1"/>
  <c r="K107" i="1" s="1"/>
  <c r="P107" i="1" s="1"/>
  <c r="Q107" i="1"/>
  <c r="K66" i="1" a="1"/>
  <c r="K66" i="1" s="1"/>
  <c r="M66" i="1" a="1"/>
  <c r="M66" i="1" s="1"/>
  <c r="J66" i="1" a="1"/>
  <c r="J66" i="1" s="1"/>
  <c r="M87" i="1" a="1"/>
  <c r="M87" i="1" s="1"/>
  <c r="R87" i="1" s="1"/>
  <c r="V87" i="1"/>
  <c r="J87" i="1" a="1"/>
  <c r="J87" i="1" s="1"/>
  <c r="K87" i="1" a="1"/>
  <c r="K87" i="1" s="1"/>
  <c r="P87" i="1" s="1"/>
  <c r="J80" i="1" a="1"/>
  <c r="J80" i="1" s="1"/>
  <c r="K80" i="1" a="1"/>
  <c r="K80" i="1" s="1"/>
  <c r="M80" i="1" a="1"/>
  <c r="M80" i="1" s="1"/>
  <c r="K104" i="1" a="1"/>
  <c r="K104" i="1" s="1"/>
  <c r="P104" i="1" s="1"/>
  <c r="Q104" i="1"/>
  <c r="M104" i="1" a="1"/>
  <c r="M104" i="1" s="1"/>
  <c r="R104" i="1" s="1"/>
  <c r="J104" i="1" a="1"/>
  <c r="J104" i="1" s="1"/>
  <c r="J74" i="1" a="1"/>
  <c r="J74" i="1" s="1"/>
  <c r="K74" i="1" a="1"/>
  <c r="K74" i="1" s="1"/>
  <c r="P74" i="1" s="1"/>
  <c r="Q74" i="1"/>
  <c r="M74" i="1" a="1"/>
  <c r="M74" i="1" s="1"/>
  <c r="R74" i="1" s="1"/>
  <c r="J86" i="1" a="1"/>
  <c r="J86" i="1" s="1"/>
  <c r="K86" i="1" a="1"/>
  <c r="K86" i="1" s="1"/>
  <c r="P86" i="1" s="1"/>
  <c r="Q86" i="1"/>
  <c r="M86" i="1" a="1"/>
  <c r="M86" i="1" s="1"/>
  <c r="R86" i="1" s="1"/>
  <c r="V86" i="1"/>
  <c r="J93" i="1" a="1"/>
  <c r="J93" i="1" s="1"/>
  <c r="K93" i="1" a="1"/>
  <c r="K93" i="1" s="1"/>
  <c r="P93" i="1" s="1"/>
  <c r="Q93" i="1"/>
  <c r="M93" i="1" a="1"/>
  <c r="M93" i="1" s="1"/>
  <c r="R93" i="1" s="1"/>
  <c r="M102" i="1" a="1"/>
  <c r="M102" i="1" s="1"/>
  <c r="R102" i="1" s="1"/>
  <c r="Q102" i="1"/>
  <c r="K102" i="1" a="1"/>
  <c r="K102" i="1" s="1"/>
  <c r="P102" i="1" s="1"/>
  <c r="J102" i="1" a="1"/>
  <c r="J102" i="1" s="1"/>
  <c r="E3" i="4"/>
  <c r="D5" i="4"/>
  <c r="D4" i="4"/>
  <c r="AB86" i="1" l="1"/>
  <c r="AA86" i="1"/>
  <c r="AB93" i="1"/>
  <c r="AA93" i="1"/>
  <c r="AB102" i="1"/>
  <c r="AA102" i="1"/>
  <c r="AB74" i="1"/>
  <c r="AA74" i="1"/>
  <c r="AB97" i="1"/>
  <c r="AA97" i="1"/>
  <c r="AB92" i="1"/>
  <c r="AA92" i="1"/>
  <c r="AB91" i="1"/>
  <c r="AA91" i="1"/>
  <c r="AB104" i="1"/>
  <c r="AA104" i="1"/>
  <c r="AB87" i="1"/>
  <c r="AA87" i="1"/>
  <c r="AB118" i="1"/>
  <c r="AA118" i="1"/>
  <c r="AB108" i="1"/>
  <c r="AA108" i="1"/>
  <c r="AB107" i="1"/>
  <c r="AA107" i="1"/>
  <c r="AB17" i="1"/>
  <c r="AA17" i="1"/>
  <c r="AB111" i="1"/>
  <c r="AA111" i="1"/>
  <c r="AC97" i="1"/>
  <c r="AC61" i="1"/>
  <c r="AC95" i="1"/>
  <c r="AC66" i="1"/>
  <c r="O91" i="1"/>
  <c r="AC91" i="1"/>
  <c r="O118" i="1"/>
  <c r="AC118" i="1"/>
  <c r="O104" i="1"/>
  <c r="AC104" i="1"/>
  <c r="AC80" i="1"/>
  <c r="O17" i="1"/>
  <c r="AC17" i="1"/>
  <c r="O86" i="1"/>
  <c r="AC86" i="1"/>
  <c r="O108" i="1"/>
  <c r="AC108" i="1"/>
  <c r="O87" i="1"/>
  <c r="AC87" i="1"/>
  <c r="O92" i="1"/>
  <c r="AC92" i="1"/>
  <c r="O111" i="1"/>
  <c r="AC111" i="1"/>
  <c r="O102" i="1"/>
  <c r="AC102" i="1"/>
  <c r="O93" i="1"/>
  <c r="AC93" i="1"/>
  <c r="O74" i="1"/>
  <c r="AC74" i="1"/>
  <c r="O107" i="1"/>
  <c r="AC107" i="1"/>
  <c r="G88" i="5" l="1"/>
  <c r="G82" i="5"/>
  <c r="G93" i="5"/>
  <c r="G69" i="5"/>
  <c r="G81" i="5"/>
  <c r="G104" i="5"/>
  <c r="G90" i="5"/>
  <c r="G62" i="5"/>
  <c r="G84" i="5"/>
  <c r="G63" i="5"/>
  <c r="G23" i="5"/>
  <c r="G68" i="5"/>
  <c r="G101" i="5"/>
  <c r="G70" i="5"/>
  <c r="G71" i="5"/>
  <c r="G49" i="5"/>
  <c r="G89" i="5"/>
  <c r="G98" i="5"/>
  <c r="G60" i="5"/>
  <c r="G76" i="5"/>
  <c r="G78" i="5"/>
  <c r="G58" i="5"/>
  <c r="G85" i="5"/>
  <c r="G106" i="5"/>
  <c r="G79" i="5"/>
  <c r="G57" i="5"/>
  <c r="G67" i="5"/>
  <c r="G86" i="5"/>
  <c r="G87" i="5"/>
  <c r="G73" i="5"/>
  <c r="G64" i="5"/>
  <c r="G77" i="5"/>
  <c r="G75" i="5"/>
  <c r="G25" i="5"/>
  <c r="G92" i="5"/>
  <c r="G99" i="5"/>
  <c r="G27" i="5"/>
  <c r="G94" i="5"/>
  <c r="G95" i="5"/>
  <c r="G105" i="5"/>
  <c r="G72" i="5"/>
  <c r="G22" i="5"/>
  <c r="G59" i="5"/>
  <c r="G83" i="5"/>
  <c r="G56" i="5"/>
  <c r="G100" i="5"/>
  <c r="G21" i="5"/>
  <c r="G97" i="5"/>
  <c r="G26" i="5"/>
  <c r="G102" i="5"/>
  <c r="G103" i="5"/>
  <c r="G80" i="5"/>
  <c r="G65" i="5"/>
  <c r="G66" i="5"/>
  <c r="G24" i="5"/>
  <c r="G91" i="5"/>
  <c r="G48" i="5"/>
  <c r="G96" i="5"/>
  <c r="G74" i="5"/>
  <c r="L2" i="1" l="1" a="1"/>
  <c r="L2" i="1" s="1"/>
  <c r="N2" i="1" a="1"/>
  <c r="N2" i="1" s="1"/>
  <c r="M2" i="1" a="1"/>
  <c r="M2" i="1" s="1"/>
  <c r="L43" i="1" a="1"/>
  <c r="L43" i="1" s="1"/>
  <c r="N43" i="1" a="1"/>
  <c r="N43" i="1" s="1"/>
  <c r="V43" i="1" s="1"/>
  <c r="L53" i="1" a="1"/>
  <c r="L53" i="1" s="1"/>
  <c r="Q53" i="1" s="1"/>
  <c r="N53" i="1" a="1"/>
  <c r="N53" i="1" s="1"/>
  <c r="L21" i="1" a="1"/>
  <c r="L21" i="1" s="1"/>
  <c r="Q21" i="1" s="1"/>
  <c r="N21" i="1" a="1"/>
  <c r="N21" i="1" s="1"/>
  <c r="L39" i="1" a="1"/>
  <c r="L39" i="1" s="1"/>
  <c r="N39" i="1" a="1"/>
  <c r="N39" i="1" s="1"/>
  <c r="L73" i="1" a="1"/>
  <c r="L73" i="1" s="1"/>
  <c r="N73" i="1" a="1"/>
  <c r="N73" i="1" s="1"/>
  <c r="V73" i="1" s="1"/>
  <c r="L40" i="1" a="1"/>
  <c r="L40" i="1" s="1"/>
  <c r="N40" i="1" a="1"/>
  <c r="N40" i="1" s="1"/>
  <c r="L113" i="1" a="1"/>
  <c r="L113" i="1" s="1"/>
  <c r="Q113" i="1" s="1"/>
  <c r="N113" i="1" a="1"/>
  <c r="N113" i="1" s="1"/>
  <c r="L90" i="1" a="1"/>
  <c r="L90" i="1" s="1"/>
  <c r="N90" i="1" a="1"/>
  <c r="N90" i="1" s="1"/>
  <c r="L18" i="1" a="1"/>
  <c r="L18" i="1" s="1"/>
  <c r="N18" i="1" a="1"/>
  <c r="N18" i="1" s="1"/>
  <c r="V18" i="1" s="1"/>
  <c r="L13" i="1" a="1"/>
  <c r="L13" i="1" s="1"/>
  <c r="N13" i="1" a="1"/>
  <c r="N13" i="1" s="1"/>
  <c r="L83" i="1" a="1"/>
  <c r="L83" i="1" s="1"/>
  <c r="Q83" i="1" s="1"/>
  <c r="N83" i="1" a="1"/>
  <c r="N83" i="1" s="1"/>
  <c r="L28" i="1" a="1"/>
  <c r="L28" i="1" s="1"/>
  <c r="N28" i="1" a="1"/>
  <c r="N28" i="1" s="1"/>
  <c r="L37" i="1" a="1"/>
  <c r="L37" i="1" s="1"/>
  <c r="N37" i="1" a="1"/>
  <c r="N37" i="1" s="1"/>
  <c r="V37" i="1" s="1"/>
  <c r="L44" i="1" a="1"/>
  <c r="L44" i="1" s="1"/>
  <c r="N44" i="1" a="1"/>
  <c r="N44" i="1" s="1"/>
  <c r="L48" i="1" a="1"/>
  <c r="L48" i="1" s="1"/>
  <c r="Q48" i="1" s="1"/>
  <c r="N48" i="1" a="1"/>
  <c r="N48" i="1" s="1"/>
  <c r="L54" i="1" a="1"/>
  <c r="L54" i="1" s="1"/>
  <c r="N54" i="1" a="1"/>
  <c r="N54" i="1" s="1"/>
  <c r="L16" i="1" a="1"/>
  <c r="L16" i="1" s="1"/>
  <c r="N16" i="1" a="1"/>
  <c r="N16" i="1" s="1"/>
  <c r="V16" i="1" s="1"/>
  <c r="L42" i="1" a="1"/>
  <c r="L42" i="1" s="1"/>
  <c r="N42" i="1" a="1"/>
  <c r="N42" i="1" s="1"/>
  <c r="L3" i="1" a="1"/>
  <c r="L3" i="1" s="1"/>
  <c r="Q3" i="1" s="1"/>
  <c r="N3" i="1" a="1"/>
  <c r="N3" i="1" s="1"/>
  <c r="L29" i="1" a="1"/>
  <c r="L29" i="1" s="1"/>
  <c r="N29" i="1" a="1"/>
  <c r="N29" i="1" s="1"/>
  <c r="L60" i="1" a="1"/>
  <c r="L60" i="1" s="1"/>
  <c r="N60" i="1" a="1"/>
  <c r="N60" i="1" s="1"/>
  <c r="V60" i="1" s="1"/>
  <c r="L105" i="1" a="1"/>
  <c r="L105" i="1" s="1"/>
  <c r="N105" i="1" a="1"/>
  <c r="N105" i="1" s="1"/>
  <c r="L119" i="1" a="1"/>
  <c r="L119" i="1" s="1"/>
  <c r="Q119" i="1" s="1"/>
  <c r="N119" i="1" a="1"/>
  <c r="N119" i="1" s="1"/>
  <c r="L26" i="1" a="1"/>
  <c r="L26" i="1" s="1"/>
  <c r="N26" i="1" a="1"/>
  <c r="N26" i="1" s="1"/>
  <c r="L52" i="1" a="1"/>
  <c r="L52" i="1" s="1"/>
  <c r="N52" i="1" a="1"/>
  <c r="N52" i="1" s="1"/>
  <c r="V52" i="1" s="1"/>
  <c r="L58" i="1" a="1"/>
  <c r="L58" i="1" s="1"/>
  <c r="N58" i="1" a="1"/>
  <c r="N58" i="1" s="1"/>
  <c r="L46" i="1" a="1"/>
  <c r="L46" i="1" s="1"/>
  <c r="Q46" i="1" s="1"/>
  <c r="N46" i="1" a="1"/>
  <c r="N46" i="1" s="1"/>
  <c r="L75" i="1" a="1"/>
  <c r="L75" i="1" s="1"/>
  <c r="N75" i="1" a="1"/>
  <c r="N75" i="1" s="1"/>
  <c r="L101" i="1" a="1"/>
  <c r="L101" i="1" s="1"/>
  <c r="N101" i="1" a="1"/>
  <c r="N101" i="1" s="1"/>
  <c r="V101" i="1" s="1"/>
  <c r="AA101" i="1" s="1"/>
  <c r="L45" i="1" a="1"/>
  <c r="L45" i="1" s="1"/>
  <c r="N45" i="1" a="1"/>
  <c r="N45" i="1" s="1"/>
  <c r="L71" i="1" a="1"/>
  <c r="L71" i="1" s="1"/>
  <c r="Q71" i="1" s="1"/>
  <c r="N71" i="1" a="1"/>
  <c r="N71" i="1" s="1"/>
  <c r="L51" i="1" a="1"/>
  <c r="L51" i="1" s="1"/>
  <c r="N51" i="1" a="1"/>
  <c r="N51" i="1" s="1"/>
  <c r="L78" i="1" a="1"/>
  <c r="L78" i="1" s="1"/>
  <c r="N78" i="1" a="1"/>
  <c r="N78" i="1" s="1"/>
  <c r="V78" i="1" s="1"/>
  <c r="L65" i="1" a="1"/>
  <c r="L65" i="1" s="1"/>
  <c r="Q65" i="1" s="1"/>
  <c r="N65" i="1" a="1"/>
  <c r="N65" i="1" s="1"/>
  <c r="L99" i="1" a="1"/>
  <c r="L99" i="1" s="1"/>
  <c r="Q99" i="1" s="1"/>
  <c r="N99" i="1" a="1"/>
  <c r="N99" i="1" s="1"/>
  <c r="L23" i="1" a="1"/>
  <c r="L23" i="1" s="1"/>
  <c r="N23" i="1" a="1"/>
  <c r="N23" i="1" s="1"/>
  <c r="L10" i="1" a="1"/>
  <c r="L10" i="1" s="1"/>
  <c r="N10" i="1" a="1"/>
  <c r="N10" i="1" s="1"/>
  <c r="V10" i="1" s="1"/>
  <c r="L62" i="1" a="1"/>
  <c r="L62" i="1" s="1"/>
  <c r="N62" i="1" a="1"/>
  <c r="N62" i="1" s="1"/>
  <c r="L98" i="1" a="1"/>
  <c r="L98" i="1" s="1"/>
  <c r="Q98" i="1" s="1"/>
  <c r="N98" i="1" a="1"/>
  <c r="N98" i="1" s="1"/>
  <c r="L76" i="1" a="1"/>
  <c r="L76" i="1" s="1"/>
  <c r="N76" i="1" a="1"/>
  <c r="N76" i="1" s="1"/>
  <c r="L22" i="1" a="1"/>
  <c r="L22" i="1" s="1"/>
  <c r="N22" i="1" a="1"/>
  <c r="N22" i="1" s="1"/>
  <c r="V22" i="1" s="1"/>
  <c r="L49" i="1" a="1"/>
  <c r="L49" i="1" s="1"/>
  <c r="N49" i="1" a="1"/>
  <c r="N49" i="1" s="1"/>
  <c r="L70" i="1" a="1"/>
  <c r="L70" i="1" s="1"/>
  <c r="N70" i="1" a="1"/>
  <c r="N70" i="1" s="1"/>
  <c r="L68" i="1" a="1"/>
  <c r="L68" i="1" s="1"/>
  <c r="N68" i="1" a="1"/>
  <c r="N68" i="1" s="1"/>
  <c r="L84" i="1" a="1"/>
  <c r="L84" i="1" s="1"/>
  <c r="N84" i="1" a="1"/>
  <c r="N84" i="1" s="1"/>
  <c r="V84" i="1" s="1"/>
  <c r="L35" i="1" a="1"/>
  <c r="L35" i="1" s="1"/>
  <c r="N35" i="1" a="1"/>
  <c r="N35" i="1" s="1"/>
  <c r="L63" i="1" a="1"/>
  <c r="L63" i="1" s="1"/>
  <c r="Q63" i="1" s="1"/>
  <c r="N63" i="1" a="1"/>
  <c r="N63" i="1" s="1"/>
  <c r="L56" i="1" a="1"/>
  <c r="L56" i="1" s="1"/>
  <c r="N56" i="1" a="1"/>
  <c r="N56" i="1" s="1"/>
  <c r="L55" i="1" a="1"/>
  <c r="L55" i="1" s="1"/>
  <c r="N55" i="1" a="1"/>
  <c r="N55" i="1" s="1"/>
  <c r="V55" i="1" s="1"/>
  <c r="L100" i="1" a="1"/>
  <c r="L100" i="1" s="1"/>
  <c r="Q100" i="1" s="1"/>
  <c r="N100" i="1" a="1"/>
  <c r="N100" i="1" s="1"/>
  <c r="L109" i="1" a="1"/>
  <c r="L109" i="1" s="1"/>
  <c r="Q109" i="1" s="1"/>
  <c r="N109" i="1" a="1"/>
  <c r="N109" i="1" s="1"/>
  <c r="L69" i="1" a="1"/>
  <c r="L69" i="1" s="1"/>
  <c r="N69" i="1" a="1"/>
  <c r="N69" i="1" s="1"/>
  <c r="L32" i="1" a="1"/>
  <c r="L32" i="1" s="1"/>
  <c r="N32" i="1" a="1"/>
  <c r="N32" i="1" s="1"/>
  <c r="V32" i="1" s="1"/>
  <c r="L64" i="1" a="1"/>
  <c r="L64" i="1" s="1"/>
  <c r="N64" i="1" a="1"/>
  <c r="N64" i="1" s="1"/>
  <c r="L41" i="1" a="1"/>
  <c r="L41" i="1" s="1"/>
  <c r="Q41" i="1" s="1"/>
  <c r="N41" i="1" a="1"/>
  <c r="N41" i="1" s="1"/>
  <c r="L36" i="1" a="1"/>
  <c r="L36" i="1" s="1"/>
  <c r="N36" i="1" a="1"/>
  <c r="N36" i="1" s="1"/>
  <c r="L77" i="1" a="1"/>
  <c r="L77" i="1" s="1"/>
  <c r="N77" i="1" a="1"/>
  <c r="N77" i="1" s="1"/>
  <c r="V77" i="1" s="1"/>
  <c r="L34" i="1" a="1"/>
  <c r="L34" i="1" s="1"/>
  <c r="N34" i="1" a="1"/>
  <c r="N34" i="1" s="1"/>
  <c r="J53" i="1" a="1"/>
  <c r="J53" i="1" s="1"/>
  <c r="M53" i="1" a="1"/>
  <c r="M53" i="1" s="1"/>
  <c r="R53" i="1" s="1"/>
  <c r="V53" i="1"/>
  <c r="K53" i="1" a="1"/>
  <c r="K53" i="1" s="1"/>
  <c r="P53" i="1" s="1"/>
  <c r="K21" i="1" a="1"/>
  <c r="K21" i="1" s="1"/>
  <c r="P21" i="1" s="1"/>
  <c r="J21" i="1" a="1"/>
  <c r="J21" i="1" s="1"/>
  <c r="M21" i="1" a="1"/>
  <c r="M21" i="1" s="1"/>
  <c r="R21" i="1" s="1"/>
  <c r="V21" i="1"/>
  <c r="Q39" i="1"/>
  <c r="M39" i="1" a="1"/>
  <c r="M39" i="1" s="1"/>
  <c r="R39" i="1" s="1"/>
  <c r="J39" i="1" a="1"/>
  <c r="J39" i="1" s="1"/>
  <c r="K39" i="1" a="1"/>
  <c r="K39" i="1" s="1"/>
  <c r="P39" i="1" s="1"/>
  <c r="V39" i="1"/>
  <c r="M73" i="1" a="1"/>
  <c r="M73" i="1" s="1"/>
  <c r="R73" i="1" s="1"/>
  <c r="K73" i="1" a="1"/>
  <c r="K73" i="1" s="1"/>
  <c r="P73" i="1" s="1"/>
  <c r="Q73" i="1"/>
  <c r="J73" i="1" a="1"/>
  <c r="J73" i="1" s="1"/>
  <c r="M40" i="1" a="1"/>
  <c r="M40" i="1" s="1"/>
  <c r="R40" i="1" s="1"/>
  <c r="V40" i="1"/>
  <c r="K40" i="1" a="1"/>
  <c r="K40" i="1" s="1"/>
  <c r="P40" i="1" s="1"/>
  <c r="J40" i="1" a="1"/>
  <c r="J40" i="1" s="1"/>
  <c r="Q40" i="1"/>
  <c r="K113" i="1" a="1"/>
  <c r="K113" i="1" s="1"/>
  <c r="P113" i="1" s="1"/>
  <c r="M113" i="1" a="1"/>
  <c r="M113" i="1" s="1"/>
  <c r="R113" i="1" s="1"/>
  <c r="V113" i="1"/>
  <c r="J113" i="1" a="1"/>
  <c r="J113" i="1" s="1"/>
  <c r="Q90" i="1"/>
  <c r="M90" i="1" a="1"/>
  <c r="M90" i="1" s="1"/>
  <c r="R90" i="1" s="1"/>
  <c r="J90" i="1" a="1"/>
  <c r="J90" i="1" s="1"/>
  <c r="V90" i="1"/>
  <c r="K90" i="1" a="1"/>
  <c r="K90" i="1" s="1"/>
  <c r="P90" i="1" s="1"/>
  <c r="J75" i="1" a="1"/>
  <c r="J75" i="1" s="1"/>
  <c r="K75" i="1" a="1"/>
  <c r="K75" i="1" s="1"/>
  <c r="P75" i="1" s="1"/>
  <c r="Q75" i="1"/>
  <c r="M75" i="1" a="1"/>
  <c r="M75" i="1" s="1"/>
  <c r="R75" i="1" s="1"/>
  <c r="V75" i="1"/>
  <c r="J44" i="1" a="1"/>
  <c r="J44" i="1" s="1"/>
  <c r="K44" i="1" a="1"/>
  <c r="K44" i="1" s="1"/>
  <c r="M44" i="1" a="1"/>
  <c r="M44" i="1" s="1"/>
  <c r="J18" i="1" a="1"/>
  <c r="J18" i="1" s="1"/>
  <c r="K18" i="1" a="1"/>
  <c r="K18" i="1" s="1"/>
  <c r="P18" i="1" s="1"/>
  <c r="M18" i="1" a="1"/>
  <c r="M18" i="1" s="1"/>
  <c r="R18" i="1" s="1"/>
  <c r="Q18" i="1"/>
  <c r="Q13" i="1"/>
  <c r="M13" i="1" a="1"/>
  <c r="M13" i="1" s="1"/>
  <c r="R13" i="1" s="1"/>
  <c r="J13" i="1" a="1"/>
  <c r="J13" i="1" s="1"/>
  <c r="K13" i="1" a="1"/>
  <c r="K13" i="1" s="1"/>
  <c r="P13" i="1" s="1"/>
  <c r="V13" i="1"/>
  <c r="M83" i="1" a="1"/>
  <c r="M83" i="1" s="1"/>
  <c r="R83" i="1" s="1"/>
  <c r="V83" i="1"/>
  <c r="J83" i="1" a="1"/>
  <c r="J83" i="1" s="1"/>
  <c r="K83" i="1" a="1"/>
  <c r="K83" i="1" s="1"/>
  <c r="P83" i="1" s="1"/>
  <c r="J28" i="1" a="1"/>
  <c r="J28" i="1" s="1"/>
  <c r="K28" i="1" a="1"/>
  <c r="K28" i="1" s="1"/>
  <c r="P28" i="1" s="1"/>
  <c r="V28" i="1"/>
  <c r="Q28" i="1"/>
  <c r="M28" i="1" a="1"/>
  <c r="M28" i="1" s="1"/>
  <c r="R28" i="1" s="1"/>
  <c r="K37" i="1" a="1"/>
  <c r="K37" i="1" s="1"/>
  <c r="P37" i="1" s="1"/>
  <c r="Q37" i="1"/>
  <c r="J37" i="1" a="1"/>
  <c r="J37" i="1" s="1"/>
  <c r="M37" i="1" a="1"/>
  <c r="M37" i="1" s="1"/>
  <c r="R37" i="1" s="1"/>
  <c r="M48" i="1" a="1"/>
  <c r="M48" i="1" s="1"/>
  <c r="R48" i="1" s="1"/>
  <c r="J48" i="1" a="1"/>
  <c r="J48" i="1" s="1"/>
  <c r="V48" i="1"/>
  <c r="K48" i="1" a="1"/>
  <c r="K48" i="1" s="1"/>
  <c r="P48" i="1" s="1"/>
  <c r="V54" i="1"/>
  <c r="K54" i="1" a="1"/>
  <c r="K54" i="1" s="1"/>
  <c r="P54" i="1" s="1"/>
  <c r="Q54" i="1"/>
  <c r="J54" i="1" a="1"/>
  <c r="J54" i="1" s="1"/>
  <c r="M54" i="1" a="1"/>
  <c r="M54" i="1" s="1"/>
  <c r="R54" i="1" s="1"/>
  <c r="K16" i="1" a="1"/>
  <c r="K16" i="1" s="1"/>
  <c r="P16" i="1" s="1"/>
  <c r="Q16" i="1"/>
  <c r="J16" i="1" a="1"/>
  <c r="J16" i="1" s="1"/>
  <c r="M16" i="1" a="1"/>
  <c r="M16" i="1" s="1"/>
  <c r="R16" i="1" s="1"/>
  <c r="J42" i="1" a="1"/>
  <c r="J42" i="1" s="1"/>
  <c r="M42" i="1" a="1"/>
  <c r="M42" i="1" s="1"/>
  <c r="R42" i="1" s="1"/>
  <c r="V42" i="1"/>
  <c r="K42" i="1" a="1"/>
  <c r="K42" i="1" s="1"/>
  <c r="P42" i="1" s="1"/>
  <c r="Q42" i="1"/>
  <c r="M3" i="1" a="1"/>
  <c r="M3" i="1" s="1"/>
  <c r="R3" i="1" s="1"/>
  <c r="J3" i="1" a="1"/>
  <c r="J3" i="1" s="1"/>
  <c r="V3" i="1"/>
  <c r="K3" i="1" a="1"/>
  <c r="K3" i="1" s="1"/>
  <c r="P3" i="1" s="1"/>
  <c r="K29" i="1" a="1"/>
  <c r="K29" i="1" s="1"/>
  <c r="P29" i="1" s="1"/>
  <c r="Q29" i="1"/>
  <c r="J29" i="1" a="1"/>
  <c r="J29" i="1" s="1"/>
  <c r="V29" i="1"/>
  <c r="M29" i="1" a="1"/>
  <c r="M29" i="1" s="1"/>
  <c r="R29" i="1" s="1"/>
  <c r="K60" i="1" a="1"/>
  <c r="K60" i="1" s="1"/>
  <c r="P60" i="1" s="1"/>
  <c r="Q60" i="1"/>
  <c r="J60" i="1" a="1"/>
  <c r="J60" i="1" s="1"/>
  <c r="M60" i="1" a="1"/>
  <c r="M60" i="1" s="1"/>
  <c r="R60" i="1" s="1"/>
  <c r="J101" i="1" a="1"/>
  <c r="J101" i="1" s="1"/>
  <c r="K101" i="1" a="1"/>
  <c r="K101" i="1" s="1"/>
  <c r="P101" i="1" s="1"/>
  <c r="Q101" i="1"/>
  <c r="M101" i="1" a="1"/>
  <c r="M101" i="1" s="1"/>
  <c r="R101" i="1" s="1"/>
  <c r="J105" i="1" a="1"/>
  <c r="J105" i="1" s="1"/>
  <c r="K105" i="1" a="1"/>
  <c r="K105" i="1" s="1"/>
  <c r="M105" i="1" a="1"/>
  <c r="M105" i="1" s="1"/>
  <c r="J119" i="1" a="1"/>
  <c r="J119" i="1" s="1"/>
  <c r="K119" i="1" a="1"/>
  <c r="K119" i="1" s="1"/>
  <c r="P119" i="1" s="1"/>
  <c r="M119" i="1" a="1"/>
  <c r="M119" i="1" s="1"/>
  <c r="R119" i="1" s="1"/>
  <c r="V119" i="1"/>
  <c r="M26" i="1" a="1"/>
  <c r="M26" i="1" s="1"/>
  <c r="R26" i="1" s="1"/>
  <c r="V26" i="1"/>
  <c r="J26" i="1" a="1"/>
  <c r="J26" i="1" s="1"/>
  <c r="K26" i="1" a="1"/>
  <c r="K26" i="1" s="1"/>
  <c r="P26" i="1" s="1"/>
  <c r="Q26" i="1"/>
  <c r="M52" i="1" a="1"/>
  <c r="M52" i="1" s="1"/>
  <c r="R52" i="1" s="1"/>
  <c r="J52" i="1" a="1"/>
  <c r="J52" i="1" s="1"/>
  <c r="Q52" i="1"/>
  <c r="K52" i="1" a="1"/>
  <c r="K52" i="1" s="1"/>
  <c r="P52" i="1" s="1"/>
  <c r="J58" i="1" a="1"/>
  <c r="J58" i="1" s="1"/>
  <c r="M58" i="1" a="1"/>
  <c r="M58" i="1" s="1"/>
  <c r="R58" i="1" s="1"/>
  <c r="K58" i="1" a="1"/>
  <c r="K58" i="1" s="1"/>
  <c r="P58" i="1" s="1"/>
  <c r="Q58" i="1"/>
  <c r="V58" i="1"/>
  <c r="M46" i="1" a="1"/>
  <c r="M46" i="1" s="1"/>
  <c r="R46" i="1" s="1"/>
  <c r="V46" i="1"/>
  <c r="K46" i="1" a="1"/>
  <c r="K46" i="1" s="1"/>
  <c r="P46" i="1" s="1"/>
  <c r="J46" i="1" a="1"/>
  <c r="J46" i="1" s="1"/>
  <c r="M45" i="1" a="1"/>
  <c r="M45" i="1" s="1"/>
  <c r="R45" i="1" s="1"/>
  <c r="J45" i="1" a="1"/>
  <c r="J45" i="1" s="1"/>
  <c r="V45" i="1"/>
  <c r="Q45" i="1"/>
  <c r="K45" i="1" a="1"/>
  <c r="K45" i="1" s="1"/>
  <c r="P45" i="1" s="1"/>
  <c r="M71" i="1" a="1"/>
  <c r="M71" i="1" s="1"/>
  <c r="R71" i="1" s="1"/>
  <c r="V71" i="1"/>
  <c r="J71" i="1" a="1"/>
  <c r="J71" i="1" s="1"/>
  <c r="K71" i="1" a="1"/>
  <c r="K71" i="1" s="1"/>
  <c r="P71" i="1" s="1"/>
  <c r="M51" i="1" a="1"/>
  <c r="M51" i="1" s="1"/>
  <c r="R51" i="1" s="1"/>
  <c r="V51" i="1"/>
  <c r="J51" i="1" a="1"/>
  <c r="J51" i="1" s="1"/>
  <c r="K51" i="1" a="1"/>
  <c r="K51" i="1" s="1"/>
  <c r="P51" i="1" s="1"/>
  <c r="Q51" i="1"/>
  <c r="M78" i="1" a="1"/>
  <c r="M78" i="1" s="1"/>
  <c r="R78" i="1" s="1"/>
  <c r="K78" i="1" a="1"/>
  <c r="K78" i="1" s="1"/>
  <c r="P78" i="1" s="1"/>
  <c r="Q78" i="1"/>
  <c r="J78" i="1" a="1"/>
  <c r="J78" i="1" s="1"/>
  <c r="M65" i="1" a="1"/>
  <c r="M65" i="1" s="1"/>
  <c r="R65" i="1" s="1"/>
  <c r="J65" i="1" a="1"/>
  <c r="J65" i="1" s="1"/>
  <c r="V65" i="1"/>
  <c r="K65" i="1" a="1"/>
  <c r="K65" i="1" s="1"/>
  <c r="P65" i="1" s="1"/>
  <c r="K99" i="1" a="1"/>
  <c r="K99" i="1" s="1"/>
  <c r="P99" i="1" s="1"/>
  <c r="J99" i="1" a="1"/>
  <c r="J99" i="1" s="1"/>
  <c r="V99" i="1"/>
  <c r="M99" i="1" a="1"/>
  <c r="M99" i="1" s="1"/>
  <c r="R99" i="1" s="1"/>
  <c r="J23" i="1" a="1"/>
  <c r="J23" i="1" s="1"/>
  <c r="K23" i="1" a="1"/>
  <c r="K23" i="1" s="1"/>
  <c r="P23" i="1" s="1"/>
  <c r="V23" i="1"/>
  <c r="Q23" i="1"/>
  <c r="M23" i="1" a="1"/>
  <c r="M23" i="1" s="1"/>
  <c r="R23" i="1" s="1"/>
  <c r="J43" i="1" a="1"/>
  <c r="J43" i="1" s="1"/>
  <c r="K43" i="1" a="1"/>
  <c r="K43" i="1" s="1"/>
  <c r="P43" i="1" s="1"/>
  <c r="M43" i="1" a="1"/>
  <c r="M43" i="1" s="1"/>
  <c r="R43" i="1" s="1"/>
  <c r="Q43" i="1"/>
  <c r="K55" i="1" a="1"/>
  <c r="K55" i="1" s="1"/>
  <c r="P55" i="1" s="1"/>
  <c r="Q55" i="1"/>
  <c r="J55" i="1" a="1"/>
  <c r="J55" i="1" s="1"/>
  <c r="M55" i="1" a="1"/>
  <c r="M55" i="1" s="1"/>
  <c r="R55" i="1" s="1"/>
  <c r="K10" i="1" a="1"/>
  <c r="K10" i="1" s="1"/>
  <c r="P10" i="1" s="1"/>
  <c r="Q10" i="1"/>
  <c r="M10" i="1" a="1"/>
  <c r="M10" i="1" s="1"/>
  <c r="R10" i="1" s="1"/>
  <c r="J10" i="1" a="1"/>
  <c r="J10" i="1" s="1"/>
  <c r="J62" i="1" a="1"/>
  <c r="J62" i="1" s="1"/>
  <c r="K62" i="1" a="1"/>
  <c r="K62" i="1" s="1"/>
  <c r="P62" i="1" s="1"/>
  <c r="M62" i="1" a="1"/>
  <c r="M62" i="1" s="1"/>
  <c r="R62" i="1" s="1"/>
  <c r="Q62" i="1"/>
  <c r="V62" i="1"/>
  <c r="J100" i="1" a="1"/>
  <c r="J100" i="1" s="1"/>
  <c r="K100" i="1" a="1"/>
  <c r="K100" i="1" s="1"/>
  <c r="P100" i="1" s="1"/>
  <c r="M100" i="1" a="1"/>
  <c r="M100" i="1" s="1"/>
  <c r="R100" i="1" s="1"/>
  <c r="V100" i="1"/>
  <c r="Q2" i="1"/>
  <c r="R2" i="1"/>
  <c r="J2" i="1" a="1"/>
  <c r="J2" i="1" s="1"/>
  <c r="V2" i="1"/>
  <c r="K2" i="1" a="1"/>
  <c r="K2" i="1" s="1"/>
  <c r="P2" i="1" s="1"/>
  <c r="J98" i="1" a="1"/>
  <c r="J98" i="1" s="1"/>
  <c r="M98" i="1" a="1"/>
  <c r="M98" i="1" s="1"/>
  <c r="R98" i="1" s="1"/>
  <c r="K98" i="1" a="1"/>
  <c r="K98" i="1" s="1"/>
  <c r="P98" i="1" s="1"/>
  <c r="V98" i="1"/>
  <c r="J76" i="1" a="1"/>
  <c r="J76" i="1" s="1"/>
  <c r="M76" i="1" a="1"/>
  <c r="M76" i="1" s="1"/>
  <c r="R76" i="1" s="1"/>
  <c r="V76" i="1"/>
  <c r="K76" i="1" a="1"/>
  <c r="K76" i="1" s="1"/>
  <c r="P76" i="1" s="1"/>
  <c r="Q76" i="1"/>
  <c r="J49" i="1" a="1"/>
  <c r="J49" i="1" s="1"/>
  <c r="K49" i="1" a="1"/>
  <c r="K49" i="1" s="1"/>
  <c r="P49" i="1" s="1"/>
  <c r="V49" i="1"/>
  <c r="Q49" i="1"/>
  <c r="M49" i="1" a="1"/>
  <c r="M49" i="1" s="1"/>
  <c r="R49" i="1" s="1"/>
  <c r="J70" i="1" a="1"/>
  <c r="J70" i="1" s="1"/>
  <c r="K70" i="1" a="1"/>
  <c r="K70" i="1" s="1"/>
  <c r="M70" i="1" a="1"/>
  <c r="M70" i="1" s="1"/>
  <c r="V68" i="1"/>
  <c r="J68" i="1" a="1"/>
  <c r="J68" i="1" s="1"/>
  <c r="K68" i="1" a="1"/>
  <c r="K68" i="1" s="1"/>
  <c r="P68" i="1" s="1"/>
  <c r="Q68" i="1"/>
  <c r="M68" i="1" a="1"/>
  <c r="M68" i="1" s="1"/>
  <c r="R68" i="1" s="1"/>
  <c r="M84" i="1" a="1"/>
  <c r="M84" i="1" s="1"/>
  <c r="R84" i="1" s="1"/>
  <c r="J84" i="1" a="1"/>
  <c r="J84" i="1" s="1"/>
  <c r="K84" i="1" a="1"/>
  <c r="K84" i="1" s="1"/>
  <c r="P84" i="1" s="1"/>
  <c r="Q84" i="1"/>
  <c r="K35" i="1" a="1"/>
  <c r="K35" i="1" s="1"/>
  <c r="P35" i="1" s="1"/>
  <c r="Q35" i="1"/>
  <c r="M35" i="1" a="1"/>
  <c r="M35" i="1" s="1"/>
  <c r="R35" i="1" s="1"/>
  <c r="J35" i="1" a="1"/>
  <c r="J35" i="1" s="1"/>
  <c r="V35" i="1"/>
  <c r="K63" i="1" a="1"/>
  <c r="K63" i="1" s="1"/>
  <c r="P63" i="1" s="1"/>
  <c r="M63" i="1" a="1"/>
  <c r="M63" i="1" s="1"/>
  <c r="R63" i="1" s="1"/>
  <c r="V63" i="1"/>
  <c r="J63" i="1" a="1"/>
  <c r="J63" i="1" s="1"/>
  <c r="M56" i="1" a="1"/>
  <c r="M56" i="1" s="1"/>
  <c r="R56" i="1" s="1"/>
  <c r="J56" i="1" a="1"/>
  <c r="J56" i="1" s="1"/>
  <c r="V56" i="1"/>
  <c r="Q56" i="1"/>
  <c r="K56" i="1" a="1"/>
  <c r="K56" i="1" s="1"/>
  <c r="P56" i="1" s="1"/>
  <c r="J22" i="1" a="1"/>
  <c r="J22" i="1" s="1"/>
  <c r="K22" i="1" a="1"/>
  <c r="K22" i="1" s="1"/>
  <c r="P22" i="1" s="1"/>
  <c r="M22" i="1" a="1"/>
  <c r="M22" i="1" s="1"/>
  <c r="R22" i="1" s="1"/>
  <c r="Q22" i="1"/>
  <c r="M109" i="1" a="1"/>
  <c r="M109" i="1" s="1"/>
  <c r="R109" i="1" s="1"/>
  <c r="V109" i="1"/>
  <c r="J109" i="1" a="1"/>
  <c r="J109" i="1" s="1"/>
  <c r="K109" i="1" a="1"/>
  <c r="K109" i="1" s="1"/>
  <c r="P109" i="1" s="1"/>
  <c r="V69" i="1"/>
  <c r="M69" i="1" a="1"/>
  <c r="M69" i="1" s="1"/>
  <c r="R69" i="1" s="1"/>
  <c r="J69" i="1" a="1"/>
  <c r="J69" i="1" s="1"/>
  <c r="K69" i="1" a="1"/>
  <c r="K69" i="1" s="1"/>
  <c r="P69" i="1" s="1"/>
  <c r="Q69" i="1"/>
  <c r="K32" i="1" a="1"/>
  <c r="K32" i="1" s="1"/>
  <c r="P32" i="1" s="1"/>
  <c r="Q32" i="1"/>
  <c r="J32" i="1" a="1"/>
  <c r="J32" i="1" s="1"/>
  <c r="M32" i="1" a="1"/>
  <c r="M32" i="1" s="1"/>
  <c r="R32" i="1" s="1"/>
  <c r="M64" i="1" a="1"/>
  <c r="M64" i="1" s="1"/>
  <c r="R64" i="1" s="1"/>
  <c r="V64" i="1"/>
  <c r="K64" i="1" a="1"/>
  <c r="K64" i="1" s="1"/>
  <c r="P64" i="1" s="1"/>
  <c r="Q64" i="1"/>
  <c r="J64" i="1" a="1"/>
  <c r="J64" i="1" s="1"/>
  <c r="M41" i="1" a="1"/>
  <c r="M41" i="1" s="1"/>
  <c r="R41" i="1" s="1"/>
  <c r="V41" i="1"/>
  <c r="K41" i="1" a="1"/>
  <c r="K41" i="1" s="1"/>
  <c r="P41" i="1" s="1"/>
  <c r="J41" i="1" a="1"/>
  <c r="J41" i="1" s="1"/>
  <c r="K36" i="1" a="1"/>
  <c r="K36" i="1" s="1"/>
  <c r="P36" i="1" s="1"/>
  <c r="Q36" i="1"/>
  <c r="M36" i="1" a="1"/>
  <c r="M36" i="1" s="1"/>
  <c r="R36" i="1" s="1"/>
  <c r="J36" i="1" a="1"/>
  <c r="J36" i="1" s="1"/>
  <c r="V36" i="1"/>
  <c r="M77" i="1" a="1"/>
  <c r="M77" i="1" s="1"/>
  <c r="R77" i="1" s="1"/>
  <c r="K77" i="1" a="1"/>
  <c r="K77" i="1" s="1"/>
  <c r="P77" i="1" s="1"/>
  <c r="J77" i="1" a="1"/>
  <c r="J77" i="1" s="1"/>
  <c r="Q77" i="1"/>
  <c r="M34" i="1" a="1"/>
  <c r="M34" i="1" s="1"/>
  <c r="R34" i="1" s="1"/>
  <c r="K34" i="1" a="1"/>
  <c r="K34" i="1" s="1"/>
  <c r="P34" i="1" s="1"/>
  <c r="J34" i="1" a="1"/>
  <c r="J34" i="1" s="1"/>
  <c r="Q34" i="1"/>
  <c r="V34" i="1"/>
  <c r="AB76" i="1" l="1"/>
  <c r="AA76" i="1"/>
  <c r="AB10" i="1"/>
  <c r="AA10" i="1"/>
  <c r="AB23" i="1"/>
  <c r="AA23" i="1"/>
  <c r="AB29" i="1"/>
  <c r="AA29" i="1"/>
  <c r="AB16" i="1"/>
  <c r="AA16" i="1"/>
  <c r="AB73" i="1"/>
  <c r="AA73" i="1"/>
  <c r="AB2" i="1"/>
  <c r="AA2" i="1"/>
  <c r="AB71" i="1"/>
  <c r="AA71" i="1"/>
  <c r="AB48" i="1"/>
  <c r="AA48" i="1"/>
  <c r="AB83" i="1"/>
  <c r="AA83" i="1"/>
  <c r="AB75" i="1"/>
  <c r="AA75" i="1"/>
  <c r="AB34" i="1"/>
  <c r="AA34" i="1"/>
  <c r="AB36" i="1"/>
  <c r="AA36" i="1"/>
  <c r="AB41" i="1"/>
  <c r="AA41" i="1"/>
  <c r="AB32" i="1"/>
  <c r="AA32" i="1"/>
  <c r="AB69" i="1"/>
  <c r="AA69" i="1"/>
  <c r="AB22" i="1"/>
  <c r="AA22" i="1"/>
  <c r="AB62" i="1"/>
  <c r="AA62" i="1"/>
  <c r="AB65" i="1"/>
  <c r="AA65" i="1"/>
  <c r="AB60" i="1"/>
  <c r="AA60" i="1"/>
  <c r="AB18" i="1"/>
  <c r="AA18" i="1"/>
  <c r="AB39" i="1"/>
  <c r="AA39" i="1"/>
  <c r="AB63" i="1"/>
  <c r="AA63" i="1"/>
  <c r="AB49" i="1"/>
  <c r="AA49" i="1"/>
  <c r="AB98" i="1"/>
  <c r="AA98" i="1"/>
  <c r="AB26" i="1"/>
  <c r="AA26" i="1"/>
  <c r="AB42" i="1"/>
  <c r="AA42" i="1"/>
  <c r="AB40" i="1"/>
  <c r="AA40" i="1"/>
  <c r="AB55" i="1"/>
  <c r="AA55" i="1"/>
  <c r="AB43" i="1"/>
  <c r="AA43" i="1"/>
  <c r="AB99" i="1"/>
  <c r="AA99" i="1"/>
  <c r="AB46" i="1"/>
  <c r="AA46" i="1"/>
  <c r="AB28" i="1"/>
  <c r="AA28" i="1"/>
  <c r="AB13" i="1"/>
  <c r="AA13" i="1"/>
  <c r="AB113" i="1"/>
  <c r="AA113" i="1"/>
  <c r="AB77" i="1"/>
  <c r="AA77" i="1"/>
  <c r="AB68" i="1"/>
  <c r="AA68" i="1"/>
  <c r="AB51" i="1"/>
  <c r="AA51" i="1"/>
  <c r="AB52" i="1"/>
  <c r="AA52" i="1"/>
  <c r="AB119" i="1"/>
  <c r="AA119" i="1"/>
  <c r="AB101" i="1"/>
  <c r="AB109" i="1"/>
  <c r="AA109" i="1"/>
  <c r="AB100" i="1"/>
  <c r="AA100" i="1"/>
  <c r="AB78" i="1"/>
  <c r="AA78" i="1"/>
  <c r="AB45" i="1"/>
  <c r="AA45" i="1"/>
  <c r="AB58" i="1"/>
  <c r="AA58" i="1"/>
  <c r="AB3" i="1"/>
  <c r="AA3" i="1"/>
  <c r="AB37" i="1"/>
  <c r="AA37" i="1"/>
  <c r="AB53" i="1"/>
  <c r="AA53" i="1"/>
  <c r="AB64" i="1"/>
  <c r="AA64" i="1"/>
  <c r="AB56" i="1"/>
  <c r="AA56" i="1"/>
  <c r="AB35" i="1"/>
  <c r="AA35" i="1"/>
  <c r="AB84" i="1"/>
  <c r="AA84" i="1"/>
  <c r="AB54" i="1"/>
  <c r="AA54" i="1"/>
  <c r="AB90" i="1"/>
  <c r="AA90" i="1"/>
  <c r="AB21" i="1"/>
  <c r="AA21" i="1"/>
  <c r="AC56" i="1"/>
  <c r="AC48" i="1"/>
  <c r="AC113" i="1"/>
  <c r="O77" i="1"/>
  <c r="AC77" i="1"/>
  <c r="O41" i="1"/>
  <c r="AC41" i="1"/>
  <c r="O49" i="1"/>
  <c r="AC49" i="1"/>
  <c r="O43" i="1"/>
  <c r="AC43" i="1"/>
  <c r="AC99" i="1"/>
  <c r="O78" i="1"/>
  <c r="AC78" i="1"/>
  <c r="O40" i="1"/>
  <c r="AC40" i="1"/>
  <c r="O21" i="1"/>
  <c r="AC21" i="1"/>
  <c r="O69" i="1"/>
  <c r="AC69" i="1"/>
  <c r="O56" i="1"/>
  <c r="O35" i="1"/>
  <c r="AC35" i="1"/>
  <c r="O62" i="1"/>
  <c r="AC62" i="1"/>
  <c r="O55" i="1"/>
  <c r="AC55" i="1"/>
  <c r="O52" i="1"/>
  <c r="AC52" i="1"/>
  <c r="AC105" i="1"/>
  <c r="O60" i="1"/>
  <c r="AC60" i="1"/>
  <c r="O54" i="1"/>
  <c r="AC54" i="1"/>
  <c r="O45" i="1"/>
  <c r="AC45" i="1"/>
  <c r="O42" i="1"/>
  <c r="AC42" i="1"/>
  <c r="O18" i="1"/>
  <c r="AC18" i="1"/>
  <c r="O98" i="1"/>
  <c r="AC98" i="1"/>
  <c r="O63" i="1"/>
  <c r="AC63" i="1"/>
  <c r="AC70" i="1"/>
  <c r="O71" i="1"/>
  <c r="AC71" i="1"/>
  <c r="O28" i="1"/>
  <c r="AC28" i="1"/>
  <c r="O13" i="1"/>
  <c r="AC13" i="1"/>
  <c r="O39" i="1"/>
  <c r="AC39" i="1"/>
  <c r="O36" i="1"/>
  <c r="AC36" i="1"/>
  <c r="O32" i="1"/>
  <c r="AC32" i="1"/>
  <c r="AC100" i="1"/>
  <c r="O46" i="1"/>
  <c r="AC46" i="1"/>
  <c r="O119" i="1"/>
  <c r="AC119" i="1"/>
  <c r="O3" i="1"/>
  <c r="AC3" i="1"/>
  <c r="O16" i="1"/>
  <c r="AC16" i="1"/>
  <c r="O37" i="1"/>
  <c r="AC37" i="1"/>
  <c r="O75" i="1"/>
  <c r="AC75" i="1"/>
  <c r="O73" i="1"/>
  <c r="AC73" i="1"/>
  <c r="O34" i="1"/>
  <c r="AC34" i="1"/>
  <c r="O64" i="1"/>
  <c r="AC64" i="1"/>
  <c r="O109" i="1"/>
  <c r="AC109" i="1"/>
  <c r="O22" i="1"/>
  <c r="AC22" i="1"/>
  <c r="O68" i="1"/>
  <c r="AC68" i="1"/>
  <c r="O76" i="1"/>
  <c r="AC76" i="1"/>
  <c r="O2" i="1"/>
  <c r="AC2" i="1"/>
  <c r="O23" i="1"/>
  <c r="AC23" i="1"/>
  <c r="O58" i="1"/>
  <c r="AC58" i="1"/>
  <c r="O26" i="1"/>
  <c r="AC26" i="1"/>
  <c r="O83" i="1"/>
  <c r="AC83" i="1"/>
  <c r="O10" i="1"/>
  <c r="AC10" i="1"/>
  <c r="O65" i="1"/>
  <c r="AC65" i="1"/>
  <c r="O101" i="1"/>
  <c r="AC101" i="1"/>
  <c r="O29" i="1"/>
  <c r="AC29" i="1"/>
  <c r="AC44" i="1"/>
  <c r="O84" i="1"/>
  <c r="AC84" i="1"/>
  <c r="O51" i="1"/>
  <c r="AC51" i="1"/>
  <c r="O90" i="1"/>
  <c r="AC90" i="1"/>
  <c r="O53" i="1"/>
  <c r="AC53" i="1"/>
  <c r="O100" i="1"/>
  <c r="O113" i="1"/>
  <c r="O99" i="1"/>
  <c r="O48" i="1"/>
  <c r="I44" i="1"/>
  <c r="R44" i="1" s="1"/>
  <c r="I95" i="1"/>
  <c r="I70" i="1"/>
  <c r="P70" i="1" s="1"/>
  <c r="I94" i="1"/>
  <c r="O44" i="1" l="1"/>
  <c r="V70" i="1"/>
  <c r="Q70" i="1"/>
  <c r="R70" i="1"/>
  <c r="P44" i="1"/>
  <c r="O70" i="1"/>
  <c r="O95" i="1"/>
  <c r="Q95" i="1"/>
  <c r="V95" i="1"/>
  <c r="P95" i="1"/>
  <c r="R95" i="1"/>
  <c r="Q44" i="1"/>
  <c r="V44" i="1"/>
  <c r="I66" i="1"/>
  <c r="I61" i="1"/>
  <c r="I103" i="1"/>
  <c r="I96" i="1"/>
  <c r="I106" i="1"/>
  <c r="I80" i="1"/>
  <c r="I105" i="1"/>
  <c r="AB95" i="1" l="1"/>
  <c r="AA95" i="1"/>
  <c r="AB70" i="1"/>
  <c r="AA70" i="1"/>
  <c r="AB44" i="1"/>
  <c r="AA44" i="1"/>
  <c r="Q66" i="1"/>
  <c r="P66" i="1"/>
  <c r="O66" i="1"/>
  <c r="R66" i="1"/>
  <c r="V66" i="1"/>
  <c r="V105" i="1"/>
  <c r="O105" i="1"/>
  <c r="R105" i="1"/>
  <c r="P105" i="1"/>
  <c r="Q105" i="1"/>
  <c r="R61" i="1"/>
  <c r="Q61" i="1"/>
  <c r="P61" i="1"/>
  <c r="V61" i="1"/>
  <c r="O61" i="1"/>
  <c r="R80" i="1"/>
  <c r="Q80" i="1"/>
  <c r="O80" i="1"/>
  <c r="V80" i="1"/>
  <c r="P80" i="1"/>
  <c r="Q106" i="1"/>
  <c r="V106" i="1"/>
  <c r="P106" i="1"/>
  <c r="O106" i="1"/>
  <c r="R106" i="1"/>
  <c r="Q103" i="1"/>
  <c r="R103" i="1"/>
  <c r="V103" i="1"/>
  <c r="P103" i="1"/>
  <c r="O103" i="1"/>
  <c r="Q96" i="1"/>
  <c r="V96" i="1"/>
  <c r="P96" i="1"/>
  <c r="R96" i="1"/>
  <c r="O96" i="1"/>
  <c r="AB103" i="1" l="1"/>
  <c r="AA103" i="1"/>
  <c r="AB80" i="1"/>
  <c r="AA80" i="1"/>
  <c r="AB66" i="1"/>
  <c r="AA66" i="1"/>
  <c r="AB96" i="1"/>
  <c r="AA96" i="1"/>
  <c r="AB106" i="1"/>
  <c r="AA106" i="1"/>
  <c r="AB61" i="1"/>
  <c r="AA61" i="1"/>
  <c r="AB105" i="1"/>
  <c r="AA105" i="1"/>
  <c r="G19" i="5"/>
  <c r="L94" i="1" l="1" a="1"/>
  <c r="L94" i="1" s="1"/>
  <c r="Q94" i="1" s="1"/>
  <c r="N94" i="1" a="1"/>
  <c r="N94" i="1" s="1"/>
  <c r="V94" i="1" s="1"/>
  <c r="M94" i="1" a="1"/>
  <c r="M94" i="1" s="1"/>
  <c r="R94" i="1" s="1"/>
  <c r="J94" i="1" a="1"/>
  <c r="J94" i="1" s="1"/>
  <c r="K94" i="1" a="1"/>
  <c r="K94" i="1" s="1"/>
  <c r="P94" i="1" s="1"/>
  <c r="G20" i="5"/>
  <c r="AB94" i="1" l="1"/>
  <c r="AA94" i="1"/>
  <c r="L8" i="1" a="1"/>
  <c r="L8" i="1" s="1"/>
  <c r="Q8" i="1" s="1"/>
  <c r="N8" i="1" a="1"/>
  <c r="N8" i="1" s="1"/>
  <c r="V8" i="1" s="1"/>
  <c r="O94" i="1"/>
  <c r="AC94" i="1"/>
  <c r="M8" i="1" a="1"/>
  <c r="M8" i="1" s="1"/>
  <c r="R8" i="1" s="1"/>
  <c r="J8" i="1" a="1"/>
  <c r="J8" i="1" s="1"/>
  <c r="K8" i="1" a="1"/>
  <c r="K8" i="1" s="1"/>
  <c r="P8" i="1" s="1"/>
  <c r="G107" i="5"/>
  <c r="G52" i="5"/>
  <c r="G115" i="5"/>
  <c r="G109" i="5"/>
  <c r="G118" i="5"/>
  <c r="G113" i="5"/>
  <c r="G117" i="5"/>
  <c r="G120" i="5"/>
  <c r="G111" i="5"/>
  <c r="G116" i="5"/>
  <c r="G108" i="5"/>
  <c r="G114" i="5"/>
  <c r="G110" i="5"/>
  <c r="G112" i="5"/>
  <c r="G119" i="5"/>
  <c r="G51" i="5"/>
  <c r="G50" i="5"/>
  <c r="AB8" i="1" l="1"/>
  <c r="AA8" i="1"/>
  <c r="L6" i="1" a="1"/>
  <c r="L6" i="1" s="1"/>
  <c r="N6" i="1" a="1"/>
  <c r="N6" i="1" s="1"/>
  <c r="L38" i="1" a="1"/>
  <c r="L38" i="1" s="1"/>
  <c r="N38" i="1" a="1"/>
  <c r="N38" i="1" s="1"/>
  <c r="V38" i="1" s="1"/>
  <c r="L27" i="1" a="1"/>
  <c r="L27" i="1" s="1"/>
  <c r="N27" i="1" a="1"/>
  <c r="N27" i="1" s="1"/>
  <c r="V27" i="1" s="1"/>
  <c r="L47" i="1" a="1"/>
  <c r="L47" i="1" s="1"/>
  <c r="N47" i="1" a="1"/>
  <c r="N47" i="1" s="1"/>
  <c r="L72" i="1" a="1"/>
  <c r="L72" i="1" s="1"/>
  <c r="N72" i="1" a="1"/>
  <c r="N72" i="1" s="1"/>
  <c r="L57" i="1" a="1"/>
  <c r="L57" i="1" s="1"/>
  <c r="N57" i="1" a="1"/>
  <c r="N57" i="1" s="1"/>
  <c r="V57" i="1" s="1"/>
  <c r="L20" i="1" a="1"/>
  <c r="L20" i="1" s="1"/>
  <c r="N20" i="1" a="1"/>
  <c r="N20" i="1" s="1"/>
  <c r="V20" i="1" s="1"/>
  <c r="L59" i="1" a="1"/>
  <c r="L59" i="1" s="1"/>
  <c r="N59" i="1" a="1"/>
  <c r="N59" i="1" s="1"/>
  <c r="L25" i="1" a="1"/>
  <c r="L25" i="1" s="1"/>
  <c r="N25" i="1" a="1"/>
  <c r="N25" i="1" s="1"/>
  <c r="L14" i="1" a="1"/>
  <c r="L14" i="1" s="1"/>
  <c r="N14" i="1" a="1"/>
  <c r="N14" i="1" s="1"/>
  <c r="V14" i="1" s="1"/>
  <c r="L67" i="1" a="1"/>
  <c r="L67" i="1" s="1"/>
  <c r="N67" i="1" a="1"/>
  <c r="N67" i="1" s="1"/>
  <c r="V67" i="1" s="1"/>
  <c r="L24" i="1" a="1"/>
  <c r="L24" i="1" s="1"/>
  <c r="N24" i="1" a="1"/>
  <c r="N24" i="1" s="1"/>
  <c r="L50" i="1" a="1"/>
  <c r="L50" i="1" s="1"/>
  <c r="N50" i="1" a="1"/>
  <c r="N50" i="1" s="1"/>
  <c r="V50" i="1" s="1"/>
  <c r="L30" i="1" a="1"/>
  <c r="L30" i="1" s="1"/>
  <c r="N30" i="1" a="1"/>
  <c r="N30" i="1" s="1"/>
  <c r="V30" i="1" s="1"/>
  <c r="L31" i="1" a="1"/>
  <c r="L31" i="1" s="1"/>
  <c r="N31" i="1" a="1"/>
  <c r="N31" i="1" s="1"/>
  <c r="V31" i="1" s="1"/>
  <c r="L19" i="1" a="1"/>
  <c r="L19" i="1" s="1"/>
  <c r="N19" i="1" a="1"/>
  <c r="N19" i="1" s="1"/>
  <c r="V19" i="1" s="1"/>
  <c r="L5" i="1" a="1"/>
  <c r="L5" i="1" s="1"/>
  <c r="N5" i="1" a="1"/>
  <c r="N5" i="1" s="1"/>
  <c r="O8" i="1"/>
  <c r="AC8" i="1"/>
  <c r="K27" i="1" a="1"/>
  <c r="K27" i="1" s="1"/>
  <c r="P27" i="1" s="1"/>
  <c r="Q27" i="1"/>
  <c r="M27" i="1" a="1"/>
  <c r="M27" i="1" s="1"/>
  <c r="R27" i="1" s="1"/>
  <c r="J27" i="1" a="1"/>
  <c r="J27" i="1" s="1"/>
  <c r="J25" i="1" a="1"/>
  <c r="J25" i="1" s="1"/>
  <c r="K25" i="1" a="1"/>
  <c r="K25" i="1" s="1"/>
  <c r="P25" i="1" s="1"/>
  <c r="V25" i="1"/>
  <c r="Q25" i="1"/>
  <c r="M25" i="1" a="1"/>
  <c r="M25" i="1" s="1"/>
  <c r="R25" i="1" s="1"/>
  <c r="M67" i="1" a="1"/>
  <c r="M67" i="1" s="1"/>
  <c r="R67" i="1" s="1"/>
  <c r="J67" i="1" a="1"/>
  <c r="J67" i="1" s="1"/>
  <c r="K67" i="1" a="1"/>
  <c r="K67" i="1" s="1"/>
  <c r="P67" i="1" s="1"/>
  <c r="Q67" i="1"/>
  <c r="M50" i="1" a="1"/>
  <c r="M50" i="1" s="1"/>
  <c r="R50" i="1" s="1"/>
  <c r="J50" i="1" a="1"/>
  <c r="J50" i="1" s="1"/>
  <c r="K50" i="1" a="1"/>
  <c r="K50" i="1" s="1"/>
  <c r="P50" i="1" s="1"/>
  <c r="Q50" i="1"/>
  <c r="K19" i="1" a="1"/>
  <c r="K19" i="1" s="1"/>
  <c r="P19" i="1" s="1"/>
  <c r="Q19" i="1"/>
  <c r="M19" i="1" a="1"/>
  <c r="M19" i="1" s="1"/>
  <c r="R19" i="1" s="1"/>
  <c r="J19" i="1" a="1"/>
  <c r="J19" i="1" s="1"/>
  <c r="Q6" i="1"/>
  <c r="M6" i="1" a="1"/>
  <c r="M6" i="1" s="1"/>
  <c r="R6" i="1" s="1"/>
  <c r="J6" i="1" a="1"/>
  <c r="J6" i="1" s="1"/>
  <c r="V6" i="1"/>
  <c r="K6" i="1" a="1"/>
  <c r="K6" i="1" s="1"/>
  <c r="P6" i="1" s="1"/>
  <c r="M47" i="1" a="1"/>
  <c r="M47" i="1" s="1"/>
  <c r="R47" i="1" s="1"/>
  <c r="V47" i="1"/>
  <c r="Q47" i="1"/>
  <c r="K47" i="1" a="1"/>
  <c r="K47" i="1" s="1"/>
  <c r="P47" i="1" s="1"/>
  <c r="J47" i="1" a="1"/>
  <c r="J47" i="1" s="1"/>
  <c r="K38" i="1" a="1"/>
  <c r="K38" i="1" s="1"/>
  <c r="P38" i="1" s="1"/>
  <c r="Q38" i="1"/>
  <c r="M38" i="1" a="1"/>
  <c r="M38" i="1" s="1"/>
  <c r="R38" i="1" s="1"/>
  <c r="J38" i="1" a="1"/>
  <c r="J38" i="1" s="1"/>
  <c r="M72" i="1" a="1"/>
  <c r="M72" i="1" s="1"/>
  <c r="R72" i="1" s="1"/>
  <c r="V72" i="1"/>
  <c r="J72" i="1" a="1"/>
  <c r="J72" i="1" s="1"/>
  <c r="K72" i="1" a="1"/>
  <c r="K72" i="1" s="1"/>
  <c r="P72" i="1" s="1"/>
  <c r="Q72" i="1"/>
  <c r="M59" i="1" a="1"/>
  <c r="M59" i="1" s="1"/>
  <c r="R59" i="1" s="1"/>
  <c r="V59" i="1"/>
  <c r="J59" i="1" a="1"/>
  <c r="J59" i="1" s="1"/>
  <c r="K59" i="1" a="1"/>
  <c r="K59" i="1" s="1"/>
  <c r="P59" i="1" s="1"/>
  <c r="Q59" i="1"/>
  <c r="Q14" i="1"/>
  <c r="M14" i="1" a="1"/>
  <c r="M14" i="1" s="1"/>
  <c r="R14" i="1" s="1"/>
  <c r="J14" i="1" a="1"/>
  <c r="J14" i="1" s="1"/>
  <c r="K14" i="1" a="1"/>
  <c r="K14" i="1" s="1"/>
  <c r="P14" i="1" s="1"/>
  <c r="K24" i="1" a="1"/>
  <c r="K24" i="1" s="1"/>
  <c r="P24" i="1" s="1"/>
  <c r="Q24" i="1"/>
  <c r="M24" i="1" a="1"/>
  <c r="M24" i="1" s="1"/>
  <c r="R24" i="1" s="1"/>
  <c r="V24" i="1"/>
  <c r="J24" i="1" a="1"/>
  <c r="J24" i="1" s="1"/>
  <c r="M30" i="1" a="1"/>
  <c r="M30" i="1" s="1"/>
  <c r="R30" i="1" s="1"/>
  <c r="J30" i="1" a="1"/>
  <c r="J30" i="1" s="1"/>
  <c r="K30" i="1" a="1"/>
  <c r="K30" i="1" s="1"/>
  <c r="P30" i="1" s="1"/>
  <c r="Q30" i="1"/>
  <c r="M5" i="1" a="1"/>
  <c r="M5" i="1" s="1"/>
  <c r="R5" i="1" s="1"/>
  <c r="V5" i="1"/>
  <c r="J5" i="1" a="1"/>
  <c r="J5" i="1" s="1"/>
  <c r="K5" i="1" a="1"/>
  <c r="K5" i="1" s="1"/>
  <c r="P5" i="1" s="1"/>
  <c r="Q5" i="1"/>
  <c r="K31" i="1" a="1"/>
  <c r="K31" i="1" s="1"/>
  <c r="P31" i="1" s="1"/>
  <c r="J31" i="1" a="1"/>
  <c r="J31" i="1" s="1"/>
  <c r="Q31" i="1"/>
  <c r="M31" i="1" a="1"/>
  <c r="M31" i="1" s="1"/>
  <c r="R31" i="1" s="1"/>
  <c r="M57" i="1" a="1"/>
  <c r="M57" i="1" s="1"/>
  <c r="R57" i="1" s="1"/>
  <c r="J57" i="1" a="1"/>
  <c r="J57" i="1" s="1"/>
  <c r="K57" i="1" a="1"/>
  <c r="K57" i="1" s="1"/>
  <c r="P57" i="1" s="1"/>
  <c r="Q57" i="1"/>
  <c r="K20" i="1" a="1"/>
  <c r="K20" i="1" s="1"/>
  <c r="P20" i="1" s="1"/>
  <c r="Q20" i="1"/>
  <c r="M20" i="1" a="1"/>
  <c r="M20" i="1" s="1"/>
  <c r="R20" i="1" s="1"/>
  <c r="J20" i="1" a="1"/>
  <c r="J20" i="1" s="1"/>
  <c r="V120" i="1" l="1"/>
  <c r="AB31" i="1"/>
  <c r="AA31" i="1"/>
  <c r="AB5" i="1"/>
  <c r="AA5" i="1"/>
  <c r="AB24" i="1"/>
  <c r="AA24" i="1"/>
  <c r="AB72" i="1"/>
  <c r="AA72" i="1"/>
  <c r="AB20" i="1"/>
  <c r="AA20" i="1"/>
  <c r="AB30" i="1"/>
  <c r="AA30" i="1"/>
  <c r="AB25" i="1"/>
  <c r="AA25" i="1"/>
  <c r="AB47" i="1"/>
  <c r="AA47" i="1"/>
  <c r="AB67" i="1"/>
  <c r="AA67" i="1"/>
  <c r="AB59" i="1"/>
  <c r="AA59" i="1"/>
  <c r="AB38" i="1"/>
  <c r="AA38" i="1"/>
  <c r="AB57" i="1"/>
  <c r="AA57" i="1"/>
  <c r="AB14" i="1"/>
  <c r="AA14" i="1"/>
  <c r="AB6" i="1"/>
  <c r="AA6" i="1"/>
  <c r="AB50" i="1"/>
  <c r="AA50" i="1"/>
  <c r="AB27" i="1"/>
  <c r="AA27" i="1"/>
  <c r="AB19" i="1"/>
  <c r="AA19" i="1"/>
  <c r="O14" i="1"/>
  <c r="AC14" i="1"/>
  <c r="O20" i="1"/>
  <c r="AC20" i="1"/>
  <c r="O27" i="1"/>
  <c r="AC27" i="1"/>
  <c r="O5" i="1"/>
  <c r="AC5" i="1"/>
  <c r="O24" i="1"/>
  <c r="AC24" i="1"/>
  <c r="O6" i="1"/>
  <c r="AC6" i="1"/>
  <c r="O67" i="1"/>
  <c r="AC67" i="1"/>
  <c r="O57" i="1"/>
  <c r="AC57" i="1"/>
  <c r="O72" i="1"/>
  <c r="AC72" i="1"/>
  <c r="O47" i="1"/>
  <c r="AC47" i="1"/>
  <c r="O30" i="1"/>
  <c r="AC30" i="1"/>
  <c r="O25" i="1"/>
  <c r="AC25" i="1"/>
  <c r="O19" i="1"/>
  <c r="AC19" i="1"/>
  <c r="O50" i="1"/>
  <c r="AC50" i="1"/>
  <c r="O31" i="1"/>
  <c r="AC31" i="1"/>
  <c r="O59" i="1"/>
  <c r="AC59" i="1"/>
  <c r="O38" i="1"/>
  <c r="AC38" i="1"/>
  <c r="W120" i="1" l="1"/>
  <c r="V121" i="1" s="1"/>
  <c r="U121" i="1" l="1"/>
  <c r="S121" i="1"/>
  <c r="T12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<sst xmlns="http://schemas.openxmlformats.org/spreadsheetml/2006/main" count="1362" uniqueCount="541">
  <si>
    <t>id</t>
  </si>
  <si>
    <t>name</t>
  </si>
  <si>
    <t>description</t>
  </si>
  <si>
    <t>average_power</t>
  </si>
  <si>
    <t>keywords</t>
  </si>
  <si>
    <t>Ecoinvent</t>
  </si>
  <si>
    <t>convertion facotr unit/min</t>
  </si>
  <si>
    <t>Link source</t>
  </si>
  <si>
    <t>Fucntional unit</t>
  </si>
  <si>
    <t>Total CF</t>
  </si>
  <si>
    <t>Fossil CF</t>
  </si>
  <si>
    <t>Biogenic CF</t>
  </si>
  <si>
    <t>Assumption power</t>
  </si>
  <si>
    <t>Assumption LCI</t>
  </si>
  <si>
    <t>Assumption Conversion factor</t>
  </si>
  <si>
    <t>Manual work</t>
  </si>
  <si>
    <t>Press brake</t>
  </si>
  <si>
    <t>Powder coating, gun</t>
  </si>
  <si>
    <t>Fiber laser machine</t>
  </si>
  <si>
    <t>Manual grinding</t>
  </si>
  <si>
    <t>Bending machine</t>
  </si>
  <si>
    <t>Metal bendsaw</t>
  </si>
  <si>
    <t>Power tool</t>
  </si>
  <si>
    <t>Powder coating electrostatic system</t>
  </si>
  <si>
    <t>Bar feeder</t>
  </si>
  <si>
    <t>Galvanizing</t>
  </si>
  <si>
    <t>Electroplating</t>
  </si>
  <si>
    <t>Refrigeration system</t>
  </si>
  <si>
    <t>Manual riveting machine</t>
  </si>
  <si>
    <t>Pneumatic Riveting Machines</t>
  </si>
  <si>
    <t>Manual degreasing with solvent</t>
  </si>
  <si>
    <t>Deburring</t>
  </si>
  <si>
    <t>Injection molding average</t>
  </si>
  <si>
    <t>Aqueous cleaning, sparay washing system</t>
  </si>
  <si>
    <t>Winding machine</t>
  </si>
  <si>
    <t>Polishing</t>
  </si>
  <si>
    <t>CNC grinding</t>
  </si>
  <si>
    <t>EDM</t>
  </si>
  <si>
    <t>WEDM</t>
  </si>
  <si>
    <t>μEDM</t>
  </si>
  <si>
    <t>Mechanical wire cutting</t>
  </si>
  <si>
    <t>Grinding</t>
  </si>
  <si>
    <t>Plastic extrusion</t>
  </si>
  <si>
    <t>Tube bending</t>
  </si>
  <si>
    <t>Sheet cold rolling</t>
  </si>
  <si>
    <t>Brazing machine</t>
  </si>
  <si>
    <t>Hydraulic injection molding (560 tons)</t>
  </si>
  <si>
    <t>Hydraulic injection molding (450 tons)</t>
  </si>
  <si>
    <t>Hydraulic injection molding (360 tons)</t>
  </si>
  <si>
    <t>Hydraulic injection molding (280 tons)</t>
  </si>
  <si>
    <t>Hydraulic injection molding (145 tons)</t>
  </si>
  <si>
    <t>Hydraulic injection molding (180 tons)</t>
  </si>
  <si>
    <t>Hydraulic injection molding (110 tons)</t>
  </si>
  <si>
    <t>Hydraulic injection molding (90 tons)</t>
  </si>
  <si>
    <t>Hydraulic injection molding (56 tons)</t>
  </si>
  <si>
    <t>Electric injection molding (560 tons)</t>
  </si>
  <si>
    <t>Electric injection molding (450 tons)</t>
  </si>
  <si>
    <t>Electric injection molding (360 tons)</t>
  </si>
  <si>
    <t>Electric injection molding (280 tons)</t>
  </si>
  <si>
    <t>Electric injection molding (225 tons)</t>
  </si>
  <si>
    <t>Electric injection molding (170 tons)</t>
  </si>
  <si>
    <t>Electric injection molding (110 tons)</t>
  </si>
  <si>
    <t>Electric injection molding (70 tons)</t>
  </si>
  <si>
    <t>Electric injection molding (40 tons)</t>
  </si>
  <si>
    <t>Hybrid injection molding (560 tons)</t>
  </si>
  <si>
    <t>Hybrid injection molding (450 tons)</t>
  </si>
  <si>
    <t>Hybrid injection molding (360 tons)</t>
  </si>
  <si>
    <t>Hybrid injection molding (280 tons)</t>
  </si>
  <si>
    <t>Hybrid injection molding (170 tons)</t>
  </si>
  <si>
    <t>Hybrid injection molding (110 tons)</t>
  </si>
  <si>
    <t>Hybrid injection molding (70 tons)</t>
  </si>
  <si>
    <t>Hydraulic injection molding, multi components (560 tons)</t>
  </si>
  <si>
    <t>Hydraulic injection molding, multi components (360 tons)</t>
  </si>
  <si>
    <t>Hybrid injection molding, multi components (560 tons)</t>
  </si>
  <si>
    <t>Hybrid injection molding, multi components (450 tons)</t>
  </si>
  <si>
    <t>Hybrid injection molding, multi components (360 tons)</t>
  </si>
  <si>
    <t>Hybrid injection molding, multi components (280 tons)</t>
  </si>
  <si>
    <t>Hybrid injection molding, multi component (170 tons)</t>
  </si>
  <si>
    <t>Hybrid injection molding, multi component (110 tons)</t>
  </si>
  <si>
    <t>Hydraulic injection molding, multi components (450 tons)</t>
  </si>
  <si>
    <t>Hydraulic injection molding, multi components (280 tons)</t>
  </si>
  <si>
    <t>Hydraulic injection molding, multi components (250 tons)</t>
  </si>
  <si>
    <t>Hydraulic injection molding, multi components (180 tons)</t>
  </si>
  <si>
    <t>Hydraulic injection molding, multi components (120 tons)</t>
  </si>
  <si>
    <t>Hydraulic injection molding, multi components (78 tons)</t>
  </si>
  <si>
    <t>Electric injection molding, multi components ( 225 tons)</t>
  </si>
  <si>
    <t>Electric injection molding, multi components (170 tons)</t>
  </si>
  <si>
    <t>Electric injection molding, multi components (110 tons)</t>
  </si>
  <si>
    <t>Electric injection molding, multi components (560 tons)</t>
  </si>
  <si>
    <t>Electric injection molding, multi components (450 tons)</t>
  </si>
  <si>
    <t>Electric injection molding, multi components (360 tons)</t>
  </si>
  <si>
    <t>Electric injection molding, multi components (280 tons)</t>
  </si>
  <si>
    <t>GLC</t>
  </si>
  <si>
    <t>Water jet cutting</t>
  </si>
  <si>
    <t>Wire bending machine</t>
  </si>
  <si>
    <t>Engraving laser</t>
  </si>
  <si>
    <t>Plastic welding</t>
  </si>
  <si>
    <t>Ultra sound welding</t>
  </si>
  <si>
    <t>laser machining, metal, with CO2-laser, 2000W power</t>
  </si>
  <si>
    <t>laser machining, metal, with CO2-laser, 4000W power</t>
  </si>
  <si>
    <t>laser machining, metal, with CO2-laser,6000W power</t>
  </si>
  <si>
    <t>laser machining, metal, with YAG-laser, 200W power</t>
  </si>
  <si>
    <t>laser machining, metal, with YAG-laser, 500W power</t>
  </si>
  <si>
    <t>laser machining, metal, with YAG-laser, 50W power</t>
  </si>
  <si>
    <t>laser machining, metal, with YAG-laser, 60W power</t>
  </si>
  <si>
    <t>LAHW (Laser hybrid welding)</t>
  </si>
  <si>
    <t>Manual Metal Arc welding, stick welding, MMAW</t>
  </si>
  <si>
    <t>Manual GMAW, Manual MIG</t>
  </si>
  <si>
    <t>Automatic GMAW, Automatic MIG</t>
  </si>
  <si>
    <t>min</t>
  </si>
  <si>
    <t xml:space="preserve">Painting, gun,coat, coating </t>
  </si>
  <si>
    <t xml:space="preserve">Laser, fiber, cutting, </t>
  </si>
  <si>
    <t>Grind, Grinding</t>
  </si>
  <si>
    <t>Bending</t>
  </si>
  <si>
    <t>Bendsaw, saw, cutting</t>
  </si>
  <si>
    <t>Manual Assembly, mainy manual drilling</t>
  </si>
  <si>
    <t>Drilling, Assembly,</t>
  </si>
  <si>
    <t>Loading system, bar feeder</t>
  </si>
  <si>
    <t>Spring forming machine, spring coiling machine</t>
  </si>
  <si>
    <t>Refrigeration system at industrial scale</t>
  </si>
  <si>
    <t>Degreasing</t>
  </si>
  <si>
    <t>The average power consumption of the reference company in the metal industry (BSM) was used.</t>
  </si>
  <si>
    <t>https://www.sciencedirect.com/science/article/abs/pii/S0959652610004002</t>
  </si>
  <si>
    <t>Name</t>
  </si>
  <si>
    <t>Land Use CF</t>
  </si>
  <si>
    <t>Comment</t>
  </si>
  <si>
    <t>Functional unit</t>
  </si>
  <si>
    <t>kg</t>
  </si>
  <si>
    <t>Benchmark has been used</t>
  </si>
  <si>
    <t>It is assumed that there is just electricity</t>
  </si>
  <si>
    <t>Using the findings from the paper Improving the Environmental Performance of Machine Tools: Influence of Technology and Throughput on the Electrical Energy Consumption of a Press-Brake by João P. Santos (2011), a calculation was performed and 85% of the impact was due to electricity. Consequenlty only the electricity and the machine itself considered as a big machine has been used in the LCI.</t>
  </si>
  <si>
    <t>It is assumed that 100% of the environmental impact comes from the electricity</t>
  </si>
  <si>
    <t xml:space="preserve">It is assumed that there is just electricity and the machine as in the press brake. </t>
  </si>
  <si>
    <t>It is assumed that the primary impact comes from electricity. A little metal machine is modeled.</t>
  </si>
  <si>
    <t>kg removed</t>
  </si>
  <si>
    <t>Benchmark has been used and algined with the power used in Ecoinvent</t>
  </si>
  <si>
    <t>https://tifuls.com/powder-coating-line/#:~:text=The%20line%20speed%20for%20a,specific%20setup%20and%20operational%20efficiency</t>
  </si>
  <si>
    <t>Degreasing, metal part in alkaline bath</t>
  </si>
  <si>
    <t>unit</t>
  </si>
  <si>
    <t>It is assumed that there is just electricity and the machine itself considered as middle one have an impact</t>
  </si>
  <si>
    <t>m2</t>
  </si>
  <si>
    <t>https://www.sciencedirect.com/science/article/pii/S0167577X0701141X?fr=RR-2&amp;ref=pdf_download&amp;rr=8d79d4ef69d0be4c</t>
  </si>
  <si>
    <t>Hot Dip Galvanizing</t>
  </si>
  <si>
    <t>Electrogalvinizing</t>
  </si>
  <si>
    <t>According to HFCS, REFRIGERATION AND AIR CONDITIONING, 80% of the impact of refrigeration system comes from electricity Moreover a big machine has been assumed</t>
  </si>
  <si>
    <t>https://unfccc.int/files/methods/other_methodological_issues/interactions_with_ozone_layer/application/pdf/epeebroc.pdf</t>
  </si>
  <si>
    <t>Manual riveting machines, operated by hand, do not consume electricity. The power comes from the physical effort applied by the operator.</t>
  </si>
  <si>
    <t>https://www.me.iitb.ac.in/~ramesh/courses/ME649/drawing.pdf</t>
  </si>
  <si>
    <t>It is assumed that there is just electricity and the machine modelled as a big machine</t>
  </si>
  <si>
    <t>hour (it is m2 but in comment they say it is the same as hour)</t>
  </si>
  <si>
    <t>Knowing the exact time, the pwer has been calculated based on Ecoinvent data</t>
  </si>
  <si>
    <t>https://www-scopus-com.proxy.findit.cvt.dk/record/display.uri?eid=2-s2.0-80052107725&amp;origin=inward&amp;txGid=64aafe5b61e633cbf5b70d22081836d5</t>
  </si>
  <si>
    <t>Based on the research paper cf link</t>
  </si>
  <si>
    <t>https://link.springer.com/chapter/10.1007/978-3-642-29069-5_50 Life cycle assessment of ginding</t>
  </si>
  <si>
    <t>https://www.yumpu.com/en/document/view/10134017/final-report-life-cycle-assessment-lca-of-pvc-and-of-principal- , https://www.caleva.com/knowledge-base/production-capacity-estimates-for-extrusion-and-spheronization-systems</t>
  </si>
  <si>
    <t>The same power as press brake has been used</t>
  </si>
  <si>
    <t>The default power is an estimation based on research. In the research paper :Analysis and Evaluation of Energy Consumption and Carbon Emission Levels of Products Produced by Different Kinds of Equipment Based on Green Development Concept (2022), 3 machines are analysed: drilling, CNC milling and lathe.</t>
  </si>
  <si>
    <t>https://www.researchgate.net/publication/363005233_Analysis_and_Evaluation_of_Energy_Consumption_and_Carbon_Emission_Levels_of_Products_Produced_by_Different_Kinds_of_Equipment_Based_on_Green_Development_Concept</t>
  </si>
  <si>
    <t>Machine from ARBURG has been used</t>
  </si>
  <si>
    <t>Based on LIFE CYCLE IMPACT ASSESSMENT AND ECONOMIC EVALUATION OF MATERIAL CUTTING TECHNOLOGIES, the time and electricity need are used to calculate the power</t>
  </si>
  <si>
    <t>The doc LIFE CYCLE IMPACT ASSESSMENT AND ECONOMIC EVALUATION OF MATERIAL CUTTING TECHNOLOGIES has been used to generate an LCI</t>
  </si>
  <si>
    <t>https://www.researchgate.net/publication/361025408_LIFE_CYCLE_IMPACT_ASSESSMENT_AND_ECONOMIC_EVALUATION_OF_MATERIAL_CUTTING_TECHNOLOGIES</t>
  </si>
  <si>
    <t>Ecoinvent has been used</t>
  </si>
  <si>
    <t>hour</t>
  </si>
  <si>
    <t>Manufacturing Processes for Engineering Materials by George F. Schrade, benchmark, technical sheet from schuler group and aida engineering, machinery's handbook, https://chatgpt.com/share/671a54a8-b9f0-800d-b188-abcc5e89932e</t>
  </si>
  <si>
    <t>m</t>
  </si>
  <si>
    <t>the article Environmental and Social Life Cycle Assessment of welding technologies, has been used for the LCI, conversion factor and average power, moreover, the fume has been negligeable</t>
  </si>
  <si>
    <t>Total CF / min without electricity</t>
  </si>
  <si>
    <t>Fossil CF / min without electricity</t>
  </si>
  <si>
    <t>Land use CF / min without electricity</t>
  </si>
  <si>
    <t>https://www.sciencedirect.com/science/article/pii/S221282711400897X</t>
  </si>
  <si>
    <t>the article Environmental and Social Life Cycle Assessment of welding technologies, has been used for the LCI, conversion factor and average power, moreover, the fume has been negligeable. Using the power consumption and the power the time has been calculated (0.3  hour per unit)</t>
  </si>
  <si>
    <t>the article Environmental and Social Life Cycle Assessment of welding technologies, has been used for the LCI, conversion factor and average power, moreover, the fume has been negligeable. Using the power consumption and the power the time has been calculated (1.15 hours per unit)</t>
  </si>
  <si>
    <t>the article Environmental and Social Life Cycle Assessment of welding technologies, has been used for the LCI, conversion factor and average power, moreover, the fume has been negligeable. Using the power consumption and the power the time has been calculated (it takes 0.2 hour per unit)</t>
  </si>
  <si>
    <t>It is assumed that it is 3 times gaster that manual GMAW welding</t>
  </si>
  <si>
    <t>It is assumed that the primary impact comes from electricity and according to researches the second impact comes coolant liquid with a rate of 0.5l/min (which is modeled with oil). A little metal machine is modeled.</t>
  </si>
  <si>
    <t>It is assumed that there is just electricity, coolant liquid and the machine modelled as a small machine</t>
  </si>
  <si>
    <t>The reseach paper show that it uses 162 Wh per meter and the process time is 20s per m. Consequently the power has been calculated</t>
  </si>
  <si>
    <t>The conversion facotr given in the paper has been used</t>
  </si>
  <si>
    <t>The LCI given by the paper has been used and the protective glass has been removed while a middle size machine has been added.</t>
  </si>
  <si>
    <t>https://publica-rest.fraunhofer.de/server/api/core/bitstreams/fc5f17ec-3b3c-42c9-9747-521b9e02512c/content</t>
  </si>
  <si>
    <t>Laser welding with filler metal</t>
  </si>
  <si>
    <t>Laser remote welding</t>
  </si>
  <si>
    <t>Laser welding with filler metal, steel industry</t>
  </si>
  <si>
    <t>Laser remote welding, steel industry</t>
  </si>
  <si>
    <t>It is based on the research paper</t>
  </si>
  <si>
    <t>Hot plate plastic welding</t>
  </si>
  <si>
    <t>It is assumed that it is mainly electricity as it do not consume compressed air, heating gas and the cooling system is a closed system so it is negligeable. A middle size machine is modelled.</t>
  </si>
  <si>
    <t>https://www.extolinc.com/technology/hot-plate-welding/rapid-conductor-specifications/#features</t>
  </si>
  <si>
    <t>Engraving laser, metal industry</t>
  </si>
  <si>
    <t>Total CF / FU without electricity</t>
  </si>
  <si>
    <t>Fossil CF / FU without electricity</t>
  </si>
  <si>
    <t>Biogenic CF/FU without electricity</t>
  </si>
  <si>
    <t>Land use CF/FU without electricity</t>
  </si>
  <si>
    <t>Biogenic CF/min without electricity</t>
  </si>
  <si>
    <t>Electric injection molding (800 tons)</t>
  </si>
  <si>
    <t>Electric injection molding (1000 tons)</t>
  </si>
  <si>
    <t>Hydraulic injection molding, (800 tons)</t>
  </si>
  <si>
    <t>Hydraulic injection molding, (1000 tons)</t>
  </si>
  <si>
    <t>It is based on the ratio between electric and hydraulic machine using the ratio between the 450 tons machines.</t>
  </si>
  <si>
    <t>Benchmark, aligned also with machines used in BSM</t>
  </si>
  <si>
    <t>Induction Hardening, metal</t>
  </si>
  <si>
    <t>It is based on benchmark showing power ranging from 50kW to 200 kW</t>
  </si>
  <si>
    <t>It is calculated with the assumptions that the cooling liquid and quenching materials are in a close loop so they are negligeable and there is no compressed air used.</t>
  </si>
  <si>
    <t>https://www.diva-portal.org/smash/get/diva2:1800686/FULLTEXT01.pdf</t>
  </si>
  <si>
    <t>Case hardening</t>
  </si>
  <si>
    <t>It is assumed that electricity accounts for 78% of the total energy consumption, while natural gas accounts for 22% (look at the link). Additionally, the machine uses carbon-rich powder, which operates in an open-loop system, so disposal is also taken into account.  It is assumed that 10kg of powder is used every hour. The machine is modeled as a large system, and the other inputs are considered negligible, as they are assumed to be in a closed-loop system.</t>
  </si>
  <si>
    <t xml:space="preserve">It is based on benchmark </t>
  </si>
  <si>
    <t>GHG_GWP</t>
  </si>
  <si>
    <t>Check</t>
  </si>
  <si>
    <t>Total GWP_GHG (EPD) emission /min with electricity</t>
  </si>
  <si>
    <t>https://pdf.sciencedirectassets.com/277348/1-s2.0-S1875389214X00064/1-s2.0-S1875389214002491/main.pdf?X-Amz-Security-Token=IQoJb3JpZ2luX2VjEFcaCXVzLWVhc3QtMSJHMEUCIBz%2FrjQTCrWLF1Mw%2F665SpjsdLYy%2BSOYzWyPnzdzV%2F2DAiEA0bD010GUfaToEfTY3DOVhhsHtx602UhI0ul%2BAW4wZWMqswUIEBAFGgwwNTkwMDM1NDY4NjUiDOpraOXi53vnoU%2BAPSqQBXGIXjPe2Q9E3td6zMPz0z8jkiUihL7UO7W2HvQBJa5vu7lpCw9RCPYjSmU4vdgc%2FFe9CMKk1IJVcLZctz1wzdjK3K%2FMfQq%2B8ZIPb0loLu%2BjYsbVouaZCgp805pmksOcHdOzRZC30Q0KDPhQibhdrZ5D%2FHBCy1TTbZb3TG%2FHxRv3rk5SwTCiOoKmVSvHJOZNoGbTTlix3lf8VY6By99OiHuWNYxx%2B89R6eLyLMlw%2FGLvKmYuOYOGgUhZAMxtzwUThShhUH%2BCR9dtSZhOM5G3w%2F8c9hvk4jbtDAuc%2B%2FpYKJKXYuXkhAsydqXnf4MkJlKQPcxTjoHXdeMcIpthgorhmDo7lI2XRDkxx7aCf8ujNcz22tQwVE2LtJ5qpvXNKA1Q77p5Vum9mvbBtDxboE7FQYiLUNU57leMoc8b8db3arFhapTRiZt7i%2B6pGUt6j%2FzPpnUjW%2BsXEKGKUCy5108vmHSxXmbKZ9shYdz67QsO4rgoq2X%2Bn1gxOjjx5HDbllKDj56rjotcyH6hOfM4LcjTdd6DYcEL%2BU4swnHNcEdD0JKnF%2BNTc2KPD3RoIuy8mLNq95nNzZbsDKHZURcjm6zIKVqnu29wkQh5s6uBvnXU0ik7E4erO8z5agU9dpJJzOoEjLjrzo%2B5LwzdaA3M%2FD%2BNhXbGpf6lRObuMGXwD6UpKQziCmiDs%2FMPBL47MlRugInHmLd1hBHMWeki39CTKWDTGsqMo2iCXHzC4evkNUn4n7ZXeyx4SDox7MQsKi%2B3RtUbpw0pufBMsZT%2FeaJk0n4U3FJVhxp5vaIpg%2FtvnQEAb1HMLYUbIEmSW0Tc5ausZvn6MNl9TUrC%2Bh51Q7YV7GyLzF8ek4W2gKhyf8iFDdBPiDosMKSfxboGOrEBE6ErtL9PFF68LQ9O5zjxz76nG9xRZ0dQHIFgbjL4RyDI%2FAshLpm%2F2q%2FWcbzvdMJfJctHV437DMLGBG%2FKPtdmejjvpD2PTHNsGHFuVH7SC%2Bt4GHV73nQl8udpiNVaCKcw6v5AmJiCxc9JoDgQ%2BjZeO9iM4E7qbDgSu%2F%2BPeUFbm5FXs89Ay8Vnh1GKicTRnEyyXcdPzDMkFh84xL8fQr9PNg4l6tIQ2o9GHt1CYcGTm3g1&amp;X-Amz-Algorithm=AWS4-HMAC-SHA256&amp;X-Amz-Date=20241205T080133Z&amp;X-Amz-SignedHeaders=host&amp;X-Amz-Expires=300&amp;X-Amz-Credential=ASIAQ3PHCVTYSDIBDFCY%2F20241205%2Fus-east-1%2Fs3%2Faws4_request&amp;X-Amz-Signature=462312866376c0671ede0803ff613215c48b04991eeab79828a77be477489d25&amp;hash=72726888624c0856399957c31d3da89b5613a4f98aa84cf93524235dc45da4d2&amp;host=68042c943591013ac2b2430a89b270f6af2c76d8dfd086a07176afe7c76c2c61&amp;pii=S1875389214002491&amp;tid=spdf-5430f62d-cbb2-4d21-8934-16d98fbb4d33&amp;sid=08a3ef698a6b664aed38bda0ceaff4bd27acgxrqa&amp;type=client&amp;tsoh=d3d3LnNjaWVuY2VkaXJlY3QuY29t&amp;ua=020b5e01025057575006&amp;rr=8ed2823e8b1692fd&amp;cc=dk</t>
  </si>
  <si>
    <t>laser machining, metal, with CO2-laser, 2500W power</t>
  </si>
  <si>
    <t>From Energy and Resource Efficiency of Laser Cutting Processes, Karel Kellens, Goncalo Costa Rodrigues, Wim Dewulf, Joost R. Duflou*</t>
  </si>
  <si>
    <t>laser machining, metal, with YAG-laser, 600W power</t>
  </si>
  <si>
    <t>Water (kg)</t>
  </si>
  <si>
    <t>Medium</t>
  </si>
  <si>
    <t>Big</t>
  </si>
  <si>
    <t>Small</t>
  </si>
  <si>
    <t>Machine seize</t>
  </si>
  <si>
    <t>Machine operating hour</t>
  </si>
  <si>
    <t>Machine weight (tons)</t>
  </si>
  <si>
    <t>EF Machine kgCO2e /kg</t>
  </si>
  <si>
    <t>Source</t>
  </si>
  <si>
    <t>ADEME</t>
  </si>
  <si>
    <t>EF/min</t>
  </si>
  <si>
    <t>Comparison with Ecoinvent</t>
  </si>
  <si>
    <t>Laser cutting machine</t>
  </si>
  <si>
    <t>If we assumesd 1 kg is removed in 1 min</t>
  </si>
  <si>
    <t>Machine  weight (ton)</t>
  </si>
  <si>
    <t>Very small</t>
  </si>
  <si>
    <t>Electricity (W)</t>
  </si>
  <si>
    <t>Carbon dioxide (kg)</t>
  </si>
  <si>
    <t>Nitrogen (kg)</t>
  </si>
  <si>
    <t>4 kW Fiber laser machine</t>
  </si>
  <si>
    <t>1 kW Fiber laser machine</t>
  </si>
  <si>
    <t>20 kW Fiber laser machine</t>
  </si>
  <si>
    <t>https://www.xtlaser.com/laser-cutting-consumption/ , https://www.accurl.com/blog/laser-cutting-power-consumption/</t>
  </si>
  <si>
    <t>The article from ACCURL on laser consumption has been used</t>
  </si>
  <si>
    <t>Natural gas (MJ)</t>
  </si>
  <si>
    <t>Oil consumption (kg)/min</t>
  </si>
  <si>
    <t xml:space="preserve">Drilling </t>
  </si>
  <si>
    <t xml:space="preserve">Milling  </t>
  </si>
  <si>
    <t xml:space="preserve">CNC Drilling </t>
  </si>
  <si>
    <t xml:space="preserve">CNC Milling </t>
  </si>
  <si>
    <t xml:space="preserve">Lathe </t>
  </si>
  <si>
    <t xml:space="preserve">CNC Lathe  </t>
  </si>
  <si>
    <t xml:space="preserve">Turning </t>
  </si>
  <si>
    <t xml:space="preserve">CNC Turning </t>
  </si>
  <si>
    <t>Oil / cutting fluid (kg)</t>
  </si>
  <si>
    <t>Compressed air (M3)</t>
  </si>
  <si>
    <t>GLC Gas-assisted Laser Cutting</t>
  </si>
  <si>
    <t xml:space="preserve">Wire drawing  </t>
  </si>
  <si>
    <t>It is assumed that there are two lubricants, soap based and oil based. A coating is applied to the wire surface before drawing to improve lubrication and reduce die wear. Bfore and after drawing there is a cleaning with hydrochloric acid or sulfuric acid and compressed air is used.</t>
  </si>
  <si>
    <t xml:space="preserve"> ton imcluding preparation and cooling time. Using the research paper Carbon footprint of the hot-dip galvanisation process using a life cycle assessment
approach by maria margallo and ane urtiaga, the LCI has been assumed. Look  it assumption for more details.</t>
  </si>
  <si>
    <t>Assumption for Galvinizing</t>
  </si>
  <si>
    <t>LCI input/output</t>
  </si>
  <si>
    <t>Time needed per tonne of steel (min)</t>
  </si>
  <si>
    <t>Wire</t>
  </si>
  <si>
    <t>We do not take steel into account, neither the tranposrt for the waste</t>
  </si>
  <si>
    <t>Carbon footprint kgCo2e/quantity</t>
  </si>
  <si>
    <t>kgCO2/unit</t>
  </si>
  <si>
    <t>Propane (kg)</t>
  </si>
  <si>
    <t>Zinc(kg)</t>
  </si>
  <si>
    <t>HCL(kg)</t>
  </si>
  <si>
    <t>H2O2(kg)</t>
  </si>
  <si>
    <t>NH3(kg)</t>
  </si>
  <si>
    <t>NaOH(kg)</t>
  </si>
  <si>
    <t>KOH(kg)</t>
  </si>
  <si>
    <t>Tap water(kg)</t>
  </si>
  <si>
    <t>Electricity (kWh)</t>
  </si>
  <si>
    <t>Quantity/min</t>
  </si>
  <si>
    <t>https://pdf.sciencedirectassets.com/777799/1-s2.0-S2666790820X00036/1-s2.0-S266679082100001X/main.pdf?X-Amz-Security-Token=IQoJb3JpZ2luX2VjELf%2F%2F%2F%2F%2F%2F%2F%2F%2F%2FwEaCXVzLWVhc3QtMSJHMEUCIElqePDzmyiHeOJmK0i1OaGmLw1FzXRYtVT2Yu5sW4TyAiEAxDsjSoKya5I4l002r6phH32bdfG0jKtn27BxH0HAek8qswUIcBAFGgwwNTkwMDM1NDY4NjUiDBjKddScOn7lUTrv%2FiqQBWYh53sJgGVjb8hBTQG2i714LXCpxEF2RMKJk31J5gSzMPMQuYQBTvp%2Fxo%2BLk4caMJVer30%2BOo44EJFadbJbTaulvDspxL1MyIDaMEDDKke29AWJu7piRJIyF98%2B%2Ft3Jd4AyjWF1QOypmfJzRwy2DkOGxJIkA5hj%2FeAwvZ7cFAIprEtIsECnXzEBrwszrVnRa5XT%2BdRlPSeKzEfJ0OsVRyetiJmdsHSgPoseQ4d49gzONa%2B4r15XluWBa7ow%2B2HMWzYG1MLILhpomRU7YureaHRkPa%2BsoNQuBmKqSHBZ48%2FyxwpRGilt9N2M0zQ5P7f%2BDZ%2FdtIo4x2NSilKorSFxqOUlX7VHUnvIZN6XEB886686iGf8tWMGBZfnsBA9BYN6aJsD2BV2QFVDG0ff2CjBfAz83UN0uaq4j%2Fjore3KeYPxlAnyNDjnzFPsNh3gZ7MJxmFMg5FzTfPelYpKC3pnGn9R5PZGzTHthh2xONrCR%2FQL0UbE%2FEf8qar%2BnSsk8%2BxYmxJnT5O%2Fza7%2FT9rjbWXWDqO8%2FFUoZgunw76pJwH36rnb192J%2FYEAmF8AZBAmqFKwhmKBAuhAOiDTYO4aMeNI5EC3OlcYEoY9DVfXBi5h%2BjFC5sOco0aRrrI9Ukm5FJNQO4jSZKMumRhUXBhnvEXP142AxsVtazHYEIsjJTxcq%2BUJ1BSPk5rPg0p1cQwsyLfG4nSjF1GTTQVlFPZpH3aTqbk0FzEjlc2NwN9IZ5Dt7wdYWmmrJgMk8ff5AvV%2FT10k%2BPZh%2FYaDki%2FaITFVMTd3CCmhubusxkCNti%2FMBrZSzNYhQdJIF%2BjjO3LJmtBn%2BAlG2deIz4EpMVnZEoiGR7lWeodYxnPEdX6NbZsnKVd%2B4wtBMIWp2roGOrEBFW8cV7RmalaL4h3zDCW3%2FnTE%2FJAtoJwuOg11Gs4puzQ%2BJYwp4WROc8imRjcSvphIFVmDKuFXeuFHl2lJHV4UfXzRrxUtXG4UrDjmXxBOKOnlewnFjnmWwZu1NYZXGMRTuNAkvQItQcd9zGy%2BQ88zkXAofOj%2Bx%2Bn%2Fb854cTlyFVGpzuNhC%2B3Z0KNiEwibVZJsk4o%2B4%2FCDHL%2FQLoUj6DeInJ%2FgmuuBF%2Bh8nw8VV27CYu%2BK&amp;X-Amz-Algorithm=AWS4-HMAC-SHA256&amp;X-Amz-Date=20241209T074556Z&amp;X-Amz-SignedHeaders=host&amp;X-Amz-Expires=300&amp;X-Amz-Credential=ASIAQ3PHCVTYZ6ENKB6P%2F20241209%2Fus-east-1%2Fs3%2Faws4_request&amp;X-Amz-Signature=e165ace4f336b4469542667ac33d09eae1e37e45529ebf94d9648cc0a1c3e9cd&amp;hash=f293790a00a4c067a944639ad3842df5b0ba191184c55e6d5820f38e82cc7150&amp;host=68042c943591013ac2b2430a89b270f6af2c76d8dfd086a07176afe7c76c2c61&amp;pii=S266679082100001X&amp;tid=spdf-64ccd5b9-bbac-4b27-bc72-175b5b510e39&amp;sid=cdd8fe8327284540311a56932d073a4606eagxrqa&amp;type=client&amp;tsoh=d3d3LnNjaWVuY2VkaXJlY3QuY29t&amp;ua=020b5e01005159550654&amp;rr=8ef360e73d7e929e&amp;cc=dk</t>
  </si>
  <si>
    <t>It has been done using the LCI given in the article Carbon footpirnt of the hot-dip galvanisation process using a life cycles assessment approach, Andrea Arguillarena, Maria Margallo, Ane Urtiaga -  Scenatio 1</t>
  </si>
  <si>
    <t>Waste management (kg)</t>
  </si>
  <si>
    <t>negligelable</t>
  </si>
  <si>
    <t>negligeabel</t>
  </si>
  <si>
    <t>HCL (kg)</t>
  </si>
  <si>
    <t>H2O2 (kg)</t>
  </si>
  <si>
    <t>Ammonia (kg)</t>
  </si>
  <si>
    <t>Quantity/hou</t>
  </si>
  <si>
    <t>It has been done using the LCI given in the article Carbon footpirnt of the hot-dip galvanisation process using a life cycles assessment approach, Andrea Arguillarena, Maria Margallo, Ane Urtiaga. However less heat is used, 0.6 MJ/min are used.</t>
  </si>
  <si>
    <t>It has been done using the LCI given in the article Carbon footpirnt of the hot-dip galvanisation process using a life cycles assessment approach, Andrea Arguillarena, Maria Margallo, Ane Urtiaga. However less heat is used, 0.25 MJ/min are used.</t>
  </si>
  <si>
    <t>Assumption for Degreasing with alkine bath</t>
  </si>
  <si>
    <t>Input comes from simplified life cycle assessment and analysis of remanufacturing cleaning technologies, Shi Tong Peng</t>
  </si>
  <si>
    <t>Water</t>
  </si>
  <si>
    <t>Electricity</t>
  </si>
  <si>
    <t>Gas for heating</t>
  </si>
  <si>
    <t xml:space="preserve">Assumption for Spray Degreasing </t>
  </si>
  <si>
    <t>It is also said : The alkaline agents, included
in the degreasing agent are sodium hydroxide, sodium carbonate, sodium silicate
[6], ethanolamines, and the corrosion inhibitors sodium phosphates, surfactants and
detergent surfactants. And it is considered as hasardous waste.</t>
  </si>
  <si>
    <t>IT  uses 10% water that in spray. Moreover it is say that they are changing the tank weekly. If we assume a tank of 2000 L, that runs for 1 week to 4800 min it is a consumption of 0,41 L per min for rinsing. With the percentage shown in the article we can conclude that 0.08 are used per min for he dip degreasing while only 0.02 are used for the spray deagresang</t>
  </si>
  <si>
    <t>Quntity</t>
  </si>
  <si>
    <t>Water L</t>
  </si>
  <si>
    <t>https://acta.uni-obuda.hu/Vass_Farkas_Gyorok_150.pdf</t>
  </si>
  <si>
    <t>According to the open top washing machines described by Kikuchi and Hirao (2008) it is 6.14 kg per  square meter</t>
  </si>
  <si>
    <t>It is assumed that in 1 min 0.5 squre meter. If it is say that the immersion si 10-30 min per batch, 2-4 batches are done per hours considering drying times. If the tank holds 5-10 square meter per batch. We can then assume the average that 4bacth/hours holding 15 sqaure metr of steel = 1 m2 per min</t>
  </si>
  <si>
    <t>We said that it is a littl ebit loinger than with bath degreasing so 0.7 m2 are done in 1 min</t>
  </si>
  <si>
    <t>Chemical</t>
  </si>
  <si>
    <t>chemical</t>
  </si>
  <si>
    <t>We assume it uses 10 more than in an alkine bath</t>
  </si>
  <si>
    <t>It is open loop and continious</t>
  </si>
  <si>
    <t>100Watt</t>
  </si>
  <si>
    <t>Gas heating</t>
  </si>
  <si>
    <t>3000 kW</t>
  </si>
  <si>
    <t>It is using several researches such as Environmental Effects of Alkaline Degreasing
for Automotive, Boat and Machine Industry
Purposes from Acta polytechnica Hungarica, 2024 / Simplified Life Cycle Assessment and Analysis of Remanufacturing Cleaning Technologies from Shi Tong Peng and assumption, see assumption page</t>
  </si>
  <si>
    <t>Shot blasting</t>
  </si>
  <si>
    <t>Liquid blasting</t>
  </si>
  <si>
    <t>https://granalladopro.com/no-1-of-completely-shot-blasting-machine-guideline/</t>
  </si>
  <si>
    <t>Assumption for Shoot blasting</t>
  </si>
  <si>
    <t>Quntity per m2</t>
  </si>
  <si>
    <t>Quantity per min</t>
  </si>
  <si>
    <t>Assumption for Liquid blasting</t>
  </si>
  <si>
    <t>Electricity kWh</t>
  </si>
  <si>
    <t>Abrasive kg</t>
  </si>
  <si>
    <t>water kg</t>
  </si>
  <si>
    <t>Steel shot kg</t>
  </si>
  <si>
    <t>Calcualtion of power in Kwatt:</t>
  </si>
  <si>
    <t>It is assumed that 10 m2 are done per min</t>
  </si>
  <si>
    <t>The article Simplified Life Cycle Assessment and Analysis of Remanufacturing Cleaning
Technologies, 2015m Shi Tong Peng has been used. Moreover , According to research, IT varies between 5-200 m2 per hour - granalladopro . https://granalladopro.com/no-1-of-completely-shot-blasting-machine-guideline/. HOwever 10 m2/ hour are taken to aligned with the LCI and have coherent data</t>
  </si>
  <si>
    <t xml:space="preserve">https://www.xtlaser.com/laser-cutting-consumption/ , https://www.accurl.com/blog/laser-cutting-power-consumption/ , </t>
  </si>
  <si>
    <t>Research indicates that the primary energy source is electricity, with a cooling system similar to the one a little CO2 laser machine.  Paper : Energy and Resource Efficiency of Laser Cutting Processes Karel Kellens, Goncalo Costa Rodrigues, Wim Dewulf, Joost R. Duflou</t>
  </si>
  <si>
    <t>Assumptions based on the result of the CO2 laser machinie has been done</t>
  </si>
  <si>
    <t>YAG og 50W is used</t>
  </si>
  <si>
    <t>It sues the research : Life cycle assessment of the rolling process of thin
aluminum sheets, Ersilia Cozzolino</t>
  </si>
  <si>
    <t>https://www.tandfonline.com/doi/pdf/10.1080/10426914.2024.2395004?casa_token=amSEK2bLioEAAAAA:bmWHK28l5iTLkMRCG6LeJvQlE2-nN5yXfaOcfm4hvaeShaRhMQRF1fjtzpFTUye1USc4q9Nqt4uo</t>
  </si>
  <si>
    <t>It is estimated 10 kg per min. It fits the research paper  cf link</t>
  </si>
  <si>
    <t>7454 kg formed</t>
  </si>
  <si>
    <t>Heat treatment</t>
  </si>
  <si>
    <t>It is aligned with benchmark and the LCI of the research paper</t>
  </si>
  <si>
    <t>The research paper Life cycle assessment of the rolling process of thin
aluminum sheets, Ersilia Cozzolino, Antonello Astarita, Maria De Luca &amp; Ciro Sinagra, has been used for the LCI</t>
  </si>
  <si>
    <t>Using a power of 10,000 W and the electricity consumption provided in the article (in kWh) for the formation of 7,454 kg of steel, it is assumed that the time required for the formation of 7,454 kg of steel is 19 hours.</t>
  </si>
  <si>
    <t>It is asssummed that it is mainly due to electricity</t>
  </si>
  <si>
    <t>deep drawing, steel</t>
  </si>
  <si>
    <t>It is assumed that electricity is the main impact as shown in this research paper: Life Cycle Assessment of Plastic Components
in the Production of Automotive Filter, Hadi Sutanto1
*, Kelvin Rumende2</t>
  </si>
  <si>
    <t>It is assumed that electricity is the main impact as shown in this research paper: Life Cycle Assessment of Plastic Components
in the Production of Automotive Filter, Hadi Sutanto1
*, Kelvin Rumende3</t>
  </si>
  <si>
    <t>It is assumed that electricity is the main impact as shown in this research paper: Life Cycle Assessment of Plastic Components
in the Production of Automotive Filter, Hadi Sutanto1
*, Kelvin Rumende4</t>
  </si>
  <si>
    <t>It is assumed that electricity is the main impact as shown in this research paper: Life Cycle Assessment of Plastic Components
in the Production of Automotive Filter, Hadi Sutanto1
*, Kelvin Rumende5</t>
  </si>
  <si>
    <t>It is assumed that electricity is the main impact as shown in this research paper: Life Cycle Assessment of Plastic Components
in the Production of Automotive Filter, Hadi Sutanto1
*, Kelvin Rumende6</t>
  </si>
  <si>
    <t>It is assumed that electricity is the main impact as shown in this research paper: Life Cycle Assessment of Plastic Components
in the Production of Automotive Filter, Hadi Sutanto1
*, Kelvin Rumende7</t>
  </si>
  <si>
    <t>It is assumed that electricity is the main impact as shown in this research paper: Life Cycle Assessment of Plastic Components
in the Production of Automotive Filter, Hadi Sutanto1
*, Kelvin Rumende8</t>
  </si>
  <si>
    <t>It is assumed that electricity is the main impact as shown in this research paper: Life Cycle Assessment of Plastic Components
in the Production of Automotive Filter, Hadi Sutanto1
*, Kelvin Rumende9</t>
  </si>
  <si>
    <t>It is assumed that electricity is the main impact as shown in this research paper: Life Cycle Assessment of Plastic Components
in the Production of Automotive Filter, Hadi Sutanto1
*, Kelvin Rumende10</t>
  </si>
  <si>
    <t>It is assumed that electricity is the main impact as shown in this research paper: Life Cycle Assessment of Plastic Components
in the Production of Automotive Filter, Hadi Sutanto1
*, Kelvin Rumende11</t>
  </si>
  <si>
    <t>It is assumed that electricity is the main impact as shown in this research paper: Life Cycle Assessment of Plastic Components
in the Production of Automotive Filter, Hadi Sutanto1
*, Kelvin Rumende12</t>
  </si>
  <si>
    <t>It is assumed that electricity is the main impact as shown in this research paper: Life Cycle Assessment of Plastic Components
in the Production of Automotive Filter, Hadi Sutanto1
*, Kelvin Rumende13</t>
  </si>
  <si>
    <t>It is assumed that electricity is the main impact as shown in this research paper: Life Cycle Assessment of Plastic Components
in the Production of Automotive Filter, Hadi Sutanto1
*, Kelvin Rumende14</t>
  </si>
  <si>
    <t>It is assumed that electricity is the main impact as shown in this research paper: Life Cycle Assessment of Plastic Components
in the Production of Automotive Filter, Hadi Sutanto1
*, Kelvin Rumende15</t>
  </si>
  <si>
    <t>It is assumed that electricity is the main impact as shown in this research paper: Life Cycle Assessment of Plastic Components
in the Production of Automotive Filter, Hadi Sutanto1
*, Kelvin Rumende16</t>
  </si>
  <si>
    <t>It is assumed that electricity is the main impact as shown in this research paper: Life Cycle Assessment of Plastic Components
in the Production of Automotive Filter, Hadi Sutanto1
*, Kelvin Rumende17</t>
  </si>
  <si>
    <t>It is assumed that electricity is the main impact as shown in this research paper: Life Cycle Assessment of Plastic Components
in the Production of Automotive Filter, Hadi Sutanto1
*, Kelvin Rumende18</t>
  </si>
  <si>
    <t>It is assumed that electricity is the main impact as shown in this research paper: Life Cycle Assessment of Plastic Components
in the Production of Automotive Filter, Hadi Sutanto1
*, Kelvin Rumende19</t>
  </si>
  <si>
    <t>It is assumed that electricity is the main impact as shown in this research paper: Life Cycle Assessment of Plastic Components
in the Production of Automotive Filter, Hadi Sutanto1
*, Kelvin Rumende20</t>
  </si>
  <si>
    <t>It is assumed that electricity is the main impact as shown in this research paper: Life Cycle Assessment of Plastic Components
in the Production of Automotive Filter, Hadi Sutanto1
*, Kelvin Rumende21</t>
  </si>
  <si>
    <t>It is assumed that electricity is the main impact as shown in this research paper: Life Cycle Assessment of Plastic Components
in the Production of Automotive Filter, Hadi Sutanto1
*, Kelvin Rumende22</t>
  </si>
  <si>
    <t>It is assumed that electricity is the main impact as shown in this research paper: Life Cycle Assessment of Plastic Components
in the Production of Automotive Filter, Hadi Sutanto1
*, Kelvin Rumende23</t>
  </si>
  <si>
    <t>It is assumed that electricity is the main impact as shown in this research paper: Life Cycle Assessment of Plastic Components
in the Production of Automotive Filter, Hadi Sutanto1
*, Kelvin Rumende24</t>
  </si>
  <si>
    <t>It is assumed that electricity is the main impact as shown in this research paper: Life Cycle Assessment of Plastic Components
in the Production of Automotive Filter, Hadi Sutanto1
*, Kelvin Rumende25</t>
  </si>
  <si>
    <t>It is assumed that electricity is the main impact as shown in this research paper: Life Cycle Assessment of Plastic Components
in the Production of Automotive Filter, Hadi Sutanto1
*, Kelvin Rumende26</t>
  </si>
  <si>
    <t>It is assumed that electricity is the main impact as shown in this research paper: Life Cycle Assessment of Plastic Components
in the Production of Automotive Filter, Hadi Sutanto1
*, Kelvin Rumende27</t>
  </si>
  <si>
    <t>It is assumed that electricity is the main impact as shown in this research paper: Life Cycle Assessment of Plastic Components
in the Production of Automotive Filter, Hadi Sutanto1
*, Kelvin Rumende28</t>
  </si>
  <si>
    <t>It is assumed that electricity is the main impact as shown in this research paper: Life Cycle Assessment of Plastic Components
in the Production of Automotive Filter, Hadi Sutanto1
*, Kelvin Rumende29</t>
  </si>
  <si>
    <t>It is assumed that electricity is the main impact as shown in this research paper: Life Cycle Assessment of Plastic Components
in the Production of Automotive Filter, Hadi Sutanto1
*, Kelvin Rumende30</t>
  </si>
  <si>
    <t>It is assumed that electricity is the main impact as shown in this research paper: Life Cycle Assessment of Plastic Components
in the Production of Automotive Filter, Hadi Sutanto1
*, Kelvin Rumende31</t>
  </si>
  <si>
    <t>It is assumed that electricity is the main impact as shown in this research paper: Life Cycle Assessment of Plastic Components
in the Production of Automotive Filter, Hadi Sutanto1
*, Kelvin Rumende32</t>
  </si>
  <si>
    <t>It is assumed that electricity is the main impact as shown in this research paper: Life Cycle Assessment of Plastic Components
in the Production of Automotive Filter, Hadi Sutanto1
*, Kelvin Rumende33</t>
  </si>
  <si>
    <t>It is assumed that electricity is the main impact as shown in this research paper: Life Cycle Assessment of Plastic Components
in the Production of Automotive Filter, Hadi Sutanto1
*, Kelvin Rumende34</t>
  </si>
  <si>
    <t>It is assumed that electricity is the main impact as shown in this research paper: Life Cycle Assessment of Plastic Components
in the Production of Automotive Filter, Hadi Sutanto1
*, Kelvin Rumende35</t>
  </si>
  <si>
    <t>It is assumed that electricity is the main impact as shown in this research paper: Life Cycle Assessment of Plastic Components
in the Production of Automotive Filter, Hadi Sutanto1
*, Kelvin Rumende36</t>
  </si>
  <si>
    <t>It is assumed that electricity is the main impact as shown in this research paper: Life Cycle Assessment of Plastic Components
in the Production of Automotive Filter, Hadi Sutanto1
*, Kelvin Rumende37</t>
  </si>
  <si>
    <t>It is assumed that electricity is the main impact as shown in this research paper: Life Cycle Assessment of Plastic Components
in the Production of Automotive Filter, Hadi Sutanto1
*, Kelvin Rumende38</t>
  </si>
  <si>
    <t>It is assumed that electricity is the main impact as shown in this research paper: Life Cycle Assessment of Plastic Components
in the Production of Automotive Filter, Hadi Sutanto1
*, Kelvin Rumende39</t>
  </si>
  <si>
    <t>It is assumed that electricity is the main impact as shown in this research paper: Life Cycle Assessment of Plastic Components
in the Production of Automotive Filter, Hadi Sutanto1
*, Kelvin Rumende40</t>
  </si>
  <si>
    <t>It is assumed that electricity is the main impact as shown in this research paper: Life Cycle Assessment of Plastic Components
in the Production of Automotive Filter, Hadi Sutanto1
*, Kelvin Rumende41</t>
  </si>
  <si>
    <t>It is assumed that electricity is the main impact as shown in this research paper: Life Cycle Assessment of Plastic Components
in the Production of Automotive Filter, Hadi Sutanto1
*, Kelvin Rumende42</t>
  </si>
  <si>
    <t>It is assumed that electricity is the main impact as shown in this research paper: Life Cycle Assessment of Plastic Components
in the Production of Automotive Filter, Hadi Sutanto1
*, Kelvin Rumende43</t>
  </si>
  <si>
    <t>It is assumed that electricity is the main impact as shown in this research paper: Life Cycle Assessment of Plastic Components
in the Production of Automotive Filter, Hadi Sutanto1
*, Kelvin Rumende44</t>
  </si>
  <si>
    <t>It is assumed that electricity is the main impact as shown in this research paper: Life Cycle Assessment of Plastic Components
in the Production of Automotive Filter, Hadi Sutanto1
*, Kelvin Rumende45</t>
  </si>
  <si>
    <t>It is assumed that electricity is the main impact as shown in this research paper: Life Cycle Assessment of Plastic Components
in the Production of Automotive Filter, Hadi Sutanto1
*, Kelvin Rumende46</t>
  </si>
  <si>
    <t>It is assumed that electricity is the main impact as shown in this research paper: Life Cycle Assessment of Plastic Components
in the Production of Automotive Filter, Hadi Sutanto1
*, Kelvin Rumende47</t>
  </si>
  <si>
    <t>It is assumed that electricity is the main impact as shown in this research paper: Life Cycle Assessment of Plastic Components
in the Production of Automotive Filter, Hadi Sutanto1
*, Kelvin Rumende48</t>
  </si>
  <si>
    <t>It is assumed that electricity is the main impact as shown in this research paper: Life Cycle Assessment of Plastic Components
in the Production of Automotive Filter, Hadi Sutanto1
*, Kelvin Rumende49</t>
  </si>
  <si>
    <t>It is assumed that electricity is the main impact as shown in this research paper: Life Cycle Assessment of Plastic Components
in the Production of Automotive Filter, Hadi Sutanto1
*, Kelvin Rumende50</t>
  </si>
  <si>
    <t>It is assumed that electricity is the main impact as shown in this research paper: Life Cycle Assessment of Plastic Components
in the Production of Automotive Filter, Hadi Sutanto1
*, Kelvin Rumende51</t>
  </si>
  <si>
    <t>https://www.pjoes.com/pdf-144100-75691?filename=75691.pdf</t>
  </si>
  <si>
    <t>deep drawing, steel,</t>
  </si>
  <si>
    <t>It has been assumed that it is mainly electricity and compressed air</t>
  </si>
  <si>
    <t>It is based on the research and assumptions</t>
  </si>
  <si>
    <t>id in the platform</t>
  </si>
  <si>
    <t>Sodium hydroxide (kg)</t>
  </si>
  <si>
    <t>Low alloy steel (kg)</t>
  </si>
  <si>
    <t>Industrial gases production</t>
  </si>
  <si>
    <t>Rutile (kg)</t>
  </si>
  <si>
    <t>Slag (kg)</t>
  </si>
  <si>
    <t>Phosphate, Borax (kg)</t>
  </si>
  <si>
    <t>Alkine chemicals (kg)</t>
  </si>
  <si>
    <t>Aluminium d oxide (kg)</t>
  </si>
  <si>
    <t>Deionized water (kg)</t>
  </si>
  <si>
    <t>Activated carbon, granular (kg)</t>
  </si>
  <si>
    <t>Treatement of activated carbon granular (kg)</t>
  </si>
  <si>
    <t>Treatment of waste water (kg)</t>
  </si>
  <si>
    <t>Treatment of waste oil / cutting fluid (kg)</t>
  </si>
  <si>
    <t>Ref number</t>
  </si>
  <si>
    <t>Link</t>
  </si>
  <si>
    <t>Machine  weight (ton * min)</t>
  </si>
  <si>
    <t>https://base-empreinte.ademe.fr/donnees/jeu-donnees</t>
  </si>
  <si>
    <t>Machines et équipements &gt; Achats de matière et de biens (5),(4. Emissions indirectes associées aux produits achetés )</t>
  </si>
  <si>
    <t>ASTEE</t>
  </si>
  <si>
    <t>No access to biogenic, landuse and fossil</t>
  </si>
  <si>
    <t>ton*min</t>
  </si>
  <si>
    <t>Eau potable, mix de provenances</t>
  </si>
  <si>
    <t>Produits agro-alimentaires, plats préparés et boissons &gt; Achats de matière et de biens (1),</t>
  </si>
  <si>
    <t>Gaz naturel</t>
  </si>
  <si>
    <t>Dioxyde de carbone d'origine chimique</t>
  </si>
  <si>
    <t>Zink (kg)</t>
  </si>
  <si>
    <t>Dry soap lubrificant (kg)</t>
  </si>
  <si>
    <t>Plaque en acier, RER</t>
  </si>
  <si>
    <t>https://www.epd-norge.no/epder/kjemikalier/hydrochloric-acid</t>
  </si>
  <si>
    <t>NEPD-3015-1686</t>
  </si>
  <si>
    <t>epd-norway</t>
  </si>
  <si>
    <t>NEPD-3016-1686</t>
  </si>
  <si>
    <t>https://www.epd-norge.no/epder/kjemikalier/sodium-hydroxide</t>
  </si>
  <si>
    <t>Mise en décharge de déchets biodégradables, RER plsu the process incinération de déchets - Déchets biodégradables, RER</t>
  </si>
  <si>
    <t>Zinc/neuf</t>
  </si>
  <si>
    <t>NEPD-3714-2656-EN</t>
  </si>
  <si>
    <t>The Norwegian EPD Foundation</t>
  </si>
  <si>
    <t>https://www.epd-norge.no/getfile.php/1325737-1716929865/EPDer/Emballasje/NEPD-3714-2656_Hexagon-Ragasco-Composite-LPG-Cylinder-24-5-l.pdf</t>
  </si>
  <si>
    <t>https://www.environdec.com/library/epd11034</t>
  </si>
  <si>
    <t>EPD-IES-0011034:001 (S-P-11034)</t>
  </si>
  <si>
    <t>EPD International</t>
  </si>
  <si>
    <t>1kg</t>
  </si>
  <si>
    <t>[Obsolète] Traitement de purge alcaline; mix national français</t>
  </si>
  <si>
    <t>EPD-IES-0007577:001 (S-P-07577)</t>
  </si>
  <si>
    <t>https://www.environdec.com/library/epd7577</t>
  </si>
  <si>
    <t>Savon solide</t>
  </si>
  <si>
    <t>https://info.nsf.org/Certified/Sustain/ProdCert/EPD10565.pdf</t>
  </si>
  <si>
    <t>EPD10565</t>
  </si>
  <si>
    <t>NSF</t>
  </si>
  <si>
    <t>EPD-IES-0012685:001 (S-P-12685)</t>
  </si>
  <si>
    <t>https://www.environdec.com/library/epd12685</t>
  </si>
  <si>
    <t>Assumptino for compressed air emissions</t>
  </si>
  <si>
    <t>Only the electricity needed to compress the air has been considered. The kWh needed has been calculated in the assumption and euroipenam mix is used here.</t>
  </si>
  <si>
    <t>For electricity : ADEME RER</t>
  </si>
  <si>
    <t>Mix électrique réseau, moyenne, RER</t>
  </si>
  <si>
    <t>If we assume 80% efficiency :</t>
  </si>
  <si>
    <t>IPCC</t>
  </si>
  <si>
    <t>https://www.ipcc-nggip.iges.or.jp/efdb/find_ef.php?ipcc_code=2.B.6&amp;ipcc_level=2</t>
  </si>
  <si>
    <t>214002 </t>
  </si>
  <si>
    <t>No access to biogenic, landuse and fossil, and CO2 has been used</t>
  </si>
  <si>
    <t>CarbonCLoud</t>
  </si>
  <si>
    <t>https://apps.carboncloud.com/climatehub/product-reports/id/42847031980</t>
  </si>
  <si>
    <t>Nitrogen (liquid N2). E941</t>
  </si>
  <si>
    <t>It is for liquid gas but 1kg of liquid nitrogen is approx equal to 1kg of gas nitrogen</t>
  </si>
  <si>
    <t>https://legacy.winnipeg.ca/finance/findata/matmgt/documents/2012/682-2012/682-2012_appendix_h-wstp_south_end_plant_process_selection_report/appendix%207.pdf</t>
  </si>
  <si>
    <t>Ammonia, liquid, NH3</t>
  </si>
  <si>
    <t>legacy.winnipeg.ca</t>
  </si>
  <si>
    <t>iscc-system</t>
  </si>
  <si>
    <t>https://www.iscc-system.org/wp-content/uploads/2022/05/ISCC_EU_205_Greenhouse-Gas-Emissions-v4.0.pdf</t>
  </si>
  <si>
    <t>Activated carbon AC mineral prod.</t>
  </si>
  <si>
    <t>The doc LIFE CYCLE IMPACT ASSESSMENT AND ECONOMIC EVALUATION OF MATERIAL CUTTING TECHNOLOGIES has been used to generate an LCI. Moreover the water conusmptino is assumed to be 2L per min as setted in OMAX company</t>
  </si>
  <si>
    <t>https://www.researchgate.net/publication/361025408_LIFE_CYCLE_IMPACT_ASSESSMENT_AND_ECONOMIC_EVALUATION_OF_MATERIAL_CUTTING_TECHNOLOGIES , https://www.omax.com/en/us/media-center/tips/treat-water-my-waterjet#:~:text=Waterjets%20use%20between%20one%20half,used%20to%20cool%20the%20pump.</t>
  </si>
  <si>
    <t xml:space="preserve">It is assumed based on benchmarch, that it iuses 2000W and 3 kg of water per min </t>
  </si>
  <si>
    <t>Just power has been considered</t>
  </si>
  <si>
    <t xml:space="preserve">It is assumed the heat for the oven, moreover the sudium hydroxide for the cleaning during the pretretment and the water for both, cleaning and pretretment. </t>
  </si>
  <si>
    <t>It is assumed that the heat for the oven, as well as the sodium hydroxide for cleaning during the pretreatment, and the water for both cleaning and pretreatment are provided.</t>
  </si>
  <si>
    <t>It is assumed that there are two types of lubricants: soap-based and oil-based. A coating is applied to the wire surface before drawing to improve lubrication and reduce die wear. Before and after drawing, cleaning is done with hydrochloric acid or sulfuric acid, and compressed air is used.</t>
  </si>
  <si>
    <t>It has been done using the LCI given in the article Carbon footpirnt of the hot-dip galvanisation process using a life cycles assessment approach, Andrea Arguillarena, Maria Margallo, Ane Urtiaga. Time is including preparation and cooling time. Using the research paper Carbon Footprint of the Hot-Dip Galvanization Process Using a Life Cycle Assessment Approach by Maria Margallo and Ane Urtiaga, the LCI has been assumed. See its assumptions for more details. Moreover we know that it mainly rely on gas.</t>
  </si>
  <si>
    <t>Electrical Discharge Machine</t>
  </si>
  <si>
    <t>Manual Welding GMAW, MIG</t>
  </si>
  <si>
    <t>Spring coiling</t>
  </si>
  <si>
    <t>Wire Electrical Discharge Machine</t>
  </si>
  <si>
    <t>Micro Electrical Discharge Machine</t>
  </si>
  <si>
    <t>Automatic Welding GMAW, Automatic MIG</t>
  </si>
  <si>
    <t>Electric injection molding, (800 tons)</t>
  </si>
  <si>
    <t>Laser machining, metal, with CO2-laser and a laser beam capacity of 2000W</t>
  </si>
  <si>
    <t>laser machining, metal, with YAG-laser, 120W power</t>
  </si>
  <si>
    <t>Drilling (MRR of 600 cm3/min)</t>
  </si>
  <si>
    <t>CNC Drilling (MRR of 600 cm3/min)</t>
  </si>
  <si>
    <t>Metal bendsaw cutting</t>
  </si>
  <si>
    <t>CNC Milling  (MRR of 1500 cm3/min)</t>
  </si>
  <si>
    <t>Milling  (MRR of 1500 cm3/min)</t>
  </si>
  <si>
    <t>Lathe  (MRR of 1500 cm3/min)</t>
  </si>
  <si>
    <t>CNC Lathe  (MRR of 1500 cm3/min)</t>
  </si>
  <si>
    <t>Welding arc (average MIG, MAG)</t>
  </si>
  <si>
    <t>Deep drawing, steel, 10000 kN press, automode</t>
  </si>
  <si>
    <t>Wire drawing  (90m/min)</t>
  </si>
  <si>
    <t>Turning  (MRR of 1500 cm3/min)</t>
  </si>
  <si>
    <t>CNC Turning  (MRR of 1500 cm3/min)</t>
  </si>
  <si>
    <t>Fluidized bed sintering power coating</t>
  </si>
  <si>
    <t>Impact extrusion of steel, cold, tempering</t>
  </si>
  <si>
    <t>Electric injection molding, (1000 tons)</t>
  </si>
  <si>
    <t>Wire drawing  (50m/min)</t>
  </si>
  <si>
    <t>Welding gas</t>
  </si>
  <si>
    <t>Deep drawing, steel, 38000 kN press, single stroke</t>
  </si>
  <si>
    <t>CNC Milling  (MRR of 100 cm3/min)</t>
  </si>
  <si>
    <t>Deep drawing, steel, 3500 kN press, automode</t>
  </si>
  <si>
    <t>Deep drawing, steel, 10000 kN press, single stroke</t>
  </si>
  <si>
    <t>Deep drawing, steel, 3500 kN press, single stroke</t>
  </si>
  <si>
    <t>CNC Milling  (MRR of 10 cm3/min)</t>
  </si>
  <si>
    <t>Deep drawing, steel, 650 kN press, single stroke</t>
  </si>
  <si>
    <t>Deep drawing, steel, 38000 kN press, automode</t>
  </si>
  <si>
    <t>Deep drawing, steel, 650 kN press, automode</t>
  </si>
  <si>
    <t>CNC Turning  (MRR of 200 cm3/min)</t>
  </si>
  <si>
    <t>CNC Lathe  (MRR of 200 cm3/min)</t>
  </si>
  <si>
    <t>Wire drawing  (20m/min)</t>
  </si>
  <si>
    <t>Milling  (MRR of 100 cm3/min)</t>
  </si>
  <si>
    <t>Gas-assisted Laser Cutting</t>
  </si>
  <si>
    <t>Laser machining, metal, with CO2-laser and a laser beam capacity of 6000W</t>
  </si>
  <si>
    <t>Laser machining, metal, with CO2-laser and a laser beam capacity of 5000W</t>
  </si>
  <si>
    <t>Wire drawing  (2m/min)</t>
  </si>
  <si>
    <t>Laser machining, metal, with CO2-laser and a laser beam capacity of 4000W</t>
  </si>
  <si>
    <t>CNC Turning  (MRR of 10 cm3/min)</t>
  </si>
  <si>
    <t>Laser machining, metal, with CO2-laser and a laser beam capacity of 2700W</t>
  </si>
  <si>
    <t>Laser machining, metal, with YAG-laser, 500W power</t>
  </si>
  <si>
    <t>Laser machining, metal, with YAG-laser, 330W power</t>
  </si>
  <si>
    <t>CNC Lathe (MRR of 10 cm3/min)</t>
  </si>
  <si>
    <t>Laser machining, metal, with YAG-laser, 200W power</t>
  </si>
  <si>
    <t>Laser machining, metal, with YAG-laser, 60W power</t>
  </si>
  <si>
    <t>Laser machining, metal, with YAG-laser, 50W power</t>
  </si>
  <si>
    <t>Laser machining, metal, with YAG-laser, 40W power</t>
  </si>
  <si>
    <t>Laser machining, metal, with YAG-laser, 30W power</t>
  </si>
  <si>
    <t>Milling  (MRR of 10 cm3/min)</t>
  </si>
  <si>
    <t>Lathe  (MRR of 200 cm3/min)</t>
  </si>
  <si>
    <t>Turning  (MRR of 200 cm3/min)</t>
  </si>
  <si>
    <t>Lathe  (MRR of 10 cm3/min)</t>
  </si>
  <si>
    <t>Turning  (MRR of 10 cm3/min)</t>
  </si>
  <si>
    <t>Drilling (MRR of 100 m3/min)</t>
  </si>
  <si>
    <t>Drilling (MRR of 10 cm3/min)</t>
  </si>
  <si>
    <t>CNC Drilling (MRR of 100 m3/min)</t>
  </si>
  <si>
    <t>CNC Drilling (MRR of 10 cm3/min)</t>
  </si>
  <si>
    <t>Induction hardening</t>
  </si>
  <si>
    <t>Id platform</t>
  </si>
  <si>
    <t>Name platform</t>
  </si>
  <si>
    <t>Old id</t>
  </si>
  <si>
    <t>New id that should refer to</t>
  </si>
  <si>
    <t>GWPCF/FU input</t>
  </si>
  <si>
    <t>GWPCF/min input</t>
  </si>
  <si>
    <t>GWPCF/min electricity</t>
  </si>
  <si>
    <t>GWPCF/min heat</t>
  </si>
  <si>
    <t>GWPCF/min machine</t>
  </si>
  <si>
    <t>SUM</t>
  </si>
  <si>
    <t>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</si>
</sst>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b/>
      <sz val="11"/>
      <color theme="1"/>
      <name val="Aptos Narrow"/>
      <family val="2"/>
      <scheme val="minor"/>
    </font>
    <font>
      <sz val="11"/>
      <name val="Aptos Narrow"/>
      <family val="2"/>
      <scheme val="minor"/>
    </font>
    <font>
      <u/>
      <sz val="11"/>
      <color theme="10"/>
      <name val="Aptos Narrow"/>
      <family val="2"/>
      <scheme val="minor"/>
    </font>
    <font>
      <sz val="8"/>
      <name val="Aptos Narrow"/>
      <family val="2"/>
      <scheme val="minor"/>
    </font>
    <font>
      <sz val="8"/>
      <color theme="1"/>
      <name val="Marianne"/>
    </font>
    <font>
      <sz val="10"/>
      <color rgb="FF222222"/>
      <name val="Abadi"/>
      <family val="2"/>
    </font>
    <font>
      <sz val="10"/>
      <color rgb="FF000000"/>
      <name val="Arial"/>
      <family val="2"/>
    </font>
    <font>
      <sz val="8"/>
      <color rgb="FF000000"/>
      <name val="Arial"/>
      <family val="2"/>
    </font>
    <font>
      <sz val="10"/>
      <color rgb="FF081E1E"/>
      <name val="Arial"/>
      <family val="2"/>
    </font>
  </fonts>
  <fills count="7">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rgb="FF92D050"/>
        <bgColor indexed="64"/>
      </patternFill>
    </fill>
    <fill>
      <patternFill patternType="solid">
        <fgColor rgb="FFFFFFFF"/>
        <bgColor indexed="64"/>
      </patternFill>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4">
    <xf numFmtId="0" fontId="0" fillId="0" borderId="0" xfId="0"/>
    <xf numFmtId="0" fontId="0" fillId="0" borderId="0" xfId="0" applyAlignment="1">
      <alignment wrapText="1"/>
    </xf>
    <xf numFmtId="0" fontId="1" fillId="2" borderId="1" xfId="0" applyFont="1" applyFill="1" applyBorder="1"/>
    <xf numFmtId="0" fontId="0" fillId="0" borderId="1" xfId="0" applyBorder="1"/>
    <xf numFmtId="0" fontId="1" fillId="3" borderId="1" xfId="0" applyFont="1" applyFill="1" applyBorder="1"/>
    <xf numFmtId="11" fontId="0" fillId="0" borderId="0" xfId="0" applyNumberFormat="1"/>
    <xf numFmtId="0" fontId="0" fillId="4" borderId="1" xfId="0" applyFill="1" applyBorder="1"/>
    <xf numFmtId="0" fontId="2" fillId="4" borderId="1" xfId="0" applyFont="1" applyFill="1" applyBorder="1"/>
    <xf numFmtId="0" fontId="0" fillId="4" borderId="0" xfId="0" applyFill="1"/>
    <xf numFmtId="0" fontId="1" fillId="0" borderId="1" xfId="0" applyFont="1" applyBorder="1"/>
    <xf numFmtId="0" fontId="1" fillId="0" borderId="3" xfId="0" applyFont="1" applyBorder="1" applyAlignment="1">
      <alignment horizontal="center"/>
    </xf>
    <xf numFmtId="0" fontId="1" fillId="0" borderId="4" xfId="0" applyFont="1" applyBorder="1" applyAlignment="1">
      <alignment horizontal="center"/>
    </xf>
    <xf numFmtId="0" fontId="0" fillId="4" borderId="1" xfId="0" applyFill="1" applyBorder="1" applyAlignment="1">
      <alignment wrapText="1"/>
    </xf>
    <xf numFmtId="0" fontId="1" fillId="0" borderId="0" xfId="0" applyFont="1"/>
    <xf numFmtId="0" fontId="3" fillId="0" borderId="1" xfId="1" applyFill="1" applyBorder="1"/>
    <xf numFmtId="0" fontId="2" fillId="0" borderId="1" xfId="0" applyFont="1" applyBorder="1"/>
    <xf numFmtId="0" fontId="0" fillId="0" borderId="1" xfId="0" applyBorder="1" applyAlignment="1">
      <alignment wrapText="1"/>
    </xf>
    <xf numFmtId="0" fontId="2" fillId="0" borderId="1" xfId="0" applyFont="1" applyBorder="1" applyAlignment="1">
      <alignment wrapText="1"/>
    </xf>
    <xf numFmtId="0" fontId="0" fillId="0" borderId="2" xfId="0" applyBorder="1"/>
    <xf numFmtId="0" fontId="5" fillId="5" borderId="0" xfId="0" applyFont="1" applyFill="1" applyAlignment="1">
      <alignment vertical="center" wrapText="1"/>
    </xf>
    <xf numFmtId="11" fontId="5" fillId="0" borderId="0" xfId="0" applyNumberFormat="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2" fillId="0" borderId="0" xfId="0" applyFont="1"/>
    <xf numFmtId="0" fontId="0" fillId="0" borderId="2" xfId="0" applyBorder="1" applyAlignment="1">
      <alignment wrapText="1"/>
    </xf>
    <xf numFmtId="0" fontId="0" fillId="6" borderId="1" xfId="0" applyFill="1" applyBorder="1"/>
    <xf numFmtId="0" fontId="0" fillId="6" borderId="0" xfId="0" applyFill="1"/>
    <xf numFmtId="11" fontId="0" fillId="0" borderId="1" xfId="0" applyNumberFormat="1" applyBorder="1"/>
    <xf numFmtId="11" fontId="0" fillId="0" borderId="2" xfId="0" applyNumberFormat="1" applyBorder="1"/>
    <xf numFmtId="0" fontId="1" fillId="0" borderId="3" xfId="0" applyFont="1" applyBorder="1" applyAlignment="1">
      <alignment horizontal="center"/>
    </xf>
    <xf numFmtId="0" fontId="1" fillId="0" borderId="4" xfId="0" applyFont="1" applyBorder="1" applyAlignment="1">
      <alignment horizontal="center"/>
    </xf>
  </cellXfs>
  <cellStyles count="2">
    <cellStyle name="Hyperlink" xfId="1" builtinId="8"/>
    <cellStyle name="Normal" xfId="0" builtinId="0"/>
  </cellStyles>
  <dxfs count="21">
    <dxf>
      <fill>
        <patternFill>
          <bgColor theme="3" tint="0.89996032593768116"/>
        </patternFill>
      </fill>
    </dxf>
    <dxf>
      <fill>
        <patternFill>
          <bgColor theme="3" tint="0.89996032593768116"/>
        </patternFill>
      </fill>
    </dxf>
    <dxf>
      <fill>
        <patternFill>
          <bgColor theme="3" tint="0.89996032593768116"/>
        </patternFill>
      </fill>
    </dxf>
    <dxf>
      <fill>
        <patternFill>
          <bgColor theme="3" tint="0.89996032593768116"/>
        </patternFill>
      </fill>
    </dxf>
    <dxf>
      <fill>
        <patternFill>
          <bgColor theme="3" tint="0.89996032593768116"/>
        </patternFill>
      </fill>
    </dxf>
    <dxf>
      <fill>
        <patternFill>
          <bgColor theme="3" tint="0.89996032593768116"/>
        </patternFill>
      </fill>
    </dxf>
    <dxf>
      <fill>
        <patternFill>
          <bgColor theme="3" tint="0.89996032593768116"/>
        </patternFill>
      </fill>
    </dxf>
    <dxf>
      <fill>
        <patternFill>
          <bgColor theme="3" tint="0.89996032593768116"/>
        </patternFill>
      </fill>
    </dxf>
    <dxf>
      <fill>
        <patternFill>
          <bgColor theme="3" tint="0.89996032593768116"/>
        </patternFill>
      </fill>
    </dxf>
    <dxf>
      <fill>
        <patternFill>
          <bgColor theme="3" tint="0.89996032593768116"/>
        </patternFill>
      </fill>
    </dxf>
    <dxf>
      <fill>
        <patternFill>
          <bgColor theme="3" tint="0.89996032593768116"/>
        </patternFill>
      </fill>
    </dxf>
    <dxf>
      <fill>
        <patternFill>
          <bgColor theme="3" tint="0.89996032593768116"/>
        </patternFill>
      </fill>
    </dxf>
    <dxf>
      <fill>
        <patternFill>
          <bgColor theme="3" tint="0.89996032593768116"/>
        </patternFill>
      </fill>
    </dxf>
    <dxf>
      <fill>
        <patternFill>
          <bgColor theme="3" tint="0.89996032593768116"/>
        </patternFill>
      </fill>
    </dxf>
    <dxf>
      <fill>
        <patternFill>
          <bgColor theme="3" tint="0.89996032593768116"/>
        </patternFill>
      </fill>
    </dxf>
    <dxf>
      <fill>
        <patternFill>
          <bgColor theme="3" tint="0.89996032593768116"/>
        </patternFill>
      </fill>
    </dxf>
    <dxf>
      <fill>
        <patternFill>
          <bgColor theme="3" tint="0.89996032593768116"/>
        </patternFill>
      </fill>
    </dxf>
    <dxf>
      <fill>
        <patternFill>
          <bgColor theme="3" tint="0.89996032593768116"/>
        </patternFill>
      </fill>
    </dxf>
    <dxf>
      <fill>
        <patternFill>
          <bgColor theme="3" tint="0.89996032593768116"/>
        </patternFill>
      </fill>
    </dxf>
    <dxf>
      <fill>
        <patternFill>
          <bgColor theme="3" tint="0.89996032593768116"/>
        </patternFill>
      </fill>
    </dxf>
    <dxf>
      <fill>
        <patternFill>
          <bgColor theme="3" tint="0.8999603259376811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K"/>
        </a:p>
      </c:txPr>
    </c:title>
    <c:autoTitleDeleted val="0"/>
    <c:plotArea>
      <c:layout/>
      <c:barChart>
        <c:barDir val="bar"/>
        <c:grouping val="percentStacked"/>
        <c:varyColors val="0"/>
        <c:ser>
          <c:idx val="0"/>
          <c:order val="0"/>
          <c:tx>
            <c:v>Working machine</c:v>
          </c:tx>
          <c:spPr>
            <a:solidFill>
              <a:schemeClr val="accent1"/>
            </a:solidFill>
            <a:ln>
              <a:noFill/>
            </a:ln>
            <a:effectLst/>
          </c:spPr>
          <c:invertIfNegative val="0"/>
          <c:cat>
            <c:strRef>
              <c:f>'General processes'!$C$2:$C$119</c:f>
              <c:strCache>
                <c:ptCount val="118"/>
                <c:pt idx="0">
                  <c:v>Electrical Discharge Machine</c:v>
                </c:pt>
                <c:pt idx="1">
                  <c:v>Wire Electrical Discharge Machine</c:v>
                </c:pt>
                <c:pt idx="2">
                  <c:v>Hot Dip Galvanizing</c:v>
                </c:pt>
                <c:pt idx="3">
                  <c:v>Laser remote welding, steel industry</c:v>
                </c:pt>
                <c:pt idx="4">
                  <c:v>Brazing machine</c:v>
                </c:pt>
                <c:pt idx="5">
                  <c:v>Aqueous cleaning, sparay washing system</c:v>
                </c:pt>
                <c:pt idx="6">
                  <c:v>Laser welding with filler metal, steel industry</c:v>
                </c:pt>
                <c:pt idx="7">
                  <c:v>Water jet cutting</c:v>
                </c:pt>
                <c:pt idx="8">
                  <c:v>Micro Electrical Discharge Machine</c:v>
                </c:pt>
                <c:pt idx="9">
                  <c:v>Electroplating</c:v>
                </c:pt>
                <c:pt idx="10">
                  <c:v>Electrogalvinizing</c:v>
                </c:pt>
                <c:pt idx="11">
                  <c:v>Case hardening</c:v>
                </c:pt>
                <c:pt idx="12">
                  <c:v>Hydraulic injection molding, (1000 tons)</c:v>
                </c:pt>
                <c:pt idx="13">
                  <c:v>Manual degreasing with solvent</c:v>
                </c:pt>
                <c:pt idx="14">
                  <c:v>Hydraulic injection molding, multi components (450 tons)</c:v>
                </c:pt>
                <c:pt idx="15">
                  <c:v>Powder coating electrostatic system</c:v>
                </c:pt>
                <c:pt idx="16">
                  <c:v>Hydraulic injection molding, multi components (560 tons)</c:v>
                </c:pt>
                <c:pt idx="17">
                  <c:v>Electric injection molding (1000 tons)</c:v>
                </c:pt>
                <c:pt idx="18">
                  <c:v>Hydraulic injection molding, (800 tons)</c:v>
                </c:pt>
                <c:pt idx="19">
                  <c:v>Hydraulic injection molding, multi components (280 tons)</c:v>
                </c:pt>
                <c:pt idx="20">
                  <c:v>Hydraulic injection molding, multi components (360 tons)</c:v>
                </c:pt>
                <c:pt idx="21">
                  <c:v>Hydraulic injection molding (560 tons)</c:v>
                </c:pt>
                <c:pt idx="22">
                  <c:v>Hybrid injection molding, multi components (560 tons)</c:v>
                </c:pt>
                <c:pt idx="23">
                  <c:v>Hybrid injection molding, multi components (450 tons)</c:v>
                </c:pt>
                <c:pt idx="24">
                  <c:v>Hybrid injection molding (560 tons)</c:v>
                </c:pt>
                <c:pt idx="25">
                  <c:v>Hybrid injection molding, multi components (280 tons)</c:v>
                </c:pt>
                <c:pt idx="26">
                  <c:v>Hydraulic injection molding (360 tons)</c:v>
                </c:pt>
                <c:pt idx="27">
                  <c:v>Hydraulic injection molding (450 tons)</c:v>
                </c:pt>
                <c:pt idx="28">
                  <c:v>Electric injection molding (800 tons)</c:v>
                </c:pt>
                <c:pt idx="29">
                  <c:v>Hybrid injection molding, multi components (360 tons)</c:v>
                </c:pt>
                <c:pt idx="30">
                  <c:v>Hydraulic injection molding (280 tons)</c:v>
                </c:pt>
                <c:pt idx="31">
                  <c:v>Degreasing, metal part in alkaline bath</c:v>
                </c:pt>
                <c:pt idx="32">
                  <c:v>Hybrid injection molding (450 tons)</c:v>
                </c:pt>
                <c:pt idx="33">
                  <c:v>Hydraulic injection molding, multi components (250 tons)</c:v>
                </c:pt>
                <c:pt idx="34">
                  <c:v>Hybrid injection molding (360 tons)</c:v>
                </c:pt>
                <c:pt idx="35">
                  <c:v>Hybrid injection molding (280 tons)</c:v>
                </c:pt>
                <c:pt idx="36">
                  <c:v>Sheet cold rolling</c:v>
                </c:pt>
                <c:pt idx="37">
                  <c:v>Electric injection molding, multi components (560 tons)</c:v>
                </c:pt>
                <c:pt idx="38">
                  <c:v>Electric injection molding, multi components (450 tons)</c:v>
                </c:pt>
                <c:pt idx="39">
                  <c:v>Electric injection molding (450 tons)</c:v>
                </c:pt>
                <c:pt idx="40">
                  <c:v>Hydraulic injection molding (145 tons)</c:v>
                </c:pt>
                <c:pt idx="41">
                  <c:v>Hydraulic injection molding (180 tons)</c:v>
                </c:pt>
                <c:pt idx="42">
                  <c:v>Automatic Welding GMAW, Automatic MIG</c:v>
                </c:pt>
                <c:pt idx="43">
                  <c:v>Electric injection molding (360 tons)</c:v>
                </c:pt>
                <c:pt idx="44">
                  <c:v>Electric injection molding (280 tons)</c:v>
                </c:pt>
                <c:pt idx="45">
                  <c:v>Electric injection molding, multi components (360 tons)</c:v>
                </c:pt>
                <c:pt idx="46">
                  <c:v>Plastic extrusion</c:v>
                </c:pt>
                <c:pt idx="47">
                  <c:v>Electric injection molding, multi components ( 225 tons)</c:v>
                </c:pt>
                <c:pt idx="48">
                  <c:v>Electric injection molding, multi components (280 tons)</c:v>
                </c:pt>
                <c:pt idx="49">
                  <c:v>Hydraulic injection molding, multi components (180 tons)</c:v>
                </c:pt>
                <c:pt idx="50">
                  <c:v>Electric injection molding (560 tons)</c:v>
                </c:pt>
                <c:pt idx="51">
                  <c:v>Hybrid injection molding (170 tons)</c:v>
                </c:pt>
                <c:pt idx="52">
                  <c:v>Hydraulic injection molding, multi components (120 tons)</c:v>
                </c:pt>
                <c:pt idx="53">
                  <c:v>Electric injection molding, multi components (170 tons)</c:v>
                </c:pt>
                <c:pt idx="54">
                  <c:v>Electric injection molding (225 tons)</c:v>
                </c:pt>
                <c:pt idx="55">
                  <c:v>Injection molding average</c:v>
                </c:pt>
                <c:pt idx="56">
                  <c:v>Hydraulic injection molding, multi components (78 tons)</c:v>
                </c:pt>
                <c:pt idx="57">
                  <c:v>Hybrid injection molding, multi component (170 tons)</c:v>
                </c:pt>
                <c:pt idx="58">
                  <c:v>Electric injection molding, multi components (110 tons)</c:v>
                </c:pt>
                <c:pt idx="59">
                  <c:v>laser machining, metal, with CO2-laser,6000W power</c:v>
                </c:pt>
                <c:pt idx="60">
                  <c:v>Hybrid injection molding (110 tons)</c:v>
                </c:pt>
                <c:pt idx="61">
                  <c:v>Induction Hardening, metal</c:v>
                </c:pt>
                <c:pt idx="62">
                  <c:v>Hydraulic injection molding (110 tons)</c:v>
                </c:pt>
                <c:pt idx="63">
                  <c:v>Hydraulic injection molding (90 tons)</c:v>
                </c:pt>
                <c:pt idx="64">
                  <c:v>laser machining, metal, with CO2-laser, 4000W power</c:v>
                </c:pt>
                <c:pt idx="65">
                  <c:v>Hybrid injection molding, multi component (110 tons)</c:v>
                </c:pt>
                <c:pt idx="66">
                  <c:v>Press brake</c:v>
                </c:pt>
                <c:pt idx="67">
                  <c:v>Tube bending</c:v>
                </c:pt>
                <c:pt idx="68">
                  <c:v>Manual Welding GMAW, MIG</c:v>
                </c:pt>
                <c:pt idx="69">
                  <c:v>Electric injection molding (170 tons)</c:v>
                </c:pt>
                <c:pt idx="70">
                  <c:v>deep drawing, steel</c:v>
                </c:pt>
                <c:pt idx="71">
                  <c:v>Hydraulic injection molding (56 tons)</c:v>
                </c:pt>
                <c:pt idx="72">
                  <c:v>20 kW Fiber laser machine</c:v>
                </c:pt>
                <c:pt idx="73">
                  <c:v>Bending machine</c:v>
                </c:pt>
                <c:pt idx="74">
                  <c:v>Hybrid injection molding (70 tons)</c:v>
                </c:pt>
                <c:pt idx="75">
                  <c:v>Electric injection molding (110 tons)</c:v>
                </c:pt>
                <c:pt idx="76">
                  <c:v>Electric injection molding (40 tons)</c:v>
                </c:pt>
                <c:pt idx="77">
                  <c:v>Hot plate plastic welding</c:v>
                </c:pt>
                <c:pt idx="78">
                  <c:v>laser machining, metal, with CO2-laser, 2500W power</c:v>
                </c:pt>
                <c:pt idx="79">
                  <c:v>Liquid blasting</c:v>
                </c:pt>
                <c:pt idx="80">
                  <c:v>CNC grinding</c:v>
                </c:pt>
                <c:pt idx="81">
                  <c:v>Electric injection molding (70 tons)</c:v>
                </c:pt>
                <c:pt idx="82">
                  <c:v>GLC Gas-assisted Laser Cutting</c:v>
                </c:pt>
                <c:pt idx="83">
                  <c:v>Shot blasting</c:v>
                </c:pt>
                <c:pt idx="84">
                  <c:v>CNC Drilling </c:v>
                </c:pt>
                <c:pt idx="85">
                  <c:v>CNC Milling </c:v>
                </c:pt>
                <c:pt idx="86">
                  <c:v>Winding machine</c:v>
                </c:pt>
                <c:pt idx="87">
                  <c:v>Refrigeration system</c:v>
                </c:pt>
                <c:pt idx="88">
                  <c:v>Ultra sound welding</c:v>
                </c:pt>
                <c:pt idx="89">
                  <c:v>CNC Lathe  </c:v>
                </c:pt>
                <c:pt idx="90">
                  <c:v>CNC Turning </c:v>
                </c:pt>
                <c:pt idx="91">
                  <c:v>4 kW Fiber laser machine</c:v>
                </c:pt>
                <c:pt idx="92">
                  <c:v>Manual Metal Arc welding, stick welding, MMAW</c:v>
                </c:pt>
                <c:pt idx="93">
                  <c:v>LAHW (Laser hybrid welding)</c:v>
                </c:pt>
                <c:pt idx="94">
                  <c:v>laser machining, metal, with YAG-laser, 600W power</c:v>
                </c:pt>
                <c:pt idx="95">
                  <c:v>Wire drawing  </c:v>
                </c:pt>
                <c:pt idx="96">
                  <c:v>Wire bending machine</c:v>
                </c:pt>
                <c:pt idx="97">
                  <c:v>Power tool</c:v>
                </c:pt>
                <c:pt idx="98">
                  <c:v>Manual grinding</c:v>
                </c:pt>
                <c:pt idx="99">
                  <c:v>Heat treatment</c:v>
                </c:pt>
                <c:pt idx="100">
                  <c:v>1 kW Fiber laser machine</c:v>
                </c:pt>
                <c:pt idx="101">
                  <c:v>laser machining, metal, with YAG-laser, 200W power</c:v>
                </c:pt>
                <c:pt idx="102">
                  <c:v>Milling  </c:v>
                </c:pt>
                <c:pt idx="103">
                  <c:v>Engraving laser, metal industry</c:v>
                </c:pt>
                <c:pt idx="104">
                  <c:v>laser machining, metal, with YAG-laser, 50W power</c:v>
                </c:pt>
                <c:pt idx="105">
                  <c:v>Lathe </c:v>
                </c:pt>
                <c:pt idx="106">
                  <c:v>Turning </c:v>
                </c:pt>
                <c:pt idx="107">
                  <c:v>Spring coiling</c:v>
                </c:pt>
                <c:pt idx="108">
                  <c:v>Grinding</c:v>
                </c:pt>
                <c:pt idx="109">
                  <c:v>Drilling </c:v>
                </c:pt>
                <c:pt idx="110">
                  <c:v>Bar feeder</c:v>
                </c:pt>
                <c:pt idx="111">
                  <c:v>Metal bendsaw</c:v>
                </c:pt>
                <c:pt idx="112">
                  <c:v>Manual riveting machine</c:v>
                </c:pt>
                <c:pt idx="113">
                  <c:v>Mechanical wire cutting</c:v>
                </c:pt>
                <c:pt idx="114">
                  <c:v>Polishing</c:v>
                </c:pt>
                <c:pt idx="115">
                  <c:v>Deburring</c:v>
                </c:pt>
                <c:pt idx="116">
                  <c:v>Powder coating, gun</c:v>
                </c:pt>
                <c:pt idx="117">
                  <c:v>Manual work</c:v>
                </c:pt>
              </c:strCache>
            </c:strRef>
          </c:cat>
          <c:val>
            <c:numRef>
              <c:f>'General processes'!$S$2:$S$119</c:f>
              <c:numCache>
                <c:formatCode>0.00E+00</c:formatCode>
                <c:ptCount val="118"/>
                <c:pt idx="0">
                  <c:v>1.5277777777777776E-2</c:v>
                </c:pt>
                <c:pt idx="1">
                  <c:v>1.5277777777777776E-2</c:v>
                </c:pt>
                <c:pt idx="2">
                  <c:v>1.5277777777777776E-2</c:v>
                </c:pt>
                <c:pt idx="3">
                  <c:v>4.5833333333333337E-2</c:v>
                </c:pt>
                <c:pt idx="4">
                  <c:v>4.5833333333333337E-2</c:v>
                </c:pt>
                <c:pt idx="5">
                  <c:v>5.4999999999999996E-8</c:v>
                </c:pt>
                <c:pt idx="6">
                  <c:v>3.0555555555555555E-4</c:v>
                </c:pt>
                <c:pt idx="7">
                  <c:v>4.5833333333333337E-2</c:v>
                </c:pt>
                <c:pt idx="8">
                  <c:v>1.5277777777777776E-2</c:v>
                </c:pt>
                <c:pt idx="9">
                  <c:v>4.5833333333333337E-2</c:v>
                </c:pt>
                <c:pt idx="10">
                  <c:v>4.5833333333333337E-2</c:v>
                </c:pt>
                <c:pt idx="11">
                  <c:v>1.5277777777777781E-3</c:v>
                </c:pt>
                <c:pt idx="12">
                  <c:v>1.5277777777777781E-3</c:v>
                </c:pt>
                <c:pt idx="13">
                  <c:v>3.0555555555555555E-4</c:v>
                </c:pt>
                <c:pt idx="14">
                  <c:v>4.5833333333333337E-2</c:v>
                </c:pt>
                <c:pt idx="15">
                  <c:v>4.5833333333333337E-2</c:v>
                </c:pt>
                <c:pt idx="16">
                  <c:v>1.5277777777777776E-2</c:v>
                </c:pt>
                <c:pt idx="17">
                  <c:v>1.5277777777777776E-2</c:v>
                </c:pt>
                <c:pt idx="18">
                  <c:v>1.5277777777777776E-2</c:v>
                </c:pt>
                <c:pt idx="19">
                  <c:v>4.5833333333333337E-2</c:v>
                </c:pt>
                <c:pt idx="20">
                  <c:v>1.5277777777777776E-2</c:v>
                </c:pt>
                <c:pt idx="21">
                  <c:v>1.5277777777777781E-3</c:v>
                </c:pt>
                <c:pt idx="22">
                  <c:v>1.5277777777777776E-2</c:v>
                </c:pt>
                <c:pt idx="23">
                  <c:v>1.5277777777777781E-3</c:v>
                </c:pt>
                <c:pt idx="24">
                  <c:v>4.5833333333333337E-2</c:v>
                </c:pt>
                <c:pt idx="25">
                  <c:v>4.5833333333333337E-2</c:v>
                </c:pt>
                <c:pt idx="26">
                  <c:v>4.5833333333333337E-2</c:v>
                </c:pt>
                <c:pt idx="27">
                  <c:v>4.5833333333333337E-2</c:v>
                </c:pt>
                <c:pt idx="28">
                  <c:v>1.5277777777777776E-2</c:v>
                </c:pt>
                <c:pt idx="29">
                  <c:v>1.5277777777777776E-2</c:v>
                </c:pt>
                <c:pt idx="30">
                  <c:v>4.5833333333333337E-2</c:v>
                </c:pt>
                <c:pt idx="31">
                  <c:v>4.5833333333333337E-2</c:v>
                </c:pt>
                <c:pt idx="32">
                  <c:v>4.5833333333333337E-2</c:v>
                </c:pt>
                <c:pt idx="33">
                  <c:v>4.5833333333333337E-2</c:v>
                </c:pt>
                <c:pt idx="34">
                  <c:v>4.5833333333333337E-2</c:v>
                </c:pt>
                <c:pt idx="35">
                  <c:v>4.5833333333333337E-2</c:v>
                </c:pt>
                <c:pt idx="36">
                  <c:v>4.5833333333333337E-2</c:v>
                </c:pt>
                <c:pt idx="37">
                  <c:v>1.5277777777777776E-2</c:v>
                </c:pt>
                <c:pt idx="38">
                  <c:v>1.5277777777777776E-2</c:v>
                </c:pt>
                <c:pt idx="39">
                  <c:v>4.5833333333333337E-2</c:v>
                </c:pt>
                <c:pt idx="40">
                  <c:v>4.5833333333333337E-2</c:v>
                </c:pt>
                <c:pt idx="41">
                  <c:v>4.5833333333333337E-2</c:v>
                </c:pt>
                <c:pt idx="42">
                  <c:v>3.0555555555555555E-4</c:v>
                </c:pt>
                <c:pt idx="43">
                  <c:v>4.5833333333333337E-2</c:v>
                </c:pt>
                <c:pt idx="44">
                  <c:v>4.5833333333333337E-2</c:v>
                </c:pt>
                <c:pt idx="45">
                  <c:v>3.0555555555555555E-4</c:v>
                </c:pt>
                <c:pt idx="46">
                  <c:v>4.5833333333333337E-2</c:v>
                </c:pt>
                <c:pt idx="47">
                  <c:v>4.5833333333333337E-2</c:v>
                </c:pt>
                <c:pt idx="48">
                  <c:v>3.0555555555555555E-4</c:v>
                </c:pt>
                <c:pt idx="49">
                  <c:v>4.5833333333333337E-2</c:v>
                </c:pt>
                <c:pt idx="50">
                  <c:v>1.5277777777777781E-3</c:v>
                </c:pt>
                <c:pt idx="51">
                  <c:v>4.5833333333333337E-2</c:v>
                </c:pt>
                <c:pt idx="52">
                  <c:v>4.5833333333333337E-2</c:v>
                </c:pt>
                <c:pt idx="53">
                  <c:v>4.5833333333333337E-2</c:v>
                </c:pt>
                <c:pt idx="54">
                  <c:v>4.5833333333333337E-2</c:v>
                </c:pt>
                <c:pt idx="55">
                  <c:v>1.5277777777777781E-3</c:v>
                </c:pt>
                <c:pt idx="56">
                  <c:v>4.5833333333333337E-2</c:v>
                </c:pt>
                <c:pt idx="57">
                  <c:v>1.5277777777777776E-2</c:v>
                </c:pt>
                <c:pt idx="58">
                  <c:v>4.5833333333333337E-2</c:v>
                </c:pt>
                <c:pt idx="59">
                  <c:v>4.5833333333333337E-2</c:v>
                </c:pt>
                <c:pt idx="60">
                  <c:v>4.5833333333333337E-2</c:v>
                </c:pt>
                <c:pt idx="61">
                  <c:v>1.5277777777777781E-3</c:v>
                </c:pt>
                <c:pt idx="62">
                  <c:v>1.5277777777777776E-2</c:v>
                </c:pt>
                <c:pt idx="63">
                  <c:v>1.5277777777777776E-2</c:v>
                </c:pt>
                <c:pt idx="64">
                  <c:v>4.5833333333333337E-2</c:v>
                </c:pt>
                <c:pt idx="65">
                  <c:v>1.5277777777777781E-3</c:v>
                </c:pt>
                <c:pt idx="66">
                  <c:v>4.5833333333333337E-2</c:v>
                </c:pt>
                <c:pt idx="67">
                  <c:v>4.5833333333333337E-2</c:v>
                </c:pt>
                <c:pt idx="68">
                  <c:v>3.0555555555555555E-4</c:v>
                </c:pt>
                <c:pt idx="69">
                  <c:v>1.5277777777777776E-2</c:v>
                </c:pt>
                <c:pt idx="70">
                  <c:v>4.5833333333333337E-2</c:v>
                </c:pt>
                <c:pt idx="71">
                  <c:v>1.5277777777777776E-2</c:v>
                </c:pt>
                <c:pt idx="72">
                  <c:v>4.5833333333333337E-2</c:v>
                </c:pt>
                <c:pt idx="73">
                  <c:v>4.5833333333333337E-2</c:v>
                </c:pt>
                <c:pt idx="74">
                  <c:v>1.5277777777777776E-2</c:v>
                </c:pt>
                <c:pt idx="75">
                  <c:v>1.5277777777777776E-2</c:v>
                </c:pt>
                <c:pt idx="76">
                  <c:v>4.5833333333333337E-2</c:v>
                </c:pt>
                <c:pt idx="77">
                  <c:v>4.5833333333333337E-2</c:v>
                </c:pt>
                <c:pt idx="78">
                  <c:v>4.5833333333333337E-2</c:v>
                </c:pt>
                <c:pt idx="79">
                  <c:v>4.5833333333333337E-2</c:v>
                </c:pt>
                <c:pt idx="80">
                  <c:v>1.5277777777777781E-3</c:v>
                </c:pt>
                <c:pt idx="81">
                  <c:v>1.5277777777777776E-2</c:v>
                </c:pt>
                <c:pt idx="82">
                  <c:v>4.5833333333333337E-2</c:v>
                </c:pt>
                <c:pt idx="83">
                  <c:v>4.5833333333333337E-2</c:v>
                </c:pt>
                <c:pt idx="84">
                  <c:v>1.5277777777777776E-2</c:v>
                </c:pt>
                <c:pt idx="85">
                  <c:v>1.5277777777777776E-2</c:v>
                </c:pt>
                <c:pt idx="86">
                  <c:v>4.5833333333333337E-2</c:v>
                </c:pt>
                <c:pt idx="87">
                  <c:v>4.5833333333333337E-2</c:v>
                </c:pt>
                <c:pt idx="88">
                  <c:v>4.5833333333333337E-2</c:v>
                </c:pt>
                <c:pt idx="89">
                  <c:v>1.5277777777777776E-2</c:v>
                </c:pt>
                <c:pt idx="90">
                  <c:v>1.5277777777777776E-2</c:v>
                </c:pt>
                <c:pt idx="91">
                  <c:v>4.5833333333333337E-2</c:v>
                </c:pt>
                <c:pt idx="92">
                  <c:v>3.0555555555555555E-4</c:v>
                </c:pt>
                <c:pt idx="93">
                  <c:v>3.0555555555555555E-4</c:v>
                </c:pt>
                <c:pt idx="94">
                  <c:v>4.5833333333333337E-2</c:v>
                </c:pt>
                <c:pt idx="95">
                  <c:v>1.5277777777777781E-3</c:v>
                </c:pt>
                <c:pt idx="96">
                  <c:v>3.0555555555555555E-4</c:v>
                </c:pt>
                <c:pt idx="97">
                  <c:v>1.5277777777777776E-2</c:v>
                </c:pt>
                <c:pt idx="98">
                  <c:v>1.5277777777777776E-2</c:v>
                </c:pt>
                <c:pt idx="99">
                  <c:v>1.5277777777777781E-3</c:v>
                </c:pt>
                <c:pt idx="100">
                  <c:v>1.5277777777777776E-2</c:v>
                </c:pt>
                <c:pt idx="101">
                  <c:v>1.5277777777777776E-2</c:v>
                </c:pt>
                <c:pt idx="102">
                  <c:v>1.5277777777777781E-3</c:v>
                </c:pt>
                <c:pt idx="103">
                  <c:v>1.5277777777777776E-2</c:v>
                </c:pt>
                <c:pt idx="104">
                  <c:v>1.5277777777777776E-2</c:v>
                </c:pt>
                <c:pt idx="105">
                  <c:v>1.5277777777777781E-3</c:v>
                </c:pt>
                <c:pt idx="106">
                  <c:v>1.5277777777777781E-3</c:v>
                </c:pt>
                <c:pt idx="107">
                  <c:v>1.5277777777777781E-3</c:v>
                </c:pt>
                <c:pt idx="108">
                  <c:v>1.5277777777777781E-3</c:v>
                </c:pt>
                <c:pt idx="109">
                  <c:v>1.5277777777777781E-3</c:v>
                </c:pt>
                <c:pt idx="110">
                  <c:v>1.5277777777777781E-3</c:v>
                </c:pt>
                <c:pt idx="111">
                  <c:v>3.0555555555555555E-4</c:v>
                </c:pt>
                <c:pt idx="112">
                  <c:v>1.5277777777777781E-3</c:v>
                </c:pt>
                <c:pt idx="113">
                  <c:v>1.5277777777777781E-3</c:v>
                </c:pt>
                <c:pt idx="114">
                  <c:v>5.4999999999999996E-8</c:v>
                </c:pt>
                <c:pt idx="115">
                  <c:v>5.4999999999999996E-8</c:v>
                </c:pt>
                <c:pt idx="116">
                  <c:v>5.4999999999999996E-8</c:v>
                </c:pt>
                <c:pt idx="117">
                  <c:v>5.4999999999999996E-8</c:v>
                </c:pt>
              </c:numCache>
            </c:numRef>
          </c:val>
          <c:extLst>
            <c:ext xmlns:c16="http://schemas.microsoft.com/office/drawing/2014/chart" uri="{C3380CC4-5D6E-409C-BE32-E72D297353CC}">
              <c16:uniqueId val="{00000000-94E5-4E24-B6CA-1E985E5B1A29}"/>
            </c:ext>
          </c:extLst>
        </c:ser>
        <c:ser>
          <c:idx val="1"/>
          <c:order val="1"/>
          <c:tx>
            <c:v>Electricity</c:v>
          </c:tx>
          <c:spPr>
            <a:solidFill>
              <a:schemeClr val="accent2"/>
            </a:solidFill>
            <a:ln>
              <a:noFill/>
            </a:ln>
            <a:effectLst/>
          </c:spPr>
          <c:invertIfNegative val="0"/>
          <c:cat>
            <c:strRef>
              <c:f>'General processes'!$C$2:$C$119</c:f>
              <c:strCache>
                <c:ptCount val="118"/>
                <c:pt idx="0">
                  <c:v>Electrical Discharge Machine</c:v>
                </c:pt>
                <c:pt idx="1">
                  <c:v>Wire Electrical Discharge Machine</c:v>
                </c:pt>
                <c:pt idx="2">
                  <c:v>Hot Dip Galvanizing</c:v>
                </c:pt>
                <c:pt idx="3">
                  <c:v>Laser remote welding, steel industry</c:v>
                </c:pt>
                <c:pt idx="4">
                  <c:v>Brazing machine</c:v>
                </c:pt>
                <c:pt idx="5">
                  <c:v>Aqueous cleaning, sparay washing system</c:v>
                </c:pt>
                <c:pt idx="6">
                  <c:v>Laser welding with filler metal, steel industry</c:v>
                </c:pt>
                <c:pt idx="7">
                  <c:v>Water jet cutting</c:v>
                </c:pt>
                <c:pt idx="8">
                  <c:v>Micro Electrical Discharge Machine</c:v>
                </c:pt>
                <c:pt idx="9">
                  <c:v>Electroplating</c:v>
                </c:pt>
                <c:pt idx="10">
                  <c:v>Electrogalvinizing</c:v>
                </c:pt>
                <c:pt idx="11">
                  <c:v>Case hardening</c:v>
                </c:pt>
                <c:pt idx="12">
                  <c:v>Hydraulic injection molding, (1000 tons)</c:v>
                </c:pt>
                <c:pt idx="13">
                  <c:v>Manual degreasing with solvent</c:v>
                </c:pt>
                <c:pt idx="14">
                  <c:v>Hydraulic injection molding, multi components (450 tons)</c:v>
                </c:pt>
                <c:pt idx="15">
                  <c:v>Powder coating electrostatic system</c:v>
                </c:pt>
                <c:pt idx="16">
                  <c:v>Hydraulic injection molding, multi components (560 tons)</c:v>
                </c:pt>
                <c:pt idx="17">
                  <c:v>Electric injection molding (1000 tons)</c:v>
                </c:pt>
                <c:pt idx="18">
                  <c:v>Hydraulic injection molding, (800 tons)</c:v>
                </c:pt>
                <c:pt idx="19">
                  <c:v>Hydraulic injection molding, multi components (280 tons)</c:v>
                </c:pt>
                <c:pt idx="20">
                  <c:v>Hydraulic injection molding, multi components (360 tons)</c:v>
                </c:pt>
                <c:pt idx="21">
                  <c:v>Hydraulic injection molding (560 tons)</c:v>
                </c:pt>
                <c:pt idx="22">
                  <c:v>Hybrid injection molding, multi components (560 tons)</c:v>
                </c:pt>
                <c:pt idx="23">
                  <c:v>Hybrid injection molding, multi components (450 tons)</c:v>
                </c:pt>
                <c:pt idx="24">
                  <c:v>Hybrid injection molding (560 tons)</c:v>
                </c:pt>
                <c:pt idx="25">
                  <c:v>Hybrid injection molding, multi components (280 tons)</c:v>
                </c:pt>
                <c:pt idx="26">
                  <c:v>Hydraulic injection molding (360 tons)</c:v>
                </c:pt>
                <c:pt idx="27">
                  <c:v>Hydraulic injection molding (450 tons)</c:v>
                </c:pt>
                <c:pt idx="28">
                  <c:v>Electric injection molding (800 tons)</c:v>
                </c:pt>
                <c:pt idx="29">
                  <c:v>Hybrid injection molding, multi components (360 tons)</c:v>
                </c:pt>
                <c:pt idx="30">
                  <c:v>Hydraulic injection molding (280 tons)</c:v>
                </c:pt>
                <c:pt idx="31">
                  <c:v>Degreasing, metal part in alkaline bath</c:v>
                </c:pt>
                <c:pt idx="32">
                  <c:v>Hybrid injection molding (450 tons)</c:v>
                </c:pt>
                <c:pt idx="33">
                  <c:v>Hydraulic injection molding, multi components (250 tons)</c:v>
                </c:pt>
                <c:pt idx="34">
                  <c:v>Hybrid injection molding (360 tons)</c:v>
                </c:pt>
                <c:pt idx="35">
                  <c:v>Hybrid injection molding (280 tons)</c:v>
                </c:pt>
                <c:pt idx="36">
                  <c:v>Sheet cold rolling</c:v>
                </c:pt>
                <c:pt idx="37">
                  <c:v>Electric injection molding, multi components (560 tons)</c:v>
                </c:pt>
                <c:pt idx="38">
                  <c:v>Electric injection molding, multi components (450 tons)</c:v>
                </c:pt>
                <c:pt idx="39">
                  <c:v>Electric injection molding (450 tons)</c:v>
                </c:pt>
                <c:pt idx="40">
                  <c:v>Hydraulic injection molding (145 tons)</c:v>
                </c:pt>
                <c:pt idx="41">
                  <c:v>Hydraulic injection molding (180 tons)</c:v>
                </c:pt>
                <c:pt idx="42">
                  <c:v>Automatic Welding GMAW, Automatic MIG</c:v>
                </c:pt>
                <c:pt idx="43">
                  <c:v>Electric injection molding (360 tons)</c:v>
                </c:pt>
                <c:pt idx="44">
                  <c:v>Electric injection molding (280 tons)</c:v>
                </c:pt>
                <c:pt idx="45">
                  <c:v>Electric injection molding, multi components (360 tons)</c:v>
                </c:pt>
                <c:pt idx="46">
                  <c:v>Plastic extrusion</c:v>
                </c:pt>
                <c:pt idx="47">
                  <c:v>Electric injection molding, multi components ( 225 tons)</c:v>
                </c:pt>
                <c:pt idx="48">
                  <c:v>Electric injection molding, multi components (280 tons)</c:v>
                </c:pt>
                <c:pt idx="49">
                  <c:v>Hydraulic injection molding, multi components (180 tons)</c:v>
                </c:pt>
                <c:pt idx="50">
                  <c:v>Electric injection molding (560 tons)</c:v>
                </c:pt>
                <c:pt idx="51">
                  <c:v>Hybrid injection molding (170 tons)</c:v>
                </c:pt>
                <c:pt idx="52">
                  <c:v>Hydraulic injection molding, multi components (120 tons)</c:v>
                </c:pt>
                <c:pt idx="53">
                  <c:v>Electric injection molding, multi components (170 tons)</c:v>
                </c:pt>
                <c:pt idx="54">
                  <c:v>Electric injection molding (225 tons)</c:v>
                </c:pt>
                <c:pt idx="55">
                  <c:v>Injection molding average</c:v>
                </c:pt>
                <c:pt idx="56">
                  <c:v>Hydraulic injection molding, multi components (78 tons)</c:v>
                </c:pt>
                <c:pt idx="57">
                  <c:v>Hybrid injection molding, multi component (170 tons)</c:v>
                </c:pt>
                <c:pt idx="58">
                  <c:v>Electric injection molding, multi components (110 tons)</c:v>
                </c:pt>
                <c:pt idx="59">
                  <c:v>laser machining, metal, with CO2-laser,6000W power</c:v>
                </c:pt>
                <c:pt idx="60">
                  <c:v>Hybrid injection molding (110 tons)</c:v>
                </c:pt>
                <c:pt idx="61">
                  <c:v>Induction Hardening, metal</c:v>
                </c:pt>
                <c:pt idx="62">
                  <c:v>Hydraulic injection molding (110 tons)</c:v>
                </c:pt>
                <c:pt idx="63">
                  <c:v>Hydraulic injection molding (90 tons)</c:v>
                </c:pt>
                <c:pt idx="64">
                  <c:v>laser machining, metal, with CO2-laser, 4000W power</c:v>
                </c:pt>
                <c:pt idx="65">
                  <c:v>Hybrid injection molding, multi component (110 tons)</c:v>
                </c:pt>
                <c:pt idx="66">
                  <c:v>Press brake</c:v>
                </c:pt>
                <c:pt idx="67">
                  <c:v>Tube bending</c:v>
                </c:pt>
                <c:pt idx="68">
                  <c:v>Manual Welding GMAW, MIG</c:v>
                </c:pt>
                <c:pt idx="69">
                  <c:v>Electric injection molding (170 tons)</c:v>
                </c:pt>
                <c:pt idx="70">
                  <c:v>deep drawing, steel</c:v>
                </c:pt>
                <c:pt idx="71">
                  <c:v>Hydraulic injection molding (56 tons)</c:v>
                </c:pt>
                <c:pt idx="72">
                  <c:v>20 kW Fiber laser machine</c:v>
                </c:pt>
                <c:pt idx="73">
                  <c:v>Bending machine</c:v>
                </c:pt>
                <c:pt idx="74">
                  <c:v>Hybrid injection molding (70 tons)</c:v>
                </c:pt>
                <c:pt idx="75">
                  <c:v>Electric injection molding (110 tons)</c:v>
                </c:pt>
                <c:pt idx="76">
                  <c:v>Electric injection molding (40 tons)</c:v>
                </c:pt>
                <c:pt idx="77">
                  <c:v>Hot plate plastic welding</c:v>
                </c:pt>
                <c:pt idx="78">
                  <c:v>laser machining, metal, with CO2-laser, 2500W power</c:v>
                </c:pt>
                <c:pt idx="79">
                  <c:v>Liquid blasting</c:v>
                </c:pt>
                <c:pt idx="80">
                  <c:v>CNC grinding</c:v>
                </c:pt>
                <c:pt idx="81">
                  <c:v>Electric injection molding (70 tons)</c:v>
                </c:pt>
                <c:pt idx="82">
                  <c:v>GLC Gas-assisted Laser Cutting</c:v>
                </c:pt>
                <c:pt idx="83">
                  <c:v>Shot blasting</c:v>
                </c:pt>
                <c:pt idx="84">
                  <c:v>CNC Drilling </c:v>
                </c:pt>
                <c:pt idx="85">
                  <c:v>CNC Milling </c:v>
                </c:pt>
                <c:pt idx="86">
                  <c:v>Winding machine</c:v>
                </c:pt>
                <c:pt idx="87">
                  <c:v>Refrigeration system</c:v>
                </c:pt>
                <c:pt idx="88">
                  <c:v>Ultra sound welding</c:v>
                </c:pt>
                <c:pt idx="89">
                  <c:v>CNC Lathe  </c:v>
                </c:pt>
                <c:pt idx="90">
                  <c:v>CNC Turning </c:v>
                </c:pt>
                <c:pt idx="91">
                  <c:v>4 kW Fiber laser machine</c:v>
                </c:pt>
                <c:pt idx="92">
                  <c:v>Manual Metal Arc welding, stick welding, MMAW</c:v>
                </c:pt>
                <c:pt idx="93">
                  <c:v>LAHW (Laser hybrid welding)</c:v>
                </c:pt>
                <c:pt idx="94">
                  <c:v>laser machining, metal, with YAG-laser, 600W power</c:v>
                </c:pt>
                <c:pt idx="95">
                  <c:v>Wire drawing  </c:v>
                </c:pt>
                <c:pt idx="96">
                  <c:v>Wire bending machine</c:v>
                </c:pt>
                <c:pt idx="97">
                  <c:v>Power tool</c:v>
                </c:pt>
                <c:pt idx="98">
                  <c:v>Manual grinding</c:v>
                </c:pt>
                <c:pt idx="99">
                  <c:v>Heat treatment</c:v>
                </c:pt>
                <c:pt idx="100">
                  <c:v>1 kW Fiber laser machine</c:v>
                </c:pt>
                <c:pt idx="101">
                  <c:v>laser machining, metal, with YAG-laser, 200W power</c:v>
                </c:pt>
                <c:pt idx="102">
                  <c:v>Milling  </c:v>
                </c:pt>
                <c:pt idx="103">
                  <c:v>Engraving laser, metal industry</c:v>
                </c:pt>
                <c:pt idx="104">
                  <c:v>laser machining, metal, with YAG-laser, 50W power</c:v>
                </c:pt>
                <c:pt idx="105">
                  <c:v>Lathe </c:v>
                </c:pt>
                <c:pt idx="106">
                  <c:v>Turning </c:v>
                </c:pt>
                <c:pt idx="107">
                  <c:v>Spring coiling</c:v>
                </c:pt>
                <c:pt idx="108">
                  <c:v>Grinding</c:v>
                </c:pt>
                <c:pt idx="109">
                  <c:v>Drilling </c:v>
                </c:pt>
                <c:pt idx="110">
                  <c:v>Bar feeder</c:v>
                </c:pt>
                <c:pt idx="111">
                  <c:v>Metal bendsaw</c:v>
                </c:pt>
                <c:pt idx="112">
                  <c:v>Manual riveting machine</c:v>
                </c:pt>
                <c:pt idx="113">
                  <c:v>Mechanical wire cutting</c:v>
                </c:pt>
                <c:pt idx="114">
                  <c:v>Polishing</c:v>
                </c:pt>
                <c:pt idx="115">
                  <c:v>Deburring</c:v>
                </c:pt>
                <c:pt idx="116">
                  <c:v>Powder coating, gun</c:v>
                </c:pt>
                <c:pt idx="117">
                  <c:v>Manual work</c:v>
                </c:pt>
              </c:strCache>
            </c:strRef>
          </c:cat>
          <c:val>
            <c:numRef>
              <c:f>'General processes'!$T$2:$T$119</c:f>
              <c:numCache>
                <c:formatCode>General</c:formatCode>
                <c:ptCount val="118"/>
                <c:pt idx="0">
                  <c:v>9.0500000000000008E-3</c:v>
                </c:pt>
                <c:pt idx="1">
                  <c:v>1.2066666666666667E-2</c:v>
                </c:pt>
                <c:pt idx="2">
                  <c:v>3.0166666666666666E-3</c:v>
                </c:pt>
                <c:pt idx="3">
                  <c:v>9.955E-2</c:v>
                </c:pt>
                <c:pt idx="4">
                  <c:v>7.5416666666666674E-2</c:v>
                </c:pt>
                <c:pt idx="5">
                  <c:v>6.0333333333333333E-3</c:v>
                </c:pt>
                <c:pt idx="6">
                  <c:v>7.5416666666666674E-2</c:v>
                </c:pt>
                <c:pt idx="7">
                  <c:v>7.9986916666666671E-2</c:v>
                </c:pt>
                <c:pt idx="8">
                  <c:v>1.5083333333333332E-2</c:v>
                </c:pt>
                <c:pt idx="9">
                  <c:v>3.0166666666666665E-2</c:v>
                </c:pt>
                <c:pt idx="10">
                  <c:v>3.0166666666666665E-2</c:v>
                </c:pt>
                <c:pt idx="11">
                  <c:v>3.0166666666666665E-2</c:v>
                </c:pt>
                <c:pt idx="12">
                  <c:v>1.0558333333333332</c:v>
                </c:pt>
                <c:pt idx="13">
                  <c:v>3.0166666666666666E-4</c:v>
                </c:pt>
                <c:pt idx="14">
                  <c:v>0.82354999999999989</c:v>
                </c:pt>
                <c:pt idx="15">
                  <c:v>6.0333333333333329E-2</c:v>
                </c:pt>
                <c:pt idx="16">
                  <c:v>0.82656666666666656</c:v>
                </c:pt>
                <c:pt idx="17">
                  <c:v>0.75416666666666665</c:v>
                </c:pt>
                <c:pt idx="18">
                  <c:v>0.75416666666666665</c:v>
                </c:pt>
                <c:pt idx="19">
                  <c:v>0.65461666666666662</c:v>
                </c:pt>
                <c:pt idx="20">
                  <c:v>0.67271666666666663</c:v>
                </c:pt>
                <c:pt idx="21">
                  <c:v>0.6938333333333333</c:v>
                </c:pt>
                <c:pt idx="22">
                  <c:v>0.61539999999999995</c:v>
                </c:pt>
                <c:pt idx="23">
                  <c:v>0.61238333333333328</c:v>
                </c:pt>
                <c:pt idx="24">
                  <c:v>0.5188666666666667</c:v>
                </c:pt>
                <c:pt idx="25">
                  <c:v>0.50679999999999992</c:v>
                </c:pt>
                <c:pt idx="26">
                  <c:v>0.50378333333333325</c:v>
                </c:pt>
                <c:pt idx="27">
                  <c:v>0.48266666666666663</c:v>
                </c:pt>
                <c:pt idx="28">
                  <c:v>0.54299999999999993</c:v>
                </c:pt>
                <c:pt idx="29">
                  <c:v>0.52489999999999992</c:v>
                </c:pt>
                <c:pt idx="30">
                  <c:v>0.44646666666666668</c:v>
                </c:pt>
                <c:pt idx="31">
                  <c:v>9.0500000000000008E-3</c:v>
                </c:pt>
                <c:pt idx="32">
                  <c:v>0.40725</c:v>
                </c:pt>
                <c:pt idx="33">
                  <c:v>0.40725</c:v>
                </c:pt>
                <c:pt idx="34">
                  <c:v>0.3982</c:v>
                </c:pt>
                <c:pt idx="35">
                  <c:v>0.36803333333333332</c:v>
                </c:pt>
                <c:pt idx="36">
                  <c:v>2.1116666666666666E-2</c:v>
                </c:pt>
                <c:pt idx="37">
                  <c:v>0.40121666666666667</c:v>
                </c:pt>
                <c:pt idx="38">
                  <c:v>0.40121666666666667</c:v>
                </c:pt>
                <c:pt idx="39">
                  <c:v>0.32881666666666665</c:v>
                </c:pt>
                <c:pt idx="40">
                  <c:v>0.30769999999999997</c:v>
                </c:pt>
                <c:pt idx="41">
                  <c:v>0.30769999999999997</c:v>
                </c:pt>
                <c:pt idx="42">
                  <c:v>5.7316666666666653E-3</c:v>
                </c:pt>
                <c:pt idx="43">
                  <c:v>0.2956333333333333</c:v>
                </c:pt>
                <c:pt idx="44">
                  <c:v>0.28960000000000002</c:v>
                </c:pt>
                <c:pt idx="45">
                  <c:v>0.35898333333333332</c:v>
                </c:pt>
                <c:pt idx="46">
                  <c:v>0.30166666666666669</c:v>
                </c:pt>
                <c:pt idx="47">
                  <c:v>0.26546666666666663</c:v>
                </c:pt>
                <c:pt idx="48">
                  <c:v>0.35596666666666665</c:v>
                </c:pt>
                <c:pt idx="49">
                  <c:v>0.25038333333333335</c:v>
                </c:pt>
                <c:pt idx="50">
                  <c:v>0.33183333333333331</c:v>
                </c:pt>
                <c:pt idx="51">
                  <c:v>0.22625000000000001</c:v>
                </c:pt>
                <c:pt idx="52">
                  <c:v>0.22021666666666664</c:v>
                </c:pt>
                <c:pt idx="53">
                  <c:v>0.1991</c:v>
                </c:pt>
                <c:pt idx="54">
                  <c:v>0.19005</c:v>
                </c:pt>
                <c:pt idx="55">
                  <c:v>0.27149999999999996</c:v>
                </c:pt>
                <c:pt idx="56">
                  <c:v>0.17194999999999999</c:v>
                </c:pt>
                <c:pt idx="57">
                  <c:v>0.22323333333333334</c:v>
                </c:pt>
                <c:pt idx="58">
                  <c:v>0.15988333333333332</c:v>
                </c:pt>
                <c:pt idx="59">
                  <c:v>0.23530000000000001</c:v>
                </c:pt>
                <c:pt idx="60">
                  <c:v>0.13876666666666668</c:v>
                </c:pt>
                <c:pt idx="61">
                  <c:v>0.24133333333333332</c:v>
                </c:pt>
                <c:pt idx="62">
                  <c:v>0.17496666666666666</c:v>
                </c:pt>
                <c:pt idx="63">
                  <c:v>0.17496666666666666</c:v>
                </c:pt>
                <c:pt idx="64">
                  <c:v>0.18099999999999999</c:v>
                </c:pt>
                <c:pt idx="65">
                  <c:v>0.19005</c:v>
                </c:pt>
                <c:pt idx="66">
                  <c:v>6.6366666666666657E-2</c:v>
                </c:pt>
                <c:pt idx="67">
                  <c:v>6.6366666666666657E-2</c:v>
                </c:pt>
                <c:pt idx="68">
                  <c:v>2.4133333333333333E-2</c:v>
                </c:pt>
                <c:pt idx="69">
                  <c:v>0.14480000000000001</c:v>
                </c:pt>
                <c:pt idx="70">
                  <c:v>9.0499999999999997E-2</c:v>
                </c:pt>
                <c:pt idx="71">
                  <c:v>0.13876666666666668</c:v>
                </c:pt>
                <c:pt idx="72">
                  <c:v>0.15083333333333335</c:v>
                </c:pt>
                <c:pt idx="73">
                  <c:v>3.0166666666666665E-2</c:v>
                </c:pt>
                <c:pt idx="74">
                  <c:v>0.10558333333333333</c:v>
                </c:pt>
                <c:pt idx="75">
                  <c:v>9.955E-2</c:v>
                </c:pt>
                <c:pt idx="76">
                  <c:v>3.0166666666666665E-2</c:v>
                </c:pt>
                <c:pt idx="77">
                  <c:v>6.0333333333333329E-2</c:v>
                </c:pt>
                <c:pt idx="78">
                  <c:v>0.10256666666666667</c:v>
                </c:pt>
                <c:pt idx="79">
                  <c:v>1.2066666666666667E-2</c:v>
                </c:pt>
                <c:pt idx="80">
                  <c:v>3.0166666666666665E-2</c:v>
                </c:pt>
                <c:pt idx="81">
                  <c:v>6.9383333333333339E-2</c:v>
                </c:pt>
                <c:pt idx="82">
                  <c:v>1.5460416666666666E-2</c:v>
                </c:pt>
                <c:pt idx="83">
                  <c:v>1.8100000000000002E-2</c:v>
                </c:pt>
                <c:pt idx="84">
                  <c:v>3.0166666666666665E-2</c:v>
                </c:pt>
                <c:pt idx="85">
                  <c:v>4.5249999999999999E-2</c:v>
                </c:pt>
                <c:pt idx="86">
                  <c:v>1.8100000000000002E-2</c:v>
                </c:pt>
                <c:pt idx="87">
                  <c:v>1.5083333333333332E-2</c:v>
                </c:pt>
                <c:pt idx="88">
                  <c:v>6.0333333333333333E-3</c:v>
                </c:pt>
                <c:pt idx="89">
                  <c:v>3.0166666666666665E-2</c:v>
                </c:pt>
                <c:pt idx="90">
                  <c:v>3.0166666666666665E-2</c:v>
                </c:pt>
                <c:pt idx="91">
                  <c:v>3.0166666666666665E-2</c:v>
                </c:pt>
                <c:pt idx="92">
                  <c:v>1.2066666666666667E-2</c:v>
                </c:pt>
                <c:pt idx="93">
                  <c:v>2.715E-3</c:v>
                </c:pt>
                <c:pt idx="94">
                  <c:v>2.2625000000000002E-3</c:v>
                </c:pt>
                <c:pt idx="95">
                  <c:v>9.0500000000000008E-3</c:v>
                </c:pt>
                <c:pt idx="96">
                  <c:v>2.1116666666666662E-3</c:v>
                </c:pt>
                <c:pt idx="97">
                  <c:v>2.1116666666666662E-3</c:v>
                </c:pt>
                <c:pt idx="98">
                  <c:v>1.5083333333333333E-3</c:v>
                </c:pt>
                <c:pt idx="99">
                  <c:v>3.0166666666666665E-2</c:v>
                </c:pt>
                <c:pt idx="100">
                  <c:v>7.5416666666666661E-3</c:v>
                </c:pt>
                <c:pt idx="101">
                  <c:v>9.0499999999999999E-4</c:v>
                </c:pt>
                <c:pt idx="102">
                  <c:v>4.5250000000000004E-3</c:v>
                </c:pt>
                <c:pt idx="103">
                  <c:v>1.5083333333333333E-3</c:v>
                </c:pt>
                <c:pt idx="104">
                  <c:v>2.2625E-4</c:v>
                </c:pt>
                <c:pt idx="105">
                  <c:v>4.5250000000000004E-3</c:v>
                </c:pt>
                <c:pt idx="106">
                  <c:v>4.5250000000000004E-3</c:v>
                </c:pt>
                <c:pt idx="107">
                  <c:v>3.0166666666666666E-3</c:v>
                </c:pt>
                <c:pt idx="108">
                  <c:v>4.5250000000000004E-3</c:v>
                </c:pt>
                <c:pt idx="109">
                  <c:v>3.62E-3</c:v>
                </c:pt>
                <c:pt idx="110">
                  <c:v>2.4133333333333333E-3</c:v>
                </c:pt>
                <c:pt idx="111">
                  <c:v>3.3183333333333333E-3</c:v>
                </c:pt>
                <c:pt idx="112">
                  <c:v>0</c:v>
                </c:pt>
                <c:pt idx="113">
                  <c:v>2.1116666666666662E-3</c:v>
                </c:pt>
                <c:pt idx="114">
                  <c:v>1.81E-3</c:v>
                </c:pt>
                <c:pt idx="115">
                  <c:v>1.5083333333333333E-3</c:v>
                </c:pt>
                <c:pt idx="116">
                  <c:v>9.0500000000000004E-5</c:v>
                </c:pt>
                <c:pt idx="117">
                  <c:v>0</c:v>
                </c:pt>
              </c:numCache>
            </c:numRef>
          </c:val>
          <c:extLst>
            <c:ext xmlns:c16="http://schemas.microsoft.com/office/drawing/2014/chart" uri="{C3380CC4-5D6E-409C-BE32-E72D297353CC}">
              <c16:uniqueId val="{00000001-94E5-4E24-B6CA-1E985E5B1A29}"/>
            </c:ext>
          </c:extLst>
        </c:ser>
        <c:ser>
          <c:idx val="2"/>
          <c:order val="2"/>
          <c:tx>
            <c:v>Heat</c:v>
          </c:tx>
          <c:spPr>
            <a:solidFill>
              <a:schemeClr val="accent3"/>
            </a:solidFill>
            <a:ln>
              <a:noFill/>
            </a:ln>
            <a:effectLst/>
          </c:spPr>
          <c:invertIfNegative val="0"/>
          <c:cat>
            <c:strRef>
              <c:f>'General processes'!$C$2:$C$119</c:f>
              <c:strCache>
                <c:ptCount val="118"/>
                <c:pt idx="0">
                  <c:v>Electrical Discharge Machine</c:v>
                </c:pt>
                <c:pt idx="1">
                  <c:v>Wire Electrical Discharge Machine</c:v>
                </c:pt>
                <c:pt idx="2">
                  <c:v>Hot Dip Galvanizing</c:v>
                </c:pt>
                <c:pt idx="3">
                  <c:v>Laser remote welding, steel industry</c:v>
                </c:pt>
                <c:pt idx="4">
                  <c:v>Brazing machine</c:v>
                </c:pt>
                <c:pt idx="5">
                  <c:v>Aqueous cleaning, sparay washing system</c:v>
                </c:pt>
                <c:pt idx="6">
                  <c:v>Laser welding with filler metal, steel industry</c:v>
                </c:pt>
                <c:pt idx="7">
                  <c:v>Water jet cutting</c:v>
                </c:pt>
                <c:pt idx="8">
                  <c:v>Micro Electrical Discharge Machine</c:v>
                </c:pt>
                <c:pt idx="9">
                  <c:v>Electroplating</c:v>
                </c:pt>
                <c:pt idx="10">
                  <c:v>Electrogalvinizing</c:v>
                </c:pt>
                <c:pt idx="11">
                  <c:v>Case hardening</c:v>
                </c:pt>
                <c:pt idx="12">
                  <c:v>Hydraulic injection molding, (1000 tons)</c:v>
                </c:pt>
                <c:pt idx="13">
                  <c:v>Manual degreasing with solvent</c:v>
                </c:pt>
                <c:pt idx="14">
                  <c:v>Hydraulic injection molding, multi components (450 tons)</c:v>
                </c:pt>
                <c:pt idx="15">
                  <c:v>Powder coating electrostatic system</c:v>
                </c:pt>
                <c:pt idx="16">
                  <c:v>Hydraulic injection molding, multi components (560 tons)</c:v>
                </c:pt>
                <c:pt idx="17">
                  <c:v>Electric injection molding (1000 tons)</c:v>
                </c:pt>
                <c:pt idx="18">
                  <c:v>Hydraulic injection molding, (800 tons)</c:v>
                </c:pt>
                <c:pt idx="19">
                  <c:v>Hydraulic injection molding, multi components (280 tons)</c:v>
                </c:pt>
                <c:pt idx="20">
                  <c:v>Hydraulic injection molding, multi components (360 tons)</c:v>
                </c:pt>
                <c:pt idx="21">
                  <c:v>Hydraulic injection molding (560 tons)</c:v>
                </c:pt>
                <c:pt idx="22">
                  <c:v>Hybrid injection molding, multi components (560 tons)</c:v>
                </c:pt>
                <c:pt idx="23">
                  <c:v>Hybrid injection molding, multi components (450 tons)</c:v>
                </c:pt>
                <c:pt idx="24">
                  <c:v>Hybrid injection molding (560 tons)</c:v>
                </c:pt>
                <c:pt idx="25">
                  <c:v>Hybrid injection molding, multi components (280 tons)</c:v>
                </c:pt>
                <c:pt idx="26">
                  <c:v>Hydraulic injection molding (360 tons)</c:v>
                </c:pt>
                <c:pt idx="27">
                  <c:v>Hydraulic injection molding (450 tons)</c:v>
                </c:pt>
                <c:pt idx="28">
                  <c:v>Electric injection molding (800 tons)</c:v>
                </c:pt>
                <c:pt idx="29">
                  <c:v>Hybrid injection molding, multi components (360 tons)</c:v>
                </c:pt>
                <c:pt idx="30">
                  <c:v>Hydraulic injection molding (280 tons)</c:v>
                </c:pt>
                <c:pt idx="31">
                  <c:v>Degreasing, metal part in alkaline bath</c:v>
                </c:pt>
                <c:pt idx="32">
                  <c:v>Hybrid injection molding (450 tons)</c:v>
                </c:pt>
                <c:pt idx="33">
                  <c:v>Hydraulic injection molding, multi components (250 tons)</c:v>
                </c:pt>
                <c:pt idx="34">
                  <c:v>Hybrid injection molding (360 tons)</c:v>
                </c:pt>
                <c:pt idx="35">
                  <c:v>Hybrid injection molding (280 tons)</c:v>
                </c:pt>
                <c:pt idx="36">
                  <c:v>Sheet cold rolling</c:v>
                </c:pt>
                <c:pt idx="37">
                  <c:v>Electric injection molding, multi components (560 tons)</c:v>
                </c:pt>
                <c:pt idx="38">
                  <c:v>Electric injection molding, multi components (450 tons)</c:v>
                </c:pt>
                <c:pt idx="39">
                  <c:v>Electric injection molding (450 tons)</c:v>
                </c:pt>
                <c:pt idx="40">
                  <c:v>Hydraulic injection molding (145 tons)</c:v>
                </c:pt>
                <c:pt idx="41">
                  <c:v>Hydraulic injection molding (180 tons)</c:v>
                </c:pt>
                <c:pt idx="42">
                  <c:v>Automatic Welding GMAW, Automatic MIG</c:v>
                </c:pt>
                <c:pt idx="43">
                  <c:v>Electric injection molding (360 tons)</c:v>
                </c:pt>
                <c:pt idx="44">
                  <c:v>Electric injection molding (280 tons)</c:v>
                </c:pt>
                <c:pt idx="45">
                  <c:v>Electric injection molding, multi components (360 tons)</c:v>
                </c:pt>
                <c:pt idx="46">
                  <c:v>Plastic extrusion</c:v>
                </c:pt>
                <c:pt idx="47">
                  <c:v>Electric injection molding, multi components ( 225 tons)</c:v>
                </c:pt>
                <c:pt idx="48">
                  <c:v>Electric injection molding, multi components (280 tons)</c:v>
                </c:pt>
                <c:pt idx="49">
                  <c:v>Hydraulic injection molding, multi components (180 tons)</c:v>
                </c:pt>
                <c:pt idx="50">
                  <c:v>Electric injection molding (560 tons)</c:v>
                </c:pt>
                <c:pt idx="51">
                  <c:v>Hybrid injection molding (170 tons)</c:v>
                </c:pt>
                <c:pt idx="52">
                  <c:v>Hydraulic injection molding, multi components (120 tons)</c:v>
                </c:pt>
                <c:pt idx="53">
                  <c:v>Electric injection molding, multi components (170 tons)</c:v>
                </c:pt>
                <c:pt idx="54">
                  <c:v>Electric injection molding (225 tons)</c:v>
                </c:pt>
                <c:pt idx="55">
                  <c:v>Injection molding average</c:v>
                </c:pt>
                <c:pt idx="56">
                  <c:v>Hydraulic injection molding, multi components (78 tons)</c:v>
                </c:pt>
                <c:pt idx="57">
                  <c:v>Hybrid injection molding, multi component (170 tons)</c:v>
                </c:pt>
                <c:pt idx="58">
                  <c:v>Electric injection molding, multi components (110 tons)</c:v>
                </c:pt>
                <c:pt idx="59">
                  <c:v>laser machining, metal, with CO2-laser,6000W power</c:v>
                </c:pt>
                <c:pt idx="60">
                  <c:v>Hybrid injection molding (110 tons)</c:v>
                </c:pt>
                <c:pt idx="61">
                  <c:v>Induction Hardening, metal</c:v>
                </c:pt>
                <c:pt idx="62">
                  <c:v>Hydraulic injection molding (110 tons)</c:v>
                </c:pt>
                <c:pt idx="63">
                  <c:v>Hydraulic injection molding (90 tons)</c:v>
                </c:pt>
                <c:pt idx="64">
                  <c:v>laser machining, metal, with CO2-laser, 4000W power</c:v>
                </c:pt>
                <c:pt idx="65">
                  <c:v>Hybrid injection molding, multi component (110 tons)</c:v>
                </c:pt>
                <c:pt idx="66">
                  <c:v>Press brake</c:v>
                </c:pt>
                <c:pt idx="67">
                  <c:v>Tube bending</c:v>
                </c:pt>
                <c:pt idx="68">
                  <c:v>Manual Welding GMAW, MIG</c:v>
                </c:pt>
                <c:pt idx="69">
                  <c:v>Electric injection molding (170 tons)</c:v>
                </c:pt>
                <c:pt idx="70">
                  <c:v>deep drawing, steel</c:v>
                </c:pt>
                <c:pt idx="71">
                  <c:v>Hydraulic injection molding (56 tons)</c:v>
                </c:pt>
                <c:pt idx="72">
                  <c:v>20 kW Fiber laser machine</c:v>
                </c:pt>
                <c:pt idx="73">
                  <c:v>Bending machine</c:v>
                </c:pt>
                <c:pt idx="74">
                  <c:v>Hybrid injection molding (70 tons)</c:v>
                </c:pt>
                <c:pt idx="75">
                  <c:v>Electric injection molding (110 tons)</c:v>
                </c:pt>
                <c:pt idx="76">
                  <c:v>Electric injection molding (40 tons)</c:v>
                </c:pt>
                <c:pt idx="77">
                  <c:v>Hot plate plastic welding</c:v>
                </c:pt>
                <c:pt idx="78">
                  <c:v>laser machining, metal, with CO2-laser, 2500W power</c:v>
                </c:pt>
                <c:pt idx="79">
                  <c:v>Liquid blasting</c:v>
                </c:pt>
                <c:pt idx="80">
                  <c:v>CNC grinding</c:v>
                </c:pt>
                <c:pt idx="81">
                  <c:v>Electric injection molding (70 tons)</c:v>
                </c:pt>
                <c:pt idx="82">
                  <c:v>GLC Gas-assisted Laser Cutting</c:v>
                </c:pt>
                <c:pt idx="83">
                  <c:v>Shot blasting</c:v>
                </c:pt>
                <c:pt idx="84">
                  <c:v>CNC Drilling </c:v>
                </c:pt>
                <c:pt idx="85">
                  <c:v>CNC Milling </c:v>
                </c:pt>
                <c:pt idx="86">
                  <c:v>Winding machine</c:v>
                </c:pt>
                <c:pt idx="87">
                  <c:v>Refrigeration system</c:v>
                </c:pt>
                <c:pt idx="88">
                  <c:v>Ultra sound welding</c:v>
                </c:pt>
                <c:pt idx="89">
                  <c:v>CNC Lathe  </c:v>
                </c:pt>
                <c:pt idx="90">
                  <c:v>CNC Turning </c:v>
                </c:pt>
                <c:pt idx="91">
                  <c:v>4 kW Fiber laser machine</c:v>
                </c:pt>
                <c:pt idx="92">
                  <c:v>Manual Metal Arc welding, stick welding, MMAW</c:v>
                </c:pt>
                <c:pt idx="93">
                  <c:v>LAHW (Laser hybrid welding)</c:v>
                </c:pt>
                <c:pt idx="94">
                  <c:v>laser machining, metal, with YAG-laser, 600W power</c:v>
                </c:pt>
                <c:pt idx="95">
                  <c:v>Wire drawing  </c:v>
                </c:pt>
                <c:pt idx="96">
                  <c:v>Wire bending machine</c:v>
                </c:pt>
                <c:pt idx="97">
                  <c:v>Power tool</c:v>
                </c:pt>
                <c:pt idx="98">
                  <c:v>Manual grinding</c:v>
                </c:pt>
                <c:pt idx="99">
                  <c:v>Heat treatment</c:v>
                </c:pt>
                <c:pt idx="100">
                  <c:v>1 kW Fiber laser machine</c:v>
                </c:pt>
                <c:pt idx="101">
                  <c:v>laser machining, metal, with YAG-laser, 200W power</c:v>
                </c:pt>
                <c:pt idx="102">
                  <c:v>Milling  </c:v>
                </c:pt>
                <c:pt idx="103">
                  <c:v>Engraving laser, metal industry</c:v>
                </c:pt>
                <c:pt idx="104">
                  <c:v>laser machining, metal, with YAG-laser, 50W power</c:v>
                </c:pt>
                <c:pt idx="105">
                  <c:v>Lathe </c:v>
                </c:pt>
                <c:pt idx="106">
                  <c:v>Turning </c:v>
                </c:pt>
                <c:pt idx="107">
                  <c:v>Spring coiling</c:v>
                </c:pt>
                <c:pt idx="108">
                  <c:v>Grinding</c:v>
                </c:pt>
                <c:pt idx="109">
                  <c:v>Drilling </c:v>
                </c:pt>
                <c:pt idx="110">
                  <c:v>Bar feeder</c:v>
                </c:pt>
                <c:pt idx="111">
                  <c:v>Metal bendsaw</c:v>
                </c:pt>
                <c:pt idx="112">
                  <c:v>Manual riveting machine</c:v>
                </c:pt>
                <c:pt idx="113">
                  <c:v>Mechanical wire cutting</c:v>
                </c:pt>
                <c:pt idx="114">
                  <c:v>Polishing</c:v>
                </c:pt>
                <c:pt idx="115">
                  <c:v>Deburring</c:v>
                </c:pt>
                <c:pt idx="116">
                  <c:v>Powder coating, gun</c:v>
                </c:pt>
                <c:pt idx="117">
                  <c:v>Manual work</c:v>
                </c:pt>
              </c:strCache>
            </c:strRef>
          </c:cat>
          <c:val>
            <c:numRef>
              <c:f>'General processes'!$U$2:$U$119</c:f>
              <c:numCache>
                <c:formatCode>General</c:formatCode>
                <c:ptCount val="118"/>
                <c:pt idx="0">
                  <c:v>0</c:v>
                </c:pt>
                <c:pt idx="1">
                  <c:v>0</c:v>
                </c:pt>
                <c:pt idx="2">
                  <c:v>1.6033559959689336</c:v>
                </c:pt>
                <c:pt idx="3">
                  <c:v>0</c:v>
                </c:pt>
                <c:pt idx="4">
                  <c:v>0</c:v>
                </c:pt>
                <c:pt idx="5">
                  <c:v>0</c:v>
                </c:pt>
                <c:pt idx="6">
                  <c:v>0</c:v>
                </c:pt>
                <c:pt idx="7">
                  <c:v>0</c:v>
                </c:pt>
                <c:pt idx="8">
                  <c:v>0</c:v>
                </c:pt>
                <c:pt idx="9">
                  <c:v>1.9380000000000001E-2</c:v>
                </c:pt>
                <c:pt idx="10">
                  <c:v>1.6150000000000001E-2</c:v>
                </c:pt>
                <c:pt idx="11">
                  <c:v>0.16279200000000002</c:v>
                </c:pt>
                <c:pt idx="12">
                  <c:v>0</c:v>
                </c:pt>
                <c:pt idx="13">
                  <c:v>0</c:v>
                </c:pt>
                <c:pt idx="14">
                  <c:v>0</c:v>
                </c:pt>
                <c:pt idx="15">
                  <c:v>0.64600000000000002</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0.385662</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numCache>
            </c:numRef>
          </c:val>
          <c:extLst>
            <c:ext xmlns:c16="http://schemas.microsoft.com/office/drawing/2014/chart" uri="{C3380CC4-5D6E-409C-BE32-E72D297353CC}">
              <c16:uniqueId val="{00000002-94E5-4E24-B6CA-1E985E5B1A29}"/>
            </c:ext>
          </c:extLst>
        </c:ser>
        <c:ser>
          <c:idx val="3"/>
          <c:order val="3"/>
          <c:tx>
            <c:v>Other input</c:v>
          </c:tx>
          <c:spPr>
            <a:solidFill>
              <a:schemeClr val="accent4"/>
            </a:solidFill>
            <a:ln>
              <a:noFill/>
            </a:ln>
            <a:effectLst/>
          </c:spPr>
          <c:invertIfNegative val="0"/>
          <c:cat>
            <c:strRef>
              <c:f>'General processes'!$C$2:$C$119</c:f>
              <c:strCache>
                <c:ptCount val="118"/>
                <c:pt idx="0">
                  <c:v>Electrical Discharge Machine</c:v>
                </c:pt>
                <c:pt idx="1">
                  <c:v>Wire Electrical Discharge Machine</c:v>
                </c:pt>
                <c:pt idx="2">
                  <c:v>Hot Dip Galvanizing</c:v>
                </c:pt>
                <c:pt idx="3">
                  <c:v>Laser remote welding, steel industry</c:v>
                </c:pt>
                <c:pt idx="4">
                  <c:v>Brazing machine</c:v>
                </c:pt>
                <c:pt idx="5">
                  <c:v>Aqueous cleaning, sparay washing system</c:v>
                </c:pt>
                <c:pt idx="6">
                  <c:v>Laser welding with filler metal, steel industry</c:v>
                </c:pt>
                <c:pt idx="7">
                  <c:v>Water jet cutting</c:v>
                </c:pt>
                <c:pt idx="8">
                  <c:v>Micro Electrical Discharge Machine</c:v>
                </c:pt>
                <c:pt idx="9">
                  <c:v>Electroplating</c:v>
                </c:pt>
                <c:pt idx="10">
                  <c:v>Electrogalvinizing</c:v>
                </c:pt>
                <c:pt idx="11">
                  <c:v>Case hardening</c:v>
                </c:pt>
                <c:pt idx="12">
                  <c:v>Hydraulic injection molding, (1000 tons)</c:v>
                </c:pt>
                <c:pt idx="13">
                  <c:v>Manual degreasing with solvent</c:v>
                </c:pt>
                <c:pt idx="14">
                  <c:v>Hydraulic injection molding, multi components (450 tons)</c:v>
                </c:pt>
                <c:pt idx="15">
                  <c:v>Powder coating electrostatic system</c:v>
                </c:pt>
                <c:pt idx="16">
                  <c:v>Hydraulic injection molding, multi components (560 tons)</c:v>
                </c:pt>
                <c:pt idx="17">
                  <c:v>Electric injection molding (1000 tons)</c:v>
                </c:pt>
                <c:pt idx="18">
                  <c:v>Hydraulic injection molding, (800 tons)</c:v>
                </c:pt>
                <c:pt idx="19">
                  <c:v>Hydraulic injection molding, multi components (280 tons)</c:v>
                </c:pt>
                <c:pt idx="20">
                  <c:v>Hydraulic injection molding, multi components (360 tons)</c:v>
                </c:pt>
                <c:pt idx="21">
                  <c:v>Hydraulic injection molding (560 tons)</c:v>
                </c:pt>
                <c:pt idx="22">
                  <c:v>Hybrid injection molding, multi components (560 tons)</c:v>
                </c:pt>
                <c:pt idx="23">
                  <c:v>Hybrid injection molding, multi components (450 tons)</c:v>
                </c:pt>
                <c:pt idx="24">
                  <c:v>Hybrid injection molding (560 tons)</c:v>
                </c:pt>
                <c:pt idx="25">
                  <c:v>Hybrid injection molding, multi components (280 tons)</c:v>
                </c:pt>
                <c:pt idx="26">
                  <c:v>Hydraulic injection molding (360 tons)</c:v>
                </c:pt>
                <c:pt idx="27">
                  <c:v>Hydraulic injection molding (450 tons)</c:v>
                </c:pt>
                <c:pt idx="28">
                  <c:v>Electric injection molding (800 tons)</c:v>
                </c:pt>
                <c:pt idx="29">
                  <c:v>Hybrid injection molding, multi components (360 tons)</c:v>
                </c:pt>
                <c:pt idx="30">
                  <c:v>Hydraulic injection molding (280 tons)</c:v>
                </c:pt>
                <c:pt idx="31">
                  <c:v>Degreasing, metal part in alkaline bath</c:v>
                </c:pt>
                <c:pt idx="32">
                  <c:v>Hybrid injection molding (450 tons)</c:v>
                </c:pt>
                <c:pt idx="33">
                  <c:v>Hydraulic injection molding, multi components (250 tons)</c:v>
                </c:pt>
                <c:pt idx="34">
                  <c:v>Hybrid injection molding (360 tons)</c:v>
                </c:pt>
                <c:pt idx="35">
                  <c:v>Hybrid injection molding (280 tons)</c:v>
                </c:pt>
                <c:pt idx="36">
                  <c:v>Sheet cold rolling</c:v>
                </c:pt>
                <c:pt idx="37">
                  <c:v>Electric injection molding, multi components (560 tons)</c:v>
                </c:pt>
                <c:pt idx="38">
                  <c:v>Electric injection molding, multi components (450 tons)</c:v>
                </c:pt>
                <c:pt idx="39">
                  <c:v>Electric injection molding (450 tons)</c:v>
                </c:pt>
                <c:pt idx="40">
                  <c:v>Hydraulic injection molding (145 tons)</c:v>
                </c:pt>
                <c:pt idx="41">
                  <c:v>Hydraulic injection molding (180 tons)</c:v>
                </c:pt>
                <c:pt idx="42">
                  <c:v>Automatic Welding GMAW, Automatic MIG</c:v>
                </c:pt>
                <c:pt idx="43">
                  <c:v>Electric injection molding (360 tons)</c:v>
                </c:pt>
                <c:pt idx="44">
                  <c:v>Electric injection molding (280 tons)</c:v>
                </c:pt>
                <c:pt idx="45">
                  <c:v>Electric injection molding, multi components (360 tons)</c:v>
                </c:pt>
                <c:pt idx="46">
                  <c:v>Plastic extrusion</c:v>
                </c:pt>
                <c:pt idx="47">
                  <c:v>Electric injection molding, multi components ( 225 tons)</c:v>
                </c:pt>
                <c:pt idx="48">
                  <c:v>Electric injection molding, multi components (280 tons)</c:v>
                </c:pt>
                <c:pt idx="49">
                  <c:v>Hydraulic injection molding, multi components (180 tons)</c:v>
                </c:pt>
                <c:pt idx="50">
                  <c:v>Electric injection molding (560 tons)</c:v>
                </c:pt>
                <c:pt idx="51">
                  <c:v>Hybrid injection molding (170 tons)</c:v>
                </c:pt>
                <c:pt idx="52">
                  <c:v>Hydraulic injection molding, multi components (120 tons)</c:v>
                </c:pt>
                <c:pt idx="53">
                  <c:v>Electric injection molding, multi components (170 tons)</c:v>
                </c:pt>
                <c:pt idx="54">
                  <c:v>Electric injection molding (225 tons)</c:v>
                </c:pt>
                <c:pt idx="55">
                  <c:v>Injection molding average</c:v>
                </c:pt>
                <c:pt idx="56">
                  <c:v>Hydraulic injection molding, multi components (78 tons)</c:v>
                </c:pt>
                <c:pt idx="57">
                  <c:v>Hybrid injection molding, multi component (170 tons)</c:v>
                </c:pt>
                <c:pt idx="58">
                  <c:v>Electric injection molding, multi components (110 tons)</c:v>
                </c:pt>
                <c:pt idx="59">
                  <c:v>laser machining, metal, with CO2-laser,6000W power</c:v>
                </c:pt>
                <c:pt idx="60">
                  <c:v>Hybrid injection molding (110 tons)</c:v>
                </c:pt>
                <c:pt idx="61">
                  <c:v>Induction Hardening, metal</c:v>
                </c:pt>
                <c:pt idx="62">
                  <c:v>Hydraulic injection molding (110 tons)</c:v>
                </c:pt>
                <c:pt idx="63">
                  <c:v>Hydraulic injection molding (90 tons)</c:v>
                </c:pt>
                <c:pt idx="64">
                  <c:v>laser machining, metal, with CO2-laser, 4000W power</c:v>
                </c:pt>
                <c:pt idx="65">
                  <c:v>Hybrid injection molding, multi component (110 tons)</c:v>
                </c:pt>
                <c:pt idx="66">
                  <c:v>Press brake</c:v>
                </c:pt>
                <c:pt idx="67">
                  <c:v>Tube bending</c:v>
                </c:pt>
                <c:pt idx="68">
                  <c:v>Manual Welding GMAW, MIG</c:v>
                </c:pt>
                <c:pt idx="69">
                  <c:v>Electric injection molding (170 tons)</c:v>
                </c:pt>
                <c:pt idx="70">
                  <c:v>deep drawing, steel</c:v>
                </c:pt>
                <c:pt idx="71">
                  <c:v>Hydraulic injection molding (56 tons)</c:v>
                </c:pt>
                <c:pt idx="72">
                  <c:v>20 kW Fiber laser machine</c:v>
                </c:pt>
                <c:pt idx="73">
                  <c:v>Bending machine</c:v>
                </c:pt>
                <c:pt idx="74">
                  <c:v>Hybrid injection molding (70 tons)</c:v>
                </c:pt>
                <c:pt idx="75">
                  <c:v>Electric injection molding (110 tons)</c:v>
                </c:pt>
                <c:pt idx="76">
                  <c:v>Electric injection molding (40 tons)</c:v>
                </c:pt>
                <c:pt idx="77">
                  <c:v>Hot plate plastic welding</c:v>
                </c:pt>
                <c:pt idx="78">
                  <c:v>laser machining, metal, with CO2-laser, 2500W power</c:v>
                </c:pt>
                <c:pt idx="79">
                  <c:v>Liquid blasting</c:v>
                </c:pt>
                <c:pt idx="80">
                  <c:v>CNC grinding</c:v>
                </c:pt>
                <c:pt idx="81">
                  <c:v>Electric injection molding (70 tons)</c:v>
                </c:pt>
                <c:pt idx="82">
                  <c:v>GLC Gas-assisted Laser Cutting</c:v>
                </c:pt>
                <c:pt idx="83">
                  <c:v>Shot blasting</c:v>
                </c:pt>
                <c:pt idx="84">
                  <c:v>CNC Drilling </c:v>
                </c:pt>
                <c:pt idx="85">
                  <c:v>CNC Milling </c:v>
                </c:pt>
                <c:pt idx="86">
                  <c:v>Winding machine</c:v>
                </c:pt>
                <c:pt idx="87">
                  <c:v>Refrigeration system</c:v>
                </c:pt>
                <c:pt idx="88">
                  <c:v>Ultra sound welding</c:v>
                </c:pt>
                <c:pt idx="89">
                  <c:v>CNC Lathe  </c:v>
                </c:pt>
                <c:pt idx="90">
                  <c:v>CNC Turning </c:v>
                </c:pt>
                <c:pt idx="91">
                  <c:v>4 kW Fiber laser machine</c:v>
                </c:pt>
                <c:pt idx="92">
                  <c:v>Manual Metal Arc welding, stick welding, MMAW</c:v>
                </c:pt>
                <c:pt idx="93">
                  <c:v>LAHW (Laser hybrid welding)</c:v>
                </c:pt>
                <c:pt idx="94">
                  <c:v>laser machining, metal, with YAG-laser, 600W power</c:v>
                </c:pt>
                <c:pt idx="95">
                  <c:v>Wire drawing  </c:v>
                </c:pt>
                <c:pt idx="96">
                  <c:v>Wire bending machine</c:v>
                </c:pt>
                <c:pt idx="97">
                  <c:v>Power tool</c:v>
                </c:pt>
                <c:pt idx="98">
                  <c:v>Manual grinding</c:v>
                </c:pt>
                <c:pt idx="99">
                  <c:v>Heat treatment</c:v>
                </c:pt>
                <c:pt idx="100">
                  <c:v>1 kW Fiber laser machine</c:v>
                </c:pt>
                <c:pt idx="101">
                  <c:v>laser machining, metal, with YAG-laser, 200W power</c:v>
                </c:pt>
                <c:pt idx="102">
                  <c:v>Milling  </c:v>
                </c:pt>
                <c:pt idx="103">
                  <c:v>Engraving laser, metal industry</c:v>
                </c:pt>
                <c:pt idx="104">
                  <c:v>laser machining, metal, with YAG-laser, 50W power</c:v>
                </c:pt>
                <c:pt idx="105">
                  <c:v>Lathe </c:v>
                </c:pt>
                <c:pt idx="106">
                  <c:v>Turning </c:v>
                </c:pt>
                <c:pt idx="107">
                  <c:v>Spring coiling</c:v>
                </c:pt>
                <c:pt idx="108">
                  <c:v>Grinding</c:v>
                </c:pt>
                <c:pt idx="109">
                  <c:v>Drilling </c:v>
                </c:pt>
                <c:pt idx="110">
                  <c:v>Bar feeder</c:v>
                </c:pt>
                <c:pt idx="111">
                  <c:v>Metal bendsaw</c:v>
                </c:pt>
                <c:pt idx="112">
                  <c:v>Manual riveting machine</c:v>
                </c:pt>
                <c:pt idx="113">
                  <c:v>Mechanical wire cutting</c:v>
                </c:pt>
                <c:pt idx="114">
                  <c:v>Polishing</c:v>
                </c:pt>
                <c:pt idx="115">
                  <c:v>Deburring</c:v>
                </c:pt>
                <c:pt idx="116">
                  <c:v>Powder coating, gun</c:v>
                </c:pt>
                <c:pt idx="117">
                  <c:v>Manual work</c:v>
                </c:pt>
              </c:strCache>
            </c:strRef>
          </c:cat>
          <c:val>
            <c:numRef>
              <c:f>'General processes'!$V$2:$V$119</c:f>
              <c:numCache>
                <c:formatCode>General</c:formatCode>
                <c:ptCount val="118"/>
                <c:pt idx="0">
                  <c:v>5.6362076933661118</c:v>
                </c:pt>
                <c:pt idx="1">
                  <c:v>5.6287924997217784</c:v>
                </c:pt>
                <c:pt idx="2">
                  <c:v>1.6181488017361219</c:v>
                </c:pt>
                <c:pt idx="3">
                  <c:v>2.8952055213333336</c:v>
                </c:pt>
                <c:pt idx="4">
                  <c:v>2.843072356</c:v>
                </c:pt>
                <c:pt idx="5">
                  <c:v>2.8065600550000003</c:v>
                </c:pt>
                <c:pt idx="6">
                  <c:v>2.7064890226666667</c:v>
                </c:pt>
                <c:pt idx="7">
                  <c:v>2.4468733333333335</c:v>
                </c:pt>
                <c:pt idx="8">
                  <c:v>1.8863236046310712</c:v>
                </c:pt>
                <c:pt idx="9">
                  <c:v>1.6487043572916775</c:v>
                </c:pt>
                <c:pt idx="10">
                  <c:v>1.6487043572916775</c:v>
                </c:pt>
                <c:pt idx="11">
                  <c:v>1.0356777777777777</c:v>
                </c:pt>
                <c:pt idx="12">
                  <c:v>3.6276111111111106E-2</c:v>
                </c:pt>
                <c:pt idx="13">
                  <c:v>0.9517255555555556</c:v>
                </c:pt>
                <c:pt idx="14">
                  <c:v>8.0581666666666663E-2</c:v>
                </c:pt>
                <c:pt idx="15">
                  <c:v>0.15333500000000003</c:v>
                </c:pt>
                <c:pt idx="16">
                  <c:v>5.0026111111111111E-2</c:v>
                </c:pt>
                <c:pt idx="17">
                  <c:v>5.0026111111111111E-2</c:v>
                </c:pt>
                <c:pt idx="18">
                  <c:v>5.0026111111111111E-2</c:v>
                </c:pt>
                <c:pt idx="19">
                  <c:v>8.0581666666666663E-2</c:v>
                </c:pt>
                <c:pt idx="20">
                  <c:v>5.0026111111111111E-2</c:v>
                </c:pt>
                <c:pt idx="21">
                  <c:v>3.6276111111111106E-2</c:v>
                </c:pt>
                <c:pt idx="22">
                  <c:v>5.0026111111111111E-2</c:v>
                </c:pt>
                <c:pt idx="23">
                  <c:v>3.6276111111111106E-2</c:v>
                </c:pt>
                <c:pt idx="24">
                  <c:v>8.0581666666666663E-2</c:v>
                </c:pt>
                <c:pt idx="25">
                  <c:v>8.0581666666666663E-2</c:v>
                </c:pt>
                <c:pt idx="26">
                  <c:v>8.0581666666666663E-2</c:v>
                </c:pt>
                <c:pt idx="27">
                  <c:v>8.0581666666666663E-2</c:v>
                </c:pt>
                <c:pt idx="28">
                  <c:v>5.0026111111111111E-2</c:v>
                </c:pt>
                <c:pt idx="29">
                  <c:v>5.0026111111111111E-2</c:v>
                </c:pt>
                <c:pt idx="30">
                  <c:v>8.0581666666666663E-2</c:v>
                </c:pt>
                <c:pt idx="31">
                  <c:v>0.50582813333333343</c:v>
                </c:pt>
                <c:pt idx="32">
                  <c:v>8.0581666666666663E-2</c:v>
                </c:pt>
                <c:pt idx="33">
                  <c:v>8.0581666666666663E-2</c:v>
                </c:pt>
                <c:pt idx="34">
                  <c:v>8.0581666666666663E-2</c:v>
                </c:pt>
                <c:pt idx="35">
                  <c:v>8.0581666666666663E-2</c:v>
                </c:pt>
                <c:pt idx="36">
                  <c:v>4.1529693229585905E-2</c:v>
                </c:pt>
                <c:pt idx="37">
                  <c:v>5.0026111111111111E-2</c:v>
                </c:pt>
                <c:pt idx="38">
                  <c:v>5.0026111111111111E-2</c:v>
                </c:pt>
                <c:pt idx="39">
                  <c:v>8.0581666666666663E-2</c:v>
                </c:pt>
                <c:pt idx="40">
                  <c:v>8.0581666666666663E-2</c:v>
                </c:pt>
                <c:pt idx="41">
                  <c:v>8.0581666666666663E-2</c:v>
                </c:pt>
                <c:pt idx="42">
                  <c:v>0.42534190325925925</c:v>
                </c:pt>
                <c:pt idx="43">
                  <c:v>8.0581666666666663E-2</c:v>
                </c:pt>
                <c:pt idx="44">
                  <c:v>8.0581666666666663E-2</c:v>
                </c:pt>
                <c:pt idx="45">
                  <c:v>3.5053888888888884E-2</c:v>
                </c:pt>
                <c:pt idx="46">
                  <c:v>4.5833333333333337E-2</c:v>
                </c:pt>
                <c:pt idx="47">
                  <c:v>8.0581666666666663E-2</c:v>
                </c:pt>
                <c:pt idx="48">
                  <c:v>3.5053888888888884E-2</c:v>
                </c:pt>
                <c:pt idx="49">
                  <c:v>8.0581666666666663E-2</c:v>
                </c:pt>
                <c:pt idx="50">
                  <c:v>3.6276111111111106E-2</c:v>
                </c:pt>
                <c:pt idx="51">
                  <c:v>8.0581666666666663E-2</c:v>
                </c:pt>
                <c:pt idx="52">
                  <c:v>8.0581666666666663E-2</c:v>
                </c:pt>
                <c:pt idx="53">
                  <c:v>8.0581666666666663E-2</c:v>
                </c:pt>
                <c:pt idx="54">
                  <c:v>8.0581666666666663E-2</c:v>
                </c:pt>
                <c:pt idx="55">
                  <c:v>3.6276111111111106E-2</c:v>
                </c:pt>
                <c:pt idx="56">
                  <c:v>8.0581666666666663E-2</c:v>
                </c:pt>
                <c:pt idx="57">
                  <c:v>5.0026111111111111E-2</c:v>
                </c:pt>
                <c:pt idx="58">
                  <c:v>8.0581666666666663E-2</c:v>
                </c:pt>
                <c:pt idx="59">
                  <c:v>4.4443022222222231E-3</c:v>
                </c:pt>
                <c:pt idx="60">
                  <c:v>8.0581666666666663E-2</c:v>
                </c:pt>
                <c:pt idx="61">
                  <c:v>1.5277777777777781E-3</c:v>
                </c:pt>
                <c:pt idx="62">
                  <c:v>5.0026111111111111E-2</c:v>
                </c:pt>
                <c:pt idx="63">
                  <c:v>5.0026111111111111E-2</c:v>
                </c:pt>
                <c:pt idx="64">
                  <c:v>1.0580288888888888E-3</c:v>
                </c:pt>
                <c:pt idx="65">
                  <c:v>3.6276111111111106E-2</c:v>
                </c:pt>
                <c:pt idx="66">
                  <c:v>0.11533</c:v>
                </c:pt>
                <c:pt idx="67">
                  <c:v>0.11533</c:v>
                </c:pt>
                <c:pt idx="68">
                  <c:v>0.19220268453753084</c:v>
                </c:pt>
                <c:pt idx="69">
                  <c:v>5.0026111111111111E-2</c:v>
                </c:pt>
                <c:pt idx="70">
                  <c:v>7.0133263333333334E-2</c:v>
                </c:pt>
                <c:pt idx="71">
                  <c:v>5.0026111111111111E-2</c:v>
                </c:pt>
                <c:pt idx="72">
                  <c:v>5.0338288888888885E-3</c:v>
                </c:pt>
                <c:pt idx="73">
                  <c:v>0.11533</c:v>
                </c:pt>
                <c:pt idx="74">
                  <c:v>5.0026111111111111E-2</c:v>
                </c:pt>
                <c:pt idx="75">
                  <c:v>5.0026111111111111E-2</c:v>
                </c:pt>
                <c:pt idx="76">
                  <c:v>8.0581666666666663E-2</c:v>
                </c:pt>
                <c:pt idx="77">
                  <c:v>4.5833333333333337E-2</c:v>
                </c:pt>
                <c:pt idx="78">
                  <c:v>1.0688288888888891E-3</c:v>
                </c:pt>
                <c:pt idx="79">
                  <c:v>8.855413333333334E-2</c:v>
                </c:pt>
                <c:pt idx="80">
                  <c:v>0.10577277777777779</c:v>
                </c:pt>
                <c:pt idx="81">
                  <c:v>5.0026111111111111E-2</c:v>
                </c:pt>
                <c:pt idx="82">
                  <c:v>7.0913333333333328E-2</c:v>
                </c:pt>
                <c:pt idx="83">
                  <c:v>5.1133333333333336E-2</c:v>
                </c:pt>
                <c:pt idx="84">
                  <c:v>6.6417775444444438E-2</c:v>
                </c:pt>
                <c:pt idx="85">
                  <c:v>5.1241107611111114E-2</c:v>
                </c:pt>
                <c:pt idx="86">
                  <c:v>4.5833333333333337E-2</c:v>
                </c:pt>
                <c:pt idx="87">
                  <c:v>4.5833333333333337E-2</c:v>
                </c:pt>
                <c:pt idx="88">
                  <c:v>4.5833333333333337E-2</c:v>
                </c:pt>
                <c:pt idx="89">
                  <c:v>5.1241107611111114E-2</c:v>
                </c:pt>
                <c:pt idx="90">
                  <c:v>4.1487108777777781E-2</c:v>
                </c:pt>
                <c:pt idx="91">
                  <c:v>3.0338288888888888E-3</c:v>
                </c:pt>
                <c:pt idx="92">
                  <c:v>6.0175887616747178E-2</c:v>
                </c:pt>
                <c:pt idx="93">
                  <c:v>6.6943132492962965E-2</c:v>
                </c:pt>
                <c:pt idx="94">
                  <c:v>4.4842638022222223E-3</c:v>
                </c:pt>
                <c:pt idx="95">
                  <c:v>3.6310858777777781E-2</c:v>
                </c:pt>
                <c:pt idx="96">
                  <c:v>3.5053888888888884E-2</c:v>
                </c:pt>
                <c:pt idx="97">
                  <c:v>1.5277777777777776E-2</c:v>
                </c:pt>
                <c:pt idx="98">
                  <c:v>1.5277777777777776E-2</c:v>
                </c:pt>
                <c:pt idx="99">
                  <c:v>7.1383538986354765E-5</c:v>
                </c:pt>
                <c:pt idx="100">
                  <c:v>1.5245696296296296E-3</c:v>
                </c:pt>
                <c:pt idx="101">
                  <c:v>2.0738901562962963E-3</c:v>
                </c:pt>
                <c:pt idx="102">
                  <c:v>1.2154777194444445E-2</c:v>
                </c:pt>
                <c:pt idx="103">
                  <c:v>9.7415445429629641E-4</c:v>
                </c:pt>
                <c:pt idx="104">
                  <c:v>9.7415445429629641E-4</c:v>
                </c:pt>
                <c:pt idx="105">
                  <c:v>8.679943861111112E-3</c:v>
                </c:pt>
                <c:pt idx="106">
                  <c:v>8.679943861111112E-3</c:v>
                </c:pt>
                <c:pt idx="107">
                  <c:v>8.4774444444444454E-3</c:v>
                </c:pt>
                <c:pt idx="108">
                  <c:v>5.0026111111111113E-3</c:v>
                </c:pt>
                <c:pt idx="109">
                  <c:v>5.2051105277777778E-3</c:v>
                </c:pt>
                <c:pt idx="110">
                  <c:v>5.0026111111111113E-3</c:v>
                </c:pt>
                <c:pt idx="111">
                  <c:v>3.7803888888888891E-3</c:v>
                </c:pt>
                <c:pt idx="112">
                  <c:v>5.0026111111111113E-3</c:v>
                </c:pt>
                <c:pt idx="113">
                  <c:v>1.5277777777777781E-3</c:v>
                </c:pt>
                <c:pt idx="114">
                  <c:v>5.4999999999999996E-8</c:v>
                </c:pt>
                <c:pt idx="115">
                  <c:v>5.4999999999999996E-8</c:v>
                </c:pt>
                <c:pt idx="116">
                  <c:v>5.4999999999999996E-8</c:v>
                </c:pt>
                <c:pt idx="117">
                  <c:v>5.4999999999999996E-8</c:v>
                </c:pt>
              </c:numCache>
            </c:numRef>
          </c:val>
          <c:extLst>
            <c:ext xmlns:c16="http://schemas.microsoft.com/office/drawing/2014/chart" uri="{C3380CC4-5D6E-409C-BE32-E72D297353CC}">
              <c16:uniqueId val="{00000003-94E5-4E24-B6CA-1E985E5B1A29}"/>
            </c:ext>
          </c:extLst>
        </c:ser>
        <c:dLbls>
          <c:showLegendKey val="0"/>
          <c:showVal val="0"/>
          <c:showCatName val="0"/>
          <c:showSerName val="0"/>
          <c:showPercent val="0"/>
          <c:showBubbleSize val="0"/>
        </c:dLbls>
        <c:gapWidth val="150"/>
        <c:overlap val="100"/>
        <c:axId val="1223802511"/>
        <c:axId val="689680656"/>
      </c:barChart>
      <c:catAx>
        <c:axId val="12238025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689680656"/>
        <c:crosses val="autoZero"/>
        <c:auto val="1"/>
        <c:lblAlgn val="ctr"/>
        <c:lblOffset val="100"/>
        <c:noMultiLvlLbl val="0"/>
      </c:catAx>
      <c:valAx>
        <c:axId val="68968065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12238025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K"/>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582-4BE5-AB00-610A6689181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582-4BE5-AB00-610A6689181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582-4BE5-AB00-610A6689181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582-4BE5-AB00-610A66891813}"/>
              </c:ext>
            </c:extLst>
          </c:dPt>
          <c:cat>
            <c:strRef>
              <c:f>'General processes'!$S$1:$V$1</c:f>
              <c:strCache>
                <c:ptCount val="4"/>
                <c:pt idx="0">
                  <c:v>GWPCF/min machine</c:v>
                </c:pt>
                <c:pt idx="1">
                  <c:v>GWPCF/min electricity</c:v>
                </c:pt>
                <c:pt idx="2">
                  <c:v>GWPCF/min heat</c:v>
                </c:pt>
                <c:pt idx="3">
                  <c:v>GWPCF/min input</c:v>
                </c:pt>
              </c:strCache>
            </c:strRef>
          </c:cat>
          <c:val>
            <c:numRef>
              <c:f>'General processes'!$S$121:$V$121</c:f>
              <c:numCache>
                <c:formatCode>0.00E+00</c:formatCode>
                <c:ptCount val="4"/>
                <c:pt idx="0">
                  <c:v>4.2876863208387801E-2</c:v>
                </c:pt>
                <c:pt idx="1">
                  <c:v>0.32479964810588624</c:v>
                </c:pt>
                <c:pt idx="2">
                  <c:v>4.2028156019620962E-2</c:v>
                </c:pt>
                <c:pt idx="3">
                  <c:v>0.59029533266610501</c:v>
                </c:pt>
              </c:numCache>
            </c:numRef>
          </c:val>
          <c:extLst>
            <c:ext xmlns:c16="http://schemas.microsoft.com/office/drawing/2014/chart" uri="{C3380CC4-5D6E-409C-BE32-E72D297353CC}">
              <c16:uniqueId val="{00000000-9B0D-4C8C-ACD3-F9047CCC544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18</xdr:col>
      <xdr:colOff>726440</xdr:colOff>
      <xdr:row>122</xdr:row>
      <xdr:rowOff>142240</xdr:rowOff>
    </xdr:from>
    <xdr:to>
      <xdr:col>20</xdr:col>
      <xdr:colOff>1762760</xdr:colOff>
      <xdr:row>225</xdr:row>
      <xdr:rowOff>142240</xdr:rowOff>
    </xdr:to>
    <xdr:graphicFrame macro="">
      <xdr:nvGraphicFramePr>
        <xdr:cNvPr id="2" name="Chart 1">
          <a:extLst>
            <a:ext uri="{FF2B5EF4-FFF2-40B4-BE49-F238E27FC236}">
              <a16:creationId xmlns:a16="http://schemas.microsoft.com/office/drawing/2014/main" id="{0A261830-C0BC-64CF-D5ED-A94CD7CD7E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821376</xdr:colOff>
      <xdr:row>16</xdr:row>
      <xdr:rowOff>112815</xdr:rowOff>
    </xdr:from>
    <xdr:to>
      <xdr:col>22</xdr:col>
      <xdr:colOff>1850571</xdr:colOff>
      <xdr:row>33</xdr:row>
      <xdr:rowOff>29688</xdr:rowOff>
    </xdr:to>
    <xdr:graphicFrame macro="">
      <xdr:nvGraphicFramePr>
        <xdr:cNvPr id="3" name="Chart 2">
          <a:extLst>
            <a:ext uri="{FF2B5EF4-FFF2-40B4-BE49-F238E27FC236}">
              <a16:creationId xmlns:a16="http://schemas.microsoft.com/office/drawing/2014/main" id="{E08328D1-CDAD-7608-9EF7-BB1FA1D5B7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56</xdr:row>
      <xdr:rowOff>1</xdr:rowOff>
    </xdr:from>
    <xdr:to>
      <xdr:col>1</xdr:col>
      <xdr:colOff>434341</xdr:colOff>
      <xdr:row>64</xdr:row>
      <xdr:rowOff>76141</xdr:rowOff>
    </xdr:to>
    <xdr:pic>
      <xdr:nvPicPr>
        <xdr:cNvPr id="2" name="Picture 1">
          <a:extLst>
            <a:ext uri="{FF2B5EF4-FFF2-40B4-BE49-F238E27FC236}">
              <a16:creationId xmlns:a16="http://schemas.microsoft.com/office/drawing/2014/main" id="{DD1CBB00-1D72-4D93-70BD-CFF8746CE69E}"/>
            </a:ext>
          </a:extLst>
        </xdr:cNvPr>
        <xdr:cNvPicPr>
          <a:picLocks noChangeAspect="1"/>
        </xdr:cNvPicPr>
      </xdr:nvPicPr>
      <xdr:blipFill>
        <a:blip xmlns:r="http://schemas.openxmlformats.org/officeDocument/2006/relationships" r:embed="rId1"/>
        <a:stretch>
          <a:fillRect/>
        </a:stretch>
      </xdr:blipFill>
      <xdr:spPr>
        <a:xfrm>
          <a:off x="1" y="10325101"/>
          <a:ext cx="2887980" cy="1539180"/>
        </a:xfrm>
        <a:prstGeom prst="rect">
          <a:avLst/>
        </a:prstGeom>
      </xdr:spPr>
    </xdr:pic>
    <xdr:clientData/>
  </xdr:twoCellAnchor>
  <xdr:twoCellAnchor editAs="oneCell">
    <xdr:from>
      <xdr:col>0</xdr:col>
      <xdr:colOff>0</xdr:colOff>
      <xdr:row>65</xdr:row>
      <xdr:rowOff>1</xdr:rowOff>
    </xdr:from>
    <xdr:to>
      <xdr:col>0</xdr:col>
      <xdr:colOff>1676400</xdr:colOff>
      <xdr:row>69</xdr:row>
      <xdr:rowOff>69971</xdr:rowOff>
    </xdr:to>
    <xdr:pic>
      <xdr:nvPicPr>
        <xdr:cNvPr id="3" name="Picture 2">
          <a:extLst>
            <a:ext uri="{FF2B5EF4-FFF2-40B4-BE49-F238E27FC236}">
              <a16:creationId xmlns:a16="http://schemas.microsoft.com/office/drawing/2014/main" id="{BB9428B6-25E2-B38F-F7AE-D40EAB778EA4}"/>
            </a:ext>
          </a:extLst>
        </xdr:cNvPr>
        <xdr:cNvPicPr>
          <a:picLocks noChangeAspect="1"/>
        </xdr:cNvPicPr>
      </xdr:nvPicPr>
      <xdr:blipFill>
        <a:blip xmlns:r="http://schemas.openxmlformats.org/officeDocument/2006/relationships" r:embed="rId2"/>
        <a:stretch>
          <a:fillRect/>
        </a:stretch>
      </xdr:blipFill>
      <xdr:spPr>
        <a:xfrm>
          <a:off x="0" y="11971021"/>
          <a:ext cx="1676400" cy="801490"/>
        </a:xfrm>
        <a:prstGeom prst="rect">
          <a:avLst/>
        </a:prstGeom>
      </xdr:spPr>
    </xdr:pic>
    <xdr:clientData/>
  </xdr:twoCellAnchor>
  <xdr:twoCellAnchor editAs="oneCell">
    <xdr:from>
      <xdr:col>0</xdr:col>
      <xdr:colOff>0</xdr:colOff>
      <xdr:row>69</xdr:row>
      <xdr:rowOff>68580</xdr:rowOff>
    </xdr:from>
    <xdr:to>
      <xdr:col>1</xdr:col>
      <xdr:colOff>167562</xdr:colOff>
      <xdr:row>71</xdr:row>
      <xdr:rowOff>167640</xdr:rowOff>
    </xdr:to>
    <xdr:pic>
      <xdr:nvPicPr>
        <xdr:cNvPr id="4" name="Picture 3">
          <a:extLst>
            <a:ext uri="{FF2B5EF4-FFF2-40B4-BE49-F238E27FC236}">
              <a16:creationId xmlns:a16="http://schemas.microsoft.com/office/drawing/2014/main" id="{0086B3A5-E4EC-986A-6732-D932635F7535}"/>
            </a:ext>
          </a:extLst>
        </xdr:cNvPr>
        <xdr:cNvPicPr>
          <a:picLocks noChangeAspect="1"/>
        </xdr:cNvPicPr>
      </xdr:nvPicPr>
      <xdr:blipFill>
        <a:blip xmlns:r="http://schemas.openxmlformats.org/officeDocument/2006/relationships" r:embed="rId3"/>
        <a:stretch>
          <a:fillRect/>
        </a:stretch>
      </xdr:blipFill>
      <xdr:spPr>
        <a:xfrm>
          <a:off x="0" y="12771120"/>
          <a:ext cx="2621202" cy="4648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xtlaser.com/laser-cutting-consumption/" TargetMode="External"/><Relationship Id="rId2" Type="http://schemas.openxmlformats.org/officeDocument/2006/relationships/hyperlink" Target="https://www.xtlaser.com/laser-cutting-consumption/" TargetMode="External"/><Relationship Id="rId1" Type="http://schemas.openxmlformats.org/officeDocument/2006/relationships/hyperlink" Target="https://link.springer.com/chapter/10.1007/978-3-642-29069-5_50%20Life%20cycle%20assessment%20of%20ginding" TargetMode="External"/><Relationship Id="rId5" Type="http://schemas.openxmlformats.org/officeDocument/2006/relationships/drawing" Target="../drawings/drawing1.xml"/><Relationship Id="rId4" Type="http://schemas.openxmlformats.org/officeDocument/2006/relationships/hyperlink" Target="https://www.xtlaser.com/laser-cutting-consumption/"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AAB9B-7EB7-4C05-BB3F-97C06F9E4A0A}">
  <dimension ref="A1:AR1048575"/>
  <sheetViews>
    <sheetView topLeftCell="C1" zoomScale="55" zoomScaleNormal="115" workbookViewId="0">
      <pane xSplit="1" topLeftCell="K1" activePane="topRight" state="frozen"/>
      <selection activeCell="C1" sqref="C1"/>
      <selection pane="topRight" activeCell="S1" activeCellId="1" sqref="S121:V121 S1:V1"/>
    </sheetView>
  </sheetViews>
  <sheetFormatPr defaultRowHeight="15" customHeight="1"/>
  <cols>
    <col min="1" max="1" width="12.109375" hidden="1" customWidth="1"/>
    <col min="2" max="2" width="0" hidden="1" customWidth="1"/>
    <col min="3" max="3" width="54" customWidth="1"/>
    <col min="4" max="4" width="22.33203125" customWidth="1"/>
    <col min="5" max="5" width="14.44140625" customWidth="1"/>
    <col min="6" max="6" width="12.21875" customWidth="1"/>
    <col min="7" max="7" width="10.5546875" customWidth="1"/>
    <col min="8" max="8" width="16.109375" customWidth="1"/>
    <col min="9" max="9" width="27.5546875" customWidth="1"/>
    <col min="10" max="10" width="33.33203125" customWidth="1"/>
    <col min="11" max="11" width="43.44140625" customWidth="1"/>
    <col min="12" max="13" width="30.21875" customWidth="1"/>
    <col min="14" max="14" width="45.44140625" customWidth="1"/>
    <col min="15" max="15" width="36.109375" hidden="1" customWidth="1"/>
    <col min="16" max="17" width="22.33203125" hidden="1" customWidth="1"/>
    <col min="18" max="18" width="25.77734375" hidden="1" customWidth="1"/>
    <col min="19" max="22" width="25.77734375" customWidth="1"/>
    <col min="23" max="23" width="37.77734375" customWidth="1"/>
    <col min="24" max="24" width="67.33203125" customWidth="1"/>
    <col min="25" max="25" width="31.6640625" customWidth="1"/>
    <col min="26" max="26" width="21.5546875" customWidth="1"/>
    <col min="27" max="27" width="47.109375" customWidth="1"/>
    <col min="28" max="28" width="44.88671875" customWidth="1"/>
    <col min="29" max="29" width="35.88671875" customWidth="1"/>
    <col min="30" max="30" width="36.88671875" customWidth="1"/>
    <col min="31" max="31" width="24.33203125" customWidth="1"/>
    <col min="44" max="44" width="16.109375" customWidth="1"/>
  </cols>
  <sheetData>
    <row r="1" spans="1:44" s="9" customFormat="1" ht="15" customHeight="1">
      <c r="A1" s="9" t="s">
        <v>0</v>
      </c>
      <c r="B1" s="9" t="s">
        <v>387</v>
      </c>
      <c r="C1" s="9" t="s">
        <v>1</v>
      </c>
      <c r="D1" s="9" t="s">
        <v>2</v>
      </c>
      <c r="E1" s="9" t="s">
        <v>3</v>
      </c>
      <c r="F1" s="9" t="s">
        <v>4</v>
      </c>
      <c r="G1" s="9" t="s">
        <v>5</v>
      </c>
      <c r="H1" s="9" t="s">
        <v>8</v>
      </c>
      <c r="I1" s="9" t="s">
        <v>6</v>
      </c>
      <c r="J1" s="9" t="s">
        <v>190</v>
      </c>
      <c r="K1" s="9" t="s">
        <v>191</v>
      </c>
      <c r="L1" s="9" t="s">
        <v>192</v>
      </c>
      <c r="M1" s="9" t="s">
        <v>193</v>
      </c>
      <c r="N1" s="9" t="s">
        <v>534</v>
      </c>
      <c r="O1" s="9" t="s">
        <v>167</v>
      </c>
      <c r="P1" s="9" t="s">
        <v>168</v>
      </c>
      <c r="Q1" s="9" t="s">
        <v>194</v>
      </c>
      <c r="R1" s="9" t="s">
        <v>169</v>
      </c>
      <c r="S1" s="9" t="s">
        <v>538</v>
      </c>
      <c r="T1" s="9" t="s">
        <v>536</v>
      </c>
      <c r="U1" s="9" t="s">
        <v>537</v>
      </c>
      <c r="V1" s="9" t="s">
        <v>535</v>
      </c>
      <c r="W1" s="9" t="s">
        <v>12</v>
      </c>
      <c r="X1" s="9" t="s">
        <v>14</v>
      </c>
      <c r="Y1" s="9" t="s">
        <v>13</v>
      </c>
      <c r="Z1" s="9" t="s">
        <v>7</v>
      </c>
      <c r="AA1" s="9" t="s">
        <v>210</v>
      </c>
      <c r="AC1" s="3" t="s">
        <v>209</v>
      </c>
      <c r="AD1" s="3"/>
      <c r="AE1" s="3"/>
      <c r="AR1" s="9" t="s">
        <v>8</v>
      </c>
    </row>
    <row r="2" spans="1:44" s="3" customFormat="1" ht="15" customHeight="1">
      <c r="A2" s="3">
        <v>59</v>
      </c>
      <c r="B2" s="3">
        <v>137</v>
      </c>
      <c r="C2" s="3" t="s">
        <v>466</v>
      </c>
      <c r="D2" s="15" t="s">
        <v>37</v>
      </c>
      <c r="E2" s="3">
        <v>3000</v>
      </c>
      <c r="G2" s="3" t="b">
        <v>0</v>
      </c>
      <c r="H2" s="3" t="s">
        <v>109</v>
      </c>
      <c r="I2" s="3">
        <v>1</v>
      </c>
      <c r="J2" s="3" cm="1">
        <f t="array" ref="J2">SUMPRODUCT((IFERROR(INDEX(EF!E:E, MATCH(LCI!E$1:GC$1, EF!A:A, 0)), 0)) * INDEX(LCI!E:GC, MATCH(C2, LCI!C:C, 0), 0))</f>
        <v>5.6361756072861118</v>
      </c>
      <c r="K2" s="3" cm="1">
        <f t="array" ref="K2">SUMPRODUCT((IFERROR(INDEX(EF!F:F, MATCH(LCI!E$1:GC$1, EF!A:A, 0)), 0)) * INDEX(LCI!E:GC, MATCH(C2, LCI!C:C, 0), 0))</f>
        <v>5.636170253366112</v>
      </c>
      <c r="L2" s="3" cm="1">
        <f t="array" ref="L2">SUMPRODUCT((IFERROR(INDEX(EF!G:G, MATCH(LCI!E$1:GC$1, EF!A:A, 0)), 0)) * INDEX(LCI!E:GC, MATCH(C2, LCI!C:C, 0), 0))</f>
        <v>5.3539200000000002E-6</v>
      </c>
      <c r="M2" s="3" cm="1">
        <f t="array" ref="M2">SUMPRODUCT((IFERROR(INDEX(EF!H:H, MATCH(LCI!E$1:GC$1, EF!A:A, 0)), 0)) * INDEX(LCI!E:GC, MATCH(C2, LCI!C:C, 0), 0))</f>
        <v>0</v>
      </c>
      <c r="N2" s="3" cm="1">
        <f t="array" ref="N2">SUMPRODUCT((IFERROR(INDEX(EF!I:I, MATCH(LCI!E$1:GC$1, EF!A:A, 0)), 0)) * INDEX(LCI!E:GC, MATCH(C2, LCI!C:C, 0), 0))</f>
        <v>5.6362076933661118</v>
      </c>
      <c r="O2" s="3">
        <f t="shared" ref="O2:O33" si="0">J2*I2</f>
        <v>5.6361756072861118</v>
      </c>
      <c r="P2" s="3">
        <f t="shared" ref="P2:P33" si="1">K2*I2</f>
        <v>5.636170253366112</v>
      </c>
      <c r="Q2" s="3">
        <f t="shared" ref="Q2:Q33" si="2">L2*I2</f>
        <v>5.3539200000000002E-6</v>
      </c>
      <c r="R2" s="3">
        <f t="shared" ref="R2:R33" si="3">M2*I2</f>
        <v>0</v>
      </c>
      <c r="S2" s="30" cm="1">
        <f t="array" ref="S2">EF!$I$2*INDEX(LCI!E:E,MATCH(C2,LCI!C:C,0),0)</f>
        <v>1.5277777777777776E-2</v>
      </c>
      <c r="T2" s="3">
        <f t="shared" ref="T2:T33" si="4">E2/1000*1/60*0.181</f>
        <v>9.0500000000000008E-3</v>
      </c>
      <c r="U2" s="3" cm="1">
        <f t="array" ref="U2">EF!$I$5*INDEX(LCI!D:D,MATCH(C2,LCI!C:C,0),0)</f>
        <v>0</v>
      </c>
      <c r="V2" s="3">
        <f t="shared" ref="V2:V33" si="5">N2*I2</f>
        <v>5.6362076933661118</v>
      </c>
      <c r="W2" s="3" t="s">
        <v>128</v>
      </c>
      <c r="Y2" s="3" t="s">
        <v>152</v>
      </c>
      <c r="Z2" s="3" t="s">
        <v>151</v>
      </c>
      <c r="AA2" s="30">
        <f t="shared" ref="AA2:AA33" si="6">S2+T2+U2+V2</f>
        <v>5.6605354711438896</v>
      </c>
      <c r="AB2" s="3">
        <f t="shared" ref="AB2:AB33" si="7">V2+E2/1000*1/60*0.181*0.7</f>
        <v>5.6425426933661118</v>
      </c>
      <c r="AC2" s="3">
        <f t="shared" ref="AC2:AC33" si="8">J2-K2-L2-M2</f>
        <v>-2.1570456331483287E-16</v>
      </c>
    </row>
    <row r="3" spans="1:44" s="3" customFormat="1" ht="15" customHeight="1">
      <c r="A3" s="3">
        <v>57</v>
      </c>
      <c r="B3" s="3">
        <v>132</v>
      </c>
      <c r="C3" s="3" t="s">
        <v>469</v>
      </c>
      <c r="D3" s="15" t="s">
        <v>38</v>
      </c>
      <c r="E3" s="3">
        <v>4000</v>
      </c>
      <c r="G3" s="3" t="b">
        <v>0</v>
      </c>
      <c r="H3" s="3" t="s">
        <v>109</v>
      </c>
      <c r="I3" s="3">
        <v>1</v>
      </c>
      <c r="J3" s="3" cm="1">
        <f t="array" ref="J3">SUMPRODUCT((IFERROR(INDEX(EF!E:E, MATCH(LCI!E$1:GC$1, EF!A:A, 0)), 0)) * INDEX(LCI!E:GC, MATCH(C3, LCI!C:C, 0), 0))</f>
        <v>5.6287909571217787</v>
      </c>
      <c r="K3" s="3" cm="1">
        <f t="array" ref="K3">SUMPRODUCT((IFERROR(INDEX(EF!F:F, MATCH(LCI!E$1:GC$1, EF!A:A, 0)), 0)) * INDEX(LCI!E:GC, MATCH(C3, LCI!C:C, 0), 0))</f>
        <v>5.6287906997217787</v>
      </c>
      <c r="L3" s="3" cm="1">
        <f t="array" ref="L3">SUMPRODUCT((IFERROR(INDEX(EF!G:G, MATCH(LCI!E$1:GC$1, EF!A:A, 0)), 0)) * INDEX(LCI!E:GC, MATCH(C3, LCI!C:C, 0), 0))</f>
        <v>2.5740000000000002E-7</v>
      </c>
      <c r="M3" s="3" cm="1">
        <f t="array" ref="M3">SUMPRODUCT((IFERROR(INDEX(EF!H:H, MATCH(LCI!E$1:GC$1, EF!A:A, 0)), 0)) * INDEX(LCI!E:GC, MATCH(C3, LCI!C:C, 0), 0))</f>
        <v>0</v>
      </c>
      <c r="N3" s="3" cm="1">
        <f t="array" ref="N3">SUMPRODUCT((IFERROR(INDEX(EF!I:I, MATCH(LCI!E$1:GC$1, EF!A:A, 0)), 0)) * INDEX(LCI!E:GC, MATCH(C3, LCI!C:C, 0), 0))</f>
        <v>5.6287924997217784</v>
      </c>
      <c r="O3" s="3">
        <f t="shared" si="0"/>
        <v>5.6287909571217787</v>
      </c>
      <c r="P3" s="3">
        <f t="shared" si="1"/>
        <v>5.6287906997217787</v>
      </c>
      <c r="Q3" s="3">
        <f t="shared" si="2"/>
        <v>2.5740000000000002E-7</v>
      </c>
      <c r="R3" s="3">
        <f t="shared" si="3"/>
        <v>0</v>
      </c>
      <c r="S3" s="30" cm="1">
        <f t="array" ref="S3">EF!$I$2*INDEX(LCI!E:E,MATCH(C3,LCI!C:C,0),0)</f>
        <v>1.5277777777777776E-2</v>
      </c>
      <c r="T3" s="3">
        <f t="shared" si="4"/>
        <v>1.2066666666666667E-2</v>
      </c>
      <c r="U3" s="3" cm="1">
        <f t="array" ref="U3">EF!$I$5*INDEX(LCI!D:D,MATCH(C3,LCI!C:C,0),0)</f>
        <v>0</v>
      </c>
      <c r="V3" s="3">
        <f t="shared" si="5"/>
        <v>5.6287924997217784</v>
      </c>
      <c r="W3" s="3" t="s">
        <v>128</v>
      </c>
      <c r="Y3" s="3" t="s">
        <v>152</v>
      </c>
      <c r="AA3" s="30">
        <f t="shared" si="6"/>
        <v>5.6561369441662226</v>
      </c>
      <c r="AB3" s="3">
        <f t="shared" si="7"/>
        <v>5.6372391663884454</v>
      </c>
      <c r="AC3" s="3">
        <f t="shared" si="8"/>
        <v>-1.8910592882603492E-17</v>
      </c>
      <c r="AR3"/>
    </row>
    <row r="4" spans="1:44" s="3" customFormat="1" ht="15" customHeight="1">
      <c r="A4" s="3">
        <v>33</v>
      </c>
      <c r="B4" s="3">
        <v>30</v>
      </c>
      <c r="C4" s="3" t="s">
        <v>142</v>
      </c>
      <c r="D4" s="3" t="s">
        <v>25</v>
      </c>
      <c r="E4" s="3">
        <v>1000</v>
      </c>
      <c r="G4" s="3" t="b">
        <v>0</v>
      </c>
      <c r="H4" s="3" t="s">
        <v>109</v>
      </c>
      <c r="I4" s="3">
        <v>1</v>
      </c>
      <c r="J4" s="3" cm="1">
        <f t="array" ref="J4">SUMPRODUCT((IFERROR(INDEX(EF!E:E, MATCH(LCI!E$1:GC$1, EF!A:A, 0)), 0)) * INDEX(LCI!E:GC, MATCH(C4, LCI!C:C, 0), 0))</f>
        <v>1.6181369472201417</v>
      </c>
      <c r="K4" s="3" cm="1">
        <f t="array" ref="K4">SUMPRODUCT((IFERROR(INDEX(EF!F:F, MATCH(LCI!E$1:GC$1, EF!A:A, 0)), 0)) * INDEX(LCI!E:GC, MATCH(C4, LCI!C:C, 0), 0))</f>
        <v>1.6181327762218842</v>
      </c>
      <c r="L4" s="3" cm="1">
        <f t="array" ref="L4">SUMPRODUCT((IFERROR(INDEX(EF!G:G, MATCH(LCI!E$1:GC$1, EF!A:A, 0)), 0)) * INDEX(LCI!E:GC, MATCH(C4, LCI!C:C, 0), 0))</f>
        <v>2.4835116081750629E-6</v>
      </c>
      <c r="M4" s="3" cm="1">
        <f t="array" ref="M4">SUMPRODUCT((IFERROR(INDEX(EF!H:H, MATCH(LCI!E$1:GC$1, EF!A:A, 0)), 0)) * INDEX(LCI!E:GC, MATCH(C4, LCI!C:C, 0), 0))</f>
        <v>1.6874866492215659E-6</v>
      </c>
      <c r="N4" s="3" cm="1">
        <f t="array" ref="N4">SUMPRODUCT((IFERROR(INDEX(EF!I:I, MATCH(LCI!E$1:GC$1, EF!A:A, 0)), 0)) * INDEX(LCI!E:GC, MATCH(C4, LCI!C:C, 0), 0))</f>
        <v>1.6181488017361219</v>
      </c>
      <c r="O4" s="3">
        <f t="shared" si="0"/>
        <v>1.6181369472201417</v>
      </c>
      <c r="P4" s="3">
        <f t="shared" si="1"/>
        <v>1.6181327762218842</v>
      </c>
      <c r="Q4" s="3">
        <f t="shared" si="2"/>
        <v>2.4835116081750629E-6</v>
      </c>
      <c r="R4" s="3">
        <f t="shared" si="3"/>
        <v>1.6874866492215659E-6</v>
      </c>
      <c r="S4" s="30" cm="1">
        <f t="array" ref="S4">EF!$I$2*INDEX(LCI!E:E,MATCH(C4,LCI!C:C,0),0)</f>
        <v>1.5277777777777776E-2</v>
      </c>
      <c r="T4" s="3">
        <f t="shared" si="4"/>
        <v>3.0166666666666666E-3</v>
      </c>
      <c r="U4" s="3" cm="1">
        <f t="array" ref="U4">EF!$I$5*INDEX(LCI!D:D,MATCH(C4,LCI!C:C,0),0)</f>
        <v>1.6033559959689336</v>
      </c>
      <c r="V4" s="3">
        <f t="shared" si="5"/>
        <v>1.6181488017361219</v>
      </c>
      <c r="W4" s="3" t="s">
        <v>135</v>
      </c>
      <c r="Y4" s="3" t="s">
        <v>465</v>
      </c>
      <c r="Z4" s="3" t="s">
        <v>141</v>
      </c>
      <c r="AA4" s="30">
        <f t="shared" si="6"/>
        <v>3.2397992421495001</v>
      </c>
      <c r="AB4" s="3">
        <f t="shared" si="7"/>
        <v>1.6202604684027886</v>
      </c>
      <c r="AC4" s="3">
        <f t="shared" si="8"/>
        <v>5.0083152347015457E-17</v>
      </c>
    </row>
    <row r="5" spans="1:44" s="3" customFormat="1" ht="15" customHeight="1">
      <c r="A5" s="3">
        <v>51</v>
      </c>
      <c r="B5" s="3">
        <v>109</v>
      </c>
      <c r="C5" s="3" t="s">
        <v>184</v>
      </c>
      <c r="D5" s="3" t="s">
        <v>182</v>
      </c>
      <c r="E5" s="3">
        <v>33000</v>
      </c>
      <c r="G5" s="3" t="b">
        <v>0</v>
      </c>
      <c r="H5" s="3" t="s">
        <v>165</v>
      </c>
      <c r="I5" s="3">
        <v>4</v>
      </c>
      <c r="J5" s="3" cm="1">
        <f t="array" ref="J5">SUMPRODUCT((IFERROR(INDEX(EF!E:E, MATCH(LCI!E$1:GC$1, EF!A:A, 0)), 0)) * INDEX(LCI!E:GC, MATCH(C5, LCI!C:C, 0), 0))</f>
        <v>0.72380138033333341</v>
      </c>
      <c r="K5" s="3" cm="1">
        <f t="array" ref="K5">SUMPRODUCT((IFERROR(INDEX(EF!F:F, MATCH(LCI!E$1:GC$1, EF!A:A, 0)), 0)) * INDEX(LCI!E:GC, MATCH(C5, LCI!C:C, 0), 0))</f>
        <v>0.72380138033333341</v>
      </c>
      <c r="L5" s="3" cm="1">
        <f t="array" ref="L5">SUMPRODUCT((IFERROR(INDEX(EF!G:G, MATCH(LCI!E$1:GC$1, EF!A:A, 0)), 0)) * INDEX(LCI!E:GC, MATCH(C5, LCI!C:C, 0), 0))</f>
        <v>0</v>
      </c>
      <c r="M5" s="3" cm="1">
        <f t="array" ref="M5">SUMPRODUCT((IFERROR(INDEX(EF!H:H, MATCH(LCI!E$1:GC$1, EF!A:A, 0)), 0)) * INDEX(LCI!E:GC, MATCH(C5, LCI!C:C, 0), 0))</f>
        <v>0</v>
      </c>
      <c r="N5" s="3" cm="1">
        <f t="array" ref="N5">SUMPRODUCT((IFERROR(INDEX(EF!I:I, MATCH(LCI!E$1:GC$1, EF!A:A, 0)), 0)) * INDEX(LCI!E:GC, MATCH(C5, LCI!C:C, 0), 0))</f>
        <v>0.72380138033333341</v>
      </c>
      <c r="O5" s="3">
        <f t="shared" si="0"/>
        <v>2.8952055213333336</v>
      </c>
      <c r="P5" s="3">
        <f t="shared" si="1"/>
        <v>2.8952055213333336</v>
      </c>
      <c r="Q5" s="3">
        <f t="shared" si="2"/>
        <v>0</v>
      </c>
      <c r="R5" s="3">
        <f t="shared" si="3"/>
        <v>0</v>
      </c>
      <c r="S5" s="30" cm="1">
        <f t="array" ref="S5">EF!$I$2*INDEX(LCI!E:E,MATCH(C5,LCI!C:C,0),0)</f>
        <v>4.5833333333333337E-2</v>
      </c>
      <c r="T5" s="3">
        <f t="shared" si="4"/>
        <v>9.955E-2</v>
      </c>
      <c r="U5" s="3" cm="1">
        <f t="array" ref="U5">EF!$I$5*INDEX(LCI!D:D,MATCH(C5,LCI!C:C,0),0)</f>
        <v>0</v>
      </c>
      <c r="V5" s="3">
        <f t="shared" si="5"/>
        <v>2.8952055213333336</v>
      </c>
      <c r="W5" s="3" t="s">
        <v>185</v>
      </c>
      <c r="X5" s="3" t="s">
        <v>185</v>
      </c>
      <c r="Y5" s="3" t="s">
        <v>185</v>
      </c>
      <c r="Z5" s="3" t="s">
        <v>180</v>
      </c>
      <c r="AA5" s="30">
        <f t="shared" si="6"/>
        <v>3.0405888546666668</v>
      </c>
      <c r="AB5" s="3">
        <f t="shared" si="7"/>
        <v>2.9648905213333334</v>
      </c>
      <c r="AC5" s="3">
        <f t="shared" si="8"/>
        <v>0</v>
      </c>
      <c r="AR5"/>
    </row>
    <row r="6" spans="1:44" s="3" customFormat="1" ht="15" customHeight="1">
      <c r="A6" s="3">
        <v>49</v>
      </c>
      <c r="B6" s="3">
        <v>53</v>
      </c>
      <c r="C6" s="3" t="s">
        <v>45</v>
      </c>
      <c r="D6" s="15" t="s">
        <v>45</v>
      </c>
      <c r="E6" s="3">
        <v>25000</v>
      </c>
      <c r="G6" s="3" t="b">
        <v>0</v>
      </c>
      <c r="H6" s="3" t="s">
        <v>165</v>
      </c>
      <c r="I6" s="3">
        <v>3</v>
      </c>
      <c r="J6" s="3" cm="1">
        <f t="array" ref="J6">SUMPRODUCT((IFERROR(INDEX(EF!E:E, MATCH(LCI!E$1:GC$1, EF!A:A, 0)), 0)) * INDEX(LCI!E:GC, MATCH(C6, LCI!C:C, 0), 0))</f>
        <v>0.94769078533333329</v>
      </c>
      <c r="K6" s="3" cm="1">
        <f t="array" ref="K6">SUMPRODUCT((IFERROR(INDEX(EF!F:F, MATCH(LCI!E$1:GC$1, EF!A:A, 0)), 0)) * INDEX(LCI!E:GC, MATCH(C6, LCI!C:C, 0), 0))</f>
        <v>0.94769078533333329</v>
      </c>
      <c r="L6" s="3" cm="1">
        <f t="array" ref="L6">SUMPRODUCT((IFERROR(INDEX(EF!G:G, MATCH(LCI!E$1:GC$1, EF!A:A, 0)), 0)) * INDEX(LCI!E:GC, MATCH(C6, LCI!C:C, 0), 0))</f>
        <v>0</v>
      </c>
      <c r="M6" s="3" cm="1">
        <f t="array" ref="M6">SUMPRODUCT((IFERROR(INDEX(EF!H:H, MATCH(LCI!E$1:GC$1, EF!A:A, 0)), 0)) * INDEX(LCI!E:GC, MATCH(C6, LCI!C:C, 0), 0))</f>
        <v>0</v>
      </c>
      <c r="N6" s="3" cm="1">
        <f t="array" ref="N6">SUMPRODUCT((IFERROR(INDEX(EF!I:I, MATCH(LCI!E$1:GC$1, EF!A:A, 0)), 0)) * INDEX(LCI!E:GC, MATCH(C6, LCI!C:C, 0), 0))</f>
        <v>0.94769078533333329</v>
      </c>
      <c r="O6" s="3">
        <f t="shared" si="0"/>
        <v>2.843072356</v>
      </c>
      <c r="P6" s="3">
        <f t="shared" si="1"/>
        <v>2.843072356</v>
      </c>
      <c r="Q6" s="3">
        <f t="shared" si="2"/>
        <v>0</v>
      </c>
      <c r="R6" s="3">
        <f t="shared" si="3"/>
        <v>0</v>
      </c>
      <c r="S6" s="30" cm="1">
        <f t="array" ref="S6">EF!$I$2*INDEX(LCI!E:E,MATCH(C6,LCI!C:C,0),0)</f>
        <v>4.5833333333333337E-2</v>
      </c>
      <c r="T6" s="3">
        <f t="shared" si="4"/>
        <v>7.5416666666666674E-2</v>
      </c>
      <c r="U6" s="3" cm="1">
        <f t="array" ref="U6">EF!$I$5*INDEX(LCI!D:D,MATCH(C6,LCI!C:C,0),0)</f>
        <v>0</v>
      </c>
      <c r="V6" s="3">
        <f t="shared" si="5"/>
        <v>2.843072356</v>
      </c>
      <c r="W6" s="3" t="s">
        <v>177</v>
      </c>
      <c r="X6" s="3" t="s">
        <v>178</v>
      </c>
      <c r="Y6" s="3" t="s">
        <v>179</v>
      </c>
      <c r="Z6" s="3" t="s">
        <v>180</v>
      </c>
      <c r="AA6" s="30">
        <f t="shared" si="6"/>
        <v>2.9643223559999998</v>
      </c>
      <c r="AB6" s="3">
        <f t="shared" si="7"/>
        <v>2.8958640226666668</v>
      </c>
      <c r="AC6" s="3">
        <f t="shared" si="8"/>
        <v>0</v>
      </c>
      <c r="AR6"/>
    </row>
    <row r="7" spans="1:44" s="3" customFormat="1" ht="15" customHeight="1">
      <c r="A7" s="3">
        <v>38</v>
      </c>
      <c r="B7" s="3">
        <v>44</v>
      </c>
      <c r="C7" s="3" t="s">
        <v>33</v>
      </c>
      <c r="D7" s="15" t="s">
        <v>33</v>
      </c>
      <c r="E7" s="3">
        <v>2000</v>
      </c>
      <c r="G7" s="3" t="b">
        <v>0</v>
      </c>
      <c r="H7" s="3" t="s">
        <v>109</v>
      </c>
      <c r="I7" s="3">
        <v>1</v>
      </c>
      <c r="J7" s="3" cm="1">
        <f t="array" ref="J7">SUMPRODUCT((IFERROR(INDEX(EF!E:E, MATCH(LCI!E$1:GC$1, EF!A:A, 0)), 0)) * INDEX(LCI!E:GC, MATCH(C7, LCI!C:C, 0), 0))</f>
        <v>2.8065600550000003</v>
      </c>
      <c r="K7" s="3" cm="1">
        <f t="array" ref="K7">SUMPRODUCT((IFERROR(INDEX(EF!F:F, MATCH(LCI!E$1:GC$1, EF!A:A, 0)), 0)) * INDEX(LCI!E:GC, MATCH(C7, LCI!C:C, 0), 0))</f>
        <v>2.8065600550000003</v>
      </c>
      <c r="L7" s="3" cm="1">
        <f t="array" ref="L7">SUMPRODUCT((IFERROR(INDEX(EF!G:G, MATCH(LCI!E$1:GC$1, EF!A:A, 0)), 0)) * INDEX(LCI!E:GC, MATCH(C7, LCI!C:C, 0), 0))</f>
        <v>0</v>
      </c>
      <c r="M7" s="3" cm="1">
        <f t="array" ref="M7">SUMPRODUCT((IFERROR(INDEX(EF!H:H, MATCH(LCI!E$1:GC$1, EF!A:A, 0)), 0)) * INDEX(LCI!E:GC, MATCH(C7, LCI!C:C, 0), 0))</f>
        <v>0</v>
      </c>
      <c r="N7" s="3" cm="1">
        <f t="array" ref="N7">SUMPRODUCT((IFERROR(INDEX(EF!I:I, MATCH(LCI!E$1:GC$1, EF!A:A, 0)), 0)) * INDEX(LCI!E:GC, MATCH(C7, LCI!C:C, 0), 0))</f>
        <v>2.8065600550000003</v>
      </c>
      <c r="O7" s="3">
        <f t="shared" si="0"/>
        <v>2.8065600550000003</v>
      </c>
      <c r="P7" s="3">
        <f t="shared" si="1"/>
        <v>2.8065600550000003</v>
      </c>
      <c r="Q7" s="3">
        <f t="shared" si="2"/>
        <v>0</v>
      </c>
      <c r="R7" s="3">
        <f t="shared" si="3"/>
        <v>0</v>
      </c>
      <c r="S7" s="30" cm="1">
        <f t="array" ref="S7">EF!$I$2*INDEX(LCI!E:E,MATCH(C7,LCI!C:C,0),0)</f>
        <v>5.4999999999999996E-8</v>
      </c>
      <c r="T7" s="3">
        <f t="shared" si="4"/>
        <v>6.0333333333333333E-3</v>
      </c>
      <c r="U7" s="3" cm="1">
        <f t="array" ref="U7">EF!$I$5*INDEX(LCI!D:D,MATCH(C7,LCI!C:C,0),0)</f>
        <v>0</v>
      </c>
      <c r="V7" s="3">
        <f t="shared" si="5"/>
        <v>2.8065600550000003</v>
      </c>
      <c r="W7" s="3" t="s">
        <v>128</v>
      </c>
      <c r="Y7" s="3" t="s">
        <v>460</v>
      </c>
      <c r="AA7" s="30">
        <f t="shared" si="6"/>
        <v>2.8125934433333337</v>
      </c>
      <c r="AB7" s="3">
        <f t="shared" si="7"/>
        <v>2.8107833883333337</v>
      </c>
      <c r="AC7" s="3">
        <f t="shared" si="8"/>
        <v>0</v>
      </c>
    </row>
    <row r="8" spans="1:44" s="3" customFormat="1" ht="15" customHeight="1">
      <c r="A8" s="3">
        <v>19</v>
      </c>
      <c r="B8" s="3">
        <v>110</v>
      </c>
      <c r="C8" s="3" t="s">
        <v>183</v>
      </c>
      <c r="D8" s="3" t="s">
        <v>181</v>
      </c>
      <c r="E8" s="3">
        <v>25000</v>
      </c>
      <c r="G8" s="3" t="b">
        <v>0</v>
      </c>
      <c r="H8" s="3" t="s">
        <v>165</v>
      </c>
      <c r="I8" s="3">
        <v>3</v>
      </c>
      <c r="J8" s="3" cm="1">
        <f t="array" ref="J8">SUMPRODUCT((IFERROR(INDEX(EF!E:E, MATCH(LCI!E$1:GC$1, EF!A:A, 0)), 0)) * INDEX(LCI!E:GC, MATCH(C8, LCI!C:C, 0), 0))</f>
        <v>0.90216300755555556</v>
      </c>
      <c r="K8" s="3" cm="1">
        <f t="array" ref="K8">SUMPRODUCT((IFERROR(INDEX(EF!F:F, MATCH(LCI!E$1:GC$1, EF!A:A, 0)), 0)) * INDEX(LCI!E:GC, MATCH(C8, LCI!C:C, 0), 0))</f>
        <v>0.90216300755555556</v>
      </c>
      <c r="L8" s="3" cm="1">
        <f t="array" ref="L8">SUMPRODUCT((IFERROR(INDEX(EF!G:G, MATCH(LCI!E$1:GC$1, EF!A:A, 0)), 0)) * INDEX(LCI!E:GC, MATCH(C8, LCI!C:C, 0), 0))</f>
        <v>0</v>
      </c>
      <c r="M8" s="3" cm="1">
        <f t="array" ref="M8">SUMPRODUCT((IFERROR(INDEX(EF!H:H, MATCH(LCI!E$1:GC$1, EF!A:A, 0)), 0)) * INDEX(LCI!E:GC, MATCH(C8, LCI!C:C, 0), 0))</f>
        <v>0</v>
      </c>
      <c r="N8" s="3" cm="1">
        <f t="array" ref="N8">SUMPRODUCT((IFERROR(INDEX(EF!I:I, MATCH(LCI!E$1:GC$1, EF!A:A, 0)), 0)) * INDEX(LCI!E:GC, MATCH(C8, LCI!C:C, 0), 0))</f>
        <v>0.90216300755555556</v>
      </c>
      <c r="O8" s="3">
        <f t="shared" si="0"/>
        <v>2.7064890226666667</v>
      </c>
      <c r="P8" s="3">
        <f t="shared" si="1"/>
        <v>2.7064890226666667</v>
      </c>
      <c r="Q8" s="3">
        <f t="shared" si="2"/>
        <v>0</v>
      </c>
      <c r="R8" s="3">
        <f t="shared" si="3"/>
        <v>0</v>
      </c>
      <c r="S8" s="30" cm="1">
        <f t="array" ref="S8">EF!$I$2*INDEX(LCI!E:E,MATCH(C8,LCI!C:C,0),0)</f>
        <v>3.0555555555555555E-4</v>
      </c>
      <c r="T8" s="3">
        <f t="shared" si="4"/>
        <v>7.5416666666666674E-2</v>
      </c>
      <c r="U8" s="3" cm="1">
        <f t="array" ref="U8">EF!$I$5*INDEX(LCI!D:D,MATCH(C8,LCI!C:C,0),0)</f>
        <v>0</v>
      </c>
      <c r="V8" s="3">
        <f t="shared" si="5"/>
        <v>2.7064890226666667</v>
      </c>
      <c r="W8" s="3" t="s">
        <v>185</v>
      </c>
      <c r="X8" s="3" t="s">
        <v>185</v>
      </c>
      <c r="Y8" s="3" t="s">
        <v>185</v>
      </c>
      <c r="Z8" s="3" t="s">
        <v>180</v>
      </c>
      <c r="AA8" s="30">
        <f t="shared" si="6"/>
        <v>2.7822112448888889</v>
      </c>
      <c r="AB8" s="3">
        <f t="shared" si="7"/>
        <v>2.7592806893333335</v>
      </c>
      <c r="AC8" s="3">
        <f t="shared" si="8"/>
        <v>0</v>
      </c>
    </row>
    <row r="9" spans="1:44" s="3" customFormat="1" ht="15" customHeight="1">
      <c r="A9" s="3">
        <v>44</v>
      </c>
      <c r="B9" s="3">
        <v>40</v>
      </c>
      <c r="C9" s="3" t="s">
        <v>93</v>
      </c>
      <c r="D9" s="15" t="s">
        <v>93</v>
      </c>
      <c r="E9" s="3">
        <v>26515</v>
      </c>
      <c r="G9" s="3" t="b">
        <v>0</v>
      </c>
      <c r="H9" s="3" t="s">
        <v>109</v>
      </c>
      <c r="I9" s="3">
        <v>1</v>
      </c>
      <c r="J9" s="3" cm="1">
        <f t="array" ref="J9">SUMPRODUCT((IFERROR(INDEX(EF!E:E, MATCH(LCI!E$1:GC$1, EF!A:A, 0)), 0)) * INDEX(LCI!E:GC, MATCH(C9, LCI!C:C, 0), 0))</f>
        <v>2.4561608333333336</v>
      </c>
      <c r="K9" s="3" cm="1">
        <f t="array" ref="K9">SUMPRODUCT((IFERROR(INDEX(EF!F:F, MATCH(LCI!E$1:GC$1, EF!A:A, 0)), 0)) * INDEX(LCI!E:GC, MATCH(C9, LCI!C:C, 0), 0))</f>
        <v>2.4468733333333335</v>
      </c>
      <c r="L9" s="3" cm="1">
        <f t="array" ref="L9">SUMPRODUCT((IFERROR(INDEX(EF!G:G, MATCH(LCI!E$1:GC$1, EF!A:A, 0)), 0)) * INDEX(LCI!E:GC, MATCH(C9, LCI!C:C, 0), 0))</f>
        <v>9.1999999999999998E-3</v>
      </c>
      <c r="M9" s="3" cm="1">
        <f t="array" ref="M9">SUMPRODUCT((IFERROR(INDEX(EF!H:H, MATCH(LCI!E$1:GC$1, EF!A:A, 0)), 0)) * INDEX(LCI!E:GC, MATCH(C9, LCI!C:C, 0), 0))</f>
        <v>8.7499999999999999E-5</v>
      </c>
      <c r="N9" s="3" cm="1">
        <f t="array" ref="N9">SUMPRODUCT((IFERROR(INDEX(EF!I:I, MATCH(LCI!E$1:GC$1, EF!A:A, 0)), 0)) * INDEX(LCI!E:GC, MATCH(C9, LCI!C:C, 0), 0))</f>
        <v>2.4468733333333335</v>
      </c>
      <c r="O9" s="3">
        <f t="shared" si="0"/>
        <v>2.4561608333333336</v>
      </c>
      <c r="P9" s="3">
        <f t="shared" si="1"/>
        <v>2.4468733333333335</v>
      </c>
      <c r="Q9" s="3">
        <f t="shared" si="2"/>
        <v>9.1999999999999998E-3</v>
      </c>
      <c r="R9" s="3">
        <f t="shared" si="3"/>
        <v>8.7499999999999999E-5</v>
      </c>
      <c r="S9" s="30" cm="1">
        <f t="array" ref="S9">EF!$I$2*INDEX(LCI!E:E,MATCH(C9,LCI!C:C,0),0)</f>
        <v>4.5833333333333337E-2</v>
      </c>
      <c r="T9" s="3">
        <f t="shared" si="4"/>
        <v>7.9986916666666671E-2</v>
      </c>
      <c r="U9" s="3" cm="1">
        <f t="array" ref="U9">EF!$I$5*INDEX(LCI!D:D,MATCH(C9,LCI!C:C,0),0)</f>
        <v>0</v>
      </c>
      <c r="V9" s="3">
        <f t="shared" si="5"/>
        <v>2.4468733333333335</v>
      </c>
      <c r="W9" s="3" t="s">
        <v>159</v>
      </c>
      <c r="Y9" s="3" t="s">
        <v>458</v>
      </c>
      <c r="Z9" s="3" t="s">
        <v>459</v>
      </c>
      <c r="AA9" s="30">
        <f t="shared" si="6"/>
        <v>2.5726935833333333</v>
      </c>
      <c r="AB9" s="3">
        <f t="shared" si="7"/>
        <v>2.502864175</v>
      </c>
      <c r="AC9" s="3">
        <f t="shared" si="8"/>
        <v>1.1526424346236519E-16</v>
      </c>
    </row>
    <row r="10" spans="1:44" s="3" customFormat="1" ht="15" customHeight="1">
      <c r="A10" s="3">
        <v>58</v>
      </c>
      <c r="B10" s="3">
        <v>133</v>
      </c>
      <c r="C10" s="3" t="s">
        <v>470</v>
      </c>
      <c r="D10" s="15" t="s">
        <v>39</v>
      </c>
      <c r="E10" s="3">
        <v>5000</v>
      </c>
      <c r="G10" s="3" t="b">
        <v>0</v>
      </c>
      <c r="H10" s="3" t="s">
        <v>109</v>
      </c>
      <c r="I10" s="3">
        <v>1</v>
      </c>
      <c r="J10" s="3" cm="1">
        <f t="array" ref="J10">SUMPRODUCT((IFERROR(INDEX(EF!E:E, MATCH(LCI!E$1:GC$1, EF!A:A, 0)), 0)) * INDEX(LCI!E:GC, MATCH(C10, LCI!C:C, 0), 0))</f>
        <v>1.8863236046310712</v>
      </c>
      <c r="K10" s="3" cm="1">
        <f t="array" ref="K10">SUMPRODUCT((IFERROR(INDEX(EF!F:F, MATCH(LCI!E$1:GC$1, EF!A:A, 0)), 0)) * INDEX(LCI!E:GC, MATCH(C10, LCI!C:C, 0), 0))</f>
        <v>1.8863236046310712</v>
      </c>
      <c r="L10" s="3" cm="1">
        <f t="array" ref="L10">SUMPRODUCT((IFERROR(INDEX(EF!G:G, MATCH(LCI!E$1:GC$1, EF!A:A, 0)), 0)) * INDEX(LCI!E:GC, MATCH(C10, LCI!C:C, 0), 0))</f>
        <v>0</v>
      </c>
      <c r="M10" s="3" cm="1">
        <f t="array" ref="M10">SUMPRODUCT((IFERROR(INDEX(EF!H:H, MATCH(LCI!E$1:GC$1, EF!A:A, 0)), 0)) * INDEX(LCI!E:GC, MATCH(C10, LCI!C:C, 0), 0))</f>
        <v>0</v>
      </c>
      <c r="N10" s="3" cm="1">
        <f t="array" ref="N10">SUMPRODUCT((IFERROR(INDEX(EF!I:I, MATCH(LCI!E$1:GC$1, EF!A:A, 0)), 0)) * INDEX(LCI!E:GC, MATCH(C10, LCI!C:C, 0), 0))</f>
        <v>1.8863236046310712</v>
      </c>
      <c r="O10" s="3">
        <f t="shared" si="0"/>
        <v>1.8863236046310712</v>
      </c>
      <c r="P10" s="3">
        <f t="shared" si="1"/>
        <v>1.8863236046310712</v>
      </c>
      <c r="Q10" s="3">
        <f t="shared" si="2"/>
        <v>0</v>
      </c>
      <c r="R10" s="3">
        <f t="shared" si="3"/>
        <v>0</v>
      </c>
      <c r="S10" s="30" cm="1">
        <f t="array" ref="S10">EF!$I$2*INDEX(LCI!E:E,MATCH(C10,LCI!C:C,0),0)</f>
        <v>1.5277777777777776E-2</v>
      </c>
      <c r="T10" s="3">
        <f t="shared" si="4"/>
        <v>1.5083333333333332E-2</v>
      </c>
      <c r="U10" s="3" cm="1">
        <f t="array" ref="U10">EF!$I$5*INDEX(LCI!D:D,MATCH(C10,LCI!C:C,0),0)</f>
        <v>0</v>
      </c>
      <c r="V10" s="3">
        <f t="shared" si="5"/>
        <v>1.8863236046310712</v>
      </c>
      <c r="W10" s="3" t="s">
        <v>128</v>
      </c>
      <c r="Y10" s="3" t="s">
        <v>152</v>
      </c>
      <c r="AA10" s="30">
        <f t="shared" si="6"/>
        <v>1.9166847157421822</v>
      </c>
      <c r="AB10" s="3">
        <f t="shared" si="7"/>
        <v>1.8968819379644044</v>
      </c>
      <c r="AC10" s="3">
        <f t="shared" si="8"/>
        <v>0</v>
      </c>
    </row>
    <row r="11" spans="1:44" s="3" customFormat="1" ht="15" customHeight="1">
      <c r="A11" s="3">
        <v>34</v>
      </c>
      <c r="B11" s="3">
        <v>31</v>
      </c>
      <c r="C11" s="3" t="s">
        <v>26</v>
      </c>
      <c r="D11" s="3" t="s">
        <v>26</v>
      </c>
      <c r="E11" s="3">
        <v>10000</v>
      </c>
      <c r="G11" s="3" t="b">
        <v>0</v>
      </c>
      <c r="H11" s="3" t="s">
        <v>109</v>
      </c>
      <c r="I11" s="3">
        <v>1</v>
      </c>
      <c r="J11" s="3" cm="1">
        <f t="array" ref="J11">SUMPRODUCT((IFERROR(INDEX(EF!E:E, MATCH(LCI!E$1:GC$1, EF!A:A, 0)), 0)) * INDEX(LCI!E:GC, MATCH(C11, LCI!C:C, 0), 0))</f>
        <v>1.6486925027756973</v>
      </c>
      <c r="K11" s="3" cm="1">
        <f t="array" ref="K11">SUMPRODUCT((IFERROR(INDEX(EF!F:F, MATCH(LCI!E$1:GC$1, EF!A:A, 0)), 0)) * INDEX(LCI!E:GC, MATCH(C11, LCI!C:C, 0), 0))</f>
        <v>1.6486883317774399</v>
      </c>
      <c r="L11" s="3" cm="1">
        <f t="array" ref="L11">SUMPRODUCT((IFERROR(INDEX(EF!G:G, MATCH(LCI!E$1:GC$1, EF!A:A, 0)), 0)) * INDEX(LCI!E:GC, MATCH(C11, LCI!C:C, 0), 0))</f>
        <v>2.4835116081750629E-6</v>
      </c>
      <c r="M11" s="3" cm="1">
        <f t="array" ref="M11">SUMPRODUCT((IFERROR(INDEX(EF!H:H, MATCH(LCI!E$1:GC$1, EF!A:A, 0)), 0)) * INDEX(LCI!E:GC, MATCH(C11, LCI!C:C, 0), 0))</f>
        <v>1.6874866492215659E-6</v>
      </c>
      <c r="N11" s="3" cm="1">
        <f t="array" ref="N11">SUMPRODUCT((IFERROR(INDEX(EF!I:I, MATCH(LCI!E$1:GC$1, EF!A:A, 0)), 0)) * INDEX(LCI!E:GC, MATCH(C11, LCI!C:C, 0), 0))</f>
        <v>1.6487043572916775</v>
      </c>
      <c r="O11" s="3">
        <f t="shared" si="0"/>
        <v>1.6486925027756973</v>
      </c>
      <c r="P11" s="3">
        <f t="shared" si="1"/>
        <v>1.6486883317774399</v>
      </c>
      <c r="Q11" s="3">
        <f t="shared" si="2"/>
        <v>2.4835116081750629E-6</v>
      </c>
      <c r="R11" s="3">
        <f t="shared" si="3"/>
        <v>1.6874866492215659E-6</v>
      </c>
      <c r="S11" s="30" cm="1">
        <f t="array" ref="S11">EF!$I$2*INDEX(LCI!E:E,MATCH(C11,LCI!C:C,0),0)</f>
        <v>4.5833333333333337E-2</v>
      </c>
      <c r="T11" s="3">
        <f t="shared" si="4"/>
        <v>3.0166666666666665E-2</v>
      </c>
      <c r="U11" s="3" cm="1">
        <f t="array" ref="U11">EF!$I$5*INDEX(LCI!D:D,MATCH(C11,LCI!C:C,0),0)</f>
        <v>1.9380000000000001E-2</v>
      </c>
      <c r="V11" s="3">
        <f t="shared" si="5"/>
        <v>1.6487043572916775</v>
      </c>
      <c r="W11" s="3" t="s">
        <v>128</v>
      </c>
      <c r="Y11" s="3" t="s">
        <v>282</v>
      </c>
      <c r="Z11" s="3" t="s">
        <v>272</v>
      </c>
      <c r="AA11" s="30">
        <f t="shared" si="6"/>
        <v>1.7440843572916775</v>
      </c>
      <c r="AB11" s="3">
        <f t="shared" si="7"/>
        <v>1.6698210239583442</v>
      </c>
      <c r="AC11" s="3">
        <f t="shared" si="8"/>
        <v>5.0083152347015457E-17</v>
      </c>
      <c r="AR11"/>
    </row>
    <row r="12" spans="1:44" s="3" customFormat="1" ht="15" customHeight="1">
      <c r="A12" s="3">
        <v>35</v>
      </c>
      <c r="B12" s="3">
        <v>108</v>
      </c>
      <c r="C12" s="3" t="s">
        <v>143</v>
      </c>
      <c r="D12" s="3" t="s">
        <v>143</v>
      </c>
      <c r="E12" s="3">
        <v>10000</v>
      </c>
      <c r="G12" s="3" t="b">
        <v>0</v>
      </c>
      <c r="H12" s="3" t="s">
        <v>109</v>
      </c>
      <c r="I12" s="3">
        <v>1</v>
      </c>
      <c r="J12" s="3" cm="1">
        <f t="array" ref="J12">SUMPRODUCT((IFERROR(INDEX(EF!E:E, MATCH(LCI!E$1:GC$1, EF!A:A, 0)), 0)) * INDEX(LCI!E:GC, MATCH(C12, LCI!C:C, 0), 0))</f>
        <v>1.6486925027756973</v>
      </c>
      <c r="K12" s="3" cm="1">
        <f t="array" ref="K12">SUMPRODUCT((IFERROR(INDEX(EF!F:F, MATCH(LCI!E$1:GC$1, EF!A:A, 0)), 0)) * INDEX(LCI!E:GC, MATCH(C12, LCI!C:C, 0), 0))</f>
        <v>1.6486883317774399</v>
      </c>
      <c r="L12" s="3" cm="1">
        <f t="array" ref="L12">SUMPRODUCT((IFERROR(INDEX(EF!G:G, MATCH(LCI!E$1:GC$1, EF!A:A, 0)), 0)) * INDEX(LCI!E:GC, MATCH(C12, LCI!C:C, 0), 0))</f>
        <v>2.4835116081750629E-6</v>
      </c>
      <c r="M12" s="3" cm="1">
        <f t="array" ref="M12">SUMPRODUCT((IFERROR(INDEX(EF!H:H, MATCH(LCI!E$1:GC$1, EF!A:A, 0)), 0)) * INDEX(LCI!E:GC, MATCH(C12, LCI!C:C, 0), 0))</f>
        <v>1.6874866492215659E-6</v>
      </c>
      <c r="N12" s="3" cm="1">
        <f t="array" ref="N12">SUMPRODUCT((IFERROR(INDEX(EF!I:I, MATCH(LCI!E$1:GC$1, EF!A:A, 0)), 0)) * INDEX(LCI!E:GC, MATCH(C12, LCI!C:C, 0), 0))</f>
        <v>1.6487043572916775</v>
      </c>
      <c r="O12" s="3">
        <f t="shared" si="0"/>
        <v>1.6486925027756973</v>
      </c>
      <c r="P12" s="3">
        <f t="shared" si="1"/>
        <v>1.6486883317774399</v>
      </c>
      <c r="Q12" s="3">
        <f t="shared" si="2"/>
        <v>2.4835116081750629E-6</v>
      </c>
      <c r="R12" s="3">
        <f t="shared" si="3"/>
        <v>1.6874866492215659E-6</v>
      </c>
      <c r="S12" s="30" cm="1">
        <f t="array" ref="S12">EF!$I$2*INDEX(LCI!E:E,MATCH(C12,LCI!C:C,0),0)</f>
        <v>4.5833333333333337E-2</v>
      </c>
      <c r="T12" s="3">
        <f t="shared" si="4"/>
        <v>3.0166666666666665E-2</v>
      </c>
      <c r="U12" s="3" cm="1">
        <f t="array" ref="U12">EF!$I$5*INDEX(LCI!D:D,MATCH(C12,LCI!C:C,0),0)</f>
        <v>1.6150000000000001E-2</v>
      </c>
      <c r="V12" s="3">
        <f t="shared" si="5"/>
        <v>1.6487043572916775</v>
      </c>
      <c r="W12" s="3" t="s">
        <v>128</v>
      </c>
      <c r="Y12" s="3" t="s">
        <v>281</v>
      </c>
      <c r="Z12" s="3" t="s">
        <v>272</v>
      </c>
      <c r="AA12" s="30">
        <f t="shared" si="6"/>
        <v>1.7408543572916775</v>
      </c>
      <c r="AB12" s="3">
        <f t="shared" si="7"/>
        <v>1.6698210239583442</v>
      </c>
      <c r="AC12" s="3">
        <f t="shared" si="8"/>
        <v>5.0083152347015457E-17</v>
      </c>
      <c r="AR12"/>
    </row>
    <row r="13" spans="1:44" s="3" customFormat="1" ht="15" customHeight="1">
      <c r="A13" s="3">
        <v>63</v>
      </c>
      <c r="B13" s="3">
        <v>157</v>
      </c>
      <c r="C13" s="3" t="s">
        <v>205</v>
      </c>
      <c r="D13" s="3" t="s">
        <v>205</v>
      </c>
      <c r="E13" s="3">
        <v>10000</v>
      </c>
      <c r="G13" s="3" t="b">
        <v>0</v>
      </c>
      <c r="H13" s="3" t="s">
        <v>109</v>
      </c>
      <c r="I13" s="3">
        <v>1</v>
      </c>
      <c r="J13" s="3" cm="1">
        <f t="array" ref="J13">SUMPRODUCT((IFERROR(INDEX(EF!E:E, MATCH(LCI!E$1:GC$1, EF!A:A, 0)), 0)) * INDEX(LCI!E:GC, MATCH(C13, LCI!C:C, 0), 0))</f>
        <v>1.0356777777777777</v>
      </c>
      <c r="K13" s="3" cm="1">
        <f t="array" ref="K13">SUMPRODUCT((IFERROR(INDEX(EF!F:F, MATCH(LCI!E$1:GC$1, EF!A:A, 0)), 0)) * INDEX(LCI!E:GC, MATCH(C13, LCI!C:C, 0), 0))</f>
        <v>1.0356777777777777</v>
      </c>
      <c r="L13" s="3" cm="1">
        <f t="array" ref="L13">SUMPRODUCT((IFERROR(INDEX(EF!G:G, MATCH(LCI!E$1:GC$1, EF!A:A, 0)), 0)) * INDEX(LCI!E:GC, MATCH(C13, LCI!C:C, 0), 0))</f>
        <v>0</v>
      </c>
      <c r="M13" s="3" cm="1">
        <f t="array" ref="M13">SUMPRODUCT((IFERROR(INDEX(EF!H:H, MATCH(LCI!E$1:GC$1, EF!A:A, 0)), 0)) * INDEX(LCI!E:GC, MATCH(C13, LCI!C:C, 0), 0))</f>
        <v>0</v>
      </c>
      <c r="N13" s="3" cm="1">
        <f t="array" ref="N13">SUMPRODUCT((IFERROR(INDEX(EF!I:I, MATCH(LCI!E$1:GC$1, EF!A:A, 0)), 0)) * INDEX(LCI!E:GC, MATCH(C13, LCI!C:C, 0), 0))</f>
        <v>1.0356777777777777</v>
      </c>
      <c r="O13" s="3">
        <f t="shared" si="0"/>
        <v>1.0356777777777777</v>
      </c>
      <c r="P13" s="3">
        <f t="shared" si="1"/>
        <v>1.0356777777777777</v>
      </c>
      <c r="Q13" s="3">
        <f t="shared" si="2"/>
        <v>0</v>
      </c>
      <c r="R13" s="3">
        <f t="shared" si="3"/>
        <v>0</v>
      </c>
      <c r="S13" s="30" cm="1">
        <f t="array" ref="S13">EF!$I$2*INDEX(LCI!E:E,MATCH(C13,LCI!C:C,0),0)</f>
        <v>1.5277777777777781E-3</v>
      </c>
      <c r="T13" s="3">
        <f t="shared" si="4"/>
        <v>3.0166666666666665E-2</v>
      </c>
      <c r="U13" s="3" cm="1">
        <f t="array" ref="U13">EF!$I$5*INDEX(LCI!D:D,MATCH(C13,LCI!C:C,0),0)</f>
        <v>0.16279200000000002</v>
      </c>
      <c r="V13" s="3">
        <f t="shared" si="5"/>
        <v>1.0356777777777777</v>
      </c>
      <c r="W13" s="3" t="s">
        <v>207</v>
      </c>
      <c r="Y13" s="3" t="s">
        <v>206</v>
      </c>
      <c r="Z13" s="3" t="s">
        <v>204</v>
      </c>
      <c r="AA13" s="30">
        <f t="shared" si="6"/>
        <v>1.2301642222222222</v>
      </c>
      <c r="AB13" s="3">
        <f t="shared" si="7"/>
        <v>1.0567944444444444</v>
      </c>
      <c r="AC13" s="3">
        <f t="shared" si="8"/>
        <v>0</v>
      </c>
      <c r="AR13"/>
    </row>
    <row r="14" spans="1:44" s="3" customFormat="1" ht="15" customHeight="1">
      <c r="A14" s="3">
        <v>117</v>
      </c>
      <c r="B14" s="3">
        <v>107</v>
      </c>
      <c r="C14" s="3" t="s">
        <v>198</v>
      </c>
      <c r="D14" s="3" t="s">
        <v>198</v>
      </c>
      <c r="E14" s="3">
        <v>350000</v>
      </c>
      <c r="G14" s="3" t="b">
        <v>0</v>
      </c>
      <c r="H14" s="3" t="s">
        <v>109</v>
      </c>
      <c r="I14" s="3">
        <v>1</v>
      </c>
      <c r="J14" s="3" cm="1">
        <f t="array" ref="J14">SUMPRODUCT((IFERROR(INDEX(EF!E:E, MATCH(LCI!E$1:GC$1, EF!A:A, 0)), 0)) * INDEX(LCI!E:GC, MATCH(C14, LCI!C:C, 0), 0))</f>
        <v>3.6133277777777778E-2</v>
      </c>
      <c r="K14" s="3" cm="1">
        <f t="array" ref="K14">SUMPRODUCT((IFERROR(INDEX(EF!F:F, MATCH(LCI!E$1:GC$1, EF!A:A, 0)), 0)) * INDEX(LCI!E:GC, MATCH(C14, LCI!C:C, 0), 0))</f>
        <v>3.6109444444444444E-2</v>
      </c>
      <c r="L14" s="3" cm="1">
        <f t="array" ref="L14">SUMPRODUCT((IFERROR(INDEX(EF!G:G, MATCH(LCI!E$1:GC$1, EF!A:A, 0)), 0)) * INDEX(LCI!E:GC, MATCH(C14, LCI!C:C, 0), 0))</f>
        <v>2.3833333333333334E-5</v>
      </c>
      <c r="M14" s="3" cm="1">
        <f t="array" ref="M14">SUMPRODUCT((IFERROR(INDEX(EF!H:H, MATCH(LCI!E$1:GC$1, EF!A:A, 0)), 0)) * INDEX(LCI!E:GC, MATCH(C14, LCI!C:C, 0), 0))</f>
        <v>0</v>
      </c>
      <c r="N14" s="3" cm="1">
        <f t="array" ref="N14">SUMPRODUCT((IFERROR(INDEX(EF!I:I, MATCH(LCI!E$1:GC$1, EF!A:A, 0)), 0)) * INDEX(LCI!E:GC, MATCH(C14, LCI!C:C, 0), 0))</f>
        <v>3.6276111111111106E-2</v>
      </c>
      <c r="O14" s="3">
        <f t="shared" si="0"/>
        <v>3.6133277777777778E-2</v>
      </c>
      <c r="P14" s="3">
        <f t="shared" si="1"/>
        <v>3.6109444444444444E-2</v>
      </c>
      <c r="Q14" s="3">
        <f t="shared" si="2"/>
        <v>2.3833333333333334E-5</v>
      </c>
      <c r="R14" s="3">
        <f t="shared" si="3"/>
        <v>0</v>
      </c>
      <c r="S14" s="30" cm="1">
        <f t="array" ref="S14">EF!$I$2*INDEX(LCI!E:E,MATCH(C14,LCI!C:C,0),0)</f>
        <v>1.5277777777777781E-3</v>
      </c>
      <c r="T14" s="3">
        <f t="shared" si="4"/>
        <v>1.0558333333333332</v>
      </c>
      <c r="U14" s="3" cm="1">
        <f t="array" ref="U14">EF!$I$5*INDEX(LCI!D:D,MATCH(C14,LCI!C:C,0),0)</f>
        <v>0</v>
      </c>
      <c r="V14" s="3">
        <f t="shared" si="5"/>
        <v>3.6276111111111106E-2</v>
      </c>
      <c r="W14" s="3" t="s">
        <v>199</v>
      </c>
      <c r="Y14" s="16" t="s">
        <v>382</v>
      </c>
      <c r="Z14" s="3" t="s">
        <v>383</v>
      </c>
      <c r="AA14" s="30">
        <f t="shared" si="6"/>
        <v>1.0936372222222221</v>
      </c>
      <c r="AB14" s="3">
        <f t="shared" si="7"/>
        <v>0.77535944444444427</v>
      </c>
      <c r="AC14" s="3">
        <f t="shared" si="8"/>
        <v>7.0473141211557788E-19</v>
      </c>
      <c r="AR14"/>
    </row>
    <row r="15" spans="1:44" s="3" customFormat="1" ht="15" customHeight="1">
      <c r="A15" s="3">
        <v>37</v>
      </c>
      <c r="B15" s="3">
        <v>43</v>
      </c>
      <c r="C15" s="3" t="s">
        <v>30</v>
      </c>
      <c r="D15" s="3" t="s">
        <v>120</v>
      </c>
      <c r="E15" s="3">
        <v>100</v>
      </c>
      <c r="G15" s="3" t="b">
        <v>0</v>
      </c>
      <c r="H15" s="3" t="s">
        <v>109</v>
      </c>
      <c r="I15" s="3">
        <v>1</v>
      </c>
      <c r="J15" s="3" cm="1">
        <f t="array" ref="J15">SUMPRODUCT((IFERROR(INDEX(EF!E:E, MATCH(LCI!E$1:GC$1, EF!A:A, 0)), 0)) * INDEX(LCI!E:GC, MATCH(C15, LCI!C:C, 0), 0))</f>
        <v>0.95172565295555567</v>
      </c>
      <c r="K15" s="3" cm="1">
        <f t="array" ref="K15">SUMPRODUCT((IFERROR(INDEX(EF!F:F, MATCH(LCI!E$1:GC$1, EF!A:A, 0)), 0)) * INDEX(LCI!E:GC, MATCH(C15, LCI!C:C, 0), 0))</f>
        <v>0.9517255555555556</v>
      </c>
      <c r="L15" s="3" cm="1">
        <f t="array" ref="L15">SUMPRODUCT((IFERROR(INDEX(EF!G:G, MATCH(LCI!E$1:GC$1, EF!A:A, 0)), 0)) * INDEX(LCI!E:GC, MATCH(C15, LCI!C:C, 0), 0))</f>
        <v>9.7399999999999999E-8</v>
      </c>
      <c r="M15" s="3" cm="1">
        <f t="array" ref="M15">SUMPRODUCT((IFERROR(INDEX(EF!H:H, MATCH(LCI!E$1:GC$1, EF!A:A, 0)), 0)) * INDEX(LCI!E:GC, MATCH(C15, LCI!C:C, 0), 0))</f>
        <v>0</v>
      </c>
      <c r="N15" s="3" cm="1">
        <f t="array" ref="N15">SUMPRODUCT((IFERROR(INDEX(EF!I:I, MATCH(LCI!E$1:GC$1, EF!A:A, 0)), 0)) * INDEX(LCI!E:GC, MATCH(C15, LCI!C:C, 0), 0))</f>
        <v>0.9517255555555556</v>
      </c>
      <c r="O15" s="3">
        <f t="shared" si="0"/>
        <v>0.95172565295555567</v>
      </c>
      <c r="P15" s="3">
        <f t="shared" si="1"/>
        <v>0.9517255555555556</v>
      </c>
      <c r="Q15" s="3">
        <f t="shared" si="2"/>
        <v>9.7399999999999999E-8</v>
      </c>
      <c r="R15" s="3">
        <f t="shared" si="3"/>
        <v>0</v>
      </c>
      <c r="S15" s="30" cm="1">
        <f t="array" ref="S15">EF!$I$2*INDEX(LCI!E:E,MATCH(C15,LCI!C:C,0),0)</f>
        <v>3.0555555555555555E-4</v>
      </c>
      <c r="T15" s="3">
        <f t="shared" si="4"/>
        <v>3.0166666666666666E-4</v>
      </c>
      <c r="U15" s="3" cm="1">
        <f t="array" ref="U15">EF!$I$5*INDEX(LCI!D:D,MATCH(C15,LCI!C:C,0),0)</f>
        <v>0</v>
      </c>
      <c r="V15" s="3">
        <f t="shared" si="5"/>
        <v>0.9517255555555556</v>
      </c>
      <c r="W15" s="3" t="s">
        <v>128</v>
      </c>
      <c r="Y15" s="16" t="s">
        <v>304</v>
      </c>
      <c r="AA15" s="30">
        <f t="shared" si="6"/>
        <v>0.95233277777777781</v>
      </c>
      <c r="AB15" s="3">
        <f t="shared" si="7"/>
        <v>0.95193672222222225</v>
      </c>
      <c r="AC15" s="3">
        <f t="shared" si="8"/>
        <v>6.5306359347314764E-17</v>
      </c>
      <c r="AR15"/>
    </row>
    <row r="16" spans="1:44" s="3" customFormat="1" ht="15" customHeight="1">
      <c r="A16" s="3">
        <v>93</v>
      </c>
      <c r="B16" s="3">
        <v>84</v>
      </c>
      <c r="C16" s="3" t="s">
        <v>79</v>
      </c>
      <c r="D16" s="15" t="s">
        <v>79</v>
      </c>
      <c r="E16" s="3">
        <v>273000</v>
      </c>
      <c r="G16" s="3" t="b">
        <v>0</v>
      </c>
      <c r="H16" s="3" t="s">
        <v>109</v>
      </c>
      <c r="I16" s="3">
        <v>1</v>
      </c>
      <c r="J16" s="3" cm="1">
        <f t="array" ref="J16">SUMPRODUCT((IFERROR(INDEX(EF!E:E, MATCH(LCI!E$1:GC$1, EF!A:A, 0)), 0)) * INDEX(LCI!E:GC, MATCH(C16, LCI!C:C, 0), 0))</f>
        <v>8.0438833333333348E-2</v>
      </c>
      <c r="K16" s="3" cm="1">
        <f t="array" ref="K16">SUMPRODUCT((IFERROR(INDEX(EF!F:F, MATCH(LCI!E$1:GC$1, EF!A:A, 0)), 0)) * INDEX(LCI!E:GC, MATCH(C16, LCI!C:C, 0), 0))</f>
        <v>8.0415000000000014E-2</v>
      </c>
      <c r="L16" s="3" cm="1">
        <f t="array" ref="L16">SUMPRODUCT((IFERROR(INDEX(EF!G:G, MATCH(LCI!E$1:GC$1, EF!A:A, 0)), 0)) * INDEX(LCI!E:GC, MATCH(C16, LCI!C:C, 0), 0))</f>
        <v>2.3833333333333334E-5</v>
      </c>
      <c r="M16" s="3" cm="1">
        <f t="array" ref="M16">SUMPRODUCT((IFERROR(INDEX(EF!H:H, MATCH(LCI!E$1:GC$1, EF!A:A, 0)), 0)) * INDEX(LCI!E:GC, MATCH(C16, LCI!C:C, 0), 0))</f>
        <v>0</v>
      </c>
      <c r="N16" s="3" cm="1">
        <f t="array" ref="N16">SUMPRODUCT((IFERROR(INDEX(EF!I:I, MATCH(LCI!E$1:GC$1, EF!A:A, 0)), 0)) * INDEX(LCI!E:GC, MATCH(C16, LCI!C:C, 0), 0))</f>
        <v>8.0581666666666663E-2</v>
      </c>
      <c r="O16" s="3">
        <f t="shared" si="0"/>
        <v>8.0438833333333348E-2</v>
      </c>
      <c r="P16" s="3">
        <f t="shared" si="1"/>
        <v>8.0415000000000014E-2</v>
      </c>
      <c r="Q16" s="3">
        <f t="shared" si="2"/>
        <v>2.3833333333333334E-5</v>
      </c>
      <c r="R16" s="3">
        <f t="shared" si="3"/>
        <v>0</v>
      </c>
      <c r="S16" s="30" cm="1">
        <f t="array" ref="S16">EF!$I$2*INDEX(LCI!E:E,MATCH(C16,LCI!C:C,0),0)</f>
        <v>4.5833333333333337E-2</v>
      </c>
      <c r="T16" s="3">
        <f t="shared" si="4"/>
        <v>0.82354999999999989</v>
      </c>
      <c r="U16" s="3" cm="1">
        <f t="array" ref="U16">EF!$I$5*INDEX(LCI!D:D,MATCH(C16,LCI!C:C,0),0)</f>
        <v>0</v>
      </c>
      <c r="V16" s="3">
        <f t="shared" si="5"/>
        <v>8.0581666666666663E-2</v>
      </c>
      <c r="W16" s="3" t="s">
        <v>158</v>
      </c>
      <c r="Y16" s="16" t="s">
        <v>358</v>
      </c>
      <c r="Z16" s="3" t="s">
        <v>383</v>
      </c>
      <c r="AA16" s="30">
        <f t="shared" si="6"/>
        <v>0.94996499999999984</v>
      </c>
      <c r="AB16" s="3">
        <f t="shared" si="7"/>
        <v>0.65706666666666658</v>
      </c>
      <c r="AC16" s="3">
        <f t="shared" si="8"/>
        <v>7.0473141211557788E-19</v>
      </c>
      <c r="AR16"/>
    </row>
    <row r="17" spans="1:44" s="3" customFormat="1" ht="15" customHeight="1">
      <c r="A17" s="3">
        <v>8</v>
      </c>
      <c r="B17" s="3">
        <v>6</v>
      </c>
      <c r="C17" s="3" t="s">
        <v>23</v>
      </c>
      <c r="D17" s="3" t="s">
        <v>23</v>
      </c>
      <c r="E17" s="3">
        <v>20000</v>
      </c>
      <c r="G17" s="3" t="b">
        <v>0</v>
      </c>
      <c r="H17" s="3" t="s">
        <v>109</v>
      </c>
      <c r="I17" s="3">
        <v>1</v>
      </c>
      <c r="J17" s="3" cm="1">
        <f t="array" ref="J17">SUMPRODUCT((IFERROR(INDEX(EF!E:E, MATCH(LCI!E$1:GC$1, EF!A:A, 0)), 0)) * INDEX(LCI!E:GC, MATCH(C17, LCI!C:C, 0), 0))</f>
        <v>0.15330643333333335</v>
      </c>
      <c r="K17" s="3" cm="1">
        <f t="array" ref="K17">SUMPRODUCT((IFERROR(INDEX(EF!F:F, MATCH(LCI!E$1:GC$1, EF!A:A, 0)), 0)) * INDEX(LCI!E:GC, MATCH(C17, LCI!C:C, 0), 0))</f>
        <v>0.15330166666666667</v>
      </c>
      <c r="L17" s="3" cm="1">
        <f t="array" ref="L17">SUMPRODUCT((IFERROR(INDEX(EF!G:G, MATCH(LCI!E$1:GC$1, EF!A:A, 0)), 0)) * INDEX(LCI!E:GC, MATCH(C17, LCI!C:C, 0), 0))</f>
        <v>4.7666666666666671E-6</v>
      </c>
      <c r="M17" s="3" cm="1">
        <f t="array" ref="M17">SUMPRODUCT((IFERROR(INDEX(EF!H:H, MATCH(LCI!E$1:GC$1, EF!A:A, 0)), 0)) * INDEX(LCI!E:GC, MATCH(C17, LCI!C:C, 0), 0))</f>
        <v>0</v>
      </c>
      <c r="N17" s="3" cm="1">
        <f t="array" ref="N17">SUMPRODUCT((IFERROR(INDEX(EF!I:I, MATCH(LCI!E$1:GC$1, EF!A:A, 0)), 0)) * INDEX(LCI!E:GC, MATCH(C17, LCI!C:C, 0), 0))</f>
        <v>0.15333500000000003</v>
      </c>
      <c r="O17" s="3">
        <f t="shared" si="0"/>
        <v>0.15330643333333335</v>
      </c>
      <c r="P17" s="3">
        <f t="shared" si="1"/>
        <v>0.15330166666666667</v>
      </c>
      <c r="Q17" s="3">
        <f t="shared" si="2"/>
        <v>4.7666666666666671E-6</v>
      </c>
      <c r="R17" s="3">
        <f t="shared" si="3"/>
        <v>0</v>
      </c>
      <c r="S17" s="30" cm="1">
        <f t="array" ref="S17">EF!$I$2*INDEX(LCI!E:E,MATCH(C17,LCI!C:C,0),0)</f>
        <v>4.5833333333333337E-2</v>
      </c>
      <c r="T17" s="3">
        <f t="shared" si="4"/>
        <v>6.0333333333333329E-2</v>
      </c>
      <c r="U17" s="3" cm="1">
        <f t="array" ref="U17">EF!$I$5*INDEX(LCI!D:D,MATCH(C17,LCI!C:C,0),0)</f>
        <v>0.64600000000000002</v>
      </c>
      <c r="V17" s="3">
        <f t="shared" si="5"/>
        <v>0.15333500000000003</v>
      </c>
      <c r="W17" s="3" t="s">
        <v>128</v>
      </c>
      <c r="Y17" s="3" t="s">
        <v>463</v>
      </c>
      <c r="Z17" s="3" t="s">
        <v>136</v>
      </c>
      <c r="AA17" s="30">
        <f t="shared" si="6"/>
        <v>0.90550166666666665</v>
      </c>
      <c r="AB17" s="3">
        <f t="shared" si="7"/>
        <v>0.19556833333333334</v>
      </c>
      <c r="AC17" s="3">
        <f t="shared" si="8"/>
        <v>1.6794122245211013E-17</v>
      </c>
      <c r="AR17" t="s">
        <v>165</v>
      </c>
    </row>
    <row r="18" spans="1:44" s="3" customFormat="1" ht="15" customHeight="1">
      <c r="A18" s="3">
        <v>94</v>
      </c>
      <c r="B18" s="3">
        <v>85</v>
      </c>
      <c r="C18" s="3" t="s">
        <v>71</v>
      </c>
      <c r="D18" s="15" t="s">
        <v>71</v>
      </c>
      <c r="E18" s="3">
        <v>274000</v>
      </c>
      <c r="G18" s="3" t="b">
        <v>0</v>
      </c>
      <c r="H18" s="3" t="s">
        <v>109</v>
      </c>
      <c r="I18" s="3">
        <v>1</v>
      </c>
      <c r="J18" s="3" cm="1">
        <f t="array" ref="J18">SUMPRODUCT((IFERROR(INDEX(EF!E:E, MATCH(LCI!E$1:GC$1, EF!A:A, 0)), 0)) * INDEX(LCI!E:GC, MATCH(C18, LCI!C:C, 0), 0))</f>
        <v>4.9883277777777776E-2</v>
      </c>
      <c r="K18" s="3" cm="1">
        <f t="array" ref="K18">SUMPRODUCT((IFERROR(INDEX(EF!F:F, MATCH(LCI!E$1:GC$1, EF!A:A, 0)), 0)) * INDEX(LCI!E:GC, MATCH(C18, LCI!C:C, 0), 0))</f>
        <v>4.9859444444444442E-2</v>
      </c>
      <c r="L18" s="3" cm="1">
        <f t="array" ref="L18">SUMPRODUCT((IFERROR(INDEX(EF!G:G, MATCH(LCI!E$1:GC$1, EF!A:A, 0)), 0)) * INDEX(LCI!E:GC, MATCH(C18, LCI!C:C, 0), 0))</f>
        <v>2.3833333333333334E-5</v>
      </c>
      <c r="M18" s="3" cm="1">
        <f t="array" ref="M18">SUMPRODUCT((IFERROR(INDEX(EF!H:H, MATCH(LCI!E$1:GC$1, EF!A:A, 0)), 0)) * INDEX(LCI!E:GC, MATCH(C18, LCI!C:C, 0), 0))</f>
        <v>0</v>
      </c>
      <c r="N18" s="3" cm="1">
        <f t="array" ref="N18">SUMPRODUCT((IFERROR(INDEX(EF!I:I, MATCH(LCI!E$1:GC$1, EF!A:A, 0)), 0)) * INDEX(LCI!E:GC, MATCH(C18, LCI!C:C, 0), 0))</f>
        <v>5.0026111111111111E-2</v>
      </c>
      <c r="O18" s="3">
        <f t="shared" si="0"/>
        <v>4.9883277777777776E-2</v>
      </c>
      <c r="P18" s="3">
        <f t="shared" si="1"/>
        <v>4.9859444444444442E-2</v>
      </c>
      <c r="Q18" s="3">
        <f t="shared" si="2"/>
        <v>2.3833333333333334E-5</v>
      </c>
      <c r="R18" s="3">
        <f t="shared" si="3"/>
        <v>0</v>
      </c>
      <c r="S18" s="30" cm="1">
        <f t="array" ref="S18">EF!$I$2*INDEX(LCI!E:E,MATCH(C18,LCI!C:C,0),0)</f>
        <v>1.5277777777777776E-2</v>
      </c>
      <c r="T18" s="3">
        <f t="shared" si="4"/>
        <v>0.82656666666666656</v>
      </c>
      <c r="U18" s="3" cm="1">
        <f t="array" ref="U18">EF!$I$5*INDEX(LCI!D:D,MATCH(C18,LCI!C:C,0),0)</f>
        <v>0</v>
      </c>
      <c r="V18" s="3">
        <f t="shared" si="5"/>
        <v>5.0026111111111111E-2</v>
      </c>
      <c r="W18" s="3" t="s">
        <v>158</v>
      </c>
      <c r="Y18" s="16" t="s">
        <v>359</v>
      </c>
      <c r="Z18" s="3" t="s">
        <v>383</v>
      </c>
      <c r="AA18" s="30">
        <f t="shared" si="6"/>
        <v>0.89187055555555539</v>
      </c>
      <c r="AB18" s="3">
        <f t="shared" si="7"/>
        <v>0.62862277777777764</v>
      </c>
      <c r="AC18" s="3">
        <f t="shared" si="8"/>
        <v>7.0473141211557788E-19</v>
      </c>
      <c r="AR18"/>
    </row>
    <row r="19" spans="1:44" s="3" customFormat="1" ht="15" customHeight="1">
      <c r="A19" s="3">
        <v>115</v>
      </c>
      <c r="B19" s="3">
        <v>105</v>
      </c>
      <c r="C19" s="3" t="s">
        <v>196</v>
      </c>
      <c r="D19" s="3" t="s">
        <v>196</v>
      </c>
      <c r="E19" s="3">
        <v>250000</v>
      </c>
      <c r="G19" s="3" t="b">
        <v>0</v>
      </c>
      <c r="H19" s="3" t="s">
        <v>109</v>
      </c>
      <c r="I19" s="3">
        <v>1</v>
      </c>
      <c r="J19" s="3" cm="1">
        <f t="array" ref="J19">SUMPRODUCT((IFERROR(INDEX(EF!E:E, MATCH(LCI!E$1:GC$1, EF!A:A, 0)), 0)) * INDEX(LCI!E:GC, MATCH(C19, LCI!C:C, 0), 0))</f>
        <v>4.9883277777777776E-2</v>
      </c>
      <c r="K19" s="3" cm="1">
        <f t="array" ref="K19">SUMPRODUCT((IFERROR(INDEX(EF!F:F, MATCH(LCI!E$1:GC$1, EF!A:A, 0)), 0)) * INDEX(LCI!E:GC, MATCH(C19, LCI!C:C, 0), 0))</f>
        <v>4.9859444444444442E-2</v>
      </c>
      <c r="L19" s="3" cm="1">
        <f t="array" ref="L19">SUMPRODUCT((IFERROR(INDEX(EF!G:G, MATCH(LCI!E$1:GC$1, EF!A:A, 0)), 0)) * INDEX(LCI!E:GC, MATCH(C19, LCI!C:C, 0), 0))</f>
        <v>2.3833333333333334E-5</v>
      </c>
      <c r="M19" s="3" cm="1">
        <f t="array" ref="M19">SUMPRODUCT((IFERROR(INDEX(EF!H:H, MATCH(LCI!E$1:GC$1, EF!A:A, 0)), 0)) * INDEX(LCI!E:GC, MATCH(C19, LCI!C:C, 0), 0))</f>
        <v>0</v>
      </c>
      <c r="N19" s="3" cm="1">
        <f t="array" ref="N19">SUMPRODUCT((IFERROR(INDEX(EF!I:I, MATCH(LCI!E$1:GC$1, EF!A:A, 0)), 0)) * INDEX(LCI!E:GC, MATCH(C19, LCI!C:C, 0), 0))</f>
        <v>5.0026111111111111E-2</v>
      </c>
      <c r="O19" s="3">
        <f t="shared" si="0"/>
        <v>4.9883277777777776E-2</v>
      </c>
      <c r="P19" s="3">
        <f t="shared" si="1"/>
        <v>4.9859444444444442E-2</v>
      </c>
      <c r="Q19" s="3">
        <f t="shared" si="2"/>
        <v>2.3833333333333334E-5</v>
      </c>
      <c r="R19" s="3">
        <f t="shared" si="3"/>
        <v>0</v>
      </c>
      <c r="S19" s="30" cm="1">
        <f t="array" ref="S19">EF!$I$2*INDEX(LCI!E:E,MATCH(C19,LCI!C:C,0),0)</f>
        <v>1.5277777777777776E-2</v>
      </c>
      <c r="T19" s="3">
        <f t="shared" si="4"/>
        <v>0.75416666666666665</v>
      </c>
      <c r="U19" s="3" cm="1">
        <f t="array" ref="U19">EF!$I$5*INDEX(LCI!D:D,MATCH(C19,LCI!C:C,0),0)</f>
        <v>0</v>
      </c>
      <c r="V19" s="3">
        <f t="shared" si="5"/>
        <v>5.0026111111111111E-2</v>
      </c>
      <c r="W19" s="3" t="s">
        <v>128</v>
      </c>
      <c r="Y19" s="16" t="s">
        <v>380</v>
      </c>
      <c r="Z19" s="3" t="s">
        <v>383</v>
      </c>
      <c r="AA19" s="30">
        <f t="shared" si="6"/>
        <v>0.81947055555555548</v>
      </c>
      <c r="AB19" s="3">
        <f t="shared" si="7"/>
        <v>0.57794277777777769</v>
      </c>
      <c r="AC19" s="3">
        <f t="shared" si="8"/>
        <v>7.0473141211557788E-19</v>
      </c>
      <c r="AR19"/>
    </row>
    <row r="20" spans="1:44" s="3" customFormat="1" ht="15" customHeight="1">
      <c r="A20" s="3">
        <v>116</v>
      </c>
      <c r="B20" s="3">
        <v>106</v>
      </c>
      <c r="C20" s="3" t="s">
        <v>197</v>
      </c>
      <c r="D20" s="3" t="s">
        <v>197</v>
      </c>
      <c r="E20" s="3">
        <v>250000</v>
      </c>
      <c r="G20" s="3" t="b">
        <v>0</v>
      </c>
      <c r="H20" s="3" t="s">
        <v>109</v>
      </c>
      <c r="I20" s="3">
        <v>1</v>
      </c>
      <c r="J20" s="3" cm="1">
        <f t="array" ref="J20">SUMPRODUCT((IFERROR(INDEX(EF!E:E, MATCH(LCI!E$1:GC$1, EF!A:A, 0)), 0)) * INDEX(LCI!E:GC, MATCH(C20, LCI!C:C, 0), 0))</f>
        <v>4.9883277777777776E-2</v>
      </c>
      <c r="K20" s="3" cm="1">
        <f t="array" ref="K20">SUMPRODUCT((IFERROR(INDEX(EF!F:F, MATCH(LCI!E$1:GC$1, EF!A:A, 0)), 0)) * INDEX(LCI!E:GC, MATCH(C20, LCI!C:C, 0), 0))</f>
        <v>4.9859444444444442E-2</v>
      </c>
      <c r="L20" s="3" cm="1">
        <f t="array" ref="L20">SUMPRODUCT((IFERROR(INDEX(EF!G:G, MATCH(LCI!E$1:GC$1, EF!A:A, 0)), 0)) * INDEX(LCI!E:GC, MATCH(C20, LCI!C:C, 0), 0))</f>
        <v>2.3833333333333334E-5</v>
      </c>
      <c r="M20" s="3" cm="1">
        <f t="array" ref="M20">SUMPRODUCT((IFERROR(INDEX(EF!H:H, MATCH(LCI!E$1:GC$1, EF!A:A, 0)), 0)) * INDEX(LCI!E:GC, MATCH(C20, LCI!C:C, 0), 0))</f>
        <v>0</v>
      </c>
      <c r="N20" s="3" cm="1">
        <f t="array" ref="N20">SUMPRODUCT((IFERROR(INDEX(EF!I:I, MATCH(LCI!E$1:GC$1, EF!A:A, 0)), 0)) * INDEX(LCI!E:GC, MATCH(C20, LCI!C:C, 0), 0))</f>
        <v>5.0026111111111111E-2</v>
      </c>
      <c r="O20" s="3">
        <f t="shared" si="0"/>
        <v>4.9883277777777776E-2</v>
      </c>
      <c r="P20" s="3">
        <f t="shared" si="1"/>
        <v>4.9859444444444442E-2</v>
      </c>
      <c r="Q20" s="3">
        <f t="shared" si="2"/>
        <v>2.3833333333333334E-5</v>
      </c>
      <c r="R20" s="3">
        <f t="shared" si="3"/>
        <v>0</v>
      </c>
      <c r="S20" s="30" cm="1">
        <f t="array" ref="S20">EF!$I$2*INDEX(LCI!E:E,MATCH(C20,LCI!C:C,0),0)</f>
        <v>1.5277777777777776E-2</v>
      </c>
      <c r="T20" s="3">
        <f t="shared" si="4"/>
        <v>0.75416666666666665</v>
      </c>
      <c r="U20" s="3" cm="1">
        <f t="array" ref="U20">EF!$I$5*INDEX(LCI!D:D,MATCH(C20,LCI!C:C,0),0)</f>
        <v>0</v>
      </c>
      <c r="V20" s="3">
        <f t="shared" si="5"/>
        <v>5.0026111111111111E-2</v>
      </c>
      <c r="W20" s="3" t="s">
        <v>199</v>
      </c>
      <c r="Y20" s="16" t="s">
        <v>381</v>
      </c>
      <c r="Z20" s="3" t="s">
        <v>383</v>
      </c>
      <c r="AA20" s="30">
        <f t="shared" si="6"/>
        <v>0.81947055555555548</v>
      </c>
      <c r="AB20" s="3">
        <f t="shared" si="7"/>
        <v>0.57794277777777769</v>
      </c>
      <c r="AC20" s="3">
        <f t="shared" si="8"/>
        <v>7.0473141211557788E-19</v>
      </c>
      <c r="AR20"/>
    </row>
    <row r="21" spans="1:44" s="3" customFormat="1" ht="15" customHeight="1">
      <c r="A21" s="3">
        <v>96</v>
      </c>
      <c r="B21" s="3">
        <v>87</v>
      </c>
      <c r="C21" s="3" t="s">
        <v>80</v>
      </c>
      <c r="D21" s="15" t="s">
        <v>80</v>
      </c>
      <c r="E21" s="3">
        <v>217000</v>
      </c>
      <c r="G21" s="3" t="b">
        <v>0</v>
      </c>
      <c r="H21" s="3" t="s">
        <v>109</v>
      </c>
      <c r="I21" s="3">
        <v>1</v>
      </c>
      <c r="J21" s="3" cm="1">
        <f t="array" ref="J21">SUMPRODUCT((IFERROR(INDEX(EF!E:E, MATCH(LCI!E$1:GC$1, EF!A:A, 0)), 0)) * INDEX(LCI!E:GC, MATCH(C21, LCI!C:C, 0), 0))</f>
        <v>8.0438833333333348E-2</v>
      </c>
      <c r="K21" s="3" cm="1">
        <f t="array" ref="K21">SUMPRODUCT((IFERROR(INDEX(EF!F:F, MATCH(LCI!E$1:GC$1, EF!A:A, 0)), 0)) * INDEX(LCI!E:GC, MATCH(C21, LCI!C:C, 0), 0))</f>
        <v>8.0415000000000014E-2</v>
      </c>
      <c r="L21" s="3" cm="1">
        <f t="array" ref="L21">SUMPRODUCT((IFERROR(INDEX(EF!G:G, MATCH(LCI!E$1:GC$1, EF!A:A, 0)), 0)) * INDEX(LCI!E:GC, MATCH(C21, LCI!C:C, 0), 0))</f>
        <v>2.3833333333333334E-5</v>
      </c>
      <c r="M21" s="3" cm="1">
        <f t="array" ref="M21">SUMPRODUCT((IFERROR(INDEX(EF!H:H, MATCH(LCI!E$1:GC$1, EF!A:A, 0)), 0)) * INDEX(LCI!E:GC, MATCH(C21, LCI!C:C, 0), 0))</f>
        <v>0</v>
      </c>
      <c r="N21" s="3" cm="1">
        <f t="array" ref="N21">SUMPRODUCT((IFERROR(INDEX(EF!I:I, MATCH(LCI!E$1:GC$1, EF!A:A, 0)), 0)) * INDEX(LCI!E:GC, MATCH(C21, LCI!C:C, 0), 0))</f>
        <v>8.0581666666666663E-2</v>
      </c>
      <c r="O21" s="3">
        <f t="shared" si="0"/>
        <v>8.0438833333333348E-2</v>
      </c>
      <c r="P21" s="3">
        <f t="shared" si="1"/>
        <v>8.0415000000000014E-2</v>
      </c>
      <c r="Q21" s="3">
        <f t="shared" si="2"/>
        <v>2.3833333333333334E-5</v>
      </c>
      <c r="R21" s="3">
        <f t="shared" si="3"/>
        <v>0</v>
      </c>
      <c r="S21" s="30" cm="1">
        <f t="array" ref="S21">EF!$I$2*INDEX(LCI!E:E,MATCH(C21,LCI!C:C,0),0)</f>
        <v>4.5833333333333337E-2</v>
      </c>
      <c r="T21" s="3">
        <f t="shared" si="4"/>
        <v>0.65461666666666662</v>
      </c>
      <c r="U21" s="3" cm="1">
        <f t="array" ref="U21">EF!$I$5*INDEX(LCI!D:D,MATCH(C21,LCI!C:C,0),0)</f>
        <v>0</v>
      </c>
      <c r="V21" s="3">
        <f t="shared" si="5"/>
        <v>8.0581666666666663E-2</v>
      </c>
      <c r="W21" s="3" t="s">
        <v>158</v>
      </c>
      <c r="Y21" s="16" t="s">
        <v>361</v>
      </c>
      <c r="Z21" s="3" t="s">
        <v>383</v>
      </c>
      <c r="AA21" s="30">
        <f t="shared" si="6"/>
        <v>0.78103166666666668</v>
      </c>
      <c r="AB21" s="3">
        <f t="shared" si="7"/>
        <v>0.53881333333333326</v>
      </c>
      <c r="AC21" s="3">
        <f t="shared" si="8"/>
        <v>7.0473141211557788E-19</v>
      </c>
      <c r="AR21"/>
    </row>
    <row r="22" spans="1:44" s="3" customFormat="1" ht="15" customHeight="1">
      <c r="A22" s="3">
        <v>95</v>
      </c>
      <c r="B22" s="3">
        <v>86</v>
      </c>
      <c r="C22" s="3" t="s">
        <v>72</v>
      </c>
      <c r="D22" s="15" t="s">
        <v>72</v>
      </c>
      <c r="E22" s="3">
        <v>223000</v>
      </c>
      <c r="G22" s="3" t="b">
        <v>0</v>
      </c>
      <c r="H22" s="3" t="s">
        <v>109</v>
      </c>
      <c r="I22" s="3">
        <v>1</v>
      </c>
      <c r="J22" s="3" cm="1">
        <f t="array" ref="J22">SUMPRODUCT((IFERROR(INDEX(EF!E:E, MATCH(LCI!E$1:GC$1, EF!A:A, 0)), 0)) * INDEX(LCI!E:GC, MATCH(C22, LCI!C:C, 0), 0))</f>
        <v>4.9883277777777776E-2</v>
      </c>
      <c r="K22" s="3" cm="1">
        <f t="array" ref="K22">SUMPRODUCT((IFERROR(INDEX(EF!F:F, MATCH(LCI!E$1:GC$1, EF!A:A, 0)), 0)) * INDEX(LCI!E:GC, MATCH(C22, LCI!C:C, 0), 0))</f>
        <v>4.9859444444444442E-2</v>
      </c>
      <c r="L22" s="3" cm="1">
        <f t="array" ref="L22">SUMPRODUCT((IFERROR(INDEX(EF!G:G, MATCH(LCI!E$1:GC$1, EF!A:A, 0)), 0)) * INDEX(LCI!E:GC, MATCH(C22, LCI!C:C, 0), 0))</f>
        <v>2.3833333333333334E-5</v>
      </c>
      <c r="M22" s="3" cm="1">
        <f t="array" ref="M22">SUMPRODUCT((IFERROR(INDEX(EF!H:H, MATCH(LCI!E$1:GC$1, EF!A:A, 0)), 0)) * INDEX(LCI!E:GC, MATCH(C22, LCI!C:C, 0), 0))</f>
        <v>0</v>
      </c>
      <c r="N22" s="3" cm="1">
        <f t="array" ref="N22">SUMPRODUCT((IFERROR(INDEX(EF!I:I, MATCH(LCI!E$1:GC$1, EF!A:A, 0)), 0)) * INDEX(LCI!E:GC, MATCH(C22, LCI!C:C, 0), 0))</f>
        <v>5.0026111111111111E-2</v>
      </c>
      <c r="O22" s="3">
        <f t="shared" si="0"/>
        <v>4.9883277777777776E-2</v>
      </c>
      <c r="P22" s="3">
        <f t="shared" si="1"/>
        <v>4.9859444444444442E-2</v>
      </c>
      <c r="Q22" s="3">
        <f t="shared" si="2"/>
        <v>2.3833333333333334E-5</v>
      </c>
      <c r="R22" s="3">
        <f t="shared" si="3"/>
        <v>0</v>
      </c>
      <c r="S22" s="30" cm="1">
        <f t="array" ref="S22">EF!$I$2*INDEX(LCI!E:E,MATCH(C22,LCI!C:C,0),0)</f>
        <v>1.5277777777777776E-2</v>
      </c>
      <c r="T22" s="3">
        <f t="shared" si="4"/>
        <v>0.67271666666666663</v>
      </c>
      <c r="U22" s="3" cm="1">
        <f t="array" ref="U22">EF!$I$5*INDEX(LCI!D:D,MATCH(C22,LCI!C:C,0),0)</f>
        <v>0</v>
      </c>
      <c r="V22" s="3">
        <f t="shared" si="5"/>
        <v>5.0026111111111111E-2</v>
      </c>
      <c r="W22" s="3" t="s">
        <v>158</v>
      </c>
      <c r="Y22" s="16" t="s">
        <v>360</v>
      </c>
      <c r="Z22" s="3" t="s">
        <v>383</v>
      </c>
      <c r="AA22" s="30">
        <f t="shared" si="6"/>
        <v>0.73802055555555546</v>
      </c>
      <c r="AB22" s="3">
        <f t="shared" si="7"/>
        <v>0.52092777777777777</v>
      </c>
      <c r="AC22" s="3">
        <f t="shared" si="8"/>
        <v>7.0473141211557788E-19</v>
      </c>
      <c r="AR22"/>
    </row>
    <row r="23" spans="1:44" s="3" customFormat="1" ht="15" customHeight="1">
      <c r="A23" s="3">
        <v>68</v>
      </c>
      <c r="B23" s="3">
        <v>59</v>
      </c>
      <c r="C23" s="3" t="s">
        <v>46</v>
      </c>
      <c r="D23" s="15" t="s">
        <v>46</v>
      </c>
      <c r="E23" s="3">
        <v>230000</v>
      </c>
      <c r="G23" s="3" t="b">
        <v>0</v>
      </c>
      <c r="H23" s="3" t="s">
        <v>109</v>
      </c>
      <c r="I23" s="3">
        <v>1</v>
      </c>
      <c r="J23" s="3" cm="1">
        <f t="array" ref="J23">SUMPRODUCT((IFERROR(INDEX(EF!E:E, MATCH(LCI!E$1:GC$1, EF!A:A, 0)), 0)) * INDEX(LCI!E:GC, MATCH(C23, LCI!C:C, 0), 0))</f>
        <v>3.6133277777777778E-2</v>
      </c>
      <c r="K23" s="3" cm="1">
        <f t="array" ref="K23">SUMPRODUCT((IFERROR(INDEX(EF!F:F, MATCH(LCI!E$1:GC$1, EF!A:A, 0)), 0)) * INDEX(LCI!E:GC, MATCH(C23, LCI!C:C, 0), 0))</f>
        <v>3.6109444444444444E-2</v>
      </c>
      <c r="L23" s="3" cm="1">
        <f t="array" ref="L23">SUMPRODUCT((IFERROR(INDEX(EF!G:G, MATCH(LCI!E$1:GC$1, EF!A:A, 0)), 0)) * INDEX(LCI!E:GC, MATCH(C23, LCI!C:C, 0), 0))</f>
        <v>2.3833333333333334E-5</v>
      </c>
      <c r="M23" s="3" cm="1">
        <f t="array" ref="M23">SUMPRODUCT((IFERROR(INDEX(EF!H:H, MATCH(LCI!E$1:GC$1, EF!A:A, 0)), 0)) * INDEX(LCI!E:GC, MATCH(C23, LCI!C:C, 0), 0))</f>
        <v>0</v>
      </c>
      <c r="N23" s="3" cm="1">
        <f t="array" ref="N23">SUMPRODUCT((IFERROR(INDEX(EF!I:I, MATCH(LCI!E$1:GC$1, EF!A:A, 0)), 0)) * INDEX(LCI!E:GC, MATCH(C23, LCI!C:C, 0), 0))</f>
        <v>3.6276111111111106E-2</v>
      </c>
      <c r="O23" s="3">
        <f t="shared" si="0"/>
        <v>3.6133277777777778E-2</v>
      </c>
      <c r="P23" s="3">
        <f t="shared" si="1"/>
        <v>3.6109444444444444E-2</v>
      </c>
      <c r="Q23" s="3">
        <f t="shared" si="2"/>
        <v>2.3833333333333334E-5</v>
      </c>
      <c r="R23" s="3">
        <f t="shared" si="3"/>
        <v>0</v>
      </c>
      <c r="S23" s="30" cm="1">
        <f t="array" ref="S23">EF!$I$2*INDEX(LCI!E:E,MATCH(C23,LCI!C:C,0),0)</f>
        <v>1.5277777777777781E-3</v>
      </c>
      <c r="T23" s="3">
        <f t="shared" si="4"/>
        <v>0.6938333333333333</v>
      </c>
      <c r="U23" s="3" cm="1">
        <f t="array" ref="U23">EF!$I$5*INDEX(LCI!D:D,MATCH(C23,LCI!C:C,0),0)</f>
        <v>0</v>
      </c>
      <c r="V23" s="3">
        <f t="shared" si="5"/>
        <v>3.6276111111111106E-2</v>
      </c>
      <c r="W23" s="3" t="s">
        <v>158</v>
      </c>
      <c r="Y23" s="16" t="s">
        <v>333</v>
      </c>
      <c r="Z23" s="3" t="s">
        <v>383</v>
      </c>
      <c r="AA23" s="30">
        <f t="shared" si="6"/>
        <v>0.73163722222222216</v>
      </c>
      <c r="AB23" s="3">
        <f t="shared" si="7"/>
        <v>0.52195944444444442</v>
      </c>
      <c r="AC23" s="3">
        <f t="shared" si="8"/>
        <v>7.0473141211557788E-19</v>
      </c>
      <c r="AR23"/>
    </row>
    <row r="24" spans="1:44" s="3" customFormat="1" ht="15" customHeight="1">
      <c r="A24" s="3">
        <v>108</v>
      </c>
      <c r="B24" s="3">
        <v>99</v>
      </c>
      <c r="C24" s="3" t="s">
        <v>73</v>
      </c>
      <c r="D24" s="15" t="s">
        <v>73</v>
      </c>
      <c r="E24" s="3">
        <v>204000</v>
      </c>
      <c r="G24" s="3" t="b">
        <v>0</v>
      </c>
      <c r="H24" s="3" t="s">
        <v>109</v>
      </c>
      <c r="I24" s="3">
        <v>1</v>
      </c>
      <c r="J24" s="3" cm="1">
        <f t="array" ref="J24">SUMPRODUCT((IFERROR(INDEX(EF!E:E, MATCH(LCI!E$1:GC$1, EF!A:A, 0)), 0)) * INDEX(LCI!E:GC, MATCH(C24, LCI!C:C, 0), 0))</f>
        <v>4.9883277777777776E-2</v>
      </c>
      <c r="K24" s="3" cm="1">
        <f t="array" ref="K24">SUMPRODUCT((IFERROR(INDEX(EF!F:F, MATCH(LCI!E$1:GC$1, EF!A:A, 0)), 0)) * INDEX(LCI!E:GC, MATCH(C24, LCI!C:C, 0), 0))</f>
        <v>4.9859444444444442E-2</v>
      </c>
      <c r="L24" s="3" cm="1">
        <f t="array" ref="L24">SUMPRODUCT((IFERROR(INDEX(EF!G:G, MATCH(LCI!E$1:GC$1, EF!A:A, 0)), 0)) * INDEX(LCI!E:GC, MATCH(C24, LCI!C:C, 0), 0))</f>
        <v>2.3833333333333334E-5</v>
      </c>
      <c r="M24" s="3" cm="1">
        <f t="array" ref="M24">SUMPRODUCT((IFERROR(INDEX(EF!H:H, MATCH(LCI!E$1:GC$1, EF!A:A, 0)), 0)) * INDEX(LCI!E:GC, MATCH(C24, LCI!C:C, 0), 0))</f>
        <v>0</v>
      </c>
      <c r="N24" s="3" cm="1">
        <f t="array" ref="N24">SUMPRODUCT((IFERROR(INDEX(EF!I:I, MATCH(LCI!E$1:GC$1, EF!A:A, 0)), 0)) * INDEX(LCI!E:GC, MATCH(C24, LCI!C:C, 0), 0))</f>
        <v>5.0026111111111111E-2</v>
      </c>
      <c r="O24" s="3">
        <f t="shared" si="0"/>
        <v>4.9883277777777776E-2</v>
      </c>
      <c r="P24" s="3">
        <f t="shared" si="1"/>
        <v>4.9859444444444442E-2</v>
      </c>
      <c r="Q24" s="3">
        <f t="shared" si="2"/>
        <v>2.3833333333333334E-5</v>
      </c>
      <c r="R24" s="3">
        <f t="shared" si="3"/>
        <v>0</v>
      </c>
      <c r="S24" s="30" cm="1">
        <f t="array" ref="S24">EF!$I$2*INDEX(LCI!E:E,MATCH(C24,LCI!C:C,0),0)</f>
        <v>1.5277777777777776E-2</v>
      </c>
      <c r="T24" s="3">
        <f t="shared" si="4"/>
        <v>0.61539999999999995</v>
      </c>
      <c r="U24" s="3" cm="1">
        <f t="array" ref="U24">EF!$I$5*INDEX(LCI!D:D,MATCH(C24,LCI!C:C,0),0)</f>
        <v>0</v>
      </c>
      <c r="V24" s="3">
        <f t="shared" si="5"/>
        <v>5.0026111111111111E-2</v>
      </c>
      <c r="W24" s="3" t="s">
        <v>158</v>
      </c>
      <c r="Y24" s="16" t="s">
        <v>373</v>
      </c>
      <c r="Z24" s="3" t="s">
        <v>383</v>
      </c>
      <c r="AA24" s="30">
        <f t="shared" si="6"/>
        <v>0.68070388888888878</v>
      </c>
      <c r="AB24" s="3">
        <f t="shared" si="7"/>
        <v>0.48080611111111105</v>
      </c>
      <c r="AC24" s="3">
        <f t="shared" si="8"/>
        <v>7.0473141211557788E-19</v>
      </c>
      <c r="AR24"/>
    </row>
    <row r="25" spans="1:44" s="3" customFormat="1" ht="15" customHeight="1">
      <c r="A25" s="3">
        <v>109</v>
      </c>
      <c r="B25" s="3">
        <v>100</v>
      </c>
      <c r="C25" s="3" t="s">
        <v>74</v>
      </c>
      <c r="D25" s="15" t="s">
        <v>74</v>
      </c>
      <c r="E25" s="3">
        <v>203000</v>
      </c>
      <c r="G25" s="3" t="b">
        <v>0</v>
      </c>
      <c r="H25" s="3" t="s">
        <v>109</v>
      </c>
      <c r="I25" s="3">
        <v>1</v>
      </c>
      <c r="J25" s="3" cm="1">
        <f t="array" ref="J25">SUMPRODUCT((IFERROR(INDEX(EF!E:E, MATCH(LCI!E$1:GC$1, EF!A:A, 0)), 0)) * INDEX(LCI!E:GC, MATCH(C25, LCI!C:C, 0), 0))</f>
        <v>3.6133277777777778E-2</v>
      </c>
      <c r="K25" s="3" cm="1">
        <f t="array" ref="K25">SUMPRODUCT((IFERROR(INDEX(EF!F:F, MATCH(LCI!E$1:GC$1, EF!A:A, 0)), 0)) * INDEX(LCI!E:GC, MATCH(C25, LCI!C:C, 0), 0))</f>
        <v>3.6109444444444444E-2</v>
      </c>
      <c r="L25" s="3" cm="1">
        <f t="array" ref="L25">SUMPRODUCT((IFERROR(INDEX(EF!G:G, MATCH(LCI!E$1:GC$1, EF!A:A, 0)), 0)) * INDEX(LCI!E:GC, MATCH(C25, LCI!C:C, 0), 0))</f>
        <v>2.3833333333333334E-5</v>
      </c>
      <c r="M25" s="3" cm="1">
        <f t="array" ref="M25">SUMPRODUCT((IFERROR(INDEX(EF!H:H, MATCH(LCI!E$1:GC$1, EF!A:A, 0)), 0)) * INDEX(LCI!E:GC, MATCH(C25, LCI!C:C, 0), 0))</f>
        <v>0</v>
      </c>
      <c r="N25" s="3" cm="1">
        <f t="array" ref="N25">SUMPRODUCT((IFERROR(INDEX(EF!I:I, MATCH(LCI!E$1:GC$1, EF!A:A, 0)), 0)) * INDEX(LCI!E:GC, MATCH(C25, LCI!C:C, 0), 0))</f>
        <v>3.6276111111111106E-2</v>
      </c>
      <c r="O25" s="3">
        <f t="shared" si="0"/>
        <v>3.6133277777777778E-2</v>
      </c>
      <c r="P25" s="3">
        <f t="shared" si="1"/>
        <v>3.6109444444444444E-2</v>
      </c>
      <c r="Q25" s="3">
        <f t="shared" si="2"/>
        <v>2.3833333333333334E-5</v>
      </c>
      <c r="R25" s="3">
        <f t="shared" si="3"/>
        <v>0</v>
      </c>
      <c r="S25" s="30" cm="1">
        <f t="array" ref="S25">EF!$I$2*INDEX(LCI!E:E,MATCH(C25,LCI!C:C,0),0)</f>
        <v>1.5277777777777781E-3</v>
      </c>
      <c r="T25" s="3">
        <f t="shared" si="4"/>
        <v>0.61238333333333328</v>
      </c>
      <c r="U25" s="3" cm="1">
        <f t="array" ref="U25">EF!$I$5*INDEX(LCI!D:D,MATCH(C25,LCI!C:C,0),0)</f>
        <v>0</v>
      </c>
      <c r="V25" s="3">
        <f t="shared" si="5"/>
        <v>3.6276111111111106E-2</v>
      </c>
      <c r="W25" s="3" t="s">
        <v>158</v>
      </c>
      <c r="Y25" s="16" t="s">
        <v>374</v>
      </c>
      <c r="Z25" s="3" t="s">
        <v>383</v>
      </c>
      <c r="AA25" s="30">
        <f t="shared" si="6"/>
        <v>0.65018722222222214</v>
      </c>
      <c r="AB25" s="3">
        <f t="shared" si="7"/>
        <v>0.46494444444444438</v>
      </c>
      <c r="AC25" s="3">
        <f t="shared" si="8"/>
        <v>7.0473141211557788E-19</v>
      </c>
      <c r="AR25"/>
    </row>
    <row r="26" spans="1:44" s="3" customFormat="1" ht="15" customHeight="1">
      <c r="A26" s="3">
        <v>86</v>
      </c>
      <c r="B26" s="3">
        <v>77</v>
      </c>
      <c r="C26" s="3" t="s">
        <v>64</v>
      </c>
      <c r="D26" s="15" t="s">
        <v>64</v>
      </c>
      <c r="E26" s="3">
        <v>172000</v>
      </c>
      <c r="G26" s="3" t="b">
        <v>0</v>
      </c>
      <c r="H26" s="3" t="s">
        <v>109</v>
      </c>
      <c r="I26" s="3">
        <v>1</v>
      </c>
      <c r="J26" s="3" cm="1">
        <f t="array" ref="J26">SUMPRODUCT((IFERROR(INDEX(EF!E:E, MATCH(LCI!E$1:GC$1, EF!A:A, 0)), 0)) * INDEX(LCI!E:GC, MATCH(C26, LCI!C:C, 0), 0))</f>
        <v>8.0438833333333348E-2</v>
      </c>
      <c r="K26" s="3" cm="1">
        <f t="array" ref="K26">SUMPRODUCT((IFERROR(INDEX(EF!F:F, MATCH(LCI!E$1:GC$1, EF!A:A, 0)), 0)) * INDEX(LCI!E:GC, MATCH(C26, LCI!C:C, 0), 0))</f>
        <v>8.0415000000000014E-2</v>
      </c>
      <c r="L26" s="3" cm="1">
        <f t="array" ref="L26">SUMPRODUCT((IFERROR(INDEX(EF!G:G, MATCH(LCI!E$1:GC$1, EF!A:A, 0)), 0)) * INDEX(LCI!E:GC, MATCH(C26, LCI!C:C, 0), 0))</f>
        <v>2.3833333333333334E-5</v>
      </c>
      <c r="M26" s="3" cm="1">
        <f t="array" ref="M26">SUMPRODUCT((IFERROR(INDEX(EF!H:H, MATCH(LCI!E$1:GC$1, EF!A:A, 0)), 0)) * INDEX(LCI!E:GC, MATCH(C26, LCI!C:C, 0), 0))</f>
        <v>0</v>
      </c>
      <c r="N26" s="3" cm="1">
        <f t="array" ref="N26">SUMPRODUCT((IFERROR(INDEX(EF!I:I, MATCH(LCI!E$1:GC$1, EF!A:A, 0)), 0)) * INDEX(LCI!E:GC, MATCH(C26, LCI!C:C, 0), 0))</f>
        <v>8.0581666666666663E-2</v>
      </c>
      <c r="O26" s="3">
        <f t="shared" si="0"/>
        <v>8.0438833333333348E-2</v>
      </c>
      <c r="P26" s="3">
        <f t="shared" si="1"/>
        <v>8.0415000000000014E-2</v>
      </c>
      <c r="Q26" s="3">
        <f t="shared" si="2"/>
        <v>2.3833333333333334E-5</v>
      </c>
      <c r="R26" s="3">
        <f t="shared" si="3"/>
        <v>0</v>
      </c>
      <c r="S26" s="30" cm="1">
        <f t="array" ref="S26">EF!$I$2*INDEX(LCI!E:E,MATCH(C26,LCI!C:C,0),0)</f>
        <v>4.5833333333333337E-2</v>
      </c>
      <c r="T26" s="3">
        <f t="shared" si="4"/>
        <v>0.5188666666666667</v>
      </c>
      <c r="U26" s="3" cm="1">
        <f t="array" ref="U26">EF!$I$5*INDEX(LCI!D:D,MATCH(C26,LCI!C:C,0),0)</f>
        <v>0</v>
      </c>
      <c r="V26" s="3">
        <f t="shared" si="5"/>
        <v>8.0581666666666663E-2</v>
      </c>
      <c r="W26" s="3" t="s">
        <v>158</v>
      </c>
      <c r="Y26" s="16" t="s">
        <v>351</v>
      </c>
      <c r="Z26" s="3" t="s">
        <v>383</v>
      </c>
      <c r="AA26" s="30">
        <f t="shared" si="6"/>
        <v>0.64528166666666664</v>
      </c>
      <c r="AB26" s="3">
        <f t="shared" si="7"/>
        <v>0.44378833333333334</v>
      </c>
      <c r="AC26" s="3">
        <f t="shared" si="8"/>
        <v>7.0473141211557788E-19</v>
      </c>
      <c r="AR26"/>
    </row>
    <row r="27" spans="1:44" s="3" customFormat="1" ht="15" customHeight="1">
      <c r="A27" s="3">
        <v>111</v>
      </c>
      <c r="B27" s="3">
        <v>102</v>
      </c>
      <c r="C27" s="3" t="s">
        <v>76</v>
      </c>
      <c r="D27" s="15" t="s">
        <v>76</v>
      </c>
      <c r="E27" s="3">
        <v>168000</v>
      </c>
      <c r="G27" s="3" t="b">
        <v>0</v>
      </c>
      <c r="H27" s="3" t="s">
        <v>109</v>
      </c>
      <c r="I27" s="3">
        <v>1</v>
      </c>
      <c r="J27" s="3" cm="1">
        <f t="array" ref="J27">SUMPRODUCT((IFERROR(INDEX(EF!E:E, MATCH(LCI!E$1:GC$1, EF!A:A, 0)), 0)) * INDEX(LCI!E:GC, MATCH(C27, LCI!C:C, 0), 0))</f>
        <v>8.0438833333333348E-2</v>
      </c>
      <c r="K27" s="3" cm="1">
        <f t="array" ref="K27">SUMPRODUCT((IFERROR(INDEX(EF!F:F, MATCH(LCI!E$1:GC$1, EF!A:A, 0)), 0)) * INDEX(LCI!E:GC, MATCH(C27, LCI!C:C, 0), 0))</f>
        <v>8.0415000000000014E-2</v>
      </c>
      <c r="L27" s="3" cm="1">
        <f t="array" ref="L27">SUMPRODUCT((IFERROR(INDEX(EF!G:G, MATCH(LCI!E$1:GC$1, EF!A:A, 0)), 0)) * INDEX(LCI!E:GC, MATCH(C27, LCI!C:C, 0), 0))</f>
        <v>2.3833333333333334E-5</v>
      </c>
      <c r="M27" s="3" cm="1">
        <f t="array" ref="M27">SUMPRODUCT((IFERROR(INDEX(EF!H:H, MATCH(LCI!E$1:GC$1, EF!A:A, 0)), 0)) * INDEX(LCI!E:GC, MATCH(C27, LCI!C:C, 0), 0))</f>
        <v>0</v>
      </c>
      <c r="N27" s="3" cm="1">
        <f t="array" ref="N27">SUMPRODUCT((IFERROR(INDEX(EF!I:I, MATCH(LCI!E$1:GC$1, EF!A:A, 0)), 0)) * INDEX(LCI!E:GC, MATCH(C27, LCI!C:C, 0), 0))</f>
        <v>8.0581666666666663E-2</v>
      </c>
      <c r="O27" s="3">
        <f t="shared" si="0"/>
        <v>8.0438833333333348E-2</v>
      </c>
      <c r="P27" s="3">
        <f t="shared" si="1"/>
        <v>8.0415000000000014E-2</v>
      </c>
      <c r="Q27" s="3">
        <f t="shared" si="2"/>
        <v>2.3833333333333334E-5</v>
      </c>
      <c r="R27" s="3">
        <f t="shared" si="3"/>
        <v>0</v>
      </c>
      <c r="S27" s="30" cm="1">
        <f t="array" ref="S27">EF!$I$2*INDEX(LCI!E:E,MATCH(C27,LCI!C:C,0),0)</f>
        <v>4.5833333333333337E-2</v>
      </c>
      <c r="T27" s="3">
        <f t="shared" si="4"/>
        <v>0.50679999999999992</v>
      </c>
      <c r="U27" s="3" cm="1">
        <f t="array" ref="U27">EF!$I$5*INDEX(LCI!D:D,MATCH(C27,LCI!C:C,0),0)</f>
        <v>0</v>
      </c>
      <c r="V27" s="3">
        <f t="shared" si="5"/>
        <v>8.0581666666666663E-2</v>
      </c>
      <c r="W27" s="3" t="s">
        <v>158</v>
      </c>
      <c r="Y27" s="16" t="s">
        <v>376</v>
      </c>
      <c r="Z27" s="3" t="s">
        <v>383</v>
      </c>
      <c r="AA27" s="30">
        <f t="shared" si="6"/>
        <v>0.63321499999999997</v>
      </c>
      <c r="AB27" s="3">
        <f t="shared" si="7"/>
        <v>0.43534166666666657</v>
      </c>
      <c r="AC27" s="3">
        <f t="shared" si="8"/>
        <v>7.0473141211557788E-19</v>
      </c>
      <c r="AR27"/>
    </row>
    <row r="28" spans="1:44" s="3" customFormat="1" ht="15" customHeight="1">
      <c r="A28" s="3">
        <v>70</v>
      </c>
      <c r="B28" s="3">
        <v>61</v>
      </c>
      <c r="C28" s="3" t="s">
        <v>48</v>
      </c>
      <c r="D28" s="15" t="s">
        <v>48</v>
      </c>
      <c r="E28" s="3">
        <v>167000</v>
      </c>
      <c r="G28" s="3" t="b">
        <v>0</v>
      </c>
      <c r="H28" s="3" t="s">
        <v>109</v>
      </c>
      <c r="I28" s="3">
        <v>1</v>
      </c>
      <c r="J28" s="3" cm="1">
        <f t="array" ref="J28">SUMPRODUCT((IFERROR(INDEX(EF!E:E, MATCH(LCI!E$1:GC$1, EF!A:A, 0)), 0)) * INDEX(LCI!E:GC, MATCH(C28, LCI!C:C, 0), 0))</f>
        <v>8.0438833333333348E-2</v>
      </c>
      <c r="K28" s="3" cm="1">
        <f t="array" ref="K28">SUMPRODUCT((IFERROR(INDEX(EF!F:F, MATCH(LCI!E$1:GC$1, EF!A:A, 0)), 0)) * INDEX(LCI!E:GC, MATCH(C28, LCI!C:C, 0), 0))</f>
        <v>8.0415000000000014E-2</v>
      </c>
      <c r="L28" s="3" cm="1">
        <f t="array" ref="L28">SUMPRODUCT((IFERROR(INDEX(EF!G:G, MATCH(LCI!E$1:GC$1, EF!A:A, 0)), 0)) * INDEX(LCI!E:GC, MATCH(C28, LCI!C:C, 0), 0))</f>
        <v>2.3833333333333334E-5</v>
      </c>
      <c r="M28" s="3" cm="1">
        <f t="array" ref="M28">SUMPRODUCT((IFERROR(INDEX(EF!H:H, MATCH(LCI!E$1:GC$1, EF!A:A, 0)), 0)) * INDEX(LCI!E:GC, MATCH(C28, LCI!C:C, 0), 0))</f>
        <v>0</v>
      </c>
      <c r="N28" s="3" cm="1">
        <f t="array" ref="N28">SUMPRODUCT((IFERROR(INDEX(EF!I:I, MATCH(LCI!E$1:GC$1, EF!A:A, 0)), 0)) * INDEX(LCI!E:GC, MATCH(C28, LCI!C:C, 0), 0))</f>
        <v>8.0581666666666663E-2</v>
      </c>
      <c r="O28" s="3">
        <f t="shared" si="0"/>
        <v>8.0438833333333348E-2</v>
      </c>
      <c r="P28" s="3">
        <f t="shared" si="1"/>
        <v>8.0415000000000014E-2</v>
      </c>
      <c r="Q28" s="3">
        <f t="shared" si="2"/>
        <v>2.3833333333333334E-5</v>
      </c>
      <c r="R28" s="3">
        <f t="shared" si="3"/>
        <v>0</v>
      </c>
      <c r="S28" s="30" cm="1">
        <f t="array" ref="S28">EF!$I$2*INDEX(LCI!E:E,MATCH(C28,LCI!C:C,0),0)</f>
        <v>4.5833333333333337E-2</v>
      </c>
      <c r="T28" s="3">
        <f t="shared" si="4"/>
        <v>0.50378333333333325</v>
      </c>
      <c r="U28" s="3" cm="1">
        <f t="array" ref="U28">EF!$I$5*INDEX(LCI!D:D,MATCH(C28,LCI!C:C,0),0)</f>
        <v>0</v>
      </c>
      <c r="V28" s="3">
        <f t="shared" si="5"/>
        <v>8.0581666666666663E-2</v>
      </c>
      <c r="W28" s="3" t="s">
        <v>158</v>
      </c>
      <c r="Y28" s="16" t="s">
        <v>335</v>
      </c>
      <c r="Z28" s="3" t="s">
        <v>383</v>
      </c>
      <c r="AA28" s="30">
        <f t="shared" si="6"/>
        <v>0.6301983333333333</v>
      </c>
      <c r="AB28" s="3">
        <f t="shared" si="7"/>
        <v>0.43322999999999989</v>
      </c>
      <c r="AC28" s="3">
        <f t="shared" si="8"/>
        <v>7.0473141211557788E-19</v>
      </c>
      <c r="AR28"/>
    </row>
    <row r="29" spans="1:44" s="3" customFormat="1" ht="15" customHeight="1">
      <c r="A29" s="3">
        <v>69</v>
      </c>
      <c r="B29" s="3">
        <v>60</v>
      </c>
      <c r="C29" s="3" t="s">
        <v>47</v>
      </c>
      <c r="D29" s="15" t="s">
        <v>47</v>
      </c>
      <c r="E29" s="3">
        <v>160000</v>
      </c>
      <c r="G29" s="3" t="b">
        <v>0</v>
      </c>
      <c r="H29" s="3" t="s">
        <v>109</v>
      </c>
      <c r="I29" s="3">
        <v>1</v>
      </c>
      <c r="J29" s="3" cm="1">
        <f t="array" ref="J29">SUMPRODUCT((IFERROR(INDEX(EF!E:E, MATCH(LCI!E$1:GC$1, EF!A:A, 0)), 0)) * INDEX(LCI!E:GC, MATCH(C29, LCI!C:C, 0), 0))</f>
        <v>8.0438833333333348E-2</v>
      </c>
      <c r="K29" s="3" cm="1">
        <f t="array" ref="K29">SUMPRODUCT((IFERROR(INDEX(EF!F:F, MATCH(LCI!E$1:GC$1, EF!A:A, 0)), 0)) * INDEX(LCI!E:GC, MATCH(C29, LCI!C:C, 0), 0))</f>
        <v>8.0415000000000014E-2</v>
      </c>
      <c r="L29" s="3" cm="1">
        <f t="array" ref="L29">SUMPRODUCT((IFERROR(INDEX(EF!G:G, MATCH(LCI!E$1:GC$1, EF!A:A, 0)), 0)) * INDEX(LCI!E:GC, MATCH(C29, LCI!C:C, 0), 0))</f>
        <v>2.3833333333333334E-5</v>
      </c>
      <c r="M29" s="3" cm="1">
        <f t="array" ref="M29">SUMPRODUCT((IFERROR(INDEX(EF!H:H, MATCH(LCI!E$1:GC$1, EF!A:A, 0)), 0)) * INDEX(LCI!E:GC, MATCH(C29, LCI!C:C, 0), 0))</f>
        <v>0</v>
      </c>
      <c r="N29" s="3" cm="1">
        <f t="array" ref="N29">SUMPRODUCT((IFERROR(INDEX(EF!I:I, MATCH(LCI!E$1:GC$1, EF!A:A, 0)), 0)) * INDEX(LCI!E:GC, MATCH(C29, LCI!C:C, 0), 0))</f>
        <v>8.0581666666666663E-2</v>
      </c>
      <c r="O29" s="3">
        <f t="shared" si="0"/>
        <v>8.0438833333333348E-2</v>
      </c>
      <c r="P29" s="3">
        <f t="shared" si="1"/>
        <v>8.0415000000000014E-2</v>
      </c>
      <c r="Q29" s="3">
        <f t="shared" si="2"/>
        <v>2.3833333333333334E-5</v>
      </c>
      <c r="R29" s="3">
        <f t="shared" si="3"/>
        <v>0</v>
      </c>
      <c r="S29" s="30" cm="1">
        <f t="array" ref="S29">EF!$I$2*INDEX(LCI!E:E,MATCH(C29,LCI!C:C,0),0)</f>
        <v>4.5833333333333337E-2</v>
      </c>
      <c r="T29" s="3">
        <f t="shared" si="4"/>
        <v>0.48266666666666663</v>
      </c>
      <c r="U29" s="3" cm="1">
        <f t="array" ref="U29">EF!$I$5*INDEX(LCI!D:D,MATCH(C29,LCI!C:C,0),0)</f>
        <v>0</v>
      </c>
      <c r="V29" s="3">
        <f t="shared" si="5"/>
        <v>8.0581666666666663E-2</v>
      </c>
      <c r="W29" s="3" t="s">
        <v>158</v>
      </c>
      <c r="Y29" s="16" t="s">
        <v>334</v>
      </c>
      <c r="Z29" s="3" t="s">
        <v>383</v>
      </c>
      <c r="AA29" s="30">
        <f t="shared" si="6"/>
        <v>0.60908166666666663</v>
      </c>
      <c r="AB29" s="3">
        <f t="shared" si="7"/>
        <v>0.41844833333333331</v>
      </c>
      <c r="AC29" s="3">
        <f t="shared" si="8"/>
        <v>7.0473141211557788E-19</v>
      </c>
      <c r="AR29"/>
    </row>
    <row r="30" spans="1:44" s="3" customFormat="1" ht="15" customHeight="1">
      <c r="A30" s="3">
        <v>114</v>
      </c>
      <c r="B30" s="3">
        <v>1</v>
      </c>
      <c r="C30" s="3" t="s">
        <v>195</v>
      </c>
      <c r="D30" s="3" t="s">
        <v>195</v>
      </c>
      <c r="E30" s="3">
        <v>180000</v>
      </c>
      <c r="G30" s="3" t="b">
        <v>0</v>
      </c>
      <c r="H30" s="3" t="s">
        <v>109</v>
      </c>
      <c r="I30" s="3">
        <v>1</v>
      </c>
      <c r="J30" s="3" cm="1">
        <f t="array" ref="J30">SUMPRODUCT((IFERROR(INDEX(EF!E:E, MATCH(LCI!E$1:GC$1, EF!A:A, 0)), 0)) * INDEX(LCI!E:GC, MATCH(C30, LCI!C:C, 0), 0))</f>
        <v>4.9883277777777776E-2</v>
      </c>
      <c r="K30" s="3" cm="1">
        <f t="array" ref="K30">SUMPRODUCT((IFERROR(INDEX(EF!F:F, MATCH(LCI!E$1:GC$1, EF!A:A, 0)), 0)) * INDEX(LCI!E:GC, MATCH(C30, LCI!C:C, 0), 0))</f>
        <v>4.9859444444444442E-2</v>
      </c>
      <c r="L30" s="3" cm="1">
        <f t="array" ref="L30">SUMPRODUCT((IFERROR(INDEX(EF!G:G, MATCH(LCI!E$1:GC$1, EF!A:A, 0)), 0)) * INDEX(LCI!E:GC, MATCH(C30, LCI!C:C, 0), 0))</f>
        <v>2.3833333333333334E-5</v>
      </c>
      <c r="M30" s="3" cm="1">
        <f t="array" ref="M30">SUMPRODUCT((IFERROR(INDEX(EF!H:H, MATCH(LCI!E$1:GC$1, EF!A:A, 0)), 0)) * INDEX(LCI!E:GC, MATCH(C30, LCI!C:C, 0), 0))</f>
        <v>0</v>
      </c>
      <c r="N30" s="3" cm="1">
        <f t="array" ref="N30">SUMPRODUCT((IFERROR(INDEX(EF!I:I, MATCH(LCI!E$1:GC$1, EF!A:A, 0)), 0)) * INDEX(LCI!E:GC, MATCH(C30, LCI!C:C, 0), 0))</f>
        <v>5.0026111111111111E-2</v>
      </c>
      <c r="O30" s="3">
        <f t="shared" si="0"/>
        <v>4.9883277777777776E-2</v>
      </c>
      <c r="P30" s="3">
        <f t="shared" si="1"/>
        <v>4.9859444444444442E-2</v>
      </c>
      <c r="Q30" s="3">
        <f t="shared" si="2"/>
        <v>2.3833333333333334E-5</v>
      </c>
      <c r="R30" s="3">
        <f t="shared" si="3"/>
        <v>0</v>
      </c>
      <c r="S30" s="30" cm="1">
        <f t="array" ref="S30">EF!$I$2*INDEX(LCI!E:E,MATCH(C30,LCI!C:C,0),0)</f>
        <v>1.5277777777777776E-2</v>
      </c>
      <c r="T30" s="3">
        <f t="shared" si="4"/>
        <v>0.54299999999999993</v>
      </c>
      <c r="U30" s="3" cm="1">
        <f t="array" ref="U30">EF!$I$5*INDEX(LCI!D:D,MATCH(C30,LCI!C:C,0),0)</f>
        <v>0</v>
      </c>
      <c r="V30" s="3">
        <f t="shared" si="5"/>
        <v>5.0026111111111111E-2</v>
      </c>
      <c r="W30" s="3" t="s">
        <v>128</v>
      </c>
      <c r="Y30" s="16" t="s">
        <v>379</v>
      </c>
      <c r="Z30" s="3" t="s">
        <v>383</v>
      </c>
      <c r="AA30" s="30">
        <f t="shared" si="6"/>
        <v>0.60830388888888876</v>
      </c>
      <c r="AB30" s="3">
        <f t="shared" si="7"/>
        <v>0.43012611111111104</v>
      </c>
      <c r="AC30" s="3">
        <f t="shared" si="8"/>
        <v>7.0473141211557788E-19</v>
      </c>
      <c r="AR30"/>
    </row>
    <row r="31" spans="1:44" s="3" customFormat="1" ht="15" customHeight="1">
      <c r="A31" s="3">
        <v>110</v>
      </c>
      <c r="B31" s="3">
        <v>101</v>
      </c>
      <c r="C31" s="3" t="s">
        <v>75</v>
      </c>
      <c r="D31" s="15" t="s">
        <v>75</v>
      </c>
      <c r="E31" s="3">
        <v>174000</v>
      </c>
      <c r="G31" s="3" t="b">
        <v>0</v>
      </c>
      <c r="H31" s="3" t="s">
        <v>109</v>
      </c>
      <c r="I31" s="3">
        <v>1</v>
      </c>
      <c r="J31" s="3" cm="1">
        <f t="array" ref="J31">SUMPRODUCT((IFERROR(INDEX(EF!E:E, MATCH(LCI!E$1:GC$1, EF!A:A, 0)), 0)) * INDEX(LCI!E:GC, MATCH(C31, LCI!C:C, 0), 0))</f>
        <v>4.9883277777777776E-2</v>
      </c>
      <c r="K31" s="3" cm="1">
        <f t="array" ref="K31">SUMPRODUCT((IFERROR(INDEX(EF!F:F, MATCH(LCI!E$1:GC$1, EF!A:A, 0)), 0)) * INDEX(LCI!E:GC, MATCH(C31, LCI!C:C, 0), 0))</f>
        <v>4.9859444444444442E-2</v>
      </c>
      <c r="L31" s="3" cm="1">
        <f t="array" ref="L31">SUMPRODUCT((IFERROR(INDEX(EF!G:G, MATCH(LCI!E$1:GC$1, EF!A:A, 0)), 0)) * INDEX(LCI!E:GC, MATCH(C31, LCI!C:C, 0), 0))</f>
        <v>2.3833333333333334E-5</v>
      </c>
      <c r="M31" s="3" cm="1">
        <f t="array" ref="M31">SUMPRODUCT((IFERROR(INDEX(EF!H:H, MATCH(LCI!E$1:GC$1, EF!A:A, 0)), 0)) * INDEX(LCI!E:GC, MATCH(C31, LCI!C:C, 0), 0))</f>
        <v>0</v>
      </c>
      <c r="N31" s="3" cm="1">
        <f t="array" ref="N31">SUMPRODUCT((IFERROR(INDEX(EF!I:I, MATCH(LCI!E$1:GC$1, EF!A:A, 0)), 0)) * INDEX(LCI!E:GC, MATCH(C31, LCI!C:C, 0), 0))</f>
        <v>5.0026111111111111E-2</v>
      </c>
      <c r="O31" s="3">
        <f t="shared" si="0"/>
        <v>4.9883277777777776E-2</v>
      </c>
      <c r="P31" s="3">
        <f t="shared" si="1"/>
        <v>4.9859444444444442E-2</v>
      </c>
      <c r="Q31" s="3">
        <f t="shared" si="2"/>
        <v>2.3833333333333334E-5</v>
      </c>
      <c r="R31" s="3">
        <f t="shared" si="3"/>
        <v>0</v>
      </c>
      <c r="S31" s="30" cm="1">
        <f t="array" ref="S31">EF!$I$2*INDEX(LCI!E:E,MATCH(C31,LCI!C:C,0),0)</f>
        <v>1.5277777777777776E-2</v>
      </c>
      <c r="T31" s="3">
        <f t="shared" si="4"/>
        <v>0.52489999999999992</v>
      </c>
      <c r="U31" s="3" cm="1">
        <f t="array" ref="U31">EF!$I$5*INDEX(LCI!D:D,MATCH(C31,LCI!C:C,0),0)</f>
        <v>0</v>
      </c>
      <c r="V31" s="3">
        <f t="shared" si="5"/>
        <v>5.0026111111111111E-2</v>
      </c>
      <c r="W31" s="3" t="s">
        <v>158</v>
      </c>
      <c r="Y31" s="16" t="s">
        <v>375</v>
      </c>
      <c r="Z31" s="3" t="s">
        <v>383</v>
      </c>
      <c r="AA31" s="30">
        <f t="shared" si="6"/>
        <v>0.59020388888888875</v>
      </c>
      <c r="AB31" s="3">
        <f t="shared" si="7"/>
        <v>0.41745611111111103</v>
      </c>
      <c r="AC31" s="3">
        <f t="shared" si="8"/>
        <v>7.0473141211557788E-19</v>
      </c>
      <c r="AR31"/>
    </row>
    <row r="32" spans="1:44" s="3" customFormat="1" ht="15" customHeight="1">
      <c r="A32" s="3">
        <v>71</v>
      </c>
      <c r="B32" s="3">
        <v>62</v>
      </c>
      <c r="C32" s="3" t="s">
        <v>49</v>
      </c>
      <c r="D32" s="15" t="s">
        <v>49</v>
      </c>
      <c r="E32" s="3">
        <v>148000</v>
      </c>
      <c r="G32" s="3" t="b">
        <v>0</v>
      </c>
      <c r="H32" s="3" t="s">
        <v>109</v>
      </c>
      <c r="I32" s="3">
        <v>1</v>
      </c>
      <c r="J32" s="3" cm="1">
        <f t="array" ref="J32">SUMPRODUCT((IFERROR(INDEX(EF!E:E, MATCH(LCI!E$1:GC$1, EF!A:A, 0)), 0)) * INDEX(LCI!E:GC, MATCH(C32, LCI!C:C, 0), 0))</f>
        <v>8.0438833333333348E-2</v>
      </c>
      <c r="K32" s="3" cm="1">
        <f t="array" ref="K32">SUMPRODUCT((IFERROR(INDEX(EF!F:F, MATCH(LCI!E$1:GC$1, EF!A:A, 0)), 0)) * INDEX(LCI!E:GC, MATCH(C32, LCI!C:C, 0), 0))</f>
        <v>8.0415000000000014E-2</v>
      </c>
      <c r="L32" s="3" cm="1">
        <f t="array" ref="L32">SUMPRODUCT((IFERROR(INDEX(EF!G:G, MATCH(LCI!E$1:GC$1, EF!A:A, 0)), 0)) * INDEX(LCI!E:GC, MATCH(C32, LCI!C:C, 0), 0))</f>
        <v>2.3833333333333334E-5</v>
      </c>
      <c r="M32" s="3" cm="1">
        <f t="array" ref="M32">SUMPRODUCT((IFERROR(INDEX(EF!H:H, MATCH(LCI!E$1:GC$1, EF!A:A, 0)), 0)) * INDEX(LCI!E:GC, MATCH(C32, LCI!C:C, 0), 0))</f>
        <v>0</v>
      </c>
      <c r="N32" s="3" cm="1">
        <f t="array" ref="N32">SUMPRODUCT((IFERROR(INDEX(EF!I:I, MATCH(LCI!E$1:GC$1, EF!A:A, 0)), 0)) * INDEX(LCI!E:GC, MATCH(C32, LCI!C:C, 0), 0))</f>
        <v>8.0581666666666663E-2</v>
      </c>
      <c r="O32" s="3">
        <f t="shared" si="0"/>
        <v>8.0438833333333348E-2</v>
      </c>
      <c r="P32" s="3">
        <f t="shared" si="1"/>
        <v>8.0415000000000014E-2</v>
      </c>
      <c r="Q32" s="3">
        <f t="shared" si="2"/>
        <v>2.3833333333333334E-5</v>
      </c>
      <c r="R32" s="3">
        <f t="shared" si="3"/>
        <v>0</v>
      </c>
      <c r="S32" s="30" cm="1">
        <f t="array" ref="S32">EF!$I$2*INDEX(LCI!E:E,MATCH(C32,LCI!C:C,0),0)</f>
        <v>4.5833333333333337E-2</v>
      </c>
      <c r="T32" s="3">
        <f t="shared" si="4"/>
        <v>0.44646666666666668</v>
      </c>
      <c r="U32" s="3" cm="1">
        <f t="array" ref="U32">EF!$I$5*INDEX(LCI!D:D,MATCH(C32,LCI!C:C,0),0)</f>
        <v>0</v>
      </c>
      <c r="V32" s="3">
        <f t="shared" si="5"/>
        <v>8.0581666666666663E-2</v>
      </c>
      <c r="W32" s="3" t="s">
        <v>158</v>
      </c>
      <c r="Y32" s="16" t="s">
        <v>336</v>
      </c>
      <c r="Z32" s="3" t="s">
        <v>383</v>
      </c>
      <c r="AA32" s="30">
        <f t="shared" si="6"/>
        <v>0.57288166666666673</v>
      </c>
      <c r="AB32" s="3">
        <f t="shared" si="7"/>
        <v>0.39310833333333334</v>
      </c>
      <c r="AC32" s="3">
        <f t="shared" si="8"/>
        <v>7.0473141211557788E-19</v>
      </c>
      <c r="AR32"/>
    </row>
    <row r="33" spans="1:44" s="3" customFormat="1" ht="15" customHeight="1">
      <c r="A33" s="3">
        <v>36</v>
      </c>
      <c r="B33" s="3">
        <v>57</v>
      </c>
      <c r="C33" s="16" t="s">
        <v>137</v>
      </c>
      <c r="D33" s="17" t="s">
        <v>137</v>
      </c>
      <c r="E33" s="3">
        <v>3000</v>
      </c>
      <c r="G33" s="3" t="b">
        <v>0</v>
      </c>
      <c r="H33" s="3" t="s">
        <v>109</v>
      </c>
      <c r="I33" s="3">
        <v>1</v>
      </c>
      <c r="J33" s="3" cm="1">
        <f t="array" ref="J33">SUMPRODUCT((IFERROR(INDEX(EF!E:E, MATCH(LCI!E$1:GC$1, EF!A:A, 0)), 0)) * INDEX(LCI!E:GC, MATCH(C33, LCI!C:C, 0), 0))</f>
        <v>0.50582814307333335</v>
      </c>
      <c r="K33" s="3" cm="1">
        <f t="array" ref="K33">SUMPRODUCT((IFERROR(INDEX(EF!F:F, MATCH(LCI!E$1:GC$1, EF!A:A, 0)), 0)) * INDEX(LCI!E:GC, MATCH(C33, LCI!C:C, 0), 0))</f>
        <v>0.50582813333333343</v>
      </c>
      <c r="L33" s="3" cm="1">
        <f t="array" ref="L33">SUMPRODUCT((IFERROR(INDEX(EF!G:G, MATCH(LCI!E$1:GC$1, EF!A:A, 0)), 0)) * INDEX(LCI!E:GC, MATCH(C33, LCI!C:C, 0), 0))</f>
        <v>9.7399999999999999E-9</v>
      </c>
      <c r="M33" s="3" cm="1">
        <f t="array" ref="M33">SUMPRODUCT((IFERROR(INDEX(EF!H:H, MATCH(LCI!E$1:GC$1, EF!A:A, 0)), 0)) * INDEX(LCI!E:GC, MATCH(C33, LCI!C:C, 0), 0))</f>
        <v>0</v>
      </c>
      <c r="N33" s="3" cm="1">
        <f t="array" ref="N33">SUMPRODUCT((IFERROR(INDEX(EF!I:I, MATCH(LCI!E$1:GC$1, EF!A:A, 0)), 0)) * INDEX(LCI!E:GC, MATCH(C33, LCI!C:C, 0), 0))</f>
        <v>0.50582813333333343</v>
      </c>
      <c r="O33" s="3">
        <f t="shared" si="0"/>
        <v>0.50582814307333335</v>
      </c>
      <c r="P33" s="3">
        <f t="shared" si="1"/>
        <v>0.50582813333333343</v>
      </c>
      <c r="Q33" s="3">
        <f t="shared" si="2"/>
        <v>9.7399999999999999E-9</v>
      </c>
      <c r="R33" s="3">
        <f t="shared" si="3"/>
        <v>0</v>
      </c>
      <c r="S33" s="30" cm="1">
        <f t="array" ref="S33">EF!$I$2*INDEX(LCI!E:E,MATCH(C33,LCI!C:C,0),0)</f>
        <v>4.5833333333333337E-2</v>
      </c>
      <c r="T33" s="3">
        <f t="shared" si="4"/>
        <v>9.0500000000000008E-3</v>
      </c>
      <c r="U33" s="3" cm="1">
        <f t="array" ref="U33">EF!$I$5*INDEX(LCI!D:D,MATCH(C33,LCI!C:C,0),0)</f>
        <v>0</v>
      </c>
      <c r="V33" s="3">
        <f t="shared" si="5"/>
        <v>0.50582813333333343</v>
      </c>
      <c r="W33" s="3" t="s">
        <v>128</v>
      </c>
      <c r="Y33" s="16" t="s">
        <v>304</v>
      </c>
      <c r="AA33" s="30">
        <f t="shared" si="6"/>
        <v>0.56071146666666682</v>
      </c>
      <c r="AB33" s="3">
        <f t="shared" si="7"/>
        <v>0.51216313333333341</v>
      </c>
      <c r="AC33" s="3">
        <f t="shared" si="8"/>
        <v>-8.2287206035281047E-17</v>
      </c>
      <c r="AR33"/>
    </row>
    <row r="34" spans="1:44" s="3" customFormat="1" ht="15" customHeight="1">
      <c r="A34" s="3">
        <v>87</v>
      </c>
      <c r="B34" s="3">
        <v>78</v>
      </c>
      <c r="C34" s="3" t="s">
        <v>65</v>
      </c>
      <c r="D34" s="15" t="s">
        <v>65</v>
      </c>
      <c r="E34" s="3">
        <v>135000</v>
      </c>
      <c r="G34" s="3" t="b">
        <v>0</v>
      </c>
      <c r="H34" s="3" t="s">
        <v>109</v>
      </c>
      <c r="I34" s="3">
        <v>1</v>
      </c>
      <c r="J34" s="3" cm="1">
        <f t="array" ref="J34">SUMPRODUCT((IFERROR(INDEX(EF!E:E, MATCH(LCI!E$1:GC$1, EF!A:A, 0)), 0)) * INDEX(LCI!E:GC, MATCH(C34, LCI!C:C, 0), 0))</f>
        <v>8.0438833333333348E-2</v>
      </c>
      <c r="K34" s="3" cm="1">
        <f t="array" ref="K34">SUMPRODUCT((IFERROR(INDEX(EF!F:F, MATCH(LCI!E$1:GC$1, EF!A:A, 0)), 0)) * INDEX(LCI!E:GC, MATCH(C34, LCI!C:C, 0), 0))</f>
        <v>8.0415000000000014E-2</v>
      </c>
      <c r="L34" s="3" cm="1">
        <f t="array" ref="L34">SUMPRODUCT((IFERROR(INDEX(EF!G:G, MATCH(LCI!E$1:GC$1, EF!A:A, 0)), 0)) * INDEX(LCI!E:GC, MATCH(C34, LCI!C:C, 0), 0))</f>
        <v>2.3833333333333334E-5</v>
      </c>
      <c r="M34" s="3" cm="1">
        <f t="array" ref="M34">SUMPRODUCT((IFERROR(INDEX(EF!H:H, MATCH(LCI!E$1:GC$1, EF!A:A, 0)), 0)) * INDEX(LCI!E:GC, MATCH(C34, LCI!C:C, 0), 0))</f>
        <v>0</v>
      </c>
      <c r="N34" s="3" cm="1">
        <f t="array" ref="N34">SUMPRODUCT((IFERROR(INDEX(EF!I:I, MATCH(LCI!E$1:GC$1, EF!A:A, 0)), 0)) * INDEX(LCI!E:GC, MATCH(C34, LCI!C:C, 0), 0))</f>
        <v>8.0581666666666663E-2</v>
      </c>
      <c r="O34" s="3">
        <f t="shared" ref="O34:O65" si="9">J34*I34</f>
        <v>8.0438833333333348E-2</v>
      </c>
      <c r="P34" s="3">
        <f t="shared" ref="P34:P65" si="10">K34*I34</f>
        <v>8.0415000000000014E-2</v>
      </c>
      <c r="Q34" s="3">
        <f t="shared" ref="Q34:Q65" si="11">L34*I34</f>
        <v>2.3833333333333334E-5</v>
      </c>
      <c r="R34" s="3">
        <f t="shared" ref="R34:R65" si="12">M34*I34</f>
        <v>0</v>
      </c>
      <c r="S34" s="30" cm="1">
        <f t="array" ref="S34">EF!$I$2*INDEX(LCI!E:E,MATCH(C34,LCI!C:C,0),0)</f>
        <v>4.5833333333333337E-2</v>
      </c>
      <c r="T34" s="3">
        <f t="shared" ref="T34:T65" si="13">E34/1000*1/60*0.181</f>
        <v>0.40725</v>
      </c>
      <c r="U34" s="3" cm="1">
        <f t="array" ref="U34">EF!$I$5*INDEX(LCI!D:D,MATCH(C34,LCI!C:C,0),0)</f>
        <v>0</v>
      </c>
      <c r="V34" s="3">
        <f t="shared" ref="V34:V65" si="14">N34*I34</f>
        <v>8.0581666666666663E-2</v>
      </c>
      <c r="W34" s="3" t="s">
        <v>158</v>
      </c>
      <c r="Y34" s="16" t="s">
        <v>352</v>
      </c>
      <c r="Z34" s="3" t="s">
        <v>383</v>
      </c>
      <c r="AA34" s="30">
        <f t="shared" ref="AA34:AA65" si="15">S34+T34+U34+V34</f>
        <v>0.53366500000000006</v>
      </c>
      <c r="AB34" s="3">
        <f t="shared" ref="AB34:AB65" si="16">V34+E34/1000*1/60*0.181*0.7</f>
        <v>0.36565666666666663</v>
      </c>
      <c r="AC34" s="3">
        <f t="shared" ref="AC34:AC65" si="17">J34-K34-L34-M34</f>
        <v>7.0473141211557788E-19</v>
      </c>
      <c r="AR34"/>
    </row>
    <row r="35" spans="1:44" s="3" customFormat="1" ht="15" customHeight="1">
      <c r="A35" s="3">
        <v>97</v>
      </c>
      <c r="B35" s="3">
        <v>88</v>
      </c>
      <c r="C35" s="3" t="s">
        <v>81</v>
      </c>
      <c r="D35" s="15" t="s">
        <v>81</v>
      </c>
      <c r="E35" s="3">
        <v>135000</v>
      </c>
      <c r="G35" s="3" t="b">
        <v>0</v>
      </c>
      <c r="H35" s="3" t="s">
        <v>109</v>
      </c>
      <c r="I35" s="3">
        <v>1</v>
      </c>
      <c r="J35" s="3" cm="1">
        <f t="array" ref="J35">SUMPRODUCT((IFERROR(INDEX(EF!E:E, MATCH(LCI!E$1:GC$1, EF!A:A, 0)), 0)) * INDEX(LCI!E:GC, MATCH(C35, LCI!C:C, 0), 0))</f>
        <v>8.0438833333333348E-2</v>
      </c>
      <c r="K35" s="3" cm="1">
        <f t="array" ref="K35">SUMPRODUCT((IFERROR(INDEX(EF!F:F, MATCH(LCI!E$1:GC$1, EF!A:A, 0)), 0)) * INDEX(LCI!E:GC, MATCH(C35, LCI!C:C, 0), 0))</f>
        <v>8.0415000000000014E-2</v>
      </c>
      <c r="L35" s="3" cm="1">
        <f t="array" ref="L35">SUMPRODUCT((IFERROR(INDEX(EF!G:G, MATCH(LCI!E$1:GC$1, EF!A:A, 0)), 0)) * INDEX(LCI!E:GC, MATCH(C35, LCI!C:C, 0), 0))</f>
        <v>2.3833333333333334E-5</v>
      </c>
      <c r="M35" s="3" cm="1">
        <f t="array" ref="M35">SUMPRODUCT((IFERROR(INDEX(EF!H:H, MATCH(LCI!E$1:GC$1, EF!A:A, 0)), 0)) * INDEX(LCI!E:GC, MATCH(C35, LCI!C:C, 0), 0))</f>
        <v>0</v>
      </c>
      <c r="N35" s="3" cm="1">
        <f t="array" ref="N35">SUMPRODUCT((IFERROR(INDEX(EF!I:I, MATCH(LCI!E$1:GC$1, EF!A:A, 0)), 0)) * INDEX(LCI!E:GC, MATCH(C35, LCI!C:C, 0), 0))</f>
        <v>8.0581666666666663E-2</v>
      </c>
      <c r="O35" s="3">
        <f t="shared" si="9"/>
        <v>8.0438833333333348E-2</v>
      </c>
      <c r="P35" s="3">
        <f t="shared" si="10"/>
        <v>8.0415000000000014E-2</v>
      </c>
      <c r="Q35" s="3">
        <f t="shared" si="11"/>
        <v>2.3833333333333334E-5</v>
      </c>
      <c r="R35" s="3">
        <f t="shared" si="12"/>
        <v>0</v>
      </c>
      <c r="S35" s="30" cm="1">
        <f t="array" ref="S35">EF!$I$2*INDEX(LCI!E:E,MATCH(C35,LCI!C:C,0),0)</f>
        <v>4.5833333333333337E-2</v>
      </c>
      <c r="T35" s="3">
        <f t="shared" si="13"/>
        <v>0.40725</v>
      </c>
      <c r="U35" s="3" cm="1">
        <f t="array" ref="U35">EF!$I$5*INDEX(LCI!D:D,MATCH(C35,LCI!C:C,0),0)</f>
        <v>0</v>
      </c>
      <c r="V35" s="3">
        <f t="shared" si="14"/>
        <v>8.0581666666666663E-2</v>
      </c>
      <c r="W35" s="3" t="s">
        <v>158</v>
      </c>
      <c r="Y35" s="16" t="s">
        <v>362</v>
      </c>
      <c r="Z35" s="3" t="s">
        <v>383</v>
      </c>
      <c r="AA35" s="30">
        <f t="shared" si="15"/>
        <v>0.53366500000000006</v>
      </c>
      <c r="AB35" s="3">
        <f t="shared" si="16"/>
        <v>0.36565666666666663</v>
      </c>
      <c r="AC35" s="3">
        <f t="shared" si="17"/>
        <v>7.0473141211557788E-19</v>
      </c>
      <c r="AR35"/>
    </row>
    <row r="36" spans="1:44" s="3" customFormat="1" ht="15" customHeight="1">
      <c r="A36" s="3">
        <v>88</v>
      </c>
      <c r="B36" s="3">
        <v>79</v>
      </c>
      <c r="C36" s="3" t="s">
        <v>66</v>
      </c>
      <c r="D36" s="15" t="s">
        <v>66</v>
      </c>
      <c r="E36" s="3">
        <v>132000</v>
      </c>
      <c r="G36" s="3" t="b">
        <v>0</v>
      </c>
      <c r="H36" s="3" t="s">
        <v>109</v>
      </c>
      <c r="I36" s="3">
        <v>1</v>
      </c>
      <c r="J36" s="3" cm="1">
        <f t="array" ref="J36">SUMPRODUCT((IFERROR(INDEX(EF!E:E, MATCH(LCI!E$1:GC$1, EF!A:A, 0)), 0)) * INDEX(LCI!E:GC, MATCH(C36, LCI!C:C, 0), 0))</f>
        <v>8.0438833333333348E-2</v>
      </c>
      <c r="K36" s="3" cm="1">
        <f t="array" ref="K36">SUMPRODUCT((IFERROR(INDEX(EF!F:F, MATCH(LCI!E$1:GC$1, EF!A:A, 0)), 0)) * INDEX(LCI!E:GC, MATCH(C36, LCI!C:C, 0), 0))</f>
        <v>8.0415000000000014E-2</v>
      </c>
      <c r="L36" s="3" cm="1">
        <f t="array" ref="L36">SUMPRODUCT((IFERROR(INDEX(EF!G:G, MATCH(LCI!E$1:GC$1, EF!A:A, 0)), 0)) * INDEX(LCI!E:GC, MATCH(C36, LCI!C:C, 0), 0))</f>
        <v>2.3833333333333334E-5</v>
      </c>
      <c r="M36" s="3" cm="1">
        <f t="array" ref="M36">SUMPRODUCT((IFERROR(INDEX(EF!H:H, MATCH(LCI!E$1:GC$1, EF!A:A, 0)), 0)) * INDEX(LCI!E:GC, MATCH(C36, LCI!C:C, 0), 0))</f>
        <v>0</v>
      </c>
      <c r="N36" s="3" cm="1">
        <f t="array" ref="N36">SUMPRODUCT((IFERROR(INDEX(EF!I:I, MATCH(LCI!E$1:GC$1, EF!A:A, 0)), 0)) * INDEX(LCI!E:GC, MATCH(C36, LCI!C:C, 0), 0))</f>
        <v>8.0581666666666663E-2</v>
      </c>
      <c r="O36" s="3">
        <f t="shared" si="9"/>
        <v>8.0438833333333348E-2</v>
      </c>
      <c r="P36" s="3">
        <f t="shared" si="10"/>
        <v>8.0415000000000014E-2</v>
      </c>
      <c r="Q36" s="3">
        <f t="shared" si="11"/>
        <v>2.3833333333333334E-5</v>
      </c>
      <c r="R36" s="3">
        <f t="shared" si="12"/>
        <v>0</v>
      </c>
      <c r="S36" s="30" cm="1">
        <f t="array" ref="S36">EF!$I$2*INDEX(LCI!E:E,MATCH(C36,LCI!C:C,0),0)</f>
        <v>4.5833333333333337E-2</v>
      </c>
      <c r="T36" s="3">
        <f t="shared" si="13"/>
        <v>0.3982</v>
      </c>
      <c r="U36" s="3" cm="1">
        <f t="array" ref="U36">EF!$I$5*INDEX(LCI!D:D,MATCH(C36,LCI!C:C,0),0)</f>
        <v>0</v>
      </c>
      <c r="V36" s="3">
        <f t="shared" si="14"/>
        <v>8.0581666666666663E-2</v>
      </c>
      <c r="W36" s="3" t="s">
        <v>158</v>
      </c>
      <c r="Y36" s="16" t="s">
        <v>353</v>
      </c>
      <c r="Z36" s="3" t="s">
        <v>383</v>
      </c>
      <c r="AA36" s="30">
        <f t="shared" si="15"/>
        <v>0.52461500000000005</v>
      </c>
      <c r="AB36" s="3">
        <f t="shared" si="16"/>
        <v>0.35932166666666665</v>
      </c>
      <c r="AC36" s="3">
        <f t="shared" si="17"/>
        <v>7.0473141211557788E-19</v>
      </c>
      <c r="AR36"/>
    </row>
    <row r="37" spans="1:44" s="3" customFormat="1" ht="15" customHeight="1">
      <c r="A37" s="3">
        <v>89</v>
      </c>
      <c r="B37" s="3">
        <v>80</v>
      </c>
      <c r="C37" s="3" t="s">
        <v>67</v>
      </c>
      <c r="D37" s="15" t="s">
        <v>67</v>
      </c>
      <c r="E37" s="3">
        <v>122000</v>
      </c>
      <c r="G37" s="3" t="b">
        <v>0</v>
      </c>
      <c r="H37" s="3" t="s">
        <v>109</v>
      </c>
      <c r="I37" s="3">
        <v>1</v>
      </c>
      <c r="J37" s="3" cm="1">
        <f t="array" ref="J37">SUMPRODUCT((IFERROR(INDEX(EF!E:E, MATCH(LCI!E$1:GC$1, EF!A:A, 0)), 0)) * INDEX(LCI!E:GC, MATCH(C37, LCI!C:C, 0), 0))</f>
        <v>8.0438833333333348E-2</v>
      </c>
      <c r="K37" s="3" cm="1">
        <f t="array" ref="K37">SUMPRODUCT((IFERROR(INDEX(EF!F:F, MATCH(LCI!E$1:GC$1, EF!A:A, 0)), 0)) * INDEX(LCI!E:GC, MATCH(C37, LCI!C:C, 0), 0))</f>
        <v>8.0415000000000014E-2</v>
      </c>
      <c r="L37" s="3" cm="1">
        <f t="array" ref="L37">SUMPRODUCT((IFERROR(INDEX(EF!G:G, MATCH(LCI!E$1:GC$1, EF!A:A, 0)), 0)) * INDEX(LCI!E:GC, MATCH(C37, LCI!C:C, 0), 0))</f>
        <v>2.3833333333333334E-5</v>
      </c>
      <c r="M37" s="3" cm="1">
        <f t="array" ref="M37">SUMPRODUCT((IFERROR(INDEX(EF!H:H, MATCH(LCI!E$1:GC$1, EF!A:A, 0)), 0)) * INDEX(LCI!E:GC, MATCH(C37, LCI!C:C, 0), 0))</f>
        <v>0</v>
      </c>
      <c r="N37" s="3" cm="1">
        <f t="array" ref="N37">SUMPRODUCT((IFERROR(INDEX(EF!I:I, MATCH(LCI!E$1:GC$1, EF!A:A, 0)), 0)) * INDEX(LCI!E:GC, MATCH(C37, LCI!C:C, 0), 0))</f>
        <v>8.0581666666666663E-2</v>
      </c>
      <c r="O37" s="3">
        <f t="shared" si="9"/>
        <v>8.0438833333333348E-2</v>
      </c>
      <c r="P37" s="3">
        <f t="shared" si="10"/>
        <v>8.0415000000000014E-2</v>
      </c>
      <c r="Q37" s="3">
        <f t="shared" si="11"/>
        <v>2.3833333333333334E-5</v>
      </c>
      <c r="R37" s="3">
        <f t="shared" si="12"/>
        <v>0</v>
      </c>
      <c r="S37" s="30" cm="1">
        <f t="array" ref="S37">EF!$I$2*INDEX(LCI!E:E,MATCH(C37,LCI!C:C,0),0)</f>
        <v>4.5833333333333337E-2</v>
      </c>
      <c r="T37" s="3">
        <f t="shared" si="13"/>
        <v>0.36803333333333332</v>
      </c>
      <c r="U37" s="3" cm="1">
        <f t="array" ref="U37">EF!$I$5*INDEX(LCI!D:D,MATCH(C37,LCI!C:C,0),0)</f>
        <v>0</v>
      </c>
      <c r="V37" s="3">
        <f t="shared" si="14"/>
        <v>8.0581666666666663E-2</v>
      </c>
      <c r="W37" s="3" t="s">
        <v>158</v>
      </c>
      <c r="Y37" s="16" t="s">
        <v>354</v>
      </c>
      <c r="Z37" s="3" t="s">
        <v>383</v>
      </c>
      <c r="AA37" s="30">
        <f t="shared" si="15"/>
        <v>0.49444833333333332</v>
      </c>
      <c r="AB37" s="3">
        <f t="shared" si="16"/>
        <v>0.33820499999999998</v>
      </c>
      <c r="AC37" s="3">
        <f t="shared" si="17"/>
        <v>7.0473141211557788E-19</v>
      </c>
      <c r="AR37"/>
    </row>
    <row r="38" spans="1:44" s="3" customFormat="1" ht="15" customHeight="1">
      <c r="A38" s="3">
        <v>50</v>
      </c>
      <c r="B38" s="3">
        <v>54</v>
      </c>
      <c r="C38" s="3" t="s">
        <v>44</v>
      </c>
      <c r="D38" s="15" t="s">
        <v>44</v>
      </c>
      <c r="E38" s="3">
        <v>7000</v>
      </c>
      <c r="G38" s="3" t="b">
        <v>0</v>
      </c>
      <c r="H38" s="3" t="s">
        <v>326</v>
      </c>
      <c r="I38" s="3">
        <f>1/745.4</f>
        <v>1.3415615776764154E-3</v>
      </c>
      <c r="J38" s="3" cm="1">
        <f t="array" ref="J38">SUMPRODUCT((IFERROR(INDEX(EF!E:E, MATCH(LCI!E$1:GC$1, EF!A:A, 0)), 0)) * INDEX(LCI!E:GC, MATCH(C38, LCI!C:C, 0), 0))</f>
        <v>30.870533333333331</v>
      </c>
      <c r="K38" s="3" cm="1">
        <f t="array" ref="K38">SUMPRODUCT((IFERROR(INDEX(EF!F:F, MATCH(LCI!E$1:GC$1, EF!A:A, 0)), 0)) * INDEX(LCI!E:GC, MATCH(C38, LCI!C:C, 0), 0))</f>
        <v>30.856233333333332</v>
      </c>
      <c r="L38" s="3" cm="1">
        <f t="array" ref="L38">SUMPRODUCT((IFERROR(INDEX(EF!G:G, MATCH(LCI!E$1:GC$1, EF!A:A, 0)), 0)) * INDEX(LCI!E:GC, MATCH(C38, LCI!C:C, 0), 0))</f>
        <v>1.43E-2</v>
      </c>
      <c r="M38" s="3" cm="1">
        <f t="array" ref="M38">SUMPRODUCT((IFERROR(INDEX(EF!H:H, MATCH(LCI!E$1:GC$1, EF!A:A, 0)), 0)) * INDEX(LCI!E:GC, MATCH(C38, LCI!C:C, 0), 0))</f>
        <v>0</v>
      </c>
      <c r="N38" s="3" cm="1">
        <f t="array" ref="N38">SUMPRODUCT((IFERROR(INDEX(EF!I:I, MATCH(LCI!E$1:GC$1, EF!A:A, 0)), 0)) * INDEX(LCI!E:GC, MATCH(C38, LCI!C:C, 0), 0))</f>
        <v>30.956233333333333</v>
      </c>
      <c r="O38" s="3">
        <f t="shared" si="9"/>
        <v>4.1414721402379034E-2</v>
      </c>
      <c r="P38" s="3">
        <f t="shared" si="10"/>
        <v>4.1395537071818263E-2</v>
      </c>
      <c r="Q38" s="3">
        <f t="shared" si="11"/>
        <v>1.9184330560772739E-5</v>
      </c>
      <c r="R38" s="3">
        <f t="shared" si="12"/>
        <v>0</v>
      </c>
      <c r="S38" s="30" cm="1">
        <f t="array" ref="S38">EF!$I$2*INDEX(LCI!E:E,MATCH(C38,LCI!C:C,0),0)</f>
        <v>4.5833333333333337E-2</v>
      </c>
      <c r="T38" s="3">
        <f t="shared" si="13"/>
        <v>2.1116666666666666E-2</v>
      </c>
      <c r="U38" s="3" cm="1">
        <f t="array" ref="U38">EF!$I$5*INDEX(LCI!D:D,MATCH(C38,LCI!C:C,0),0)</f>
        <v>0.385662</v>
      </c>
      <c r="V38" s="3">
        <f t="shared" si="14"/>
        <v>4.1529693229585905E-2</v>
      </c>
      <c r="W38" s="3" t="s">
        <v>128</v>
      </c>
      <c r="X38" s="3" t="s">
        <v>325</v>
      </c>
      <c r="Y38" s="16" t="s">
        <v>323</v>
      </c>
      <c r="Z38" s="3" t="s">
        <v>324</v>
      </c>
      <c r="AA38" s="30">
        <f t="shared" si="15"/>
        <v>0.4941416932295859</v>
      </c>
      <c r="AB38" s="3">
        <f t="shared" si="16"/>
        <v>5.631135989625257E-2</v>
      </c>
      <c r="AC38" s="3">
        <f t="shared" si="17"/>
        <v>-1.3530843112619095E-15</v>
      </c>
      <c r="AR38"/>
    </row>
    <row r="39" spans="1:44" s="3" customFormat="1" ht="15" customHeight="1">
      <c r="A39" s="3">
        <v>104</v>
      </c>
      <c r="B39" s="3">
        <v>95</v>
      </c>
      <c r="C39" s="3" t="s">
        <v>88</v>
      </c>
      <c r="D39" s="15" t="s">
        <v>88</v>
      </c>
      <c r="E39" s="3">
        <v>133000</v>
      </c>
      <c r="G39" s="3" t="b">
        <v>0</v>
      </c>
      <c r="H39" s="3" t="s">
        <v>109</v>
      </c>
      <c r="I39" s="3">
        <v>1</v>
      </c>
      <c r="J39" s="3" cm="1">
        <f t="array" ref="J39">SUMPRODUCT((IFERROR(INDEX(EF!E:E, MATCH(LCI!E$1:GC$1, EF!A:A, 0)), 0)) * INDEX(LCI!E:GC, MATCH(C39, LCI!C:C, 0), 0))</f>
        <v>4.9883277777777776E-2</v>
      </c>
      <c r="K39" s="3" cm="1">
        <f t="array" ref="K39">SUMPRODUCT((IFERROR(INDEX(EF!F:F, MATCH(LCI!E$1:GC$1, EF!A:A, 0)), 0)) * INDEX(LCI!E:GC, MATCH(C39, LCI!C:C, 0), 0))</f>
        <v>4.9859444444444442E-2</v>
      </c>
      <c r="L39" s="3" cm="1">
        <f t="array" ref="L39">SUMPRODUCT((IFERROR(INDEX(EF!G:G, MATCH(LCI!E$1:GC$1, EF!A:A, 0)), 0)) * INDEX(LCI!E:GC, MATCH(C39, LCI!C:C, 0), 0))</f>
        <v>2.3833333333333334E-5</v>
      </c>
      <c r="M39" s="3" cm="1">
        <f t="array" ref="M39">SUMPRODUCT((IFERROR(INDEX(EF!H:H, MATCH(LCI!E$1:GC$1, EF!A:A, 0)), 0)) * INDEX(LCI!E:GC, MATCH(C39, LCI!C:C, 0), 0))</f>
        <v>0</v>
      </c>
      <c r="N39" s="3" cm="1">
        <f t="array" ref="N39">SUMPRODUCT((IFERROR(INDEX(EF!I:I, MATCH(LCI!E$1:GC$1, EF!A:A, 0)), 0)) * INDEX(LCI!E:GC, MATCH(C39, LCI!C:C, 0), 0))</f>
        <v>5.0026111111111111E-2</v>
      </c>
      <c r="O39" s="3">
        <f t="shared" si="9"/>
        <v>4.9883277777777776E-2</v>
      </c>
      <c r="P39" s="3">
        <f t="shared" si="10"/>
        <v>4.9859444444444442E-2</v>
      </c>
      <c r="Q39" s="3">
        <f t="shared" si="11"/>
        <v>2.3833333333333334E-5</v>
      </c>
      <c r="R39" s="3">
        <f t="shared" si="12"/>
        <v>0</v>
      </c>
      <c r="S39" s="30" cm="1">
        <f t="array" ref="S39">EF!$I$2*INDEX(LCI!E:E,MATCH(C39,LCI!C:C,0),0)</f>
        <v>1.5277777777777776E-2</v>
      </c>
      <c r="T39" s="3">
        <f t="shared" si="13"/>
        <v>0.40121666666666667</v>
      </c>
      <c r="U39" s="3" cm="1">
        <f t="array" ref="U39">EF!$I$5*INDEX(LCI!D:D,MATCH(C39,LCI!C:C,0),0)</f>
        <v>0</v>
      </c>
      <c r="V39" s="3">
        <f t="shared" si="14"/>
        <v>5.0026111111111111E-2</v>
      </c>
      <c r="W39" s="3" t="s">
        <v>158</v>
      </c>
      <c r="Y39" s="16" t="s">
        <v>369</v>
      </c>
      <c r="Z39" s="3" t="s">
        <v>383</v>
      </c>
      <c r="AA39" s="30">
        <f t="shared" si="15"/>
        <v>0.46652055555555555</v>
      </c>
      <c r="AB39" s="3">
        <f t="shared" si="16"/>
        <v>0.33087777777777777</v>
      </c>
      <c r="AC39" s="3">
        <f t="shared" si="17"/>
        <v>7.0473141211557788E-19</v>
      </c>
      <c r="AR39"/>
    </row>
    <row r="40" spans="1:44" s="3" customFormat="1" ht="15" customHeight="1">
      <c r="A40" s="3">
        <v>105</v>
      </c>
      <c r="B40" s="3">
        <v>96</v>
      </c>
      <c r="C40" s="3" t="s">
        <v>89</v>
      </c>
      <c r="D40" s="15" t="s">
        <v>89</v>
      </c>
      <c r="E40" s="3">
        <v>133000</v>
      </c>
      <c r="G40" s="3" t="b">
        <v>0</v>
      </c>
      <c r="H40" s="3" t="s">
        <v>109</v>
      </c>
      <c r="I40" s="3">
        <v>1</v>
      </c>
      <c r="J40" s="3" cm="1">
        <f t="array" ref="J40">SUMPRODUCT((IFERROR(INDEX(EF!E:E, MATCH(LCI!E$1:GC$1, EF!A:A, 0)), 0)) * INDEX(LCI!E:GC, MATCH(C40, LCI!C:C, 0), 0))</f>
        <v>4.9883277777777776E-2</v>
      </c>
      <c r="K40" s="3" cm="1">
        <f t="array" ref="K40">SUMPRODUCT((IFERROR(INDEX(EF!F:F, MATCH(LCI!E$1:GC$1, EF!A:A, 0)), 0)) * INDEX(LCI!E:GC, MATCH(C40, LCI!C:C, 0), 0))</f>
        <v>4.9859444444444442E-2</v>
      </c>
      <c r="L40" s="3" cm="1">
        <f t="array" ref="L40">SUMPRODUCT((IFERROR(INDEX(EF!G:G, MATCH(LCI!E$1:GC$1, EF!A:A, 0)), 0)) * INDEX(LCI!E:GC, MATCH(C40, LCI!C:C, 0), 0))</f>
        <v>2.3833333333333334E-5</v>
      </c>
      <c r="M40" s="3" cm="1">
        <f t="array" ref="M40">SUMPRODUCT((IFERROR(INDEX(EF!H:H, MATCH(LCI!E$1:GC$1, EF!A:A, 0)), 0)) * INDEX(LCI!E:GC, MATCH(C40, LCI!C:C, 0), 0))</f>
        <v>0</v>
      </c>
      <c r="N40" s="3" cm="1">
        <f t="array" ref="N40">SUMPRODUCT((IFERROR(INDEX(EF!I:I, MATCH(LCI!E$1:GC$1, EF!A:A, 0)), 0)) * INDEX(LCI!E:GC, MATCH(C40, LCI!C:C, 0), 0))</f>
        <v>5.0026111111111111E-2</v>
      </c>
      <c r="O40" s="3">
        <f t="shared" si="9"/>
        <v>4.9883277777777776E-2</v>
      </c>
      <c r="P40" s="3">
        <f t="shared" si="10"/>
        <v>4.9859444444444442E-2</v>
      </c>
      <c r="Q40" s="3">
        <f t="shared" si="11"/>
        <v>2.3833333333333334E-5</v>
      </c>
      <c r="R40" s="3">
        <f t="shared" si="12"/>
        <v>0</v>
      </c>
      <c r="S40" s="30" cm="1">
        <f t="array" ref="S40">EF!$I$2*INDEX(LCI!E:E,MATCH(C40,LCI!C:C,0),0)</f>
        <v>1.5277777777777776E-2</v>
      </c>
      <c r="T40" s="3">
        <f t="shared" si="13"/>
        <v>0.40121666666666667</v>
      </c>
      <c r="U40" s="3" cm="1">
        <f t="array" ref="U40">EF!$I$5*INDEX(LCI!D:D,MATCH(C40,LCI!C:C,0),0)</f>
        <v>0</v>
      </c>
      <c r="V40" s="3">
        <f t="shared" si="14"/>
        <v>5.0026111111111111E-2</v>
      </c>
      <c r="W40" s="3" t="s">
        <v>158</v>
      </c>
      <c r="Y40" s="16" t="s">
        <v>370</v>
      </c>
      <c r="Z40" s="3" t="s">
        <v>383</v>
      </c>
      <c r="AA40" s="30">
        <f t="shared" si="15"/>
        <v>0.46652055555555555</v>
      </c>
      <c r="AB40" s="3">
        <f t="shared" si="16"/>
        <v>0.33087777777777777</v>
      </c>
      <c r="AC40" s="3">
        <f t="shared" si="17"/>
        <v>7.0473141211557788E-19</v>
      </c>
      <c r="AR40"/>
    </row>
    <row r="41" spans="1:44" s="3" customFormat="1" ht="15" customHeight="1">
      <c r="A41" s="3">
        <v>78</v>
      </c>
      <c r="B41" s="3">
        <v>69</v>
      </c>
      <c r="C41" s="3" t="s">
        <v>56</v>
      </c>
      <c r="D41" s="15" t="s">
        <v>56</v>
      </c>
      <c r="E41" s="3">
        <v>109000</v>
      </c>
      <c r="G41" s="3" t="b">
        <v>0</v>
      </c>
      <c r="H41" s="3" t="s">
        <v>109</v>
      </c>
      <c r="I41" s="3">
        <v>1</v>
      </c>
      <c r="J41" s="3" cm="1">
        <f t="array" ref="J41">SUMPRODUCT((IFERROR(INDEX(EF!E:E, MATCH(LCI!E$1:GC$1, EF!A:A, 0)), 0)) * INDEX(LCI!E:GC, MATCH(C41, LCI!C:C, 0), 0))</f>
        <v>8.0438833333333348E-2</v>
      </c>
      <c r="K41" s="3" cm="1">
        <f t="array" ref="K41">SUMPRODUCT((IFERROR(INDEX(EF!F:F, MATCH(LCI!E$1:GC$1, EF!A:A, 0)), 0)) * INDEX(LCI!E:GC, MATCH(C41, LCI!C:C, 0), 0))</f>
        <v>8.0415000000000014E-2</v>
      </c>
      <c r="L41" s="3" cm="1">
        <f t="array" ref="L41">SUMPRODUCT((IFERROR(INDEX(EF!G:G, MATCH(LCI!E$1:GC$1, EF!A:A, 0)), 0)) * INDEX(LCI!E:GC, MATCH(C41, LCI!C:C, 0), 0))</f>
        <v>2.3833333333333334E-5</v>
      </c>
      <c r="M41" s="3" cm="1">
        <f t="array" ref="M41">SUMPRODUCT((IFERROR(INDEX(EF!H:H, MATCH(LCI!E$1:GC$1, EF!A:A, 0)), 0)) * INDEX(LCI!E:GC, MATCH(C41, LCI!C:C, 0), 0))</f>
        <v>0</v>
      </c>
      <c r="N41" s="3" cm="1">
        <f t="array" ref="N41">SUMPRODUCT((IFERROR(INDEX(EF!I:I, MATCH(LCI!E$1:GC$1, EF!A:A, 0)), 0)) * INDEX(LCI!E:GC, MATCH(C41, LCI!C:C, 0), 0))</f>
        <v>8.0581666666666663E-2</v>
      </c>
      <c r="O41" s="3">
        <f t="shared" si="9"/>
        <v>8.0438833333333348E-2</v>
      </c>
      <c r="P41" s="3">
        <f t="shared" si="10"/>
        <v>8.0415000000000014E-2</v>
      </c>
      <c r="Q41" s="3">
        <f t="shared" si="11"/>
        <v>2.3833333333333334E-5</v>
      </c>
      <c r="R41" s="3">
        <f t="shared" si="12"/>
        <v>0</v>
      </c>
      <c r="S41" s="30" cm="1">
        <f t="array" ref="S41">EF!$I$2*INDEX(LCI!E:E,MATCH(C41,LCI!C:C,0),0)</f>
        <v>4.5833333333333337E-2</v>
      </c>
      <c r="T41" s="3">
        <f t="shared" si="13"/>
        <v>0.32881666666666665</v>
      </c>
      <c r="U41" s="3" cm="1">
        <f t="array" ref="U41">EF!$I$5*INDEX(LCI!D:D,MATCH(C41,LCI!C:C,0),0)</f>
        <v>0</v>
      </c>
      <c r="V41" s="3">
        <f t="shared" si="14"/>
        <v>8.0581666666666663E-2</v>
      </c>
      <c r="W41" s="3" t="s">
        <v>158</v>
      </c>
      <c r="Y41" s="16" t="s">
        <v>343</v>
      </c>
      <c r="Z41" s="3" t="s">
        <v>383</v>
      </c>
      <c r="AA41" s="30">
        <f t="shared" si="15"/>
        <v>0.45523166666666665</v>
      </c>
      <c r="AB41" s="3">
        <f t="shared" si="16"/>
        <v>0.31075333333333333</v>
      </c>
      <c r="AC41" s="3">
        <f t="shared" si="17"/>
        <v>7.0473141211557788E-19</v>
      </c>
      <c r="AR41"/>
    </row>
    <row r="42" spans="1:44" s="3" customFormat="1" ht="15" customHeight="1">
      <c r="A42" s="3">
        <v>72</v>
      </c>
      <c r="B42" s="3">
        <v>63</v>
      </c>
      <c r="C42" s="3" t="s">
        <v>50</v>
      </c>
      <c r="D42" s="15" t="s">
        <v>50</v>
      </c>
      <c r="E42" s="3">
        <v>102000</v>
      </c>
      <c r="G42" s="3" t="b">
        <v>0</v>
      </c>
      <c r="H42" s="3" t="s">
        <v>109</v>
      </c>
      <c r="I42" s="3">
        <v>1</v>
      </c>
      <c r="J42" s="3" cm="1">
        <f t="array" ref="J42">SUMPRODUCT((IFERROR(INDEX(EF!E:E, MATCH(LCI!E$1:GC$1, EF!A:A, 0)), 0)) * INDEX(LCI!E:GC, MATCH(C42, LCI!C:C, 0), 0))</f>
        <v>8.0438833333333348E-2</v>
      </c>
      <c r="K42" s="3" cm="1">
        <f t="array" ref="K42">SUMPRODUCT((IFERROR(INDEX(EF!F:F, MATCH(LCI!E$1:GC$1, EF!A:A, 0)), 0)) * INDEX(LCI!E:GC, MATCH(C42, LCI!C:C, 0), 0))</f>
        <v>8.0415000000000014E-2</v>
      </c>
      <c r="L42" s="3" cm="1">
        <f t="array" ref="L42">SUMPRODUCT((IFERROR(INDEX(EF!G:G, MATCH(LCI!E$1:GC$1, EF!A:A, 0)), 0)) * INDEX(LCI!E:GC, MATCH(C42, LCI!C:C, 0), 0))</f>
        <v>2.3833333333333334E-5</v>
      </c>
      <c r="M42" s="3" cm="1">
        <f t="array" ref="M42">SUMPRODUCT((IFERROR(INDEX(EF!H:H, MATCH(LCI!E$1:GC$1, EF!A:A, 0)), 0)) * INDEX(LCI!E:GC, MATCH(C42, LCI!C:C, 0), 0))</f>
        <v>0</v>
      </c>
      <c r="N42" s="3" cm="1">
        <f t="array" ref="N42">SUMPRODUCT((IFERROR(INDEX(EF!I:I, MATCH(LCI!E$1:GC$1, EF!A:A, 0)), 0)) * INDEX(LCI!E:GC, MATCH(C42, LCI!C:C, 0), 0))</f>
        <v>8.0581666666666663E-2</v>
      </c>
      <c r="O42" s="3">
        <f t="shared" si="9"/>
        <v>8.0438833333333348E-2</v>
      </c>
      <c r="P42" s="3">
        <f t="shared" si="10"/>
        <v>8.0415000000000014E-2</v>
      </c>
      <c r="Q42" s="3">
        <f t="shared" si="11"/>
        <v>2.3833333333333334E-5</v>
      </c>
      <c r="R42" s="3">
        <f t="shared" si="12"/>
        <v>0</v>
      </c>
      <c r="S42" s="30" cm="1">
        <f t="array" ref="S42">EF!$I$2*INDEX(LCI!E:E,MATCH(C42,LCI!C:C,0),0)</f>
        <v>4.5833333333333337E-2</v>
      </c>
      <c r="T42" s="3">
        <f t="shared" si="13"/>
        <v>0.30769999999999997</v>
      </c>
      <c r="U42" s="3" cm="1">
        <f t="array" ref="U42">EF!$I$5*INDEX(LCI!D:D,MATCH(C42,LCI!C:C,0),0)</f>
        <v>0</v>
      </c>
      <c r="V42" s="3">
        <f t="shared" si="14"/>
        <v>8.0581666666666663E-2</v>
      </c>
      <c r="W42" s="3" t="s">
        <v>158</v>
      </c>
      <c r="Y42" s="16" t="s">
        <v>337</v>
      </c>
      <c r="Z42" s="3" t="s">
        <v>383</v>
      </c>
      <c r="AA42" s="30">
        <f t="shared" si="15"/>
        <v>0.43411499999999997</v>
      </c>
      <c r="AB42" s="3">
        <f t="shared" si="16"/>
        <v>0.29597166666666663</v>
      </c>
      <c r="AC42" s="3">
        <f t="shared" si="17"/>
        <v>7.0473141211557788E-19</v>
      </c>
      <c r="AR42"/>
    </row>
    <row r="43" spans="1:44" s="3" customFormat="1" ht="15" customHeight="1">
      <c r="A43" s="3">
        <v>73</v>
      </c>
      <c r="B43" s="3">
        <v>64</v>
      </c>
      <c r="C43" s="3" t="s">
        <v>51</v>
      </c>
      <c r="D43" s="15" t="s">
        <v>51</v>
      </c>
      <c r="E43" s="3">
        <v>102000</v>
      </c>
      <c r="G43" s="3" t="b">
        <v>0</v>
      </c>
      <c r="H43" s="3" t="s">
        <v>109</v>
      </c>
      <c r="I43" s="3">
        <v>1</v>
      </c>
      <c r="J43" s="3" cm="1">
        <f t="array" ref="J43">SUMPRODUCT((IFERROR(INDEX(EF!E:E, MATCH(LCI!E$1:GC$1, EF!A:A, 0)), 0)) * INDEX(LCI!E:GC, MATCH(C43, LCI!C:C, 0), 0))</f>
        <v>8.0438833333333348E-2</v>
      </c>
      <c r="K43" s="3" cm="1">
        <f t="array" ref="K43">SUMPRODUCT((IFERROR(INDEX(EF!F:F, MATCH(LCI!E$1:GC$1, EF!A:A, 0)), 0)) * INDEX(LCI!E:GC, MATCH(C43, LCI!C:C, 0), 0))</f>
        <v>8.0415000000000014E-2</v>
      </c>
      <c r="L43" s="3" cm="1">
        <f t="array" ref="L43">SUMPRODUCT((IFERROR(INDEX(EF!G:G, MATCH(LCI!E$1:GC$1, EF!A:A, 0)), 0)) * INDEX(LCI!E:GC, MATCH(C43, LCI!C:C, 0), 0))</f>
        <v>2.3833333333333334E-5</v>
      </c>
      <c r="M43" s="3" cm="1">
        <f t="array" ref="M43">SUMPRODUCT((IFERROR(INDEX(EF!H:H, MATCH(LCI!E$1:GC$1, EF!A:A, 0)), 0)) * INDEX(LCI!E:GC, MATCH(C43, LCI!C:C, 0), 0))</f>
        <v>0</v>
      </c>
      <c r="N43" s="3" cm="1">
        <f t="array" ref="N43">SUMPRODUCT((IFERROR(INDEX(EF!I:I, MATCH(LCI!E$1:GC$1, EF!A:A, 0)), 0)) * INDEX(LCI!E:GC, MATCH(C43, LCI!C:C, 0), 0))</f>
        <v>8.0581666666666663E-2</v>
      </c>
      <c r="O43" s="3">
        <f t="shared" si="9"/>
        <v>8.0438833333333348E-2</v>
      </c>
      <c r="P43" s="3">
        <f t="shared" si="10"/>
        <v>8.0415000000000014E-2</v>
      </c>
      <c r="Q43" s="3">
        <f t="shared" si="11"/>
        <v>2.3833333333333334E-5</v>
      </c>
      <c r="R43" s="3">
        <f t="shared" si="12"/>
        <v>0</v>
      </c>
      <c r="S43" s="30" cm="1">
        <f t="array" ref="S43">EF!$I$2*INDEX(LCI!E:E,MATCH(C43,LCI!C:C,0),0)</f>
        <v>4.5833333333333337E-2</v>
      </c>
      <c r="T43" s="3">
        <f t="shared" si="13"/>
        <v>0.30769999999999997</v>
      </c>
      <c r="U43" s="3" cm="1">
        <f t="array" ref="U43">EF!$I$5*INDEX(LCI!D:D,MATCH(C43,LCI!C:C,0),0)</f>
        <v>0</v>
      </c>
      <c r="V43" s="3">
        <f t="shared" si="14"/>
        <v>8.0581666666666663E-2</v>
      </c>
      <c r="W43" s="3" t="s">
        <v>158</v>
      </c>
      <c r="Y43" s="16" t="s">
        <v>338</v>
      </c>
      <c r="Z43" s="3" t="s">
        <v>383</v>
      </c>
      <c r="AA43" s="30">
        <f t="shared" si="15"/>
        <v>0.43411499999999997</v>
      </c>
      <c r="AB43" s="3">
        <f t="shared" si="16"/>
        <v>0.29597166666666663</v>
      </c>
      <c r="AC43" s="3">
        <f t="shared" si="17"/>
        <v>7.0473141211557788E-19</v>
      </c>
      <c r="AR43"/>
    </row>
    <row r="44" spans="1:44" s="3" customFormat="1" ht="15" customHeight="1">
      <c r="A44" s="3">
        <v>20</v>
      </c>
      <c r="B44" s="3">
        <v>17</v>
      </c>
      <c r="C44" s="3" t="s">
        <v>471</v>
      </c>
      <c r="D44" s="15" t="s">
        <v>108</v>
      </c>
      <c r="E44" s="3">
        <v>1900</v>
      </c>
      <c r="G44" s="3" t="b">
        <v>0</v>
      </c>
      <c r="H44" s="3" t="s">
        <v>138</v>
      </c>
      <c r="I44" s="3">
        <f>1/18*3</f>
        <v>0.16666666666666666</v>
      </c>
      <c r="J44" s="3" cm="1">
        <f t="array" ref="J44">SUMPRODUCT((IFERROR(INDEX(EF!E:E, MATCH(LCI!E$1:GC$1, EF!A:A, 0)), 0)) * INDEX(LCI!E:GC, MATCH(C44, LCI!C:C, 0), 0))</f>
        <v>2.5520514195555557</v>
      </c>
      <c r="K44" s="3" cm="1">
        <f t="array" ref="K44">SUMPRODUCT((IFERROR(INDEX(EF!F:F, MATCH(LCI!E$1:GC$1, EF!A:A, 0)), 0)) * INDEX(LCI!E:GC, MATCH(C44, LCI!C:C, 0), 0))</f>
        <v>2.5520514195555557</v>
      </c>
      <c r="L44" s="3" cm="1">
        <f t="array" ref="L44">SUMPRODUCT((IFERROR(INDEX(EF!G:G, MATCH(LCI!E$1:GC$1, EF!A:A, 0)), 0)) * INDEX(LCI!E:GC, MATCH(C44, LCI!C:C, 0), 0))</f>
        <v>0</v>
      </c>
      <c r="M44" s="3" cm="1">
        <f t="array" ref="M44">SUMPRODUCT((IFERROR(INDEX(EF!H:H, MATCH(LCI!E$1:GC$1, EF!A:A, 0)), 0)) * INDEX(LCI!E:GC, MATCH(C44, LCI!C:C, 0), 0))</f>
        <v>0</v>
      </c>
      <c r="N44" s="3" cm="1">
        <f t="array" ref="N44">SUMPRODUCT((IFERROR(INDEX(EF!I:I, MATCH(LCI!E$1:GC$1, EF!A:A, 0)), 0)) * INDEX(LCI!E:GC, MATCH(C44, LCI!C:C, 0), 0))</f>
        <v>2.5520514195555557</v>
      </c>
      <c r="O44" s="3">
        <f t="shared" si="9"/>
        <v>0.42534190325925925</v>
      </c>
      <c r="P44" s="3">
        <f t="shared" si="10"/>
        <v>0.42534190325925925</v>
      </c>
      <c r="Q44" s="3">
        <f t="shared" si="11"/>
        <v>0</v>
      </c>
      <c r="R44" s="3">
        <f t="shared" si="12"/>
        <v>0</v>
      </c>
      <c r="S44" s="30" cm="1">
        <f t="array" ref="S44">EF!$I$2*INDEX(LCI!E:E,MATCH(C44,LCI!C:C,0),0)</f>
        <v>3.0555555555555555E-4</v>
      </c>
      <c r="T44" s="3">
        <f t="shared" si="13"/>
        <v>5.7316666666666653E-3</v>
      </c>
      <c r="U44" s="3" cm="1">
        <f t="array" ref="U44">EF!$I$5*INDEX(LCI!D:D,MATCH(C44,LCI!C:C,0),0)</f>
        <v>0</v>
      </c>
      <c r="V44" s="3">
        <f t="shared" si="14"/>
        <v>0.42534190325925925</v>
      </c>
      <c r="W44" s="3" t="s">
        <v>166</v>
      </c>
      <c r="X44" s="3" t="s">
        <v>174</v>
      </c>
      <c r="Y44" s="3" t="s">
        <v>166</v>
      </c>
      <c r="Z44" s="3" t="s">
        <v>170</v>
      </c>
      <c r="AA44" s="30">
        <f t="shared" si="15"/>
        <v>0.43137912548148144</v>
      </c>
      <c r="AB44" s="3">
        <f t="shared" si="16"/>
        <v>0.4293540699259259</v>
      </c>
      <c r="AC44" s="3">
        <f t="shared" si="17"/>
        <v>0</v>
      </c>
      <c r="AR44"/>
    </row>
    <row r="45" spans="1:44" s="3" customFormat="1" ht="15" customHeight="1">
      <c r="A45" s="3">
        <v>79</v>
      </c>
      <c r="B45" s="3">
        <v>70</v>
      </c>
      <c r="C45" s="3" t="s">
        <v>57</v>
      </c>
      <c r="D45" s="15" t="s">
        <v>57</v>
      </c>
      <c r="E45" s="3">
        <v>98000</v>
      </c>
      <c r="G45" s="3" t="b">
        <v>0</v>
      </c>
      <c r="H45" s="3" t="s">
        <v>109</v>
      </c>
      <c r="I45" s="3">
        <v>1</v>
      </c>
      <c r="J45" s="3" cm="1">
        <f t="array" ref="J45">SUMPRODUCT((IFERROR(INDEX(EF!E:E, MATCH(LCI!E$1:GC$1, EF!A:A, 0)), 0)) * INDEX(LCI!E:GC, MATCH(C45, LCI!C:C, 0), 0))</f>
        <v>8.0438833333333348E-2</v>
      </c>
      <c r="K45" s="3" cm="1">
        <f t="array" ref="K45">SUMPRODUCT((IFERROR(INDEX(EF!F:F, MATCH(LCI!E$1:GC$1, EF!A:A, 0)), 0)) * INDEX(LCI!E:GC, MATCH(C45, LCI!C:C, 0), 0))</f>
        <v>8.0415000000000014E-2</v>
      </c>
      <c r="L45" s="3" cm="1">
        <f t="array" ref="L45">SUMPRODUCT((IFERROR(INDEX(EF!G:G, MATCH(LCI!E$1:GC$1, EF!A:A, 0)), 0)) * INDEX(LCI!E:GC, MATCH(C45, LCI!C:C, 0), 0))</f>
        <v>2.3833333333333334E-5</v>
      </c>
      <c r="M45" s="3" cm="1">
        <f t="array" ref="M45">SUMPRODUCT((IFERROR(INDEX(EF!H:H, MATCH(LCI!E$1:GC$1, EF!A:A, 0)), 0)) * INDEX(LCI!E:GC, MATCH(C45, LCI!C:C, 0), 0))</f>
        <v>0</v>
      </c>
      <c r="N45" s="3" cm="1">
        <f t="array" ref="N45">SUMPRODUCT((IFERROR(INDEX(EF!I:I, MATCH(LCI!E$1:GC$1, EF!A:A, 0)), 0)) * INDEX(LCI!E:GC, MATCH(C45, LCI!C:C, 0), 0))</f>
        <v>8.0581666666666663E-2</v>
      </c>
      <c r="O45" s="3">
        <f t="shared" si="9"/>
        <v>8.0438833333333348E-2</v>
      </c>
      <c r="P45" s="3">
        <f t="shared" si="10"/>
        <v>8.0415000000000014E-2</v>
      </c>
      <c r="Q45" s="3">
        <f t="shared" si="11"/>
        <v>2.3833333333333334E-5</v>
      </c>
      <c r="R45" s="3">
        <f t="shared" si="12"/>
        <v>0</v>
      </c>
      <c r="S45" s="30" cm="1">
        <f t="array" ref="S45">EF!$I$2*INDEX(LCI!E:E,MATCH(C45,LCI!C:C,0),0)</f>
        <v>4.5833333333333337E-2</v>
      </c>
      <c r="T45" s="3">
        <f t="shared" si="13"/>
        <v>0.2956333333333333</v>
      </c>
      <c r="U45" s="3" cm="1">
        <f t="array" ref="U45">EF!$I$5*INDEX(LCI!D:D,MATCH(C45,LCI!C:C,0),0)</f>
        <v>0</v>
      </c>
      <c r="V45" s="3">
        <f t="shared" si="14"/>
        <v>8.0581666666666663E-2</v>
      </c>
      <c r="W45" s="3" t="s">
        <v>158</v>
      </c>
      <c r="Y45" s="16" t="s">
        <v>344</v>
      </c>
      <c r="Z45" s="3" t="s">
        <v>383</v>
      </c>
      <c r="AA45" s="30">
        <f t="shared" si="15"/>
        <v>0.4220483333333333</v>
      </c>
      <c r="AB45" s="3">
        <f t="shared" si="16"/>
        <v>0.28752499999999998</v>
      </c>
      <c r="AC45" s="3">
        <f t="shared" si="17"/>
        <v>7.0473141211557788E-19</v>
      </c>
      <c r="AR45"/>
    </row>
    <row r="46" spans="1:44" s="3" customFormat="1" ht="15" customHeight="1">
      <c r="A46" s="3">
        <v>80</v>
      </c>
      <c r="B46" s="3">
        <v>71</v>
      </c>
      <c r="C46" s="3" t="s">
        <v>58</v>
      </c>
      <c r="D46" s="15" t="s">
        <v>58</v>
      </c>
      <c r="E46" s="3">
        <v>96000</v>
      </c>
      <c r="G46" s="3" t="b">
        <v>0</v>
      </c>
      <c r="H46" s="3" t="s">
        <v>109</v>
      </c>
      <c r="I46" s="3">
        <v>1</v>
      </c>
      <c r="J46" s="3" cm="1">
        <f t="array" ref="J46">SUMPRODUCT((IFERROR(INDEX(EF!E:E, MATCH(LCI!E$1:GC$1, EF!A:A, 0)), 0)) * INDEX(LCI!E:GC, MATCH(C46, LCI!C:C, 0), 0))</f>
        <v>8.0438833333333348E-2</v>
      </c>
      <c r="K46" s="3" cm="1">
        <f t="array" ref="K46">SUMPRODUCT((IFERROR(INDEX(EF!F:F, MATCH(LCI!E$1:GC$1, EF!A:A, 0)), 0)) * INDEX(LCI!E:GC, MATCH(C46, LCI!C:C, 0), 0))</f>
        <v>8.0415000000000014E-2</v>
      </c>
      <c r="L46" s="3" cm="1">
        <f t="array" ref="L46">SUMPRODUCT((IFERROR(INDEX(EF!G:G, MATCH(LCI!E$1:GC$1, EF!A:A, 0)), 0)) * INDEX(LCI!E:GC, MATCH(C46, LCI!C:C, 0), 0))</f>
        <v>2.3833333333333334E-5</v>
      </c>
      <c r="M46" s="3" cm="1">
        <f t="array" ref="M46">SUMPRODUCT((IFERROR(INDEX(EF!H:H, MATCH(LCI!E$1:GC$1, EF!A:A, 0)), 0)) * INDEX(LCI!E:GC, MATCH(C46, LCI!C:C, 0), 0))</f>
        <v>0</v>
      </c>
      <c r="N46" s="3" cm="1">
        <f t="array" ref="N46">SUMPRODUCT((IFERROR(INDEX(EF!I:I, MATCH(LCI!E$1:GC$1, EF!A:A, 0)), 0)) * INDEX(LCI!E:GC, MATCH(C46, LCI!C:C, 0), 0))</f>
        <v>8.0581666666666663E-2</v>
      </c>
      <c r="O46" s="3">
        <f t="shared" si="9"/>
        <v>8.0438833333333348E-2</v>
      </c>
      <c r="P46" s="3">
        <f t="shared" si="10"/>
        <v>8.0415000000000014E-2</v>
      </c>
      <c r="Q46" s="3">
        <f t="shared" si="11"/>
        <v>2.3833333333333334E-5</v>
      </c>
      <c r="R46" s="3">
        <f t="shared" si="12"/>
        <v>0</v>
      </c>
      <c r="S46" s="30" cm="1">
        <f t="array" ref="S46">EF!$I$2*INDEX(LCI!E:E,MATCH(C46,LCI!C:C,0),0)</f>
        <v>4.5833333333333337E-2</v>
      </c>
      <c r="T46" s="3">
        <f t="shared" si="13"/>
        <v>0.28960000000000002</v>
      </c>
      <c r="U46" s="3" cm="1">
        <f t="array" ref="U46">EF!$I$5*INDEX(LCI!D:D,MATCH(C46,LCI!C:C,0),0)</f>
        <v>0</v>
      </c>
      <c r="V46" s="3">
        <f t="shared" si="14"/>
        <v>8.0581666666666663E-2</v>
      </c>
      <c r="W46" s="3" t="s">
        <v>158</v>
      </c>
      <c r="Y46" s="16" t="s">
        <v>345</v>
      </c>
      <c r="Z46" s="3" t="s">
        <v>383</v>
      </c>
      <c r="AA46" s="30">
        <f t="shared" si="15"/>
        <v>0.41601500000000002</v>
      </c>
      <c r="AB46" s="3">
        <f t="shared" si="16"/>
        <v>0.28330166666666667</v>
      </c>
      <c r="AC46" s="3">
        <f t="shared" si="17"/>
        <v>7.0473141211557788E-19</v>
      </c>
      <c r="AR46"/>
    </row>
    <row r="47" spans="1:44" s="3" customFormat="1" ht="15" customHeight="1">
      <c r="A47" s="3">
        <v>106</v>
      </c>
      <c r="B47" s="3">
        <v>97</v>
      </c>
      <c r="C47" s="3" t="s">
        <v>90</v>
      </c>
      <c r="D47" s="15" t="s">
        <v>90</v>
      </c>
      <c r="E47" s="3">
        <v>119000</v>
      </c>
      <c r="G47" s="3" t="b">
        <v>0</v>
      </c>
      <c r="H47" s="3" t="s">
        <v>109</v>
      </c>
      <c r="I47" s="3">
        <v>1</v>
      </c>
      <c r="J47" s="3" cm="1">
        <f t="array" ref="J47">SUMPRODUCT((IFERROR(INDEX(EF!E:E, MATCH(LCI!E$1:GC$1, EF!A:A, 0)), 0)) * INDEX(LCI!E:GC, MATCH(C47, LCI!C:C, 0), 0))</f>
        <v>3.4911055555555556E-2</v>
      </c>
      <c r="K47" s="3" cm="1">
        <f t="array" ref="K47">SUMPRODUCT((IFERROR(INDEX(EF!F:F, MATCH(LCI!E$1:GC$1, EF!A:A, 0)), 0)) * INDEX(LCI!E:GC, MATCH(C47, LCI!C:C, 0), 0))</f>
        <v>3.4887222222222222E-2</v>
      </c>
      <c r="L47" s="3" cm="1">
        <f t="array" ref="L47">SUMPRODUCT((IFERROR(INDEX(EF!G:G, MATCH(LCI!E$1:GC$1, EF!A:A, 0)), 0)) * INDEX(LCI!E:GC, MATCH(C47, LCI!C:C, 0), 0))</f>
        <v>2.3833333333333334E-5</v>
      </c>
      <c r="M47" s="3" cm="1">
        <f t="array" ref="M47">SUMPRODUCT((IFERROR(INDEX(EF!H:H, MATCH(LCI!E$1:GC$1, EF!A:A, 0)), 0)) * INDEX(LCI!E:GC, MATCH(C47, LCI!C:C, 0), 0))</f>
        <v>0</v>
      </c>
      <c r="N47" s="3" cm="1">
        <f t="array" ref="N47">SUMPRODUCT((IFERROR(INDEX(EF!I:I, MATCH(LCI!E$1:GC$1, EF!A:A, 0)), 0)) * INDEX(LCI!E:GC, MATCH(C47, LCI!C:C, 0), 0))</f>
        <v>3.5053888888888884E-2</v>
      </c>
      <c r="O47" s="3">
        <f t="shared" si="9"/>
        <v>3.4911055555555556E-2</v>
      </c>
      <c r="P47" s="3">
        <f t="shared" si="10"/>
        <v>3.4887222222222222E-2</v>
      </c>
      <c r="Q47" s="3">
        <f t="shared" si="11"/>
        <v>2.3833333333333334E-5</v>
      </c>
      <c r="R47" s="3">
        <f t="shared" si="12"/>
        <v>0</v>
      </c>
      <c r="S47" s="30" cm="1">
        <f t="array" ref="S47">EF!$I$2*INDEX(LCI!E:E,MATCH(C47,LCI!C:C,0),0)</f>
        <v>3.0555555555555555E-4</v>
      </c>
      <c r="T47" s="3">
        <f t="shared" si="13"/>
        <v>0.35898333333333332</v>
      </c>
      <c r="U47" s="3" cm="1">
        <f t="array" ref="U47">EF!$I$5*INDEX(LCI!D:D,MATCH(C47,LCI!C:C,0),0)</f>
        <v>0</v>
      </c>
      <c r="V47" s="3">
        <f t="shared" si="14"/>
        <v>3.5053888888888884E-2</v>
      </c>
      <c r="W47" s="3" t="s">
        <v>158</v>
      </c>
      <c r="Y47" s="16" t="s">
        <v>371</v>
      </c>
      <c r="Z47" s="3" t="s">
        <v>383</v>
      </c>
      <c r="AA47" s="30">
        <f t="shared" si="15"/>
        <v>0.39434277777777776</v>
      </c>
      <c r="AB47" s="3">
        <f t="shared" si="16"/>
        <v>0.28634222222222222</v>
      </c>
      <c r="AC47" s="3">
        <f t="shared" si="17"/>
        <v>7.0473141211557788E-19</v>
      </c>
      <c r="AR47"/>
    </row>
    <row r="48" spans="1:44" s="3" customFormat="1" ht="15" customHeight="1">
      <c r="A48" s="3">
        <v>65</v>
      </c>
      <c r="B48" s="3">
        <v>45</v>
      </c>
      <c r="C48" s="3" t="s">
        <v>42</v>
      </c>
      <c r="D48" s="15" t="s">
        <v>42</v>
      </c>
      <c r="E48" s="3">
        <v>100000</v>
      </c>
      <c r="G48" s="3" t="b">
        <v>0</v>
      </c>
      <c r="H48" s="3" t="s">
        <v>109</v>
      </c>
      <c r="I48" s="3">
        <v>1</v>
      </c>
      <c r="J48" s="3" cm="1">
        <f t="array" ref="J48">SUMPRODUCT((IFERROR(INDEX(EF!E:E, MATCH(LCI!E$1:GC$1, EF!A:A, 0)), 0)) * INDEX(LCI!E:GC, MATCH(C48, LCI!C:C, 0), 0))</f>
        <v>4.5833333333333337E-2</v>
      </c>
      <c r="K48" s="3" cm="1">
        <f t="array" ref="K48">SUMPRODUCT((IFERROR(INDEX(EF!F:F, MATCH(LCI!E$1:GC$1, EF!A:A, 0)), 0)) * INDEX(LCI!E:GC, MATCH(C48, LCI!C:C, 0), 0))</f>
        <v>4.5833333333333337E-2</v>
      </c>
      <c r="L48" s="3" cm="1">
        <f t="array" ref="L48">SUMPRODUCT((IFERROR(INDEX(EF!G:G, MATCH(LCI!E$1:GC$1, EF!A:A, 0)), 0)) * INDEX(LCI!E:GC, MATCH(C48, LCI!C:C, 0), 0))</f>
        <v>0</v>
      </c>
      <c r="M48" s="3" cm="1">
        <f t="array" ref="M48">SUMPRODUCT((IFERROR(INDEX(EF!H:H, MATCH(LCI!E$1:GC$1, EF!A:A, 0)), 0)) * INDEX(LCI!E:GC, MATCH(C48, LCI!C:C, 0), 0))</f>
        <v>0</v>
      </c>
      <c r="N48" s="3" cm="1">
        <f t="array" ref="N48">SUMPRODUCT((IFERROR(INDEX(EF!I:I, MATCH(LCI!E$1:GC$1, EF!A:A, 0)), 0)) * INDEX(LCI!E:GC, MATCH(C48, LCI!C:C, 0), 0))</f>
        <v>4.5833333333333337E-2</v>
      </c>
      <c r="O48" s="3">
        <f t="shared" si="9"/>
        <v>4.5833333333333337E-2</v>
      </c>
      <c r="P48" s="3">
        <f t="shared" si="10"/>
        <v>4.5833333333333337E-2</v>
      </c>
      <c r="Q48" s="3">
        <f t="shared" si="11"/>
        <v>0</v>
      </c>
      <c r="R48" s="3">
        <f t="shared" si="12"/>
        <v>0</v>
      </c>
      <c r="S48" s="30" cm="1">
        <f t="array" ref="S48">EF!$I$2*INDEX(LCI!E:E,MATCH(C48,LCI!C:C,0),0)</f>
        <v>4.5833333333333337E-2</v>
      </c>
      <c r="T48" s="3">
        <f t="shared" si="13"/>
        <v>0.30166666666666669</v>
      </c>
      <c r="U48" s="3" cm="1">
        <f t="array" ref="U48">EF!$I$5*INDEX(LCI!D:D,MATCH(C48,LCI!C:C,0),0)</f>
        <v>0</v>
      </c>
      <c r="V48" s="3">
        <f t="shared" si="14"/>
        <v>4.5833333333333337E-2</v>
      </c>
      <c r="W48" s="3" t="s">
        <v>128</v>
      </c>
      <c r="Y48" s="16" t="s">
        <v>331</v>
      </c>
      <c r="Z48" s="3" t="s">
        <v>154</v>
      </c>
      <c r="AA48" s="30">
        <f t="shared" si="15"/>
        <v>0.39333333333333337</v>
      </c>
      <c r="AB48" s="3">
        <f t="shared" si="16"/>
        <v>0.25700000000000001</v>
      </c>
      <c r="AC48" s="3">
        <f t="shared" si="17"/>
        <v>0</v>
      </c>
    </row>
    <row r="49" spans="1:44" s="3" customFormat="1" ht="15" customHeight="1">
      <c r="A49" s="3">
        <v>101</v>
      </c>
      <c r="B49" s="3">
        <v>92</v>
      </c>
      <c r="C49" s="3" t="s">
        <v>85</v>
      </c>
      <c r="D49" s="15" t="s">
        <v>85</v>
      </c>
      <c r="E49" s="3">
        <v>88000</v>
      </c>
      <c r="G49" s="3" t="b">
        <v>0</v>
      </c>
      <c r="H49" s="3" t="s">
        <v>109</v>
      </c>
      <c r="I49" s="3">
        <v>1</v>
      </c>
      <c r="J49" s="3" cm="1">
        <f t="array" ref="J49">SUMPRODUCT((IFERROR(INDEX(EF!E:E, MATCH(LCI!E$1:GC$1, EF!A:A, 0)), 0)) * INDEX(LCI!E:GC, MATCH(C49, LCI!C:C, 0), 0))</f>
        <v>8.0438833333333348E-2</v>
      </c>
      <c r="K49" s="3" cm="1">
        <f t="array" ref="K49">SUMPRODUCT((IFERROR(INDEX(EF!F:F, MATCH(LCI!E$1:GC$1, EF!A:A, 0)), 0)) * INDEX(LCI!E:GC, MATCH(C49, LCI!C:C, 0), 0))</f>
        <v>8.0415000000000014E-2</v>
      </c>
      <c r="L49" s="3" cm="1">
        <f t="array" ref="L49">SUMPRODUCT((IFERROR(INDEX(EF!G:G, MATCH(LCI!E$1:GC$1, EF!A:A, 0)), 0)) * INDEX(LCI!E:GC, MATCH(C49, LCI!C:C, 0), 0))</f>
        <v>2.3833333333333334E-5</v>
      </c>
      <c r="M49" s="3" cm="1">
        <f t="array" ref="M49">SUMPRODUCT((IFERROR(INDEX(EF!H:H, MATCH(LCI!E$1:GC$1, EF!A:A, 0)), 0)) * INDEX(LCI!E:GC, MATCH(C49, LCI!C:C, 0), 0))</f>
        <v>0</v>
      </c>
      <c r="N49" s="3" cm="1">
        <f t="array" ref="N49">SUMPRODUCT((IFERROR(INDEX(EF!I:I, MATCH(LCI!E$1:GC$1, EF!A:A, 0)), 0)) * INDEX(LCI!E:GC, MATCH(C49, LCI!C:C, 0), 0))</f>
        <v>8.0581666666666663E-2</v>
      </c>
      <c r="O49" s="3">
        <f t="shared" si="9"/>
        <v>8.0438833333333348E-2</v>
      </c>
      <c r="P49" s="3">
        <f t="shared" si="10"/>
        <v>8.0415000000000014E-2</v>
      </c>
      <c r="Q49" s="3">
        <f t="shared" si="11"/>
        <v>2.3833333333333334E-5</v>
      </c>
      <c r="R49" s="3">
        <f t="shared" si="12"/>
        <v>0</v>
      </c>
      <c r="S49" s="30" cm="1">
        <f t="array" ref="S49">EF!$I$2*INDEX(LCI!E:E,MATCH(C49,LCI!C:C,0),0)</f>
        <v>4.5833333333333337E-2</v>
      </c>
      <c r="T49" s="3">
        <f t="shared" si="13"/>
        <v>0.26546666666666663</v>
      </c>
      <c r="U49" s="3" cm="1">
        <f t="array" ref="U49">EF!$I$5*INDEX(LCI!D:D,MATCH(C49,LCI!C:C,0),0)</f>
        <v>0</v>
      </c>
      <c r="V49" s="3">
        <f t="shared" si="14"/>
        <v>8.0581666666666663E-2</v>
      </c>
      <c r="W49" s="3" t="s">
        <v>158</v>
      </c>
      <c r="Y49" s="16" t="s">
        <v>366</v>
      </c>
      <c r="Z49" s="3" t="s">
        <v>383</v>
      </c>
      <c r="AA49" s="30">
        <f t="shared" si="15"/>
        <v>0.39188166666666663</v>
      </c>
      <c r="AB49" s="3">
        <f t="shared" si="16"/>
        <v>0.2664083333333333</v>
      </c>
      <c r="AC49" s="3">
        <f t="shared" si="17"/>
        <v>7.0473141211557788E-19</v>
      </c>
      <c r="AR49"/>
    </row>
    <row r="50" spans="1:44" s="3" customFormat="1" ht="15" customHeight="1">
      <c r="A50" s="3">
        <v>107</v>
      </c>
      <c r="B50" s="3">
        <v>98</v>
      </c>
      <c r="C50" s="3" t="s">
        <v>91</v>
      </c>
      <c r="D50" s="15" t="s">
        <v>91</v>
      </c>
      <c r="E50" s="3">
        <v>118000</v>
      </c>
      <c r="G50" s="3" t="b">
        <v>0</v>
      </c>
      <c r="H50" s="3" t="s">
        <v>109</v>
      </c>
      <c r="I50" s="3">
        <v>1</v>
      </c>
      <c r="J50" s="3" cm="1">
        <f t="array" ref="J50">SUMPRODUCT((IFERROR(INDEX(EF!E:E, MATCH(LCI!E$1:GC$1, EF!A:A, 0)), 0)) * INDEX(LCI!E:GC, MATCH(C50, LCI!C:C, 0), 0))</f>
        <v>3.4911055555555556E-2</v>
      </c>
      <c r="K50" s="3" cm="1">
        <f t="array" ref="K50">SUMPRODUCT((IFERROR(INDEX(EF!F:F, MATCH(LCI!E$1:GC$1, EF!A:A, 0)), 0)) * INDEX(LCI!E:GC, MATCH(C50, LCI!C:C, 0), 0))</f>
        <v>3.4887222222222222E-2</v>
      </c>
      <c r="L50" s="3" cm="1">
        <f t="array" ref="L50">SUMPRODUCT((IFERROR(INDEX(EF!G:G, MATCH(LCI!E$1:GC$1, EF!A:A, 0)), 0)) * INDEX(LCI!E:GC, MATCH(C50, LCI!C:C, 0), 0))</f>
        <v>2.3833333333333334E-5</v>
      </c>
      <c r="M50" s="3" cm="1">
        <f t="array" ref="M50">SUMPRODUCT((IFERROR(INDEX(EF!H:H, MATCH(LCI!E$1:GC$1, EF!A:A, 0)), 0)) * INDEX(LCI!E:GC, MATCH(C50, LCI!C:C, 0), 0))</f>
        <v>0</v>
      </c>
      <c r="N50" s="3" cm="1">
        <f t="array" ref="N50">SUMPRODUCT((IFERROR(INDEX(EF!I:I, MATCH(LCI!E$1:GC$1, EF!A:A, 0)), 0)) * INDEX(LCI!E:GC, MATCH(C50, LCI!C:C, 0), 0))</f>
        <v>3.5053888888888884E-2</v>
      </c>
      <c r="O50" s="3">
        <f t="shared" si="9"/>
        <v>3.4911055555555556E-2</v>
      </c>
      <c r="P50" s="3">
        <f t="shared" si="10"/>
        <v>3.4887222222222222E-2</v>
      </c>
      <c r="Q50" s="3">
        <f t="shared" si="11"/>
        <v>2.3833333333333334E-5</v>
      </c>
      <c r="R50" s="3">
        <f t="shared" si="12"/>
        <v>0</v>
      </c>
      <c r="S50" s="30" cm="1">
        <f t="array" ref="S50">EF!$I$2*INDEX(LCI!E:E,MATCH(C50,LCI!C:C,0),0)</f>
        <v>3.0555555555555555E-4</v>
      </c>
      <c r="T50" s="3">
        <f t="shared" si="13"/>
        <v>0.35596666666666665</v>
      </c>
      <c r="U50" s="3" cm="1">
        <f t="array" ref="U50">EF!$I$5*INDEX(LCI!D:D,MATCH(C50,LCI!C:C,0),0)</f>
        <v>0</v>
      </c>
      <c r="V50" s="3">
        <f t="shared" si="14"/>
        <v>3.5053888888888884E-2</v>
      </c>
      <c r="W50" s="3" t="s">
        <v>158</v>
      </c>
      <c r="Y50" s="16" t="s">
        <v>372</v>
      </c>
      <c r="Z50" s="3" t="s">
        <v>383</v>
      </c>
      <c r="AA50" s="30">
        <f t="shared" si="15"/>
        <v>0.3913261111111111</v>
      </c>
      <c r="AB50" s="3">
        <f t="shared" si="16"/>
        <v>0.28423055555555554</v>
      </c>
      <c r="AC50" s="3">
        <f t="shared" si="17"/>
        <v>7.0473141211557788E-19</v>
      </c>
      <c r="AR50"/>
    </row>
    <row r="51" spans="1:44" s="3" customFormat="1" ht="15" customHeight="1">
      <c r="A51" s="3">
        <v>98</v>
      </c>
      <c r="B51" s="3">
        <v>89</v>
      </c>
      <c r="C51" s="3" t="s">
        <v>82</v>
      </c>
      <c r="D51" s="15" t="s">
        <v>82</v>
      </c>
      <c r="E51" s="3">
        <v>83000</v>
      </c>
      <c r="G51" s="3" t="b">
        <v>0</v>
      </c>
      <c r="H51" s="3" t="s">
        <v>109</v>
      </c>
      <c r="I51" s="3">
        <v>1</v>
      </c>
      <c r="J51" s="3" cm="1">
        <f t="array" ref="J51">SUMPRODUCT((IFERROR(INDEX(EF!E:E, MATCH(LCI!E$1:GC$1, EF!A:A, 0)), 0)) * INDEX(LCI!E:GC, MATCH(C51, LCI!C:C, 0), 0))</f>
        <v>8.0438833333333348E-2</v>
      </c>
      <c r="K51" s="3" cm="1">
        <f t="array" ref="K51">SUMPRODUCT((IFERROR(INDEX(EF!F:F, MATCH(LCI!E$1:GC$1, EF!A:A, 0)), 0)) * INDEX(LCI!E:GC, MATCH(C51, LCI!C:C, 0), 0))</f>
        <v>8.0415000000000014E-2</v>
      </c>
      <c r="L51" s="3" cm="1">
        <f t="array" ref="L51">SUMPRODUCT((IFERROR(INDEX(EF!G:G, MATCH(LCI!E$1:GC$1, EF!A:A, 0)), 0)) * INDEX(LCI!E:GC, MATCH(C51, LCI!C:C, 0), 0))</f>
        <v>2.3833333333333334E-5</v>
      </c>
      <c r="M51" s="3" cm="1">
        <f t="array" ref="M51">SUMPRODUCT((IFERROR(INDEX(EF!H:H, MATCH(LCI!E$1:GC$1, EF!A:A, 0)), 0)) * INDEX(LCI!E:GC, MATCH(C51, LCI!C:C, 0), 0))</f>
        <v>0</v>
      </c>
      <c r="N51" s="3" cm="1">
        <f t="array" ref="N51">SUMPRODUCT((IFERROR(INDEX(EF!I:I, MATCH(LCI!E$1:GC$1, EF!A:A, 0)), 0)) * INDEX(LCI!E:GC, MATCH(C51, LCI!C:C, 0), 0))</f>
        <v>8.0581666666666663E-2</v>
      </c>
      <c r="O51" s="3">
        <f t="shared" si="9"/>
        <v>8.0438833333333348E-2</v>
      </c>
      <c r="P51" s="3">
        <f t="shared" si="10"/>
        <v>8.0415000000000014E-2</v>
      </c>
      <c r="Q51" s="3">
        <f t="shared" si="11"/>
        <v>2.3833333333333334E-5</v>
      </c>
      <c r="R51" s="3">
        <f t="shared" si="12"/>
        <v>0</v>
      </c>
      <c r="S51" s="30" cm="1">
        <f t="array" ref="S51">EF!$I$2*INDEX(LCI!E:E,MATCH(C51,LCI!C:C,0),0)</f>
        <v>4.5833333333333337E-2</v>
      </c>
      <c r="T51" s="3">
        <f t="shared" si="13"/>
        <v>0.25038333333333335</v>
      </c>
      <c r="U51" s="3" cm="1">
        <f t="array" ref="U51">EF!$I$5*INDEX(LCI!D:D,MATCH(C51,LCI!C:C,0),0)</f>
        <v>0</v>
      </c>
      <c r="V51" s="3">
        <f t="shared" si="14"/>
        <v>8.0581666666666663E-2</v>
      </c>
      <c r="W51" s="3" t="s">
        <v>158</v>
      </c>
      <c r="Y51" s="16" t="s">
        <v>363</v>
      </c>
      <c r="Z51" s="3" t="s">
        <v>383</v>
      </c>
      <c r="AA51" s="30">
        <f t="shared" si="15"/>
        <v>0.37679833333333335</v>
      </c>
      <c r="AB51" s="3">
        <f t="shared" si="16"/>
        <v>0.25585000000000002</v>
      </c>
      <c r="AC51" s="3">
        <f t="shared" si="17"/>
        <v>7.0473141211557788E-19</v>
      </c>
      <c r="AR51"/>
    </row>
    <row r="52" spans="1:44" s="3" customFormat="1" ht="15" customHeight="1">
      <c r="A52" s="3">
        <v>77</v>
      </c>
      <c r="B52" s="3">
        <v>68</v>
      </c>
      <c r="C52" s="3" t="s">
        <v>55</v>
      </c>
      <c r="D52" s="15" t="s">
        <v>55</v>
      </c>
      <c r="E52" s="3">
        <v>110000</v>
      </c>
      <c r="G52" s="3" t="b">
        <v>0</v>
      </c>
      <c r="H52" s="3" t="s">
        <v>109</v>
      </c>
      <c r="I52" s="3">
        <v>1</v>
      </c>
      <c r="J52" s="3" cm="1">
        <f t="array" ref="J52">SUMPRODUCT((IFERROR(INDEX(EF!E:E, MATCH(LCI!E$1:GC$1, EF!A:A, 0)), 0)) * INDEX(LCI!E:GC, MATCH(C52, LCI!C:C, 0), 0))</f>
        <v>3.6133277777777778E-2</v>
      </c>
      <c r="K52" s="3" cm="1">
        <f t="array" ref="K52">SUMPRODUCT((IFERROR(INDEX(EF!F:F, MATCH(LCI!E$1:GC$1, EF!A:A, 0)), 0)) * INDEX(LCI!E:GC, MATCH(C52, LCI!C:C, 0), 0))</f>
        <v>3.6109444444444444E-2</v>
      </c>
      <c r="L52" s="3" cm="1">
        <f t="array" ref="L52">SUMPRODUCT((IFERROR(INDEX(EF!G:G, MATCH(LCI!E$1:GC$1, EF!A:A, 0)), 0)) * INDEX(LCI!E:GC, MATCH(C52, LCI!C:C, 0), 0))</f>
        <v>2.3833333333333334E-5</v>
      </c>
      <c r="M52" s="3" cm="1">
        <f t="array" ref="M52">SUMPRODUCT((IFERROR(INDEX(EF!H:H, MATCH(LCI!E$1:GC$1, EF!A:A, 0)), 0)) * INDEX(LCI!E:GC, MATCH(C52, LCI!C:C, 0), 0))</f>
        <v>0</v>
      </c>
      <c r="N52" s="3" cm="1">
        <f t="array" ref="N52">SUMPRODUCT((IFERROR(INDEX(EF!I:I, MATCH(LCI!E$1:GC$1, EF!A:A, 0)), 0)) * INDEX(LCI!E:GC, MATCH(C52, LCI!C:C, 0), 0))</f>
        <v>3.6276111111111106E-2</v>
      </c>
      <c r="O52" s="3">
        <f t="shared" si="9"/>
        <v>3.6133277777777778E-2</v>
      </c>
      <c r="P52" s="3">
        <f t="shared" si="10"/>
        <v>3.6109444444444444E-2</v>
      </c>
      <c r="Q52" s="3">
        <f t="shared" si="11"/>
        <v>2.3833333333333334E-5</v>
      </c>
      <c r="R52" s="3">
        <f t="shared" si="12"/>
        <v>0</v>
      </c>
      <c r="S52" s="30" cm="1">
        <f t="array" ref="S52">EF!$I$2*INDEX(LCI!E:E,MATCH(C52,LCI!C:C,0),0)</f>
        <v>1.5277777777777781E-3</v>
      </c>
      <c r="T52" s="3">
        <f t="shared" si="13"/>
        <v>0.33183333333333331</v>
      </c>
      <c r="U52" s="3" cm="1">
        <f t="array" ref="U52">EF!$I$5*INDEX(LCI!D:D,MATCH(C52,LCI!C:C,0),0)</f>
        <v>0</v>
      </c>
      <c r="V52" s="3">
        <f t="shared" si="14"/>
        <v>3.6276111111111106E-2</v>
      </c>
      <c r="W52" s="3" t="s">
        <v>158</v>
      </c>
      <c r="Y52" s="16" t="s">
        <v>342</v>
      </c>
      <c r="Z52" s="3" t="s">
        <v>383</v>
      </c>
      <c r="AA52" s="30">
        <f t="shared" si="15"/>
        <v>0.36963722222222223</v>
      </c>
      <c r="AB52" s="3">
        <f t="shared" si="16"/>
        <v>0.26855944444444441</v>
      </c>
      <c r="AC52" s="3">
        <f t="shared" si="17"/>
        <v>7.0473141211557788E-19</v>
      </c>
      <c r="AR52"/>
    </row>
    <row r="53" spans="1:44" s="3" customFormat="1" ht="15" customHeight="1">
      <c r="A53" s="3">
        <v>90</v>
      </c>
      <c r="B53" s="3">
        <v>81</v>
      </c>
      <c r="C53" s="3" t="s">
        <v>68</v>
      </c>
      <c r="D53" s="15" t="s">
        <v>68</v>
      </c>
      <c r="E53" s="3">
        <v>75000</v>
      </c>
      <c r="G53" s="3" t="b">
        <v>0</v>
      </c>
      <c r="H53" s="3" t="s">
        <v>109</v>
      </c>
      <c r="I53" s="3">
        <v>1</v>
      </c>
      <c r="J53" s="3" cm="1">
        <f t="array" ref="J53">SUMPRODUCT((IFERROR(INDEX(EF!E:E, MATCH(LCI!E$1:GC$1, EF!A:A, 0)), 0)) * INDEX(LCI!E:GC, MATCH(C53, LCI!C:C, 0), 0))</f>
        <v>8.0438833333333348E-2</v>
      </c>
      <c r="K53" s="3" cm="1">
        <f t="array" ref="K53">SUMPRODUCT((IFERROR(INDEX(EF!F:F, MATCH(LCI!E$1:GC$1, EF!A:A, 0)), 0)) * INDEX(LCI!E:GC, MATCH(C53, LCI!C:C, 0), 0))</f>
        <v>8.0415000000000014E-2</v>
      </c>
      <c r="L53" s="3" cm="1">
        <f t="array" ref="L53">SUMPRODUCT((IFERROR(INDEX(EF!G:G, MATCH(LCI!E$1:GC$1, EF!A:A, 0)), 0)) * INDEX(LCI!E:GC, MATCH(C53, LCI!C:C, 0), 0))</f>
        <v>2.3833333333333334E-5</v>
      </c>
      <c r="M53" s="3" cm="1">
        <f t="array" ref="M53">SUMPRODUCT((IFERROR(INDEX(EF!H:H, MATCH(LCI!E$1:GC$1, EF!A:A, 0)), 0)) * INDEX(LCI!E:GC, MATCH(C53, LCI!C:C, 0), 0))</f>
        <v>0</v>
      </c>
      <c r="N53" s="3" cm="1">
        <f t="array" ref="N53">SUMPRODUCT((IFERROR(INDEX(EF!I:I, MATCH(LCI!E$1:GC$1, EF!A:A, 0)), 0)) * INDEX(LCI!E:GC, MATCH(C53, LCI!C:C, 0), 0))</f>
        <v>8.0581666666666663E-2</v>
      </c>
      <c r="O53" s="3">
        <f t="shared" si="9"/>
        <v>8.0438833333333348E-2</v>
      </c>
      <c r="P53" s="3">
        <f t="shared" si="10"/>
        <v>8.0415000000000014E-2</v>
      </c>
      <c r="Q53" s="3">
        <f t="shared" si="11"/>
        <v>2.3833333333333334E-5</v>
      </c>
      <c r="R53" s="3">
        <f t="shared" si="12"/>
        <v>0</v>
      </c>
      <c r="S53" s="30" cm="1">
        <f t="array" ref="S53">EF!$I$2*INDEX(LCI!E:E,MATCH(C53,LCI!C:C,0),0)</f>
        <v>4.5833333333333337E-2</v>
      </c>
      <c r="T53" s="3">
        <f t="shared" si="13"/>
        <v>0.22625000000000001</v>
      </c>
      <c r="U53" s="3" cm="1">
        <f t="array" ref="U53">EF!$I$5*INDEX(LCI!D:D,MATCH(C53,LCI!C:C,0),0)</f>
        <v>0</v>
      </c>
      <c r="V53" s="3">
        <f t="shared" si="14"/>
        <v>8.0581666666666663E-2</v>
      </c>
      <c r="W53" s="3" t="s">
        <v>158</v>
      </c>
      <c r="Y53" s="16" t="s">
        <v>355</v>
      </c>
      <c r="Z53" s="3" t="s">
        <v>383</v>
      </c>
      <c r="AA53" s="30">
        <f t="shared" si="15"/>
        <v>0.35266500000000001</v>
      </c>
      <c r="AB53" s="3">
        <f t="shared" si="16"/>
        <v>0.23895666666666665</v>
      </c>
      <c r="AC53" s="3">
        <f t="shared" si="17"/>
        <v>7.0473141211557788E-19</v>
      </c>
      <c r="AR53"/>
    </row>
    <row r="54" spans="1:44" s="3" customFormat="1" ht="15" customHeight="1">
      <c r="A54" s="3">
        <v>99</v>
      </c>
      <c r="B54" s="3">
        <v>90</v>
      </c>
      <c r="C54" s="3" t="s">
        <v>83</v>
      </c>
      <c r="D54" s="15" t="s">
        <v>83</v>
      </c>
      <c r="E54" s="3">
        <v>73000</v>
      </c>
      <c r="G54" s="3" t="b">
        <v>0</v>
      </c>
      <c r="H54" s="3" t="s">
        <v>109</v>
      </c>
      <c r="I54" s="3">
        <v>1</v>
      </c>
      <c r="J54" s="3" cm="1">
        <f t="array" ref="J54">SUMPRODUCT((IFERROR(INDEX(EF!E:E, MATCH(LCI!E$1:GC$1, EF!A:A, 0)), 0)) * INDEX(LCI!E:GC, MATCH(C54, LCI!C:C, 0), 0))</f>
        <v>8.0438833333333348E-2</v>
      </c>
      <c r="K54" s="3" cm="1">
        <f t="array" ref="K54">SUMPRODUCT((IFERROR(INDEX(EF!F:F, MATCH(LCI!E$1:GC$1, EF!A:A, 0)), 0)) * INDEX(LCI!E:GC, MATCH(C54, LCI!C:C, 0), 0))</f>
        <v>8.0415000000000014E-2</v>
      </c>
      <c r="L54" s="3" cm="1">
        <f t="array" ref="L54">SUMPRODUCT((IFERROR(INDEX(EF!G:G, MATCH(LCI!E$1:GC$1, EF!A:A, 0)), 0)) * INDEX(LCI!E:GC, MATCH(C54, LCI!C:C, 0), 0))</f>
        <v>2.3833333333333334E-5</v>
      </c>
      <c r="M54" s="3" cm="1">
        <f t="array" ref="M54">SUMPRODUCT((IFERROR(INDEX(EF!H:H, MATCH(LCI!E$1:GC$1, EF!A:A, 0)), 0)) * INDEX(LCI!E:GC, MATCH(C54, LCI!C:C, 0), 0))</f>
        <v>0</v>
      </c>
      <c r="N54" s="3" cm="1">
        <f t="array" ref="N54">SUMPRODUCT((IFERROR(INDEX(EF!I:I, MATCH(LCI!E$1:GC$1, EF!A:A, 0)), 0)) * INDEX(LCI!E:GC, MATCH(C54, LCI!C:C, 0), 0))</f>
        <v>8.0581666666666663E-2</v>
      </c>
      <c r="O54" s="3">
        <f t="shared" si="9"/>
        <v>8.0438833333333348E-2</v>
      </c>
      <c r="P54" s="3">
        <f t="shared" si="10"/>
        <v>8.0415000000000014E-2</v>
      </c>
      <c r="Q54" s="3">
        <f t="shared" si="11"/>
        <v>2.3833333333333334E-5</v>
      </c>
      <c r="R54" s="3">
        <f t="shared" si="12"/>
        <v>0</v>
      </c>
      <c r="S54" s="30" cm="1">
        <f t="array" ref="S54">EF!$I$2*INDEX(LCI!E:E,MATCH(C54,LCI!C:C,0),0)</f>
        <v>4.5833333333333337E-2</v>
      </c>
      <c r="T54" s="3">
        <f t="shared" si="13"/>
        <v>0.22021666666666664</v>
      </c>
      <c r="U54" s="3" cm="1">
        <f t="array" ref="U54">EF!$I$5*INDEX(LCI!D:D,MATCH(C54,LCI!C:C,0),0)</f>
        <v>0</v>
      </c>
      <c r="V54" s="3">
        <f t="shared" si="14"/>
        <v>8.0581666666666663E-2</v>
      </c>
      <c r="W54" s="3" t="s">
        <v>158</v>
      </c>
      <c r="Y54" s="16" t="s">
        <v>364</v>
      </c>
      <c r="Z54" s="3" t="s">
        <v>383</v>
      </c>
      <c r="AA54" s="30">
        <f t="shared" si="15"/>
        <v>0.34663166666666667</v>
      </c>
      <c r="AB54" s="3">
        <f t="shared" si="16"/>
        <v>0.23473333333333329</v>
      </c>
      <c r="AC54" s="3">
        <f t="shared" si="17"/>
        <v>7.0473141211557788E-19</v>
      </c>
      <c r="AR54"/>
    </row>
    <row r="55" spans="1:44" s="3" customFormat="1" ht="15" customHeight="1">
      <c r="A55" s="3">
        <v>102</v>
      </c>
      <c r="B55" s="3">
        <v>93</v>
      </c>
      <c r="C55" s="3" t="s">
        <v>86</v>
      </c>
      <c r="D55" s="15" t="s">
        <v>86</v>
      </c>
      <c r="E55" s="3">
        <v>66000</v>
      </c>
      <c r="G55" s="3" t="b">
        <v>0</v>
      </c>
      <c r="H55" s="3" t="s">
        <v>109</v>
      </c>
      <c r="I55" s="3">
        <v>1</v>
      </c>
      <c r="J55" s="3" cm="1">
        <f t="array" ref="J55">SUMPRODUCT((IFERROR(INDEX(EF!E:E, MATCH(LCI!E$1:GC$1, EF!A:A, 0)), 0)) * INDEX(LCI!E:GC, MATCH(C55, LCI!C:C, 0), 0))</f>
        <v>8.0438833333333348E-2</v>
      </c>
      <c r="K55" s="3" cm="1">
        <f t="array" ref="K55">SUMPRODUCT((IFERROR(INDEX(EF!F:F, MATCH(LCI!E$1:GC$1, EF!A:A, 0)), 0)) * INDEX(LCI!E:GC, MATCH(C55, LCI!C:C, 0), 0))</f>
        <v>8.0415000000000014E-2</v>
      </c>
      <c r="L55" s="3" cm="1">
        <f t="array" ref="L55">SUMPRODUCT((IFERROR(INDEX(EF!G:G, MATCH(LCI!E$1:GC$1, EF!A:A, 0)), 0)) * INDEX(LCI!E:GC, MATCH(C55, LCI!C:C, 0), 0))</f>
        <v>2.3833333333333334E-5</v>
      </c>
      <c r="M55" s="3" cm="1">
        <f t="array" ref="M55">SUMPRODUCT((IFERROR(INDEX(EF!H:H, MATCH(LCI!E$1:GC$1, EF!A:A, 0)), 0)) * INDEX(LCI!E:GC, MATCH(C55, LCI!C:C, 0), 0))</f>
        <v>0</v>
      </c>
      <c r="N55" s="3" cm="1">
        <f t="array" ref="N55">SUMPRODUCT((IFERROR(INDEX(EF!I:I, MATCH(LCI!E$1:GC$1, EF!A:A, 0)), 0)) * INDEX(LCI!E:GC, MATCH(C55, LCI!C:C, 0), 0))</f>
        <v>8.0581666666666663E-2</v>
      </c>
      <c r="O55" s="3">
        <f t="shared" si="9"/>
        <v>8.0438833333333348E-2</v>
      </c>
      <c r="P55" s="3">
        <f t="shared" si="10"/>
        <v>8.0415000000000014E-2</v>
      </c>
      <c r="Q55" s="3">
        <f t="shared" si="11"/>
        <v>2.3833333333333334E-5</v>
      </c>
      <c r="R55" s="3">
        <f t="shared" si="12"/>
        <v>0</v>
      </c>
      <c r="S55" s="30" cm="1">
        <f t="array" ref="S55">EF!$I$2*INDEX(LCI!E:E,MATCH(C55,LCI!C:C,0),0)</f>
        <v>4.5833333333333337E-2</v>
      </c>
      <c r="T55" s="3">
        <f t="shared" si="13"/>
        <v>0.1991</v>
      </c>
      <c r="U55" s="3" cm="1">
        <f t="array" ref="U55">EF!$I$5*INDEX(LCI!D:D,MATCH(C55,LCI!C:C,0),0)</f>
        <v>0</v>
      </c>
      <c r="V55" s="3">
        <f t="shared" si="14"/>
        <v>8.0581666666666663E-2</v>
      </c>
      <c r="W55" s="3" t="s">
        <v>158</v>
      </c>
      <c r="Y55" s="16" t="s">
        <v>367</v>
      </c>
      <c r="Z55" s="3" t="s">
        <v>383</v>
      </c>
      <c r="AA55" s="30">
        <f t="shared" si="15"/>
        <v>0.325515</v>
      </c>
      <c r="AB55" s="3">
        <f t="shared" si="16"/>
        <v>0.21995166666666666</v>
      </c>
      <c r="AC55" s="3">
        <f t="shared" si="17"/>
        <v>7.0473141211557788E-19</v>
      </c>
      <c r="AR55"/>
    </row>
    <row r="56" spans="1:44" s="3" customFormat="1" ht="15" customHeight="1">
      <c r="A56" s="3">
        <v>81</v>
      </c>
      <c r="B56" s="3">
        <v>72</v>
      </c>
      <c r="C56" s="3" t="s">
        <v>59</v>
      </c>
      <c r="D56" s="15" t="s">
        <v>59</v>
      </c>
      <c r="E56" s="3">
        <v>63000</v>
      </c>
      <c r="G56" s="3" t="b">
        <v>0</v>
      </c>
      <c r="H56" s="3" t="s">
        <v>109</v>
      </c>
      <c r="I56" s="3">
        <v>1</v>
      </c>
      <c r="J56" s="3" cm="1">
        <f t="array" ref="J56">SUMPRODUCT((IFERROR(INDEX(EF!E:E, MATCH(LCI!E$1:GC$1, EF!A:A, 0)), 0)) * INDEX(LCI!E:GC, MATCH(C56, LCI!C:C, 0), 0))</f>
        <v>8.0438833333333348E-2</v>
      </c>
      <c r="K56" s="3" cm="1">
        <f t="array" ref="K56">SUMPRODUCT((IFERROR(INDEX(EF!F:F, MATCH(LCI!E$1:GC$1, EF!A:A, 0)), 0)) * INDEX(LCI!E:GC, MATCH(C56, LCI!C:C, 0), 0))</f>
        <v>8.0415000000000014E-2</v>
      </c>
      <c r="L56" s="3" cm="1">
        <f t="array" ref="L56">SUMPRODUCT((IFERROR(INDEX(EF!G:G, MATCH(LCI!E$1:GC$1, EF!A:A, 0)), 0)) * INDEX(LCI!E:GC, MATCH(C56, LCI!C:C, 0), 0))</f>
        <v>2.3833333333333334E-5</v>
      </c>
      <c r="M56" s="3" cm="1">
        <f t="array" ref="M56">SUMPRODUCT((IFERROR(INDEX(EF!H:H, MATCH(LCI!E$1:GC$1, EF!A:A, 0)), 0)) * INDEX(LCI!E:GC, MATCH(C56, LCI!C:C, 0), 0))</f>
        <v>0</v>
      </c>
      <c r="N56" s="3" cm="1">
        <f t="array" ref="N56">SUMPRODUCT((IFERROR(INDEX(EF!I:I, MATCH(LCI!E$1:GC$1, EF!A:A, 0)), 0)) * INDEX(LCI!E:GC, MATCH(C56, LCI!C:C, 0), 0))</f>
        <v>8.0581666666666663E-2</v>
      </c>
      <c r="O56" s="3">
        <f t="shared" si="9"/>
        <v>8.0438833333333348E-2</v>
      </c>
      <c r="P56" s="3">
        <f t="shared" si="10"/>
        <v>8.0415000000000014E-2</v>
      </c>
      <c r="Q56" s="3">
        <f t="shared" si="11"/>
        <v>2.3833333333333334E-5</v>
      </c>
      <c r="R56" s="3">
        <f t="shared" si="12"/>
        <v>0</v>
      </c>
      <c r="S56" s="30" cm="1">
        <f t="array" ref="S56">EF!$I$2*INDEX(LCI!E:E,MATCH(C56,LCI!C:C,0),0)</f>
        <v>4.5833333333333337E-2</v>
      </c>
      <c r="T56" s="3">
        <f t="shared" si="13"/>
        <v>0.19005</v>
      </c>
      <c r="U56" s="3" cm="1">
        <f t="array" ref="U56">EF!$I$5*INDEX(LCI!D:D,MATCH(C56,LCI!C:C,0),0)</f>
        <v>0</v>
      </c>
      <c r="V56" s="3">
        <f t="shared" si="14"/>
        <v>8.0581666666666663E-2</v>
      </c>
      <c r="W56" s="3" t="s">
        <v>158</v>
      </c>
      <c r="Y56" s="16" t="s">
        <v>346</v>
      </c>
      <c r="Z56" s="3" t="s">
        <v>383</v>
      </c>
      <c r="AA56" s="30">
        <f t="shared" si="15"/>
        <v>0.316465</v>
      </c>
      <c r="AB56" s="3">
        <f t="shared" si="16"/>
        <v>0.21361666666666665</v>
      </c>
      <c r="AC56" s="3">
        <f t="shared" si="17"/>
        <v>7.0473141211557788E-19</v>
      </c>
      <c r="AR56"/>
    </row>
    <row r="57" spans="1:44" s="3" customFormat="1" ht="15" customHeight="1">
      <c r="A57" s="3">
        <v>118</v>
      </c>
      <c r="B57" s="3">
        <v>24</v>
      </c>
      <c r="C57" s="3" t="s">
        <v>32</v>
      </c>
      <c r="D57" s="15" t="s">
        <v>32</v>
      </c>
      <c r="E57" s="3">
        <v>90000</v>
      </c>
      <c r="G57" s="3" t="b">
        <v>0</v>
      </c>
      <c r="H57" s="3" t="s">
        <v>109</v>
      </c>
      <c r="I57" s="3">
        <v>1</v>
      </c>
      <c r="J57" s="3" cm="1">
        <f t="array" ref="J57">SUMPRODUCT((IFERROR(INDEX(EF!E:E, MATCH(LCI!E$1:GC$1, EF!A:A, 0)), 0)) * INDEX(LCI!E:GC, MATCH(C57, LCI!C:C, 0), 0))</f>
        <v>3.6133277777777778E-2</v>
      </c>
      <c r="K57" s="3" cm="1">
        <f t="array" ref="K57">SUMPRODUCT((IFERROR(INDEX(EF!F:F, MATCH(LCI!E$1:GC$1, EF!A:A, 0)), 0)) * INDEX(LCI!E:GC, MATCH(C57, LCI!C:C, 0), 0))</f>
        <v>3.6109444444444444E-2</v>
      </c>
      <c r="L57" s="3" cm="1">
        <f t="array" ref="L57">SUMPRODUCT((IFERROR(INDEX(EF!G:G, MATCH(LCI!E$1:GC$1, EF!A:A, 0)), 0)) * INDEX(LCI!E:GC, MATCH(C57, LCI!C:C, 0), 0))</f>
        <v>2.3833333333333334E-5</v>
      </c>
      <c r="M57" s="3" cm="1">
        <f t="array" ref="M57">SUMPRODUCT((IFERROR(INDEX(EF!H:H, MATCH(LCI!E$1:GC$1, EF!A:A, 0)), 0)) * INDEX(LCI!E:GC, MATCH(C57, LCI!C:C, 0), 0))</f>
        <v>0</v>
      </c>
      <c r="N57" s="3" cm="1">
        <f t="array" ref="N57">SUMPRODUCT((IFERROR(INDEX(EF!I:I, MATCH(LCI!E$1:GC$1, EF!A:A, 0)), 0)) * INDEX(LCI!E:GC, MATCH(C57, LCI!C:C, 0), 0))</f>
        <v>3.6276111111111106E-2</v>
      </c>
      <c r="O57" s="3">
        <f t="shared" si="9"/>
        <v>3.6133277777777778E-2</v>
      </c>
      <c r="P57" s="3">
        <f t="shared" si="10"/>
        <v>3.6109444444444444E-2</v>
      </c>
      <c r="Q57" s="3">
        <f t="shared" si="11"/>
        <v>2.3833333333333334E-5</v>
      </c>
      <c r="R57" s="3">
        <f t="shared" si="12"/>
        <v>0</v>
      </c>
      <c r="S57" s="30" cm="1">
        <f t="array" ref="S57">EF!$I$2*INDEX(LCI!E:E,MATCH(C57,LCI!C:C,0),0)</f>
        <v>1.5277777777777781E-3</v>
      </c>
      <c r="T57" s="3">
        <f t="shared" si="13"/>
        <v>0.27149999999999996</v>
      </c>
      <c r="U57" s="3" cm="1">
        <f t="array" ref="U57">EF!$I$5*INDEX(LCI!D:D,MATCH(C57,LCI!C:C,0),0)</f>
        <v>0</v>
      </c>
      <c r="V57" s="3">
        <f t="shared" si="14"/>
        <v>3.6276111111111106E-2</v>
      </c>
      <c r="W57" s="3" t="s">
        <v>128</v>
      </c>
      <c r="Y57" s="16" t="s">
        <v>382</v>
      </c>
      <c r="Z57" s="3" t="s">
        <v>383</v>
      </c>
      <c r="AA57" s="30">
        <f t="shared" si="15"/>
        <v>0.30930388888888888</v>
      </c>
      <c r="AB57" s="3">
        <f t="shared" si="16"/>
        <v>0.22632611111111106</v>
      </c>
      <c r="AC57" s="3">
        <f t="shared" si="17"/>
        <v>7.0473141211557788E-19</v>
      </c>
      <c r="AR57"/>
    </row>
    <row r="58" spans="1:44" s="3" customFormat="1" ht="15" customHeight="1">
      <c r="A58" s="3">
        <v>100</v>
      </c>
      <c r="B58" s="3">
        <v>91</v>
      </c>
      <c r="C58" s="3" t="s">
        <v>84</v>
      </c>
      <c r="D58" s="15" t="s">
        <v>84</v>
      </c>
      <c r="E58" s="3">
        <v>57000</v>
      </c>
      <c r="G58" s="3" t="b">
        <v>0</v>
      </c>
      <c r="H58" s="3" t="s">
        <v>109</v>
      </c>
      <c r="I58" s="3">
        <v>1</v>
      </c>
      <c r="J58" s="3" cm="1">
        <f t="array" ref="J58">SUMPRODUCT((IFERROR(INDEX(EF!E:E, MATCH(LCI!E$1:GC$1, EF!A:A, 0)), 0)) * INDEX(LCI!E:GC, MATCH(C58, LCI!C:C, 0), 0))</f>
        <v>8.0438833333333348E-2</v>
      </c>
      <c r="K58" s="3" cm="1">
        <f t="array" ref="K58">SUMPRODUCT((IFERROR(INDEX(EF!F:F, MATCH(LCI!E$1:GC$1, EF!A:A, 0)), 0)) * INDEX(LCI!E:GC, MATCH(C58, LCI!C:C, 0), 0))</f>
        <v>8.0415000000000014E-2</v>
      </c>
      <c r="L58" s="3" cm="1">
        <f t="array" ref="L58">SUMPRODUCT((IFERROR(INDEX(EF!G:G, MATCH(LCI!E$1:GC$1, EF!A:A, 0)), 0)) * INDEX(LCI!E:GC, MATCH(C58, LCI!C:C, 0), 0))</f>
        <v>2.3833333333333334E-5</v>
      </c>
      <c r="M58" s="3" cm="1">
        <f t="array" ref="M58">SUMPRODUCT((IFERROR(INDEX(EF!H:H, MATCH(LCI!E$1:GC$1, EF!A:A, 0)), 0)) * INDEX(LCI!E:GC, MATCH(C58, LCI!C:C, 0), 0))</f>
        <v>0</v>
      </c>
      <c r="N58" s="3" cm="1">
        <f t="array" ref="N58">SUMPRODUCT((IFERROR(INDEX(EF!I:I, MATCH(LCI!E$1:GC$1, EF!A:A, 0)), 0)) * INDEX(LCI!E:GC, MATCH(C58, LCI!C:C, 0), 0))</f>
        <v>8.0581666666666663E-2</v>
      </c>
      <c r="O58" s="3">
        <f t="shared" si="9"/>
        <v>8.0438833333333348E-2</v>
      </c>
      <c r="P58" s="3">
        <f t="shared" si="10"/>
        <v>8.0415000000000014E-2</v>
      </c>
      <c r="Q58" s="3">
        <f t="shared" si="11"/>
        <v>2.3833333333333334E-5</v>
      </c>
      <c r="R58" s="3">
        <f t="shared" si="12"/>
        <v>0</v>
      </c>
      <c r="S58" s="30" cm="1">
        <f t="array" ref="S58">EF!$I$2*INDEX(LCI!E:E,MATCH(C58,LCI!C:C,0),0)</f>
        <v>4.5833333333333337E-2</v>
      </c>
      <c r="T58" s="3">
        <f t="shared" si="13"/>
        <v>0.17194999999999999</v>
      </c>
      <c r="U58" s="3" cm="1">
        <f t="array" ref="U58">EF!$I$5*INDEX(LCI!D:D,MATCH(C58,LCI!C:C,0),0)</f>
        <v>0</v>
      </c>
      <c r="V58" s="3">
        <f t="shared" si="14"/>
        <v>8.0581666666666663E-2</v>
      </c>
      <c r="W58" s="3" t="s">
        <v>158</v>
      </c>
      <c r="Y58" s="16" t="s">
        <v>365</v>
      </c>
      <c r="Z58" s="3" t="s">
        <v>383</v>
      </c>
      <c r="AA58" s="30">
        <f t="shared" si="15"/>
        <v>0.29836499999999999</v>
      </c>
      <c r="AB58" s="3">
        <f t="shared" si="16"/>
        <v>0.20094666666666666</v>
      </c>
      <c r="AC58" s="3">
        <f t="shared" si="17"/>
        <v>7.0473141211557788E-19</v>
      </c>
      <c r="AR58"/>
    </row>
    <row r="59" spans="1:44" s="3" customFormat="1" ht="15" customHeight="1">
      <c r="A59" s="3">
        <v>112</v>
      </c>
      <c r="B59" s="3">
        <v>103</v>
      </c>
      <c r="C59" s="3" t="s">
        <v>77</v>
      </c>
      <c r="D59" s="15" t="s">
        <v>77</v>
      </c>
      <c r="E59" s="3">
        <v>74000</v>
      </c>
      <c r="G59" s="3" t="b">
        <v>0</v>
      </c>
      <c r="H59" s="3" t="s">
        <v>109</v>
      </c>
      <c r="I59" s="3">
        <v>1</v>
      </c>
      <c r="J59" s="3" cm="1">
        <f t="array" ref="J59">SUMPRODUCT((IFERROR(INDEX(EF!E:E, MATCH(LCI!E$1:GC$1, EF!A:A, 0)), 0)) * INDEX(LCI!E:GC, MATCH(C59, LCI!C:C, 0), 0))</f>
        <v>4.9883277777777776E-2</v>
      </c>
      <c r="K59" s="3" cm="1">
        <f t="array" ref="K59">SUMPRODUCT((IFERROR(INDEX(EF!F:F, MATCH(LCI!E$1:GC$1, EF!A:A, 0)), 0)) * INDEX(LCI!E:GC, MATCH(C59, LCI!C:C, 0), 0))</f>
        <v>4.9859444444444442E-2</v>
      </c>
      <c r="L59" s="3" cm="1">
        <f t="array" ref="L59">SUMPRODUCT((IFERROR(INDEX(EF!G:G, MATCH(LCI!E$1:GC$1, EF!A:A, 0)), 0)) * INDEX(LCI!E:GC, MATCH(C59, LCI!C:C, 0), 0))</f>
        <v>2.3833333333333334E-5</v>
      </c>
      <c r="M59" s="3" cm="1">
        <f t="array" ref="M59">SUMPRODUCT((IFERROR(INDEX(EF!H:H, MATCH(LCI!E$1:GC$1, EF!A:A, 0)), 0)) * INDEX(LCI!E:GC, MATCH(C59, LCI!C:C, 0), 0))</f>
        <v>0</v>
      </c>
      <c r="N59" s="3" cm="1">
        <f t="array" ref="N59">SUMPRODUCT((IFERROR(INDEX(EF!I:I, MATCH(LCI!E$1:GC$1, EF!A:A, 0)), 0)) * INDEX(LCI!E:GC, MATCH(C59, LCI!C:C, 0), 0))</f>
        <v>5.0026111111111111E-2</v>
      </c>
      <c r="O59" s="3">
        <f t="shared" si="9"/>
        <v>4.9883277777777776E-2</v>
      </c>
      <c r="P59" s="3">
        <f t="shared" si="10"/>
        <v>4.9859444444444442E-2</v>
      </c>
      <c r="Q59" s="3">
        <f t="shared" si="11"/>
        <v>2.3833333333333334E-5</v>
      </c>
      <c r="R59" s="3">
        <f t="shared" si="12"/>
        <v>0</v>
      </c>
      <c r="S59" s="30" cm="1">
        <f t="array" ref="S59">EF!$I$2*INDEX(LCI!E:E,MATCH(C59,LCI!C:C,0),0)</f>
        <v>1.5277777777777776E-2</v>
      </c>
      <c r="T59" s="3">
        <f t="shared" si="13"/>
        <v>0.22323333333333334</v>
      </c>
      <c r="U59" s="3" cm="1">
        <f t="array" ref="U59">EF!$I$5*INDEX(LCI!D:D,MATCH(C59,LCI!C:C,0),0)</f>
        <v>0</v>
      </c>
      <c r="V59" s="3">
        <f t="shared" si="14"/>
        <v>5.0026111111111111E-2</v>
      </c>
      <c r="W59" s="3" t="s">
        <v>158</v>
      </c>
      <c r="Y59" s="16" t="s">
        <v>377</v>
      </c>
      <c r="Z59" s="3" t="s">
        <v>383</v>
      </c>
      <c r="AA59" s="30">
        <f t="shared" si="15"/>
        <v>0.28853722222222222</v>
      </c>
      <c r="AB59" s="3">
        <f t="shared" si="16"/>
        <v>0.20628944444444444</v>
      </c>
      <c r="AC59" s="3">
        <f t="shared" si="17"/>
        <v>7.0473141211557788E-19</v>
      </c>
      <c r="AR59"/>
    </row>
    <row r="60" spans="1:44" s="3" customFormat="1" ht="15" customHeight="1">
      <c r="A60" s="3">
        <v>103</v>
      </c>
      <c r="B60" s="3">
        <v>94</v>
      </c>
      <c r="C60" s="3" t="s">
        <v>87</v>
      </c>
      <c r="D60" s="15" t="s">
        <v>87</v>
      </c>
      <c r="E60" s="3">
        <v>53000</v>
      </c>
      <c r="G60" s="3" t="b">
        <v>0</v>
      </c>
      <c r="H60" s="3" t="s">
        <v>109</v>
      </c>
      <c r="I60" s="3">
        <v>1</v>
      </c>
      <c r="J60" s="3" cm="1">
        <f t="array" ref="J60">SUMPRODUCT((IFERROR(INDEX(EF!E:E, MATCH(LCI!E$1:GC$1, EF!A:A, 0)), 0)) * INDEX(LCI!E:GC, MATCH(C60, LCI!C:C, 0), 0))</f>
        <v>8.0438833333333348E-2</v>
      </c>
      <c r="K60" s="3" cm="1">
        <f t="array" ref="K60">SUMPRODUCT((IFERROR(INDEX(EF!F:F, MATCH(LCI!E$1:GC$1, EF!A:A, 0)), 0)) * INDEX(LCI!E:GC, MATCH(C60, LCI!C:C, 0), 0))</f>
        <v>8.0415000000000014E-2</v>
      </c>
      <c r="L60" s="3" cm="1">
        <f t="array" ref="L60">SUMPRODUCT((IFERROR(INDEX(EF!G:G, MATCH(LCI!E$1:GC$1, EF!A:A, 0)), 0)) * INDEX(LCI!E:GC, MATCH(C60, LCI!C:C, 0), 0))</f>
        <v>2.3833333333333334E-5</v>
      </c>
      <c r="M60" s="3" cm="1">
        <f t="array" ref="M60">SUMPRODUCT((IFERROR(INDEX(EF!H:H, MATCH(LCI!E$1:GC$1, EF!A:A, 0)), 0)) * INDEX(LCI!E:GC, MATCH(C60, LCI!C:C, 0), 0))</f>
        <v>0</v>
      </c>
      <c r="N60" s="3" cm="1">
        <f t="array" ref="N60">SUMPRODUCT((IFERROR(INDEX(EF!I:I, MATCH(LCI!E$1:GC$1, EF!A:A, 0)), 0)) * INDEX(LCI!E:GC, MATCH(C60, LCI!C:C, 0), 0))</f>
        <v>8.0581666666666663E-2</v>
      </c>
      <c r="O60" s="3">
        <f t="shared" si="9"/>
        <v>8.0438833333333348E-2</v>
      </c>
      <c r="P60" s="3">
        <f t="shared" si="10"/>
        <v>8.0415000000000014E-2</v>
      </c>
      <c r="Q60" s="3">
        <f t="shared" si="11"/>
        <v>2.3833333333333334E-5</v>
      </c>
      <c r="R60" s="3">
        <f t="shared" si="12"/>
        <v>0</v>
      </c>
      <c r="S60" s="30" cm="1">
        <f t="array" ref="S60">EF!$I$2*INDEX(LCI!E:E,MATCH(C60,LCI!C:C,0),0)</f>
        <v>4.5833333333333337E-2</v>
      </c>
      <c r="T60" s="3">
        <f t="shared" si="13"/>
        <v>0.15988333333333332</v>
      </c>
      <c r="U60" s="3" cm="1">
        <f t="array" ref="U60">EF!$I$5*INDEX(LCI!D:D,MATCH(C60,LCI!C:C,0),0)</f>
        <v>0</v>
      </c>
      <c r="V60" s="3">
        <f t="shared" si="14"/>
        <v>8.0581666666666663E-2</v>
      </c>
      <c r="W60" s="3" t="s">
        <v>158</v>
      </c>
      <c r="Y60" s="16" t="s">
        <v>368</v>
      </c>
      <c r="Z60" s="3" t="s">
        <v>383</v>
      </c>
      <c r="AA60" s="30">
        <f t="shared" si="15"/>
        <v>0.28629833333333332</v>
      </c>
      <c r="AB60" s="3">
        <f t="shared" si="16"/>
        <v>0.19249999999999998</v>
      </c>
      <c r="AC60" s="3">
        <f t="shared" si="17"/>
        <v>7.0473141211557788E-19</v>
      </c>
      <c r="AR60"/>
    </row>
    <row r="61" spans="1:44" s="3" customFormat="1" ht="15" customHeight="1">
      <c r="A61" s="3">
        <v>6</v>
      </c>
      <c r="B61" s="3">
        <v>131</v>
      </c>
      <c r="C61" s="3" t="s">
        <v>100</v>
      </c>
      <c r="D61" s="15" t="s">
        <v>100</v>
      </c>
      <c r="E61" s="3">
        <v>78000</v>
      </c>
      <c r="G61" s="3" t="b">
        <v>0</v>
      </c>
      <c r="H61" s="3" t="s">
        <v>163</v>
      </c>
      <c r="I61" s="3">
        <f>1/60</f>
        <v>1.6666666666666666E-2</v>
      </c>
      <c r="J61" s="3" cm="1">
        <f t="array" ref="J61">SUMPRODUCT((IFERROR(INDEX(EF!E:E, MATCH(LCI!E$1:GC$1, EF!A:A, 0)), 0)) * INDEX(LCI!E:GC, MATCH(C61, LCI!C:C, 0), 0))</f>
        <v>0.26665813333333338</v>
      </c>
      <c r="K61" s="3" cm="1">
        <f t="array" ref="K61">SUMPRODUCT((IFERROR(INDEX(EF!F:F, MATCH(LCI!E$1:GC$1, EF!A:A, 0)), 0)) * INDEX(LCI!E:GC, MATCH(C61, LCI!C:C, 0), 0))</f>
        <v>0.26665813333333338</v>
      </c>
      <c r="L61" s="3" cm="1">
        <f t="array" ref="L61">SUMPRODUCT((IFERROR(INDEX(EF!G:G, MATCH(LCI!E$1:GC$1, EF!A:A, 0)), 0)) * INDEX(LCI!E:GC, MATCH(C61, LCI!C:C, 0), 0))</f>
        <v>0</v>
      </c>
      <c r="M61" s="3" cm="1">
        <f t="array" ref="M61">SUMPRODUCT((IFERROR(INDEX(EF!H:H, MATCH(LCI!E$1:GC$1, EF!A:A, 0)), 0)) * INDEX(LCI!E:GC, MATCH(C61, LCI!C:C, 0), 0))</f>
        <v>0</v>
      </c>
      <c r="N61" s="3" cm="1">
        <f t="array" ref="N61">SUMPRODUCT((IFERROR(INDEX(EF!I:I, MATCH(LCI!E$1:GC$1, EF!A:A, 0)), 0)) * INDEX(LCI!E:GC, MATCH(C61, LCI!C:C, 0), 0))</f>
        <v>0.26665813333333338</v>
      </c>
      <c r="O61" s="3">
        <f t="shared" si="9"/>
        <v>4.4443022222222231E-3</v>
      </c>
      <c r="P61" s="3">
        <f t="shared" si="10"/>
        <v>4.4443022222222231E-3</v>
      </c>
      <c r="Q61" s="3">
        <f t="shared" si="11"/>
        <v>0</v>
      </c>
      <c r="R61" s="3">
        <f t="shared" si="12"/>
        <v>0</v>
      </c>
      <c r="S61" s="30" cm="1">
        <f t="array" ref="S61">EF!$I$2*INDEX(LCI!E:E,MATCH(C61,LCI!C:C,0),0)</f>
        <v>4.5833333333333337E-2</v>
      </c>
      <c r="T61" s="3">
        <f t="shared" si="13"/>
        <v>0.23530000000000001</v>
      </c>
      <c r="U61" s="3" cm="1">
        <f t="array" ref="U61">EF!$I$5*INDEX(LCI!D:D,MATCH(C61,LCI!C:C,0),0)</f>
        <v>0</v>
      </c>
      <c r="V61" s="3">
        <f t="shared" si="14"/>
        <v>4.4443022222222231E-3</v>
      </c>
      <c r="W61" s="3" t="s">
        <v>213</v>
      </c>
      <c r="Y61" s="3" t="s">
        <v>213</v>
      </c>
      <c r="Z61" s="3" t="s">
        <v>211</v>
      </c>
      <c r="AA61" s="30">
        <f t="shared" si="15"/>
        <v>0.28557763555555554</v>
      </c>
      <c r="AB61" s="3">
        <f t="shared" si="16"/>
        <v>0.16915430222222222</v>
      </c>
      <c r="AC61" s="3">
        <f t="shared" si="17"/>
        <v>0</v>
      </c>
      <c r="AR61"/>
    </row>
    <row r="62" spans="1:44" ht="15" customHeight="1">
      <c r="A62" s="3">
        <v>91</v>
      </c>
      <c r="B62" s="18">
        <v>82</v>
      </c>
      <c r="C62" t="s">
        <v>69</v>
      </c>
      <c r="D62" s="26" t="s">
        <v>69</v>
      </c>
      <c r="E62">
        <v>46000</v>
      </c>
      <c r="G62" s="3" t="b">
        <v>0</v>
      </c>
      <c r="H62" t="s">
        <v>109</v>
      </c>
      <c r="I62">
        <v>1</v>
      </c>
      <c r="J62" s="3" cm="1">
        <f t="array" ref="J62">SUMPRODUCT((IFERROR(INDEX(EF!E:E, MATCH(LCI!E$1:GC$1, EF!A:A, 0)), 0)) * INDEX(LCI!E:GC, MATCH(C62, LCI!C:C, 0), 0))</f>
        <v>8.0438833333333348E-2</v>
      </c>
      <c r="K62" s="3" cm="1">
        <f t="array" ref="K62">SUMPRODUCT((IFERROR(INDEX(EF!F:F, MATCH(LCI!E$1:GC$1, EF!A:A, 0)), 0)) * INDEX(LCI!E:GC, MATCH(C62, LCI!C:C, 0), 0))</f>
        <v>8.0415000000000014E-2</v>
      </c>
      <c r="L62" s="3" cm="1">
        <f t="array" ref="L62">SUMPRODUCT((IFERROR(INDEX(EF!G:G, MATCH(LCI!E$1:GC$1, EF!A:A, 0)), 0)) * INDEX(LCI!E:GC, MATCH(C62, LCI!C:C, 0), 0))</f>
        <v>2.3833333333333334E-5</v>
      </c>
      <c r="M62" s="3" cm="1">
        <f t="array" ref="M62">SUMPRODUCT((IFERROR(INDEX(EF!H:H, MATCH(LCI!E$1:GC$1, EF!A:A, 0)), 0)) * INDEX(LCI!E:GC, MATCH(C62, LCI!C:C, 0), 0))</f>
        <v>0</v>
      </c>
      <c r="N62" s="3" cm="1">
        <f t="array" ref="N62">SUMPRODUCT((IFERROR(INDEX(EF!I:I, MATCH(LCI!E$1:GC$1, EF!A:A, 0)), 0)) * INDEX(LCI!E:GC, MATCH(C62, LCI!C:C, 0), 0))</f>
        <v>8.0581666666666663E-2</v>
      </c>
      <c r="O62" s="3">
        <f t="shared" si="9"/>
        <v>8.0438833333333348E-2</v>
      </c>
      <c r="P62" s="3">
        <f t="shared" si="10"/>
        <v>8.0415000000000014E-2</v>
      </c>
      <c r="Q62" s="3">
        <f t="shared" si="11"/>
        <v>2.3833333333333334E-5</v>
      </c>
      <c r="R62" s="3">
        <f t="shared" si="12"/>
        <v>0</v>
      </c>
      <c r="S62" s="30" cm="1">
        <f t="array" ref="S62">EF!$I$2*INDEX(LCI!E:E,MATCH(C62,LCI!C:C,0),0)</f>
        <v>4.5833333333333337E-2</v>
      </c>
      <c r="T62" s="3">
        <f t="shared" si="13"/>
        <v>0.13876666666666668</v>
      </c>
      <c r="U62" s="3" cm="1">
        <f t="array" ref="U62">EF!$I$5*INDEX(LCI!D:D,MATCH(C62,LCI!C:C,0),0)</f>
        <v>0</v>
      </c>
      <c r="V62" s="3">
        <f t="shared" si="14"/>
        <v>8.0581666666666663E-2</v>
      </c>
      <c r="W62" s="18" t="s">
        <v>158</v>
      </c>
      <c r="X62" s="3"/>
      <c r="Y62" s="27" t="s">
        <v>356</v>
      </c>
      <c r="Z62" t="s">
        <v>383</v>
      </c>
      <c r="AA62" s="30">
        <f t="shared" si="15"/>
        <v>0.26518166666666665</v>
      </c>
      <c r="AB62" s="3">
        <f t="shared" si="16"/>
        <v>0.17771833333333331</v>
      </c>
      <c r="AC62" s="3">
        <f t="shared" si="17"/>
        <v>7.0473141211557788E-19</v>
      </c>
    </row>
    <row r="63" spans="1:44" ht="15" customHeight="1">
      <c r="A63" s="3">
        <v>62</v>
      </c>
      <c r="B63" s="18">
        <v>156</v>
      </c>
      <c r="C63" t="s">
        <v>201</v>
      </c>
      <c r="D63" t="s">
        <v>201</v>
      </c>
      <c r="E63">
        <v>80000</v>
      </c>
      <c r="G63" s="3" t="b">
        <v>0</v>
      </c>
      <c r="H63" t="s">
        <v>109</v>
      </c>
      <c r="I63">
        <v>1</v>
      </c>
      <c r="J63" s="3" cm="1">
        <f t="array" ref="J63">SUMPRODUCT((IFERROR(INDEX(EF!E:E, MATCH(LCI!E$1:GC$1, EF!A:A, 0)), 0)) * INDEX(LCI!E:GC, MATCH(C63, LCI!C:C, 0), 0))</f>
        <v>1.5277777777777781E-3</v>
      </c>
      <c r="K63" s="3" cm="1">
        <f t="array" ref="K63">SUMPRODUCT((IFERROR(INDEX(EF!F:F, MATCH(LCI!E$1:GC$1, EF!A:A, 0)), 0)) * INDEX(LCI!E:GC, MATCH(C63, LCI!C:C, 0), 0))</f>
        <v>1.5277777777777781E-3</v>
      </c>
      <c r="L63" s="3" cm="1">
        <f t="array" ref="L63">SUMPRODUCT((IFERROR(INDEX(EF!G:G, MATCH(LCI!E$1:GC$1, EF!A:A, 0)), 0)) * INDEX(LCI!E:GC, MATCH(C63, LCI!C:C, 0), 0))</f>
        <v>0</v>
      </c>
      <c r="M63" s="3" cm="1">
        <f t="array" ref="M63">SUMPRODUCT((IFERROR(INDEX(EF!H:H, MATCH(LCI!E$1:GC$1, EF!A:A, 0)), 0)) * INDEX(LCI!E:GC, MATCH(C63, LCI!C:C, 0), 0))</f>
        <v>0</v>
      </c>
      <c r="N63" s="3" cm="1">
        <f t="array" ref="N63">SUMPRODUCT((IFERROR(INDEX(EF!I:I, MATCH(LCI!E$1:GC$1, EF!A:A, 0)), 0)) * INDEX(LCI!E:GC, MATCH(C63, LCI!C:C, 0), 0))</f>
        <v>1.5277777777777781E-3</v>
      </c>
      <c r="O63" s="3">
        <f t="shared" si="9"/>
        <v>1.5277777777777781E-3</v>
      </c>
      <c r="P63" s="3">
        <f t="shared" si="10"/>
        <v>1.5277777777777781E-3</v>
      </c>
      <c r="Q63" s="3">
        <f t="shared" si="11"/>
        <v>0</v>
      </c>
      <c r="R63" s="3">
        <f t="shared" si="12"/>
        <v>0</v>
      </c>
      <c r="S63" s="30" cm="1">
        <f t="array" ref="S63">EF!$I$2*INDEX(LCI!E:E,MATCH(C63,LCI!C:C,0),0)</f>
        <v>1.5277777777777781E-3</v>
      </c>
      <c r="T63" s="3">
        <f t="shared" si="13"/>
        <v>0.24133333333333332</v>
      </c>
      <c r="U63" s="3" cm="1">
        <f t="array" ref="U63">EF!$I$5*INDEX(LCI!D:D,MATCH(C63,LCI!C:C,0),0)</f>
        <v>0</v>
      </c>
      <c r="V63" s="3">
        <f t="shared" si="14"/>
        <v>1.5277777777777781E-3</v>
      </c>
      <c r="W63" s="18" t="s">
        <v>202</v>
      </c>
      <c r="X63" s="3"/>
      <c r="Y63" t="s">
        <v>203</v>
      </c>
      <c r="Z63" t="s">
        <v>204</v>
      </c>
      <c r="AA63" s="30">
        <f t="shared" si="15"/>
        <v>0.24438888888888885</v>
      </c>
      <c r="AB63" s="3">
        <f t="shared" si="16"/>
        <v>0.17046111111111109</v>
      </c>
      <c r="AC63" s="3">
        <f t="shared" si="17"/>
        <v>0</v>
      </c>
    </row>
    <row r="64" spans="1:44" s="3" customFormat="1" ht="15" customHeight="1">
      <c r="A64" s="3">
        <v>74</v>
      </c>
      <c r="B64" s="3">
        <v>65</v>
      </c>
      <c r="C64" s="3" t="s">
        <v>52</v>
      </c>
      <c r="D64" s="15" t="s">
        <v>52</v>
      </c>
      <c r="E64" s="3">
        <v>58000</v>
      </c>
      <c r="G64" s="3" t="b">
        <v>0</v>
      </c>
      <c r="H64" s="3" t="s">
        <v>109</v>
      </c>
      <c r="I64" s="3">
        <v>1</v>
      </c>
      <c r="J64" s="3" cm="1">
        <f t="array" ref="J64">SUMPRODUCT((IFERROR(INDEX(EF!E:E, MATCH(LCI!E$1:GC$1, EF!A:A, 0)), 0)) * INDEX(LCI!E:GC, MATCH(C64, LCI!C:C, 0), 0))</f>
        <v>4.9883277777777776E-2</v>
      </c>
      <c r="K64" s="3" cm="1">
        <f t="array" ref="K64">SUMPRODUCT((IFERROR(INDEX(EF!F:F, MATCH(LCI!E$1:GC$1, EF!A:A, 0)), 0)) * INDEX(LCI!E:GC, MATCH(C64, LCI!C:C, 0), 0))</f>
        <v>4.9859444444444442E-2</v>
      </c>
      <c r="L64" s="3" cm="1">
        <f t="array" ref="L64">SUMPRODUCT((IFERROR(INDEX(EF!G:G, MATCH(LCI!E$1:GC$1, EF!A:A, 0)), 0)) * INDEX(LCI!E:GC, MATCH(C64, LCI!C:C, 0), 0))</f>
        <v>2.3833333333333334E-5</v>
      </c>
      <c r="M64" s="3" cm="1">
        <f t="array" ref="M64">SUMPRODUCT((IFERROR(INDEX(EF!H:H, MATCH(LCI!E$1:GC$1, EF!A:A, 0)), 0)) * INDEX(LCI!E:GC, MATCH(C64, LCI!C:C, 0), 0))</f>
        <v>0</v>
      </c>
      <c r="N64" s="3" cm="1">
        <f t="array" ref="N64">SUMPRODUCT((IFERROR(INDEX(EF!I:I, MATCH(LCI!E$1:GC$1, EF!A:A, 0)), 0)) * INDEX(LCI!E:GC, MATCH(C64, LCI!C:C, 0), 0))</f>
        <v>5.0026111111111111E-2</v>
      </c>
      <c r="O64" s="3">
        <f t="shared" si="9"/>
        <v>4.9883277777777776E-2</v>
      </c>
      <c r="P64" s="3">
        <f t="shared" si="10"/>
        <v>4.9859444444444442E-2</v>
      </c>
      <c r="Q64" s="3">
        <f t="shared" si="11"/>
        <v>2.3833333333333334E-5</v>
      </c>
      <c r="R64" s="3">
        <f t="shared" si="12"/>
        <v>0</v>
      </c>
      <c r="S64" s="30" cm="1">
        <f t="array" ref="S64">EF!$I$2*INDEX(LCI!E:E,MATCH(C64,LCI!C:C,0),0)</f>
        <v>1.5277777777777776E-2</v>
      </c>
      <c r="T64" s="3">
        <f t="shared" si="13"/>
        <v>0.17496666666666666</v>
      </c>
      <c r="U64" s="3" cm="1">
        <f t="array" ref="U64">EF!$I$5*INDEX(LCI!D:D,MATCH(C64,LCI!C:C,0),0)</f>
        <v>0</v>
      </c>
      <c r="V64" s="3">
        <f t="shared" si="14"/>
        <v>5.0026111111111111E-2</v>
      </c>
      <c r="W64" s="3" t="s">
        <v>158</v>
      </c>
      <c r="X64"/>
      <c r="Y64" s="16" t="s">
        <v>339</v>
      </c>
      <c r="Z64" s="3" t="s">
        <v>383</v>
      </c>
      <c r="AA64" s="30">
        <f t="shared" si="15"/>
        <v>0.24027055555555554</v>
      </c>
      <c r="AB64" s="3">
        <f t="shared" si="16"/>
        <v>0.17250277777777775</v>
      </c>
      <c r="AC64" s="3">
        <f t="shared" si="17"/>
        <v>7.0473141211557788E-19</v>
      </c>
      <c r="AR64"/>
    </row>
    <row r="65" spans="1:44" s="3" customFormat="1" ht="15" customHeight="1">
      <c r="A65" s="3">
        <v>75</v>
      </c>
      <c r="B65" s="3">
        <v>66</v>
      </c>
      <c r="C65" s="3" t="s">
        <v>53</v>
      </c>
      <c r="D65" s="15" t="s">
        <v>53</v>
      </c>
      <c r="E65" s="3">
        <v>58000</v>
      </c>
      <c r="G65" s="3" t="b">
        <v>0</v>
      </c>
      <c r="H65" s="3" t="s">
        <v>109</v>
      </c>
      <c r="I65" s="3">
        <v>1</v>
      </c>
      <c r="J65" s="3" cm="1">
        <f t="array" ref="J65">SUMPRODUCT((IFERROR(INDEX(EF!E:E, MATCH(LCI!E$1:GC$1, EF!A:A, 0)), 0)) * INDEX(LCI!E:GC, MATCH(C65, LCI!C:C, 0), 0))</f>
        <v>4.9883277777777776E-2</v>
      </c>
      <c r="K65" s="3" cm="1">
        <f t="array" ref="K65">SUMPRODUCT((IFERROR(INDEX(EF!F:F, MATCH(LCI!E$1:GC$1, EF!A:A, 0)), 0)) * INDEX(LCI!E:GC, MATCH(C65, LCI!C:C, 0), 0))</f>
        <v>4.9859444444444442E-2</v>
      </c>
      <c r="L65" s="3" cm="1">
        <f t="array" ref="L65">SUMPRODUCT((IFERROR(INDEX(EF!G:G, MATCH(LCI!E$1:GC$1, EF!A:A, 0)), 0)) * INDEX(LCI!E:GC, MATCH(C65, LCI!C:C, 0), 0))</f>
        <v>2.3833333333333334E-5</v>
      </c>
      <c r="M65" s="3" cm="1">
        <f t="array" ref="M65">SUMPRODUCT((IFERROR(INDEX(EF!H:H, MATCH(LCI!E$1:GC$1, EF!A:A, 0)), 0)) * INDEX(LCI!E:GC, MATCH(C65, LCI!C:C, 0), 0))</f>
        <v>0</v>
      </c>
      <c r="N65" s="3" cm="1">
        <f t="array" ref="N65">SUMPRODUCT((IFERROR(INDEX(EF!I:I, MATCH(LCI!E$1:GC$1, EF!A:A, 0)), 0)) * INDEX(LCI!E:GC, MATCH(C65, LCI!C:C, 0), 0))</f>
        <v>5.0026111111111111E-2</v>
      </c>
      <c r="O65" s="3">
        <f t="shared" si="9"/>
        <v>4.9883277777777776E-2</v>
      </c>
      <c r="P65" s="3">
        <f t="shared" si="10"/>
        <v>4.9859444444444442E-2</v>
      </c>
      <c r="Q65" s="3">
        <f t="shared" si="11"/>
        <v>2.3833333333333334E-5</v>
      </c>
      <c r="R65" s="3">
        <f t="shared" si="12"/>
        <v>0</v>
      </c>
      <c r="S65" s="30" cm="1">
        <f t="array" ref="S65">EF!$I$2*INDEX(LCI!E:E,MATCH(C65,LCI!C:C,0),0)</f>
        <v>1.5277777777777776E-2</v>
      </c>
      <c r="T65" s="3">
        <f t="shared" si="13"/>
        <v>0.17496666666666666</v>
      </c>
      <c r="U65" s="3" cm="1">
        <f t="array" ref="U65">EF!$I$5*INDEX(LCI!D:D,MATCH(C65,LCI!C:C,0),0)</f>
        <v>0</v>
      </c>
      <c r="V65" s="3">
        <f t="shared" si="14"/>
        <v>5.0026111111111111E-2</v>
      </c>
      <c r="W65" s="3" t="s">
        <v>158</v>
      </c>
      <c r="Y65" s="16" t="s">
        <v>340</v>
      </c>
      <c r="Z65" s="3" t="s">
        <v>383</v>
      </c>
      <c r="AA65" s="30">
        <f t="shared" si="15"/>
        <v>0.24027055555555554</v>
      </c>
      <c r="AB65" s="3">
        <f t="shared" si="16"/>
        <v>0.17250277777777775</v>
      </c>
      <c r="AC65" s="3">
        <f t="shared" si="17"/>
        <v>7.0473141211557788E-19</v>
      </c>
      <c r="AR65"/>
    </row>
    <row r="66" spans="1:44" s="3" customFormat="1" ht="15" customHeight="1">
      <c r="A66" s="3">
        <v>5</v>
      </c>
      <c r="B66" s="3">
        <v>135</v>
      </c>
      <c r="C66" s="3" t="s">
        <v>99</v>
      </c>
      <c r="D66" s="15" t="s">
        <v>99</v>
      </c>
      <c r="E66" s="3">
        <v>60000</v>
      </c>
      <c r="G66" s="3" t="b">
        <v>0</v>
      </c>
      <c r="H66" s="3" t="s">
        <v>163</v>
      </c>
      <c r="I66" s="3">
        <f>1/60</f>
        <v>1.6666666666666666E-2</v>
      </c>
      <c r="J66" s="3" cm="1">
        <f t="array" ref="J66">SUMPRODUCT((IFERROR(INDEX(EF!E:E, MATCH(LCI!E$1:GC$1, EF!A:A, 0)), 0)) * INDEX(LCI!E:GC, MATCH(C66, LCI!C:C, 0), 0))</f>
        <v>6.3481733333333332E-2</v>
      </c>
      <c r="K66" s="3" cm="1">
        <f t="array" ref="K66">SUMPRODUCT((IFERROR(INDEX(EF!F:F, MATCH(LCI!E$1:GC$1, EF!A:A, 0)), 0)) * INDEX(LCI!E:GC, MATCH(C66, LCI!C:C, 0), 0))</f>
        <v>6.3481733333333332E-2</v>
      </c>
      <c r="L66" s="3" cm="1">
        <f t="array" ref="L66">SUMPRODUCT((IFERROR(INDEX(EF!G:G, MATCH(LCI!E$1:GC$1, EF!A:A, 0)), 0)) * INDEX(LCI!E:GC, MATCH(C66, LCI!C:C, 0), 0))</f>
        <v>0</v>
      </c>
      <c r="M66" s="3" cm="1">
        <f t="array" ref="M66">SUMPRODUCT((IFERROR(INDEX(EF!H:H, MATCH(LCI!E$1:GC$1, EF!A:A, 0)), 0)) * INDEX(LCI!E:GC, MATCH(C66, LCI!C:C, 0), 0))</f>
        <v>0</v>
      </c>
      <c r="N66" s="3" cm="1">
        <f t="array" ref="N66">SUMPRODUCT((IFERROR(INDEX(EF!I:I, MATCH(LCI!E$1:GC$1, EF!A:A, 0)), 0)) * INDEX(LCI!E:GC, MATCH(C66, LCI!C:C, 0), 0))</f>
        <v>6.3481733333333332E-2</v>
      </c>
      <c r="O66" s="3">
        <f t="shared" ref="O66:O97" si="18">J66*I66</f>
        <v>1.0580288888888888E-3</v>
      </c>
      <c r="P66" s="3">
        <f t="shared" ref="P66:P97" si="19">K66*I66</f>
        <v>1.0580288888888888E-3</v>
      </c>
      <c r="Q66" s="3">
        <f t="shared" ref="Q66:Q97" si="20">L66*I66</f>
        <v>0</v>
      </c>
      <c r="R66" s="3">
        <f t="shared" ref="R66:R97" si="21">M66*I66</f>
        <v>0</v>
      </c>
      <c r="S66" s="30" cm="1">
        <f t="array" ref="S66">EF!$I$2*INDEX(LCI!E:E,MATCH(C66,LCI!C:C,0),0)</f>
        <v>4.5833333333333337E-2</v>
      </c>
      <c r="T66" s="3">
        <f t="shared" ref="T66:T97" si="22">E66/1000*1/60*0.181</f>
        <v>0.18099999999999999</v>
      </c>
      <c r="U66" s="3" cm="1">
        <f t="array" ref="U66">EF!$I$5*INDEX(LCI!D:D,MATCH(C66,LCI!C:C,0),0)</f>
        <v>0</v>
      </c>
      <c r="V66" s="3">
        <f t="shared" ref="V66:V97" si="23">N66*I66</f>
        <v>1.0580288888888888E-3</v>
      </c>
      <c r="W66" s="3" t="s">
        <v>213</v>
      </c>
      <c r="Y66" s="3" t="s">
        <v>213</v>
      </c>
      <c r="Z66" s="3" t="s">
        <v>211</v>
      </c>
      <c r="AA66" s="30">
        <f t="shared" ref="AA66:AA97" si="24">S66+T66+U66+V66</f>
        <v>0.22789136222222223</v>
      </c>
      <c r="AB66" s="3">
        <f t="shared" ref="AB66:AB97" si="25">V66+E66/1000*1/60*0.181*0.7</f>
        <v>0.12775802888888887</v>
      </c>
      <c r="AC66" s="3">
        <f t="shared" ref="AC66:AC97" si="26">J66-K66-L66-M66</f>
        <v>0</v>
      </c>
      <c r="AR66"/>
    </row>
    <row r="67" spans="1:44" s="3" customFormat="1" ht="15" customHeight="1">
      <c r="A67" s="3">
        <v>113</v>
      </c>
      <c r="B67" s="3">
        <v>104</v>
      </c>
      <c r="C67" s="3" t="s">
        <v>78</v>
      </c>
      <c r="D67" s="15" t="s">
        <v>78</v>
      </c>
      <c r="E67" s="3">
        <v>63000</v>
      </c>
      <c r="G67" s="3" t="b">
        <v>0</v>
      </c>
      <c r="H67" s="3" t="s">
        <v>109</v>
      </c>
      <c r="I67" s="3">
        <v>1</v>
      </c>
      <c r="J67" s="3" cm="1">
        <f t="array" ref="J67">SUMPRODUCT((IFERROR(INDEX(EF!E:E, MATCH(LCI!E$1:GC$1, EF!A:A, 0)), 0)) * INDEX(LCI!E:GC, MATCH(C67, LCI!C:C, 0), 0))</f>
        <v>3.6133277777777778E-2</v>
      </c>
      <c r="K67" s="3" cm="1">
        <f t="array" ref="K67">SUMPRODUCT((IFERROR(INDEX(EF!F:F, MATCH(LCI!E$1:GC$1, EF!A:A, 0)), 0)) * INDEX(LCI!E:GC, MATCH(C67, LCI!C:C, 0), 0))</f>
        <v>3.6109444444444444E-2</v>
      </c>
      <c r="L67" s="3" cm="1">
        <f t="array" ref="L67">SUMPRODUCT((IFERROR(INDEX(EF!G:G, MATCH(LCI!E$1:GC$1, EF!A:A, 0)), 0)) * INDEX(LCI!E:GC, MATCH(C67, LCI!C:C, 0), 0))</f>
        <v>2.3833333333333334E-5</v>
      </c>
      <c r="M67" s="3" cm="1">
        <f t="array" ref="M67">SUMPRODUCT((IFERROR(INDEX(EF!H:H, MATCH(LCI!E$1:GC$1, EF!A:A, 0)), 0)) * INDEX(LCI!E:GC, MATCH(C67, LCI!C:C, 0), 0))</f>
        <v>0</v>
      </c>
      <c r="N67" s="3" cm="1">
        <f t="array" ref="N67">SUMPRODUCT((IFERROR(INDEX(EF!I:I, MATCH(LCI!E$1:GC$1, EF!A:A, 0)), 0)) * INDEX(LCI!E:GC, MATCH(C67, LCI!C:C, 0), 0))</f>
        <v>3.6276111111111106E-2</v>
      </c>
      <c r="O67" s="3">
        <f t="shared" si="18"/>
        <v>3.6133277777777778E-2</v>
      </c>
      <c r="P67" s="3">
        <f t="shared" si="19"/>
        <v>3.6109444444444444E-2</v>
      </c>
      <c r="Q67" s="3">
        <f t="shared" si="20"/>
        <v>2.3833333333333334E-5</v>
      </c>
      <c r="R67" s="3">
        <f t="shared" si="21"/>
        <v>0</v>
      </c>
      <c r="S67" s="30" cm="1">
        <f t="array" ref="S67">EF!$I$2*INDEX(LCI!E:E,MATCH(C67,LCI!C:C,0),0)</f>
        <v>1.5277777777777781E-3</v>
      </c>
      <c r="T67" s="3">
        <f t="shared" si="22"/>
        <v>0.19005</v>
      </c>
      <c r="U67" s="3" cm="1">
        <f t="array" ref="U67">EF!$I$5*INDEX(LCI!D:D,MATCH(C67,LCI!C:C,0),0)</f>
        <v>0</v>
      </c>
      <c r="V67" s="3">
        <f t="shared" si="23"/>
        <v>3.6276111111111106E-2</v>
      </c>
      <c r="W67" s="3" t="s">
        <v>158</v>
      </c>
      <c r="Y67" s="16" t="s">
        <v>378</v>
      </c>
      <c r="Z67" s="3" t="s">
        <v>383</v>
      </c>
      <c r="AA67" s="30">
        <f t="shared" si="24"/>
        <v>0.22785388888888886</v>
      </c>
      <c r="AB67" s="3">
        <f t="shared" si="25"/>
        <v>0.16931111111111108</v>
      </c>
      <c r="AC67" s="3">
        <f t="shared" si="26"/>
        <v>7.0473141211557788E-19</v>
      </c>
      <c r="AR67"/>
    </row>
    <row r="68" spans="1:44" s="3" customFormat="1" ht="15" customHeight="1">
      <c r="A68" s="3">
        <v>24</v>
      </c>
      <c r="B68" s="3">
        <v>22</v>
      </c>
      <c r="C68" s="3" t="s">
        <v>16</v>
      </c>
      <c r="D68" s="3" t="s">
        <v>16</v>
      </c>
      <c r="E68" s="3">
        <v>22000</v>
      </c>
      <c r="F68" s="3" t="s">
        <v>16</v>
      </c>
      <c r="G68" s="3" t="b">
        <v>0</v>
      </c>
      <c r="H68" s="3" t="s">
        <v>109</v>
      </c>
      <c r="I68" s="3">
        <v>1</v>
      </c>
      <c r="J68" s="3" cm="1">
        <f t="array" ref="J68">SUMPRODUCT((IFERROR(INDEX(EF!E:E, MATCH(LCI!E$1:GC$1, EF!A:A, 0)), 0)) * INDEX(LCI!E:GC, MATCH(C68, LCI!C:C, 0), 0))</f>
        <v>0.11504433333333335</v>
      </c>
      <c r="K68" s="3" cm="1">
        <f t="array" ref="K68">SUMPRODUCT((IFERROR(INDEX(EF!F:F, MATCH(LCI!E$1:GC$1, EF!A:A, 0)), 0)) * INDEX(LCI!E:GC, MATCH(C68, LCI!C:C, 0), 0))</f>
        <v>0.11499666666666668</v>
      </c>
      <c r="L68" s="3" cm="1">
        <f t="array" ref="L68">SUMPRODUCT((IFERROR(INDEX(EF!G:G, MATCH(LCI!E$1:GC$1, EF!A:A, 0)), 0)) * INDEX(LCI!E:GC, MATCH(C68, LCI!C:C, 0), 0))</f>
        <v>4.7666666666666669E-5</v>
      </c>
      <c r="M68" s="3" cm="1">
        <f t="array" ref="M68">SUMPRODUCT((IFERROR(INDEX(EF!H:H, MATCH(LCI!E$1:GC$1, EF!A:A, 0)), 0)) * INDEX(LCI!E:GC, MATCH(C68, LCI!C:C, 0), 0))</f>
        <v>0</v>
      </c>
      <c r="N68" s="3" cm="1">
        <f t="array" ref="N68">SUMPRODUCT((IFERROR(INDEX(EF!I:I, MATCH(LCI!E$1:GC$1, EF!A:A, 0)), 0)) * INDEX(LCI!E:GC, MATCH(C68, LCI!C:C, 0), 0))</f>
        <v>0.11533</v>
      </c>
      <c r="O68" s="3">
        <f t="shared" si="18"/>
        <v>0.11504433333333335</v>
      </c>
      <c r="P68" s="3">
        <f t="shared" si="19"/>
        <v>0.11499666666666668</v>
      </c>
      <c r="Q68" s="3">
        <f t="shared" si="20"/>
        <v>4.7666666666666669E-5</v>
      </c>
      <c r="R68" s="3">
        <f t="shared" si="21"/>
        <v>0</v>
      </c>
      <c r="S68" s="30" cm="1">
        <f t="array" ref="S68">EF!$I$2*INDEX(LCI!E:E,MATCH(C68,LCI!C:C,0),0)</f>
        <v>4.5833333333333337E-2</v>
      </c>
      <c r="T68" s="3">
        <f t="shared" si="22"/>
        <v>6.6366666666666657E-2</v>
      </c>
      <c r="U68" s="3" cm="1">
        <f t="array" ref="U68">EF!$I$5*INDEX(LCI!D:D,MATCH(C68,LCI!C:C,0),0)</f>
        <v>0</v>
      </c>
      <c r="V68" s="3">
        <f t="shared" si="23"/>
        <v>0.11533</v>
      </c>
      <c r="W68" s="3" t="s">
        <v>121</v>
      </c>
      <c r="Y68" s="3" t="s">
        <v>130</v>
      </c>
      <c r="Z68" s="3" t="s">
        <v>122</v>
      </c>
      <c r="AA68" s="30">
        <f t="shared" si="24"/>
        <v>0.22753000000000001</v>
      </c>
      <c r="AB68" s="3">
        <f t="shared" si="25"/>
        <v>0.16178666666666666</v>
      </c>
      <c r="AC68" s="3">
        <f t="shared" si="26"/>
        <v>1.4094628242311558E-18</v>
      </c>
      <c r="AR68"/>
    </row>
    <row r="69" spans="1:44" s="3" customFormat="1" ht="15" customHeight="1">
      <c r="A69" s="3">
        <v>25</v>
      </c>
      <c r="B69" s="3">
        <v>49</v>
      </c>
      <c r="C69" s="3" t="s">
        <v>43</v>
      </c>
      <c r="D69" s="15" t="s">
        <v>43</v>
      </c>
      <c r="E69" s="3">
        <v>22000</v>
      </c>
      <c r="G69" s="3" t="b">
        <v>0</v>
      </c>
      <c r="H69" s="3" t="s">
        <v>109</v>
      </c>
      <c r="I69" s="3">
        <v>1</v>
      </c>
      <c r="J69" s="3" cm="1">
        <f t="array" ref="J69">SUMPRODUCT((IFERROR(INDEX(EF!E:E, MATCH(LCI!E$1:GC$1, EF!A:A, 0)), 0)) * INDEX(LCI!E:GC, MATCH(C69, LCI!C:C, 0), 0))</f>
        <v>0.11504433333333335</v>
      </c>
      <c r="K69" s="3" cm="1">
        <f t="array" ref="K69">SUMPRODUCT((IFERROR(INDEX(EF!F:F, MATCH(LCI!E$1:GC$1, EF!A:A, 0)), 0)) * INDEX(LCI!E:GC, MATCH(C69, LCI!C:C, 0), 0))</f>
        <v>0.11499666666666668</v>
      </c>
      <c r="L69" s="3" cm="1">
        <f t="array" ref="L69">SUMPRODUCT((IFERROR(INDEX(EF!G:G, MATCH(LCI!E$1:GC$1, EF!A:A, 0)), 0)) * INDEX(LCI!E:GC, MATCH(C69, LCI!C:C, 0), 0))</f>
        <v>4.7666666666666669E-5</v>
      </c>
      <c r="M69" s="3" cm="1">
        <f t="array" ref="M69">SUMPRODUCT((IFERROR(INDEX(EF!H:H, MATCH(LCI!E$1:GC$1, EF!A:A, 0)), 0)) * INDEX(LCI!E:GC, MATCH(C69, LCI!C:C, 0), 0))</f>
        <v>0</v>
      </c>
      <c r="N69" s="3" cm="1">
        <f t="array" ref="N69">SUMPRODUCT((IFERROR(INDEX(EF!I:I, MATCH(LCI!E$1:GC$1, EF!A:A, 0)), 0)) * INDEX(LCI!E:GC, MATCH(C69, LCI!C:C, 0), 0))</f>
        <v>0.11533</v>
      </c>
      <c r="O69" s="3">
        <f t="shared" si="18"/>
        <v>0.11504433333333335</v>
      </c>
      <c r="P69" s="3">
        <f t="shared" si="19"/>
        <v>0.11499666666666668</v>
      </c>
      <c r="Q69" s="3">
        <f t="shared" si="20"/>
        <v>4.7666666666666669E-5</v>
      </c>
      <c r="R69" s="3">
        <f t="shared" si="21"/>
        <v>0</v>
      </c>
      <c r="S69" s="30" cm="1">
        <f t="array" ref="S69">EF!$I$2*INDEX(LCI!E:E,MATCH(C69,LCI!C:C,0),0)</f>
        <v>4.5833333333333337E-2</v>
      </c>
      <c r="T69" s="3">
        <f t="shared" si="22"/>
        <v>6.6366666666666657E-2</v>
      </c>
      <c r="U69" s="3" cm="1">
        <f t="array" ref="U69">EF!$I$5*INDEX(LCI!D:D,MATCH(C69,LCI!C:C,0),0)</f>
        <v>0</v>
      </c>
      <c r="V69" s="3">
        <f t="shared" si="23"/>
        <v>0.11533</v>
      </c>
      <c r="W69" s="3" t="s">
        <v>155</v>
      </c>
      <c r="Y69" s="3" t="s">
        <v>148</v>
      </c>
      <c r="AA69" s="30">
        <f t="shared" si="24"/>
        <v>0.22753000000000001</v>
      </c>
      <c r="AB69" s="3">
        <f t="shared" si="25"/>
        <v>0.16178666666666666</v>
      </c>
      <c r="AC69" s="3">
        <f t="shared" si="26"/>
        <v>1.4094628242311558E-18</v>
      </c>
      <c r="AR69"/>
    </row>
    <row r="70" spans="1:44" s="3" customFormat="1" ht="15" customHeight="1">
      <c r="A70" s="3">
        <v>21</v>
      </c>
      <c r="B70" s="3">
        <v>18</v>
      </c>
      <c r="C70" s="3" t="s">
        <v>467</v>
      </c>
      <c r="D70" s="15" t="s">
        <v>107</v>
      </c>
      <c r="E70" s="3">
        <v>8000</v>
      </c>
      <c r="G70" s="3" t="b">
        <v>0</v>
      </c>
      <c r="H70" s="3" t="s">
        <v>138</v>
      </c>
      <c r="I70" s="3">
        <f>1/18</f>
        <v>5.5555555555555552E-2</v>
      </c>
      <c r="J70" s="3" cm="1">
        <f t="array" ref="J70">SUMPRODUCT((IFERROR(INDEX(EF!E:E, MATCH(LCI!E$1:GC$1, EF!A:A, 0)), 0)) * INDEX(LCI!E:GC, MATCH(C70, LCI!C:C, 0), 0))</f>
        <v>3.4596483216755551</v>
      </c>
      <c r="K70" s="3" cm="1">
        <f t="array" ref="K70">SUMPRODUCT((IFERROR(INDEX(EF!F:F, MATCH(LCI!E$1:GC$1, EF!A:A, 0)), 0)) * INDEX(LCI!E:GC, MATCH(C70, LCI!C:C, 0), 0))</f>
        <v>3.4596483216755551</v>
      </c>
      <c r="L70" s="3" cm="1">
        <f t="array" ref="L70">SUMPRODUCT((IFERROR(INDEX(EF!G:G, MATCH(LCI!E$1:GC$1, EF!A:A, 0)), 0)) * INDEX(LCI!E:GC, MATCH(C70, LCI!C:C, 0), 0))</f>
        <v>0</v>
      </c>
      <c r="M70" s="3" cm="1">
        <f t="array" ref="M70">SUMPRODUCT((IFERROR(INDEX(EF!H:H, MATCH(LCI!E$1:GC$1, EF!A:A, 0)), 0)) * INDEX(LCI!E:GC, MATCH(C70, LCI!C:C, 0), 0))</f>
        <v>0</v>
      </c>
      <c r="N70" s="3" cm="1">
        <f t="array" ref="N70">SUMPRODUCT((IFERROR(INDEX(EF!I:I, MATCH(LCI!E$1:GC$1, EF!A:A, 0)), 0)) * INDEX(LCI!E:GC, MATCH(C70, LCI!C:C, 0), 0))</f>
        <v>3.4596483216755551</v>
      </c>
      <c r="O70" s="3">
        <f t="shared" si="18"/>
        <v>0.19220268453753084</v>
      </c>
      <c r="P70" s="3">
        <f t="shared" si="19"/>
        <v>0.19220268453753084</v>
      </c>
      <c r="Q70" s="3">
        <f t="shared" si="20"/>
        <v>0</v>
      </c>
      <c r="R70" s="3">
        <f t="shared" si="21"/>
        <v>0</v>
      </c>
      <c r="S70" s="30" cm="1">
        <f t="array" ref="S70">EF!$I$2*INDEX(LCI!E:E,MATCH(C70,LCI!C:C,0),0)</f>
        <v>3.0555555555555555E-4</v>
      </c>
      <c r="T70" s="3">
        <f t="shared" si="22"/>
        <v>2.4133333333333333E-2</v>
      </c>
      <c r="U70" s="3" cm="1">
        <f t="array" ref="U70">EF!$I$5*INDEX(LCI!D:D,MATCH(C70,LCI!C:C,0),0)</f>
        <v>0</v>
      </c>
      <c r="V70" s="3">
        <f t="shared" si="23"/>
        <v>0.19220268453753084</v>
      </c>
      <c r="W70" s="3" t="s">
        <v>166</v>
      </c>
      <c r="X70" s="3" t="s">
        <v>171</v>
      </c>
      <c r="Y70" s="3" t="s">
        <v>166</v>
      </c>
      <c r="Z70" s="3" t="s">
        <v>170</v>
      </c>
      <c r="AA70" s="30">
        <f t="shared" si="24"/>
        <v>0.21664157342641974</v>
      </c>
      <c r="AB70" s="3">
        <f t="shared" si="25"/>
        <v>0.20909601787086418</v>
      </c>
      <c r="AC70" s="3">
        <f t="shared" si="26"/>
        <v>0</v>
      </c>
      <c r="AR70"/>
    </row>
    <row r="71" spans="1:44" s="3" customFormat="1" ht="15" customHeight="1">
      <c r="A71" s="3">
        <v>82</v>
      </c>
      <c r="B71" s="3">
        <v>73</v>
      </c>
      <c r="C71" s="3" t="s">
        <v>60</v>
      </c>
      <c r="D71" s="15" t="s">
        <v>60</v>
      </c>
      <c r="E71" s="3">
        <v>48000</v>
      </c>
      <c r="G71" s="3" t="b">
        <v>0</v>
      </c>
      <c r="H71" s="3" t="s">
        <v>109</v>
      </c>
      <c r="I71" s="3">
        <v>1</v>
      </c>
      <c r="J71" s="3" cm="1">
        <f t="array" ref="J71">SUMPRODUCT((IFERROR(INDEX(EF!E:E, MATCH(LCI!E$1:GC$1, EF!A:A, 0)), 0)) * INDEX(LCI!E:GC, MATCH(C71, LCI!C:C, 0), 0))</f>
        <v>4.9883277777777776E-2</v>
      </c>
      <c r="K71" s="3" cm="1">
        <f t="array" ref="K71">SUMPRODUCT((IFERROR(INDEX(EF!F:F, MATCH(LCI!E$1:GC$1, EF!A:A, 0)), 0)) * INDEX(LCI!E:GC, MATCH(C71, LCI!C:C, 0), 0))</f>
        <v>4.9859444444444442E-2</v>
      </c>
      <c r="L71" s="3" cm="1">
        <f t="array" ref="L71">SUMPRODUCT((IFERROR(INDEX(EF!G:G, MATCH(LCI!E$1:GC$1, EF!A:A, 0)), 0)) * INDEX(LCI!E:GC, MATCH(C71, LCI!C:C, 0), 0))</f>
        <v>2.3833333333333334E-5</v>
      </c>
      <c r="M71" s="3" cm="1">
        <f t="array" ref="M71">SUMPRODUCT((IFERROR(INDEX(EF!H:H, MATCH(LCI!E$1:GC$1, EF!A:A, 0)), 0)) * INDEX(LCI!E:GC, MATCH(C71, LCI!C:C, 0), 0))</f>
        <v>0</v>
      </c>
      <c r="N71" s="3" cm="1">
        <f t="array" ref="N71">SUMPRODUCT((IFERROR(INDEX(EF!I:I, MATCH(LCI!E$1:GC$1, EF!A:A, 0)), 0)) * INDEX(LCI!E:GC, MATCH(C71, LCI!C:C, 0), 0))</f>
        <v>5.0026111111111111E-2</v>
      </c>
      <c r="O71" s="3">
        <f t="shared" si="18"/>
        <v>4.9883277777777776E-2</v>
      </c>
      <c r="P71" s="3">
        <f t="shared" si="19"/>
        <v>4.9859444444444442E-2</v>
      </c>
      <c r="Q71" s="3">
        <f t="shared" si="20"/>
        <v>2.3833333333333334E-5</v>
      </c>
      <c r="R71" s="3">
        <f t="shared" si="21"/>
        <v>0</v>
      </c>
      <c r="S71" s="30" cm="1">
        <f t="array" ref="S71">EF!$I$2*INDEX(LCI!E:E,MATCH(C71,LCI!C:C,0),0)</f>
        <v>1.5277777777777776E-2</v>
      </c>
      <c r="T71" s="3">
        <f t="shared" si="22"/>
        <v>0.14480000000000001</v>
      </c>
      <c r="U71" s="3" cm="1">
        <f t="array" ref="U71">EF!$I$5*INDEX(LCI!D:D,MATCH(C71,LCI!C:C,0),0)</f>
        <v>0</v>
      </c>
      <c r="V71" s="3">
        <f t="shared" si="23"/>
        <v>5.0026111111111111E-2</v>
      </c>
      <c r="W71" s="3" t="s">
        <v>158</v>
      </c>
      <c r="Y71" s="16" t="s">
        <v>347</v>
      </c>
      <c r="Z71" s="3" t="s">
        <v>383</v>
      </c>
      <c r="AA71" s="30">
        <f t="shared" si="24"/>
        <v>0.2101038888888889</v>
      </c>
      <c r="AB71" s="3">
        <f t="shared" si="25"/>
        <v>0.15138611111111111</v>
      </c>
      <c r="AC71" s="3">
        <f t="shared" si="26"/>
        <v>7.0473141211557788E-19</v>
      </c>
      <c r="AR71"/>
    </row>
    <row r="72" spans="1:44" s="3" customFormat="1" ht="15" customHeight="1">
      <c r="A72" s="3">
        <v>119</v>
      </c>
      <c r="B72" s="3">
        <v>20</v>
      </c>
      <c r="C72" s="3" t="s">
        <v>332</v>
      </c>
      <c r="D72" s="15" t="s">
        <v>384</v>
      </c>
      <c r="E72" s="3">
        <v>30000</v>
      </c>
      <c r="G72" s="3" t="b">
        <v>0</v>
      </c>
      <c r="H72" s="3" t="s">
        <v>109</v>
      </c>
      <c r="I72" s="3">
        <v>1</v>
      </c>
      <c r="J72" s="3" cm="1">
        <f t="array" ref="J72">SUMPRODUCT((IFERROR(INDEX(EF!E:E, MATCH(LCI!E$1:GC$1, EF!A:A, 0)), 0)) * INDEX(LCI!E:GC, MATCH(C72, LCI!C:C, 0), 0))</f>
        <v>7.0133263333333334E-2</v>
      </c>
      <c r="K72" s="3" cm="1">
        <f t="array" ref="K72">SUMPRODUCT((IFERROR(INDEX(EF!F:F, MATCH(LCI!E$1:GC$1, EF!A:A, 0)), 0)) * INDEX(LCI!E:GC, MATCH(C72, LCI!C:C, 0), 0))</f>
        <v>7.0133263333333334E-2</v>
      </c>
      <c r="L72" s="3" cm="1">
        <f t="array" ref="L72">SUMPRODUCT((IFERROR(INDEX(EF!G:G, MATCH(LCI!E$1:GC$1, EF!A:A, 0)), 0)) * INDEX(LCI!E:GC, MATCH(C72, LCI!C:C, 0), 0))</f>
        <v>0</v>
      </c>
      <c r="M72" s="3" cm="1">
        <f t="array" ref="M72">SUMPRODUCT((IFERROR(INDEX(EF!H:H, MATCH(LCI!E$1:GC$1, EF!A:A, 0)), 0)) * INDEX(LCI!E:GC, MATCH(C72, LCI!C:C, 0), 0))</f>
        <v>0</v>
      </c>
      <c r="N72" s="3" cm="1">
        <f t="array" ref="N72">SUMPRODUCT((IFERROR(INDEX(EF!I:I, MATCH(LCI!E$1:GC$1, EF!A:A, 0)), 0)) * INDEX(LCI!E:GC, MATCH(C72, LCI!C:C, 0), 0))</f>
        <v>7.0133263333333334E-2</v>
      </c>
      <c r="O72" s="3">
        <f t="shared" si="18"/>
        <v>7.0133263333333334E-2</v>
      </c>
      <c r="P72" s="3">
        <f t="shared" si="19"/>
        <v>7.0133263333333334E-2</v>
      </c>
      <c r="Q72" s="3">
        <f t="shared" si="20"/>
        <v>0</v>
      </c>
      <c r="R72" s="3">
        <f t="shared" si="21"/>
        <v>0</v>
      </c>
      <c r="S72" s="30" cm="1">
        <f t="array" ref="S72">EF!$I$2*INDEX(LCI!E:E,MATCH(C72,LCI!C:C,0),0)</f>
        <v>4.5833333333333337E-2</v>
      </c>
      <c r="T72" s="3">
        <f t="shared" si="22"/>
        <v>9.0499999999999997E-2</v>
      </c>
      <c r="U72" s="3" cm="1">
        <f t="array" ref="U72">EF!$I$5*INDEX(LCI!D:D,MATCH(C72,LCI!C:C,0),0)</f>
        <v>0</v>
      </c>
      <c r="V72" s="3">
        <f t="shared" si="23"/>
        <v>7.0133263333333334E-2</v>
      </c>
      <c r="W72" s="3" t="s">
        <v>128</v>
      </c>
      <c r="Y72" s="3" t="s">
        <v>385</v>
      </c>
      <c r="Z72" s="3" t="s">
        <v>164</v>
      </c>
      <c r="AA72" s="30">
        <f t="shared" si="24"/>
        <v>0.20646659666666667</v>
      </c>
      <c r="AB72" s="3">
        <f t="shared" si="25"/>
        <v>0.13348326333333332</v>
      </c>
      <c r="AC72" s="3">
        <f t="shared" si="26"/>
        <v>0</v>
      </c>
      <c r="AR72"/>
    </row>
    <row r="73" spans="1:44" s="3" customFormat="1" ht="15" customHeight="1">
      <c r="A73" s="3">
        <v>76</v>
      </c>
      <c r="B73" s="3">
        <v>67</v>
      </c>
      <c r="C73" s="3" t="s">
        <v>54</v>
      </c>
      <c r="D73" s="15" t="s">
        <v>54</v>
      </c>
      <c r="E73" s="3">
        <v>46000</v>
      </c>
      <c r="G73" s="3" t="b">
        <v>0</v>
      </c>
      <c r="H73" s="3" t="s">
        <v>109</v>
      </c>
      <c r="I73" s="3">
        <v>1</v>
      </c>
      <c r="J73" s="3" cm="1">
        <f t="array" ref="J73">SUMPRODUCT((IFERROR(INDEX(EF!E:E, MATCH(LCI!E$1:GC$1, EF!A:A, 0)), 0)) * INDEX(LCI!E:GC, MATCH(C73, LCI!C:C, 0), 0))</f>
        <v>4.9883277777777776E-2</v>
      </c>
      <c r="K73" s="3" cm="1">
        <f t="array" ref="K73">SUMPRODUCT((IFERROR(INDEX(EF!F:F, MATCH(LCI!E$1:GC$1, EF!A:A, 0)), 0)) * INDEX(LCI!E:GC, MATCH(C73, LCI!C:C, 0), 0))</f>
        <v>4.9859444444444442E-2</v>
      </c>
      <c r="L73" s="3" cm="1">
        <f t="array" ref="L73">SUMPRODUCT((IFERROR(INDEX(EF!G:G, MATCH(LCI!E$1:GC$1, EF!A:A, 0)), 0)) * INDEX(LCI!E:GC, MATCH(C73, LCI!C:C, 0), 0))</f>
        <v>2.3833333333333334E-5</v>
      </c>
      <c r="M73" s="3" cm="1">
        <f t="array" ref="M73">SUMPRODUCT((IFERROR(INDEX(EF!H:H, MATCH(LCI!E$1:GC$1, EF!A:A, 0)), 0)) * INDEX(LCI!E:GC, MATCH(C73, LCI!C:C, 0), 0))</f>
        <v>0</v>
      </c>
      <c r="N73" s="3" cm="1">
        <f t="array" ref="N73">SUMPRODUCT((IFERROR(INDEX(EF!I:I, MATCH(LCI!E$1:GC$1, EF!A:A, 0)), 0)) * INDEX(LCI!E:GC, MATCH(C73, LCI!C:C, 0), 0))</f>
        <v>5.0026111111111111E-2</v>
      </c>
      <c r="O73" s="3">
        <f t="shared" si="18"/>
        <v>4.9883277777777776E-2</v>
      </c>
      <c r="P73" s="3">
        <f t="shared" si="19"/>
        <v>4.9859444444444442E-2</v>
      </c>
      <c r="Q73" s="3">
        <f t="shared" si="20"/>
        <v>2.3833333333333334E-5</v>
      </c>
      <c r="R73" s="3">
        <f t="shared" si="21"/>
        <v>0</v>
      </c>
      <c r="S73" s="30" cm="1">
        <f t="array" ref="S73">EF!$I$2*INDEX(LCI!E:E,MATCH(C73,LCI!C:C,0),0)</f>
        <v>1.5277777777777776E-2</v>
      </c>
      <c r="T73" s="3">
        <f t="shared" si="22"/>
        <v>0.13876666666666668</v>
      </c>
      <c r="U73" s="3" cm="1">
        <f t="array" ref="U73">EF!$I$5*INDEX(LCI!D:D,MATCH(C73,LCI!C:C,0),0)</f>
        <v>0</v>
      </c>
      <c r="V73" s="3">
        <f t="shared" si="23"/>
        <v>5.0026111111111111E-2</v>
      </c>
      <c r="W73" s="3" t="s">
        <v>158</v>
      </c>
      <c r="Y73" s="16" t="s">
        <v>341</v>
      </c>
      <c r="Z73" s="3" t="s">
        <v>383</v>
      </c>
      <c r="AA73" s="30">
        <f t="shared" si="24"/>
        <v>0.20407055555555556</v>
      </c>
      <c r="AB73" s="3">
        <f t="shared" si="25"/>
        <v>0.14716277777777778</v>
      </c>
      <c r="AC73" s="3">
        <f t="shared" si="26"/>
        <v>7.0473141211557788E-19</v>
      </c>
      <c r="AR73"/>
    </row>
    <row r="74" spans="1:44" s="3" customFormat="1" ht="15" customHeight="1">
      <c r="A74" s="3">
        <v>3</v>
      </c>
      <c r="C74" s="3" t="s">
        <v>236</v>
      </c>
      <c r="D74" s="15"/>
      <c r="E74" s="15">
        <v>50000</v>
      </c>
      <c r="F74" s="15"/>
      <c r="G74" s="3" t="b">
        <v>0</v>
      </c>
      <c r="H74" s="3" t="s">
        <v>163</v>
      </c>
      <c r="I74" s="3">
        <f>1/60</f>
        <v>1.6666666666666666E-2</v>
      </c>
      <c r="J74" s="3" cm="1">
        <f t="array" ref="J74">SUMPRODUCT((IFERROR(INDEX(EF!E:E, MATCH(LCI!E$1:GC$1, EF!A:A, 0)), 0)) * INDEX(LCI!E:GC, MATCH(C74, LCI!C:C, 0), 0))</f>
        <v>0.30202973333333333</v>
      </c>
      <c r="K74" s="3" cm="1">
        <f t="array" ref="K74">SUMPRODUCT((IFERROR(INDEX(EF!F:F, MATCH(LCI!E$1:GC$1, EF!A:A, 0)), 0)) * INDEX(LCI!E:GC, MATCH(C74, LCI!C:C, 0), 0))</f>
        <v>0.30202973333333333</v>
      </c>
      <c r="L74" s="3" cm="1">
        <f t="array" ref="L74">SUMPRODUCT((IFERROR(INDEX(EF!G:G, MATCH(LCI!E$1:GC$1, EF!A:A, 0)), 0)) * INDEX(LCI!E:GC, MATCH(C74, LCI!C:C, 0), 0))</f>
        <v>0</v>
      </c>
      <c r="M74" s="3" cm="1">
        <f t="array" ref="M74">SUMPRODUCT((IFERROR(INDEX(EF!H:H, MATCH(LCI!E$1:GC$1, EF!A:A, 0)), 0)) * INDEX(LCI!E:GC, MATCH(C74, LCI!C:C, 0), 0))</f>
        <v>0</v>
      </c>
      <c r="N74" s="3" cm="1">
        <f t="array" ref="N74">SUMPRODUCT((IFERROR(INDEX(EF!I:I, MATCH(LCI!E$1:GC$1, EF!A:A, 0)), 0)) * INDEX(LCI!E:GC, MATCH(C74, LCI!C:C, 0), 0))</f>
        <v>0.30202973333333333</v>
      </c>
      <c r="O74" s="3">
        <f t="shared" si="18"/>
        <v>5.0338288888888885E-3</v>
      </c>
      <c r="P74" s="3">
        <f t="shared" si="19"/>
        <v>5.0338288888888885E-3</v>
      </c>
      <c r="Q74" s="3">
        <f t="shared" si="20"/>
        <v>0</v>
      </c>
      <c r="R74" s="3">
        <f t="shared" si="21"/>
        <v>0</v>
      </c>
      <c r="S74" s="30" cm="1">
        <f t="array" ref="S74">EF!$I$2*INDEX(LCI!E:E,MATCH(C74,LCI!C:C,0),0)</f>
        <v>4.5833333333333337E-2</v>
      </c>
      <c r="T74" s="3">
        <f t="shared" si="22"/>
        <v>0.15083333333333335</v>
      </c>
      <c r="U74" s="3" cm="1">
        <f t="array" ref="U74">EF!$I$5*INDEX(LCI!D:D,MATCH(C74,LCI!C:C,0),0)</f>
        <v>0</v>
      </c>
      <c r="V74" s="3">
        <f t="shared" si="23"/>
        <v>5.0338288888888885E-3</v>
      </c>
      <c r="W74" s="3" t="s">
        <v>238</v>
      </c>
      <c r="Y74" s="3" t="s">
        <v>320</v>
      </c>
      <c r="Z74" s="14" t="s">
        <v>237</v>
      </c>
      <c r="AA74" s="30">
        <f t="shared" si="24"/>
        <v>0.20170049555555558</v>
      </c>
      <c r="AB74" s="3">
        <f t="shared" si="25"/>
        <v>0.11061716222222222</v>
      </c>
      <c r="AC74" s="3">
        <f t="shared" si="26"/>
        <v>0</v>
      </c>
      <c r="AR74"/>
    </row>
    <row r="75" spans="1:44" s="3" customFormat="1" ht="15" customHeight="1">
      <c r="A75" s="3">
        <v>23</v>
      </c>
      <c r="B75" s="3">
        <v>21</v>
      </c>
      <c r="C75" s="3" t="s">
        <v>20</v>
      </c>
      <c r="D75" s="3" t="s">
        <v>113</v>
      </c>
      <c r="E75" s="3">
        <v>10000</v>
      </c>
      <c r="F75" s="3" t="s">
        <v>20</v>
      </c>
      <c r="G75" s="3" t="b">
        <v>0</v>
      </c>
      <c r="H75" s="3" t="s">
        <v>109</v>
      </c>
      <c r="I75" s="3">
        <v>1</v>
      </c>
      <c r="J75" s="3" cm="1">
        <f t="array" ref="J75">SUMPRODUCT((IFERROR(INDEX(EF!E:E, MATCH(LCI!E$1:GC$1, EF!A:A, 0)), 0)) * INDEX(LCI!E:GC, MATCH(C75, LCI!C:C, 0), 0))</f>
        <v>0.11504433333333335</v>
      </c>
      <c r="K75" s="3" cm="1">
        <f t="array" ref="K75">SUMPRODUCT((IFERROR(INDEX(EF!F:F, MATCH(LCI!E$1:GC$1, EF!A:A, 0)), 0)) * INDEX(LCI!E:GC, MATCH(C75, LCI!C:C, 0), 0))</f>
        <v>0.11499666666666668</v>
      </c>
      <c r="L75" s="3" cm="1">
        <f t="array" ref="L75">SUMPRODUCT((IFERROR(INDEX(EF!G:G, MATCH(LCI!E$1:GC$1, EF!A:A, 0)), 0)) * INDEX(LCI!E:GC, MATCH(C75, LCI!C:C, 0), 0))</f>
        <v>4.7666666666666669E-5</v>
      </c>
      <c r="M75" s="3" cm="1">
        <f t="array" ref="M75">SUMPRODUCT((IFERROR(INDEX(EF!H:H, MATCH(LCI!E$1:GC$1, EF!A:A, 0)), 0)) * INDEX(LCI!E:GC, MATCH(C75, LCI!C:C, 0), 0))</f>
        <v>0</v>
      </c>
      <c r="N75" s="3" cm="1">
        <f t="array" ref="N75">SUMPRODUCT((IFERROR(INDEX(EF!I:I, MATCH(LCI!E$1:GC$1, EF!A:A, 0)), 0)) * INDEX(LCI!E:GC, MATCH(C75, LCI!C:C, 0), 0))</f>
        <v>0.11533</v>
      </c>
      <c r="O75" s="3">
        <f t="shared" si="18"/>
        <v>0.11504433333333335</v>
      </c>
      <c r="P75" s="3">
        <f t="shared" si="19"/>
        <v>0.11499666666666668</v>
      </c>
      <c r="Q75" s="3">
        <f t="shared" si="20"/>
        <v>4.7666666666666669E-5</v>
      </c>
      <c r="R75" s="3">
        <f t="shared" si="21"/>
        <v>0</v>
      </c>
      <c r="S75" s="30" cm="1">
        <f t="array" ref="S75">EF!$I$2*INDEX(LCI!E:E,MATCH(C75,LCI!C:C,0),0)</f>
        <v>4.5833333333333337E-2</v>
      </c>
      <c r="T75" s="3">
        <f t="shared" si="22"/>
        <v>3.0166666666666665E-2</v>
      </c>
      <c r="U75" s="3" cm="1">
        <f t="array" ref="U75">EF!$I$5*INDEX(LCI!D:D,MATCH(C75,LCI!C:C,0),0)</f>
        <v>0</v>
      </c>
      <c r="V75" s="3">
        <f t="shared" si="23"/>
        <v>0.11533</v>
      </c>
      <c r="W75" s="3" t="s">
        <v>121</v>
      </c>
      <c r="Y75" s="3" t="s">
        <v>132</v>
      </c>
      <c r="AA75" s="30">
        <f t="shared" si="24"/>
        <v>0.19133</v>
      </c>
      <c r="AB75" s="3">
        <f t="shared" si="25"/>
        <v>0.13644666666666666</v>
      </c>
      <c r="AC75" s="3">
        <f t="shared" si="26"/>
        <v>1.4094628242311558E-18</v>
      </c>
      <c r="AR75"/>
    </row>
    <row r="76" spans="1:44" s="3" customFormat="1" ht="15" customHeight="1">
      <c r="A76" s="3">
        <v>92</v>
      </c>
      <c r="B76" s="3">
        <v>83</v>
      </c>
      <c r="C76" s="3" t="s">
        <v>70</v>
      </c>
      <c r="D76" s="15" t="s">
        <v>70</v>
      </c>
      <c r="E76" s="3">
        <v>35000</v>
      </c>
      <c r="G76" s="3" t="b">
        <v>0</v>
      </c>
      <c r="H76" s="3" t="s">
        <v>109</v>
      </c>
      <c r="I76" s="3">
        <v>1</v>
      </c>
      <c r="J76" s="3" cm="1">
        <f t="array" ref="J76">SUMPRODUCT((IFERROR(INDEX(EF!E:E, MATCH(LCI!E$1:GC$1, EF!A:A, 0)), 0)) * INDEX(LCI!E:GC, MATCH(C76, LCI!C:C, 0), 0))</f>
        <v>4.9883277777777776E-2</v>
      </c>
      <c r="K76" s="3" cm="1">
        <f t="array" ref="K76">SUMPRODUCT((IFERROR(INDEX(EF!F:F, MATCH(LCI!E$1:GC$1, EF!A:A, 0)), 0)) * INDEX(LCI!E:GC, MATCH(C76, LCI!C:C, 0), 0))</f>
        <v>4.9859444444444442E-2</v>
      </c>
      <c r="L76" s="3" cm="1">
        <f t="array" ref="L76">SUMPRODUCT((IFERROR(INDEX(EF!G:G, MATCH(LCI!E$1:GC$1, EF!A:A, 0)), 0)) * INDEX(LCI!E:GC, MATCH(C76, LCI!C:C, 0), 0))</f>
        <v>2.3833333333333334E-5</v>
      </c>
      <c r="M76" s="3" cm="1">
        <f t="array" ref="M76">SUMPRODUCT((IFERROR(INDEX(EF!H:H, MATCH(LCI!E$1:GC$1, EF!A:A, 0)), 0)) * INDEX(LCI!E:GC, MATCH(C76, LCI!C:C, 0), 0))</f>
        <v>0</v>
      </c>
      <c r="N76" s="3" cm="1">
        <f t="array" ref="N76">SUMPRODUCT((IFERROR(INDEX(EF!I:I, MATCH(LCI!E$1:GC$1, EF!A:A, 0)), 0)) * INDEX(LCI!E:GC, MATCH(C76, LCI!C:C, 0), 0))</f>
        <v>5.0026111111111111E-2</v>
      </c>
      <c r="O76" s="3">
        <f t="shared" si="18"/>
        <v>4.9883277777777776E-2</v>
      </c>
      <c r="P76" s="3">
        <f t="shared" si="19"/>
        <v>4.9859444444444442E-2</v>
      </c>
      <c r="Q76" s="3">
        <f t="shared" si="20"/>
        <v>2.3833333333333334E-5</v>
      </c>
      <c r="R76" s="3">
        <f t="shared" si="21"/>
        <v>0</v>
      </c>
      <c r="S76" s="30" cm="1">
        <f t="array" ref="S76">EF!$I$2*INDEX(LCI!E:E,MATCH(C76,LCI!C:C,0),0)</f>
        <v>1.5277777777777776E-2</v>
      </c>
      <c r="T76" s="3">
        <f t="shared" si="22"/>
        <v>0.10558333333333333</v>
      </c>
      <c r="U76" s="3" cm="1">
        <f t="array" ref="U76">EF!$I$5*INDEX(LCI!D:D,MATCH(C76,LCI!C:C,0),0)</f>
        <v>0</v>
      </c>
      <c r="V76" s="3">
        <f t="shared" si="23"/>
        <v>5.0026111111111111E-2</v>
      </c>
      <c r="W76" s="3" t="s">
        <v>158</v>
      </c>
      <c r="Y76" s="16" t="s">
        <v>357</v>
      </c>
      <c r="Z76" s="3" t="s">
        <v>383</v>
      </c>
      <c r="AA76" s="30">
        <f t="shared" si="24"/>
        <v>0.17088722222222222</v>
      </c>
      <c r="AB76" s="3">
        <f t="shared" si="25"/>
        <v>0.12393444444444443</v>
      </c>
      <c r="AC76" s="3">
        <f t="shared" si="26"/>
        <v>7.0473141211557788E-19</v>
      </c>
      <c r="AR76"/>
    </row>
    <row r="77" spans="1:44" s="3" customFormat="1" ht="15" customHeight="1">
      <c r="A77" s="3">
        <v>83</v>
      </c>
      <c r="B77" s="3">
        <v>74</v>
      </c>
      <c r="C77" s="3" t="s">
        <v>61</v>
      </c>
      <c r="D77" s="15" t="s">
        <v>61</v>
      </c>
      <c r="E77" s="3">
        <v>33000</v>
      </c>
      <c r="G77" s="3" t="b">
        <v>0</v>
      </c>
      <c r="H77" s="3" t="s">
        <v>109</v>
      </c>
      <c r="I77" s="3">
        <v>1</v>
      </c>
      <c r="J77" s="3" cm="1">
        <f t="array" ref="J77">SUMPRODUCT((IFERROR(INDEX(EF!E:E, MATCH(LCI!E$1:GC$1, EF!A:A, 0)), 0)) * INDEX(LCI!E:GC, MATCH(C77, LCI!C:C, 0), 0))</f>
        <v>4.9883277777777776E-2</v>
      </c>
      <c r="K77" s="3" cm="1">
        <f t="array" ref="K77">SUMPRODUCT((IFERROR(INDEX(EF!F:F, MATCH(LCI!E$1:GC$1, EF!A:A, 0)), 0)) * INDEX(LCI!E:GC, MATCH(C77, LCI!C:C, 0), 0))</f>
        <v>4.9859444444444442E-2</v>
      </c>
      <c r="L77" s="3" cm="1">
        <f t="array" ref="L77">SUMPRODUCT((IFERROR(INDEX(EF!G:G, MATCH(LCI!E$1:GC$1, EF!A:A, 0)), 0)) * INDEX(LCI!E:GC, MATCH(C77, LCI!C:C, 0), 0))</f>
        <v>2.3833333333333334E-5</v>
      </c>
      <c r="M77" s="3" cm="1">
        <f t="array" ref="M77">SUMPRODUCT((IFERROR(INDEX(EF!H:H, MATCH(LCI!E$1:GC$1, EF!A:A, 0)), 0)) * INDEX(LCI!E:GC, MATCH(C77, LCI!C:C, 0), 0))</f>
        <v>0</v>
      </c>
      <c r="N77" s="3" cm="1">
        <f t="array" ref="N77">SUMPRODUCT((IFERROR(INDEX(EF!I:I, MATCH(LCI!E$1:GC$1, EF!A:A, 0)), 0)) * INDEX(LCI!E:GC, MATCH(C77, LCI!C:C, 0), 0))</f>
        <v>5.0026111111111111E-2</v>
      </c>
      <c r="O77" s="3">
        <f t="shared" si="18"/>
        <v>4.9883277777777776E-2</v>
      </c>
      <c r="P77" s="3">
        <f t="shared" si="19"/>
        <v>4.9859444444444442E-2</v>
      </c>
      <c r="Q77" s="3">
        <f t="shared" si="20"/>
        <v>2.3833333333333334E-5</v>
      </c>
      <c r="R77" s="3">
        <f t="shared" si="21"/>
        <v>0</v>
      </c>
      <c r="S77" s="30" cm="1">
        <f t="array" ref="S77">EF!$I$2*INDEX(LCI!E:E,MATCH(C77,LCI!C:C,0),0)</f>
        <v>1.5277777777777776E-2</v>
      </c>
      <c r="T77" s="3">
        <f t="shared" si="22"/>
        <v>9.955E-2</v>
      </c>
      <c r="U77" s="3" cm="1">
        <f t="array" ref="U77">EF!$I$5*INDEX(LCI!D:D,MATCH(C77,LCI!C:C,0),0)</f>
        <v>0</v>
      </c>
      <c r="V77" s="3">
        <f t="shared" si="23"/>
        <v>5.0026111111111111E-2</v>
      </c>
      <c r="W77" s="3" t="s">
        <v>158</v>
      </c>
      <c r="Y77" s="16" t="s">
        <v>348</v>
      </c>
      <c r="Z77" s="3" t="s">
        <v>383</v>
      </c>
      <c r="AA77" s="30">
        <f t="shared" si="24"/>
        <v>0.16485388888888888</v>
      </c>
      <c r="AB77" s="3">
        <f t="shared" si="25"/>
        <v>0.1197111111111111</v>
      </c>
      <c r="AC77" s="3">
        <f t="shared" si="26"/>
        <v>7.0473141211557788E-19</v>
      </c>
      <c r="AR77"/>
    </row>
    <row r="78" spans="1:44" s="3" customFormat="1" ht="15" customHeight="1">
      <c r="A78" s="3">
        <v>85</v>
      </c>
      <c r="B78" s="3">
        <v>76</v>
      </c>
      <c r="C78" s="3" t="s">
        <v>63</v>
      </c>
      <c r="D78" s="15" t="s">
        <v>63</v>
      </c>
      <c r="E78" s="3">
        <v>10000</v>
      </c>
      <c r="G78" s="3" t="b">
        <v>0</v>
      </c>
      <c r="H78" s="3" t="s">
        <v>109</v>
      </c>
      <c r="I78" s="3">
        <v>1</v>
      </c>
      <c r="J78" s="3" cm="1">
        <f t="array" ref="J78">SUMPRODUCT((IFERROR(INDEX(EF!E:E, MATCH(LCI!E$1:GC$1, EF!A:A, 0)), 0)) * INDEX(LCI!E:GC, MATCH(C78, LCI!C:C, 0), 0))</f>
        <v>8.0438833333333348E-2</v>
      </c>
      <c r="K78" s="3" cm="1">
        <f t="array" ref="K78">SUMPRODUCT((IFERROR(INDEX(EF!F:F, MATCH(LCI!E$1:GC$1, EF!A:A, 0)), 0)) * INDEX(LCI!E:GC, MATCH(C78, LCI!C:C, 0), 0))</f>
        <v>8.0415000000000014E-2</v>
      </c>
      <c r="L78" s="3" cm="1">
        <f t="array" ref="L78">SUMPRODUCT((IFERROR(INDEX(EF!G:G, MATCH(LCI!E$1:GC$1, EF!A:A, 0)), 0)) * INDEX(LCI!E:GC, MATCH(C78, LCI!C:C, 0), 0))</f>
        <v>2.3833333333333334E-5</v>
      </c>
      <c r="M78" s="3" cm="1">
        <f t="array" ref="M78">SUMPRODUCT((IFERROR(INDEX(EF!H:H, MATCH(LCI!E$1:GC$1, EF!A:A, 0)), 0)) * INDEX(LCI!E:GC, MATCH(C78, LCI!C:C, 0), 0))</f>
        <v>0</v>
      </c>
      <c r="N78" s="3" cm="1">
        <f t="array" ref="N78">SUMPRODUCT((IFERROR(INDEX(EF!I:I, MATCH(LCI!E$1:GC$1, EF!A:A, 0)), 0)) * INDEX(LCI!E:GC, MATCH(C78, LCI!C:C, 0), 0))</f>
        <v>8.0581666666666663E-2</v>
      </c>
      <c r="O78" s="3">
        <f t="shared" si="18"/>
        <v>8.0438833333333348E-2</v>
      </c>
      <c r="P78" s="3">
        <f t="shared" si="19"/>
        <v>8.0415000000000014E-2</v>
      </c>
      <c r="Q78" s="3">
        <f t="shared" si="20"/>
        <v>2.3833333333333334E-5</v>
      </c>
      <c r="R78" s="3">
        <f t="shared" si="21"/>
        <v>0</v>
      </c>
      <c r="S78" s="30" cm="1">
        <f t="array" ref="S78">EF!$I$2*INDEX(LCI!E:E,MATCH(C78,LCI!C:C,0),0)</f>
        <v>4.5833333333333337E-2</v>
      </c>
      <c r="T78" s="3">
        <f t="shared" si="22"/>
        <v>3.0166666666666665E-2</v>
      </c>
      <c r="U78" s="3" cm="1">
        <f t="array" ref="U78">EF!$I$5*INDEX(LCI!D:D,MATCH(C78,LCI!C:C,0),0)</f>
        <v>0</v>
      </c>
      <c r="V78" s="3">
        <f t="shared" si="23"/>
        <v>8.0581666666666663E-2</v>
      </c>
      <c r="W78" s="3" t="s">
        <v>158</v>
      </c>
      <c r="Y78" s="16" t="s">
        <v>350</v>
      </c>
      <c r="Z78" s="3" t="s">
        <v>383</v>
      </c>
      <c r="AA78" s="30">
        <f t="shared" si="24"/>
        <v>0.15658166666666667</v>
      </c>
      <c r="AB78" s="3">
        <f t="shared" si="25"/>
        <v>0.10169833333333334</v>
      </c>
      <c r="AC78" s="3">
        <f t="shared" si="26"/>
        <v>7.0473141211557788E-19</v>
      </c>
      <c r="AR78"/>
    </row>
    <row r="79" spans="1:44" s="3" customFormat="1" ht="15" customHeight="1">
      <c r="A79" s="3">
        <v>60</v>
      </c>
      <c r="B79" s="3">
        <v>124</v>
      </c>
      <c r="C79" s="15" t="s">
        <v>186</v>
      </c>
      <c r="D79" s="15" t="s">
        <v>96</v>
      </c>
      <c r="E79" s="3">
        <v>20000</v>
      </c>
      <c r="G79" s="3" t="b">
        <v>0</v>
      </c>
      <c r="H79" s="3" t="s">
        <v>109</v>
      </c>
      <c r="I79" s="3">
        <v>1</v>
      </c>
      <c r="J79" s="3" cm="1">
        <f t="array" ref="J79">SUMPRODUCT((IFERROR(INDEX(EF!E:E, MATCH(LCI!E$1:GC$1, EF!A:A, 0)), 0)) * INDEX(LCI!E:GC, MATCH(C79, LCI!C:C, 0), 0))</f>
        <v>4.5833333333333337E-2</v>
      </c>
      <c r="K79" s="3" cm="1">
        <f t="array" ref="K79">SUMPRODUCT((IFERROR(INDEX(EF!F:F, MATCH(LCI!E$1:GC$1, EF!A:A, 0)), 0)) * INDEX(LCI!E:GC, MATCH(C79, LCI!C:C, 0), 0))</f>
        <v>4.5833333333333337E-2</v>
      </c>
      <c r="L79" s="3" cm="1">
        <f t="array" ref="L79">SUMPRODUCT((IFERROR(INDEX(EF!G:G, MATCH(LCI!E$1:GC$1, EF!A:A, 0)), 0)) * INDEX(LCI!E:GC, MATCH(C79, LCI!C:C, 0), 0))</f>
        <v>0</v>
      </c>
      <c r="M79" s="3" cm="1">
        <f t="array" ref="M79">SUMPRODUCT((IFERROR(INDEX(EF!H:H, MATCH(LCI!E$1:GC$1, EF!A:A, 0)), 0)) * INDEX(LCI!E:GC, MATCH(C79, LCI!C:C, 0), 0))</f>
        <v>0</v>
      </c>
      <c r="N79" s="3" cm="1">
        <f t="array" ref="N79">SUMPRODUCT((IFERROR(INDEX(EF!I:I, MATCH(LCI!E$1:GC$1, EF!A:A, 0)), 0)) * INDEX(LCI!E:GC, MATCH(C79, LCI!C:C, 0), 0))</f>
        <v>4.5833333333333337E-2</v>
      </c>
      <c r="O79" s="3">
        <f t="shared" si="18"/>
        <v>4.5833333333333337E-2</v>
      </c>
      <c r="P79" s="3">
        <f t="shared" si="19"/>
        <v>4.5833333333333337E-2</v>
      </c>
      <c r="Q79" s="3">
        <f t="shared" si="20"/>
        <v>0</v>
      </c>
      <c r="R79" s="3">
        <f t="shared" si="21"/>
        <v>0</v>
      </c>
      <c r="S79" s="30" cm="1">
        <f t="array" ref="S79">EF!$I$2*INDEX(LCI!E:E,MATCH(C79,LCI!C:C,0),0)</f>
        <v>4.5833333333333337E-2</v>
      </c>
      <c r="T79" s="3">
        <f t="shared" si="22"/>
        <v>6.0333333333333329E-2</v>
      </c>
      <c r="U79" s="3" cm="1">
        <f t="array" ref="U79">EF!$I$5*INDEX(LCI!D:D,MATCH(C79,LCI!C:C,0),0)</f>
        <v>0</v>
      </c>
      <c r="V79" s="3">
        <f t="shared" si="23"/>
        <v>4.5833333333333337E-2</v>
      </c>
      <c r="W79" s="3" t="s">
        <v>128</v>
      </c>
      <c r="Y79" s="3" t="s">
        <v>187</v>
      </c>
      <c r="Z79" s="3" t="s">
        <v>188</v>
      </c>
      <c r="AA79" s="30">
        <f t="shared" si="24"/>
        <v>0.152</v>
      </c>
      <c r="AB79" s="3">
        <f t="shared" si="25"/>
        <v>8.8066666666666668E-2</v>
      </c>
      <c r="AC79" s="3">
        <f t="shared" si="26"/>
        <v>0</v>
      </c>
      <c r="AR79"/>
    </row>
    <row r="80" spans="1:44" s="3" customFormat="1" ht="15" customHeight="1">
      <c r="A80" s="3">
        <v>4</v>
      </c>
      <c r="B80" s="3">
        <v>2</v>
      </c>
      <c r="C80" s="3" t="s">
        <v>212</v>
      </c>
      <c r="D80" s="15" t="s">
        <v>98</v>
      </c>
      <c r="E80" s="3">
        <v>34000</v>
      </c>
      <c r="G80" s="3" t="b">
        <v>0</v>
      </c>
      <c r="H80" s="3" t="s">
        <v>163</v>
      </c>
      <c r="I80" s="3">
        <f>1/60</f>
        <v>1.6666666666666666E-2</v>
      </c>
      <c r="J80" s="3" cm="1">
        <f t="array" ref="J80">SUMPRODUCT((IFERROR(INDEX(EF!E:E, MATCH(LCI!E$1:GC$1, EF!A:A, 0)), 0)) * INDEX(LCI!E:GC, MATCH(C80, LCI!C:C, 0), 0))</f>
        <v>6.4129733333333341E-2</v>
      </c>
      <c r="K80" s="3" cm="1">
        <f t="array" ref="K80">SUMPRODUCT((IFERROR(INDEX(EF!F:F, MATCH(LCI!E$1:GC$1, EF!A:A, 0)), 0)) * INDEX(LCI!E:GC, MATCH(C80, LCI!C:C, 0), 0))</f>
        <v>6.4129733333333341E-2</v>
      </c>
      <c r="L80" s="3" cm="1">
        <f t="array" ref="L80">SUMPRODUCT((IFERROR(INDEX(EF!G:G, MATCH(LCI!E$1:GC$1, EF!A:A, 0)), 0)) * INDEX(LCI!E:GC, MATCH(C80, LCI!C:C, 0), 0))</f>
        <v>0</v>
      </c>
      <c r="M80" s="3" cm="1">
        <f t="array" ref="M80">SUMPRODUCT((IFERROR(INDEX(EF!H:H, MATCH(LCI!E$1:GC$1, EF!A:A, 0)), 0)) * INDEX(LCI!E:GC, MATCH(C80, LCI!C:C, 0), 0))</f>
        <v>0</v>
      </c>
      <c r="N80" s="3" cm="1">
        <f t="array" ref="N80">SUMPRODUCT((IFERROR(INDEX(EF!I:I, MATCH(LCI!E$1:GC$1, EF!A:A, 0)), 0)) * INDEX(LCI!E:GC, MATCH(C80, LCI!C:C, 0), 0))</f>
        <v>6.4129733333333341E-2</v>
      </c>
      <c r="O80" s="3">
        <f t="shared" si="18"/>
        <v>1.0688288888888891E-3</v>
      </c>
      <c r="P80" s="3">
        <f t="shared" si="19"/>
        <v>1.0688288888888891E-3</v>
      </c>
      <c r="Q80" s="3">
        <f t="shared" si="20"/>
        <v>0</v>
      </c>
      <c r="R80" s="3">
        <f t="shared" si="21"/>
        <v>0</v>
      </c>
      <c r="S80" s="30" cm="1">
        <f t="array" ref="S80">EF!$I$2*INDEX(LCI!E:E,MATCH(C80,LCI!C:C,0),0)</f>
        <v>4.5833333333333337E-2</v>
      </c>
      <c r="T80" s="3">
        <f t="shared" si="22"/>
        <v>0.10256666666666667</v>
      </c>
      <c r="U80" s="3" cm="1">
        <f t="array" ref="U80">EF!$I$5*INDEX(LCI!D:D,MATCH(C80,LCI!C:C,0),0)</f>
        <v>0</v>
      </c>
      <c r="V80" s="3">
        <f t="shared" si="23"/>
        <v>1.0688288888888891E-3</v>
      </c>
      <c r="W80" s="3" t="s">
        <v>213</v>
      </c>
      <c r="Y80" s="3" t="s">
        <v>213</v>
      </c>
      <c r="Z80" s="3" t="s">
        <v>211</v>
      </c>
      <c r="AA80" s="30">
        <f t="shared" si="24"/>
        <v>0.1494688288888889</v>
      </c>
      <c r="AB80" s="3">
        <f t="shared" si="25"/>
        <v>7.2865495555555548E-2</v>
      </c>
      <c r="AC80" s="3">
        <f t="shared" si="26"/>
        <v>0</v>
      </c>
      <c r="AR80" t="s">
        <v>134</v>
      </c>
    </row>
    <row r="81" spans="1:44" s="3" customFormat="1" ht="15" customHeight="1">
      <c r="A81" s="3">
        <v>42</v>
      </c>
      <c r="C81" s="3" t="s">
        <v>306</v>
      </c>
      <c r="D81" s="3" t="s">
        <v>306</v>
      </c>
      <c r="E81" s="3">
        <v>4000</v>
      </c>
      <c r="G81" s="3" t="b">
        <v>0</v>
      </c>
      <c r="H81" s="3" t="s">
        <v>109</v>
      </c>
      <c r="I81" s="3">
        <v>1</v>
      </c>
      <c r="J81" s="3" cm="1">
        <f t="array" ref="J81">SUMPRODUCT((IFERROR(INDEX(EF!E:E, MATCH(LCI!E$1:GC$1, EF!A:A, 0)), 0)) * INDEX(LCI!E:GC, MATCH(C81, LCI!C:C, 0), 0))</f>
        <v>8.8647008333333333E-2</v>
      </c>
      <c r="K81" s="3" cm="1">
        <f t="array" ref="K81">SUMPRODUCT((IFERROR(INDEX(EF!F:F, MATCH(LCI!E$1:GC$1, EF!A:A, 0)), 0)) * INDEX(LCI!E:GC, MATCH(C81, LCI!C:C, 0), 0))</f>
        <v>8.855413333333334E-2</v>
      </c>
      <c r="L81" s="3" cm="1">
        <f t="array" ref="L81">SUMPRODUCT((IFERROR(INDEX(EF!G:G, MATCH(LCI!E$1:GC$1, EF!A:A, 0)), 0)) * INDEX(LCI!E:GC, MATCH(C81, LCI!C:C, 0), 0))</f>
        <v>9.2E-5</v>
      </c>
      <c r="M81" s="3" cm="1">
        <f t="array" ref="M81">SUMPRODUCT((IFERROR(INDEX(EF!H:H, MATCH(LCI!E$1:GC$1, EF!A:A, 0)), 0)) * INDEX(LCI!E:GC, MATCH(C81, LCI!C:C, 0), 0))</f>
        <v>8.7499999999999999E-7</v>
      </c>
      <c r="N81" s="3" cm="1">
        <f t="array" ref="N81">SUMPRODUCT((IFERROR(INDEX(EF!I:I, MATCH(LCI!E$1:GC$1, EF!A:A, 0)), 0)) * INDEX(LCI!E:GC, MATCH(C81, LCI!C:C, 0), 0))</f>
        <v>8.855413333333334E-2</v>
      </c>
      <c r="O81" s="3">
        <f t="shared" si="18"/>
        <v>8.8647008333333333E-2</v>
      </c>
      <c r="P81" s="3">
        <f t="shared" si="19"/>
        <v>8.855413333333334E-2</v>
      </c>
      <c r="Q81" s="3">
        <f t="shared" si="20"/>
        <v>9.2E-5</v>
      </c>
      <c r="R81" s="3">
        <f t="shared" si="21"/>
        <v>8.7499999999999999E-7</v>
      </c>
      <c r="S81" s="30" cm="1">
        <f t="array" ref="S81">EF!$I$2*INDEX(LCI!E:E,MATCH(C81,LCI!C:C,0),0)</f>
        <v>4.5833333333333337E-2</v>
      </c>
      <c r="T81" s="3">
        <f t="shared" si="22"/>
        <v>1.2066666666666667E-2</v>
      </c>
      <c r="U81" s="3" cm="1">
        <f t="array" ref="U81">EF!$I$5*INDEX(LCI!D:D,MATCH(C81,LCI!C:C,0),0)</f>
        <v>0</v>
      </c>
      <c r="V81" s="3">
        <f t="shared" si="23"/>
        <v>8.855413333333334E-2</v>
      </c>
      <c r="Y81" s="16" t="s">
        <v>318</v>
      </c>
      <c r="Z81" s="3" t="s">
        <v>307</v>
      </c>
      <c r="AA81" s="30">
        <f t="shared" si="24"/>
        <v>0.14645413333333335</v>
      </c>
      <c r="AB81" s="3">
        <f t="shared" si="25"/>
        <v>9.7000800000000012E-2</v>
      </c>
      <c r="AC81" s="3">
        <f t="shared" si="26"/>
        <v>-7.7307638304715924E-18</v>
      </c>
      <c r="AR81"/>
    </row>
    <row r="82" spans="1:44" s="3" customFormat="1" ht="15" customHeight="1">
      <c r="A82" s="3">
        <v>30</v>
      </c>
      <c r="B82" s="3">
        <v>28</v>
      </c>
      <c r="C82" s="3" t="s">
        <v>36</v>
      </c>
      <c r="D82" s="15" t="s">
        <v>36</v>
      </c>
      <c r="E82" s="3">
        <v>10000</v>
      </c>
      <c r="G82" s="3" t="b">
        <v>0</v>
      </c>
      <c r="H82" s="3" t="s">
        <v>109</v>
      </c>
      <c r="I82" s="3">
        <v>1</v>
      </c>
      <c r="J82" s="3" cm="1">
        <f t="array" ref="J82">SUMPRODUCT((IFERROR(INDEX(EF!E:E, MATCH(LCI!E$1:GC$1, EF!A:A, 0)), 0)) * INDEX(LCI!E:GC, MATCH(C82, LCI!C:C, 0), 0))</f>
        <v>0.10534427777777779</v>
      </c>
      <c r="K82" s="3" cm="1">
        <f t="array" ref="K82">SUMPRODUCT((IFERROR(INDEX(EF!F:F, MATCH(LCI!E$1:GC$1, EF!A:A, 0)), 0)) * INDEX(LCI!E:GC, MATCH(C82, LCI!C:C, 0), 0))</f>
        <v>0.10527277777777778</v>
      </c>
      <c r="L82" s="3" cm="1">
        <f t="array" ref="L82">SUMPRODUCT((IFERROR(INDEX(EF!G:G, MATCH(LCI!E$1:GC$1, EF!A:A, 0)), 0)) * INDEX(LCI!E:GC, MATCH(C82, LCI!C:C, 0), 0))</f>
        <v>7.1500000000000003E-5</v>
      </c>
      <c r="M82" s="3" cm="1">
        <f t="array" ref="M82">SUMPRODUCT((IFERROR(INDEX(EF!H:H, MATCH(LCI!E$1:GC$1, EF!A:A, 0)), 0)) * INDEX(LCI!E:GC, MATCH(C82, LCI!C:C, 0), 0))</f>
        <v>0</v>
      </c>
      <c r="N82" s="3" cm="1">
        <f t="array" ref="N82">SUMPRODUCT((IFERROR(INDEX(EF!I:I, MATCH(LCI!E$1:GC$1, EF!A:A, 0)), 0)) * INDEX(LCI!E:GC, MATCH(C82, LCI!C:C, 0), 0))</f>
        <v>0.10577277777777779</v>
      </c>
      <c r="O82" s="3">
        <f t="shared" si="18"/>
        <v>0.10534427777777779</v>
      </c>
      <c r="P82" s="3">
        <f t="shared" si="19"/>
        <v>0.10527277777777778</v>
      </c>
      <c r="Q82" s="3">
        <f t="shared" si="20"/>
        <v>7.1500000000000003E-5</v>
      </c>
      <c r="R82" s="3">
        <f t="shared" si="21"/>
        <v>0</v>
      </c>
      <c r="S82" s="30" cm="1">
        <f t="array" ref="S82">EF!$I$2*INDEX(LCI!E:E,MATCH(C82,LCI!C:C,0),0)</f>
        <v>1.5277777777777781E-3</v>
      </c>
      <c r="T82" s="3">
        <f t="shared" si="22"/>
        <v>3.0166666666666665E-2</v>
      </c>
      <c r="U82" s="3" cm="1">
        <f t="array" ref="U82">EF!$I$5*INDEX(LCI!D:D,MATCH(C82,LCI!C:C,0),0)</f>
        <v>0</v>
      </c>
      <c r="V82" s="3">
        <f t="shared" si="23"/>
        <v>0.10577277777777779</v>
      </c>
      <c r="W82" s="3" t="s">
        <v>128</v>
      </c>
      <c r="Y82" s="3" t="s">
        <v>176</v>
      </c>
      <c r="AA82" s="30">
        <f t="shared" si="24"/>
        <v>0.13746722222222224</v>
      </c>
      <c r="AB82" s="3">
        <f t="shared" si="25"/>
        <v>0.12688944444444444</v>
      </c>
      <c r="AC82" s="3">
        <f t="shared" si="26"/>
        <v>2.1141942363467336E-18</v>
      </c>
      <c r="AR82"/>
    </row>
    <row r="83" spans="1:44" s="3" customFormat="1" ht="15" customHeight="1">
      <c r="A83" s="3">
        <v>84</v>
      </c>
      <c r="B83" s="3">
        <v>75</v>
      </c>
      <c r="C83" s="3" t="s">
        <v>62</v>
      </c>
      <c r="D83" s="15" t="s">
        <v>62</v>
      </c>
      <c r="E83" s="3">
        <v>23000</v>
      </c>
      <c r="G83" s="3" t="b">
        <v>0</v>
      </c>
      <c r="H83" s="3" t="s">
        <v>109</v>
      </c>
      <c r="I83" s="3">
        <v>1</v>
      </c>
      <c r="J83" s="3" cm="1">
        <f t="array" ref="J83">SUMPRODUCT((IFERROR(INDEX(EF!E:E, MATCH(LCI!E$1:GC$1, EF!A:A, 0)), 0)) * INDEX(LCI!E:GC, MATCH(C83, LCI!C:C, 0), 0))</f>
        <v>4.9883277777777776E-2</v>
      </c>
      <c r="K83" s="3" cm="1">
        <f t="array" ref="K83">SUMPRODUCT((IFERROR(INDEX(EF!F:F, MATCH(LCI!E$1:GC$1, EF!A:A, 0)), 0)) * INDEX(LCI!E:GC, MATCH(C83, LCI!C:C, 0), 0))</f>
        <v>4.9859444444444442E-2</v>
      </c>
      <c r="L83" s="3" cm="1">
        <f t="array" ref="L83">SUMPRODUCT((IFERROR(INDEX(EF!G:G, MATCH(LCI!E$1:GC$1, EF!A:A, 0)), 0)) * INDEX(LCI!E:GC, MATCH(C83, LCI!C:C, 0), 0))</f>
        <v>2.3833333333333334E-5</v>
      </c>
      <c r="M83" s="3" cm="1">
        <f t="array" ref="M83">SUMPRODUCT((IFERROR(INDEX(EF!H:H, MATCH(LCI!E$1:GC$1, EF!A:A, 0)), 0)) * INDEX(LCI!E:GC, MATCH(C83, LCI!C:C, 0), 0))</f>
        <v>0</v>
      </c>
      <c r="N83" s="3" cm="1">
        <f t="array" ref="N83">SUMPRODUCT((IFERROR(INDEX(EF!I:I, MATCH(LCI!E$1:GC$1, EF!A:A, 0)), 0)) * INDEX(LCI!E:GC, MATCH(C83, LCI!C:C, 0), 0))</f>
        <v>5.0026111111111111E-2</v>
      </c>
      <c r="O83" s="3">
        <f t="shared" si="18"/>
        <v>4.9883277777777776E-2</v>
      </c>
      <c r="P83" s="3">
        <f t="shared" si="19"/>
        <v>4.9859444444444442E-2</v>
      </c>
      <c r="Q83" s="3">
        <f t="shared" si="20"/>
        <v>2.3833333333333334E-5</v>
      </c>
      <c r="R83" s="3">
        <f t="shared" si="21"/>
        <v>0</v>
      </c>
      <c r="S83" s="30" cm="1">
        <f t="array" ref="S83">EF!$I$2*INDEX(LCI!E:E,MATCH(C83,LCI!C:C,0),0)</f>
        <v>1.5277777777777776E-2</v>
      </c>
      <c r="T83" s="3">
        <f t="shared" si="22"/>
        <v>6.9383333333333339E-2</v>
      </c>
      <c r="U83" s="3" cm="1">
        <f t="array" ref="U83">EF!$I$5*INDEX(LCI!D:D,MATCH(C83,LCI!C:C,0),0)</f>
        <v>0</v>
      </c>
      <c r="V83" s="3">
        <f t="shared" si="23"/>
        <v>5.0026111111111111E-2</v>
      </c>
      <c r="W83" s="3" t="s">
        <v>158</v>
      </c>
      <c r="Y83" s="16" t="s">
        <v>349</v>
      </c>
      <c r="Z83" s="3" t="s">
        <v>383</v>
      </c>
      <c r="AA83" s="30">
        <f t="shared" si="24"/>
        <v>0.13468722222222224</v>
      </c>
      <c r="AB83" s="3">
        <f t="shared" si="25"/>
        <v>9.8594444444444443E-2</v>
      </c>
      <c r="AC83" s="3">
        <f t="shared" si="26"/>
        <v>7.0473141211557788E-19</v>
      </c>
      <c r="AR83"/>
    </row>
    <row r="84" spans="1:44" s="3" customFormat="1" ht="15" customHeight="1">
      <c r="A84" s="3">
        <v>56</v>
      </c>
      <c r="B84" s="3">
        <v>127</v>
      </c>
      <c r="C84" s="3" t="s">
        <v>251</v>
      </c>
      <c r="D84" s="15" t="s">
        <v>92</v>
      </c>
      <c r="E84" s="3">
        <v>5125</v>
      </c>
      <c r="G84" s="3" t="b">
        <v>0</v>
      </c>
      <c r="H84" s="3" t="s">
        <v>109</v>
      </c>
      <c r="I84" s="3">
        <v>1</v>
      </c>
      <c r="J84" s="3" cm="1">
        <f t="array" ref="J84">SUMPRODUCT((IFERROR(INDEX(EF!E:E, MATCH(LCI!E$1:GC$1, EF!A:A, 0)), 0)) * INDEX(LCI!E:GC, MATCH(C84, LCI!C:C, 0), 0))</f>
        <v>7.0913333333333328E-2</v>
      </c>
      <c r="K84" s="3" cm="1">
        <f t="array" ref="K84">SUMPRODUCT((IFERROR(INDEX(EF!F:F, MATCH(LCI!E$1:GC$1, EF!A:A, 0)), 0)) * INDEX(LCI!E:GC, MATCH(C84, LCI!C:C, 0), 0))</f>
        <v>7.0913333333333328E-2</v>
      </c>
      <c r="L84" s="3" cm="1">
        <f t="array" ref="L84">SUMPRODUCT((IFERROR(INDEX(EF!G:G, MATCH(LCI!E$1:GC$1, EF!A:A, 0)), 0)) * INDEX(LCI!E:GC, MATCH(C84, LCI!C:C, 0), 0))</f>
        <v>0</v>
      </c>
      <c r="M84" s="3" cm="1">
        <f t="array" ref="M84">SUMPRODUCT((IFERROR(INDEX(EF!H:H, MATCH(LCI!E$1:GC$1, EF!A:A, 0)), 0)) * INDEX(LCI!E:GC, MATCH(C84, LCI!C:C, 0), 0))</f>
        <v>0</v>
      </c>
      <c r="N84" s="3" cm="1">
        <f t="array" ref="N84">SUMPRODUCT((IFERROR(INDEX(EF!I:I, MATCH(LCI!E$1:GC$1, EF!A:A, 0)), 0)) * INDEX(LCI!E:GC, MATCH(C84, LCI!C:C, 0), 0))</f>
        <v>7.0913333333333328E-2</v>
      </c>
      <c r="O84" s="3">
        <f t="shared" si="18"/>
        <v>7.0913333333333328E-2</v>
      </c>
      <c r="P84" s="3">
        <f t="shared" si="19"/>
        <v>7.0913333333333328E-2</v>
      </c>
      <c r="Q84" s="3">
        <f t="shared" si="20"/>
        <v>0</v>
      </c>
      <c r="R84" s="3">
        <f t="shared" si="21"/>
        <v>0</v>
      </c>
      <c r="S84" s="30" cm="1">
        <f t="array" ref="S84">EF!$I$2*INDEX(LCI!E:E,MATCH(C84,LCI!C:C,0),0)</f>
        <v>4.5833333333333337E-2</v>
      </c>
      <c r="T84" s="3">
        <f t="shared" si="22"/>
        <v>1.5460416666666666E-2</v>
      </c>
      <c r="U84" s="3" cm="1">
        <f t="array" ref="U84">EF!$I$5*INDEX(LCI!D:D,MATCH(C84,LCI!C:C,0),0)</f>
        <v>0</v>
      </c>
      <c r="V84" s="3">
        <f t="shared" si="23"/>
        <v>7.0913333333333328E-2</v>
      </c>
      <c r="W84" s="3" t="s">
        <v>159</v>
      </c>
      <c r="Y84" s="3" t="s">
        <v>160</v>
      </c>
      <c r="Z84" s="3" t="s">
        <v>161</v>
      </c>
      <c r="AA84" s="30">
        <f t="shared" si="24"/>
        <v>0.13220708333333334</v>
      </c>
      <c r="AB84" s="3">
        <f t="shared" si="25"/>
        <v>8.1735624999999992E-2</v>
      </c>
      <c r="AC84" s="3">
        <f t="shared" si="26"/>
        <v>0</v>
      </c>
      <c r="AR84"/>
    </row>
    <row r="85" spans="1:44" s="3" customFormat="1" ht="15" customHeight="1">
      <c r="A85" s="3">
        <v>43</v>
      </c>
      <c r="C85" s="3" t="s">
        <v>305</v>
      </c>
      <c r="D85" s="15" t="s">
        <v>305</v>
      </c>
      <c r="E85" s="3">
        <v>6000</v>
      </c>
      <c r="G85" s="3" t="b">
        <v>0</v>
      </c>
      <c r="H85" s="3" t="s">
        <v>109</v>
      </c>
      <c r="I85" s="3">
        <v>1</v>
      </c>
      <c r="J85" s="3" cm="1">
        <f t="array" ref="J85">SUMPRODUCT((IFERROR(INDEX(EF!E:E, MATCH(LCI!E$1:GC$1, EF!A:A, 0)), 0)) * INDEX(LCI!E:GC, MATCH(C85, LCI!C:C, 0), 0))</f>
        <v>5.1226208333333335E-2</v>
      </c>
      <c r="K85" s="3" cm="1">
        <f t="array" ref="K85">SUMPRODUCT((IFERROR(INDEX(EF!F:F, MATCH(LCI!E$1:GC$1, EF!A:A, 0)), 0)) * INDEX(LCI!E:GC, MATCH(C85, LCI!C:C, 0), 0))</f>
        <v>5.1133333333333336E-2</v>
      </c>
      <c r="L85" s="3" cm="1">
        <f t="array" ref="L85">SUMPRODUCT((IFERROR(INDEX(EF!G:G, MATCH(LCI!E$1:GC$1, EF!A:A, 0)), 0)) * INDEX(LCI!E:GC, MATCH(C85, LCI!C:C, 0), 0))</f>
        <v>9.2E-5</v>
      </c>
      <c r="M85" s="3" cm="1">
        <f t="array" ref="M85">SUMPRODUCT((IFERROR(INDEX(EF!H:H, MATCH(LCI!E$1:GC$1, EF!A:A, 0)), 0)) * INDEX(LCI!E:GC, MATCH(C85, LCI!C:C, 0), 0))</f>
        <v>8.7499999999999999E-7</v>
      </c>
      <c r="N85" s="3" cm="1">
        <f t="array" ref="N85">SUMPRODUCT((IFERROR(INDEX(EF!I:I, MATCH(LCI!E$1:GC$1, EF!A:A, 0)), 0)) * INDEX(LCI!E:GC, MATCH(C85, LCI!C:C, 0), 0))</f>
        <v>5.1133333333333336E-2</v>
      </c>
      <c r="O85" s="3">
        <f t="shared" si="18"/>
        <v>5.1226208333333335E-2</v>
      </c>
      <c r="P85" s="3">
        <f t="shared" si="19"/>
        <v>5.1133333333333336E-2</v>
      </c>
      <c r="Q85" s="3">
        <f t="shared" si="20"/>
        <v>9.2E-5</v>
      </c>
      <c r="R85" s="3">
        <f t="shared" si="21"/>
        <v>8.7499999999999999E-7</v>
      </c>
      <c r="S85" s="30" cm="1">
        <f t="array" ref="S85">EF!$I$2*INDEX(LCI!E:E,MATCH(C85,LCI!C:C,0),0)</f>
        <v>4.5833333333333337E-2</v>
      </c>
      <c r="T85" s="3">
        <f t="shared" si="22"/>
        <v>1.8100000000000002E-2</v>
      </c>
      <c r="U85" s="3" cm="1">
        <f t="array" ref="U85">EF!$I$5*INDEX(LCI!D:D,MATCH(C85,LCI!C:C,0),0)</f>
        <v>0</v>
      </c>
      <c r="V85" s="3">
        <f t="shared" si="23"/>
        <v>5.1133333333333336E-2</v>
      </c>
      <c r="W85" s="3" t="s">
        <v>150</v>
      </c>
      <c r="Y85" s="16" t="s">
        <v>318</v>
      </c>
      <c r="Z85" s="3" t="s">
        <v>307</v>
      </c>
      <c r="AA85" s="30">
        <f t="shared" si="24"/>
        <v>0.11506666666666668</v>
      </c>
      <c r="AB85" s="3">
        <f t="shared" si="25"/>
        <v>6.3803333333333337E-2</v>
      </c>
      <c r="AC85" s="3">
        <f t="shared" si="26"/>
        <v>-7.9186992656436403E-19</v>
      </c>
      <c r="AR85"/>
    </row>
    <row r="86" spans="1:44" s="3" customFormat="1" ht="15" customHeight="1">
      <c r="A86" s="3">
        <v>10</v>
      </c>
      <c r="B86" s="3">
        <v>154</v>
      </c>
      <c r="C86" s="28" t="s">
        <v>243</v>
      </c>
      <c r="D86" s="28" t="s">
        <v>243</v>
      </c>
      <c r="E86" s="28">
        <v>10000</v>
      </c>
      <c r="F86" s="28"/>
      <c r="G86" s="28" t="b">
        <v>0</v>
      </c>
      <c r="H86" s="28" t="s">
        <v>109</v>
      </c>
      <c r="I86" s="28">
        <v>1</v>
      </c>
      <c r="J86" s="28" cm="1">
        <f t="array" ref="J86">SUMPRODUCT((IFERROR(INDEX(EF!E:E, MATCH(LCI!E$1:GC$1, EF!A:A, 0)), 0)) * INDEX(LCI!E:GC, MATCH(C86, LCI!C:C, 0), 0))</f>
        <v>6.627494211111111E-2</v>
      </c>
      <c r="K86" s="28" cm="1">
        <f t="array" ref="K86">SUMPRODUCT((IFERROR(INDEX(EF!F:F, MATCH(LCI!E$1:GC$1, EF!A:A, 0)), 0)) * INDEX(LCI!E:GC, MATCH(C86, LCI!C:C, 0), 0))</f>
        <v>6.6251108777777776E-2</v>
      </c>
      <c r="L86" s="28" cm="1">
        <f t="array" ref="L86">SUMPRODUCT((IFERROR(INDEX(EF!G:G, MATCH(LCI!E$1:GC$1, EF!A:A, 0)), 0)) * INDEX(LCI!E:GC, MATCH(C86, LCI!C:C, 0), 0))</f>
        <v>2.3833333333333334E-5</v>
      </c>
      <c r="M86" s="28" cm="1">
        <f t="array" ref="M86">SUMPRODUCT((IFERROR(INDEX(EF!H:H, MATCH(LCI!E$1:GC$1, EF!A:A, 0)), 0)) * INDEX(LCI!E:GC, MATCH(C86, LCI!C:C, 0), 0))</f>
        <v>0</v>
      </c>
      <c r="N86" s="3" cm="1">
        <f t="array" ref="N86">SUMPRODUCT((IFERROR(INDEX(EF!I:I, MATCH(LCI!E$1:GC$1, EF!A:A, 0)), 0)) * INDEX(LCI!E:GC, MATCH(C86, LCI!C:C, 0), 0))</f>
        <v>6.6417775444444438E-2</v>
      </c>
      <c r="O86" s="28">
        <f t="shared" si="18"/>
        <v>6.627494211111111E-2</v>
      </c>
      <c r="P86" s="28">
        <f t="shared" si="19"/>
        <v>6.6251108777777776E-2</v>
      </c>
      <c r="Q86" s="28">
        <f t="shared" si="20"/>
        <v>2.3833333333333334E-5</v>
      </c>
      <c r="R86" s="28">
        <f t="shared" si="21"/>
        <v>0</v>
      </c>
      <c r="S86" s="30" cm="1">
        <f t="array" ref="S86">EF!$I$2*INDEX(LCI!E:E,MATCH(C86,LCI!C:C,0),0)</f>
        <v>1.5277777777777776E-2</v>
      </c>
      <c r="T86" s="3">
        <f t="shared" si="22"/>
        <v>3.0166666666666665E-2</v>
      </c>
      <c r="U86" s="3" cm="1">
        <f t="array" ref="U86">EF!$I$5*INDEX(LCI!D:D,MATCH(C86,LCI!C:C,0),0)</f>
        <v>0</v>
      </c>
      <c r="V86" s="28">
        <f t="shared" si="23"/>
        <v>6.6417775444444438E-2</v>
      </c>
      <c r="W86" s="28" t="s">
        <v>128</v>
      </c>
      <c r="X86" s="28"/>
      <c r="Y86" s="28" t="s">
        <v>386</v>
      </c>
      <c r="Z86" s="28"/>
      <c r="AA86" s="30">
        <f t="shared" si="24"/>
        <v>0.11186221988888888</v>
      </c>
      <c r="AB86" s="28">
        <f t="shared" si="25"/>
        <v>8.753444211111111E-2</v>
      </c>
      <c r="AC86" s="28">
        <f t="shared" si="26"/>
        <v>7.0473141211557788E-19</v>
      </c>
      <c r="AD86" s="28"/>
      <c r="AE86" s="28"/>
      <c r="AF86" s="28"/>
      <c r="AG86" s="28"/>
      <c r="AH86" s="28"/>
      <c r="AI86" s="28"/>
      <c r="AJ86" s="28"/>
      <c r="AK86" s="28"/>
      <c r="AL86" s="28"/>
      <c r="AM86" s="28"/>
      <c r="AN86" s="28"/>
      <c r="AO86" s="28"/>
      <c r="AP86" s="28"/>
      <c r="AQ86" s="28"/>
      <c r="AR86" s="29" t="s">
        <v>138</v>
      </c>
    </row>
    <row r="87" spans="1:44" s="3" customFormat="1" ht="15" customHeight="1">
      <c r="A87" s="3">
        <v>12</v>
      </c>
      <c r="B87" s="3">
        <v>118</v>
      </c>
      <c r="C87" s="28" t="s">
        <v>244</v>
      </c>
      <c r="D87" s="28" t="s">
        <v>244</v>
      </c>
      <c r="E87" s="28">
        <v>15000</v>
      </c>
      <c r="F87" s="28"/>
      <c r="G87" s="28" t="b">
        <v>0</v>
      </c>
      <c r="H87" s="28" t="s">
        <v>109</v>
      </c>
      <c r="I87" s="28">
        <v>1</v>
      </c>
      <c r="J87" s="28" cm="1">
        <f t="array" ref="J87">SUMPRODUCT((IFERROR(INDEX(EF!E:E, MATCH(LCI!E$1:GC$1, EF!A:A, 0)), 0)) * INDEX(LCI!E:GC, MATCH(C87, LCI!C:C, 0), 0))</f>
        <v>5.1098274277777779E-2</v>
      </c>
      <c r="K87" s="28" cm="1">
        <f t="array" ref="K87">SUMPRODUCT((IFERROR(INDEX(EF!F:F, MATCH(LCI!E$1:GC$1, EF!A:A, 0)), 0)) * INDEX(LCI!E:GC, MATCH(C87, LCI!C:C, 0), 0))</f>
        <v>5.1074440944444445E-2</v>
      </c>
      <c r="L87" s="28" cm="1">
        <f t="array" ref="L87">SUMPRODUCT((IFERROR(INDEX(EF!G:G, MATCH(LCI!E$1:GC$1, EF!A:A, 0)), 0)) * INDEX(LCI!E:GC, MATCH(C87, LCI!C:C, 0), 0))</f>
        <v>2.3833333333333334E-5</v>
      </c>
      <c r="M87" s="28" cm="1">
        <f t="array" ref="M87">SUMPRODUCT((IFERROR(INDEX(EF!H:H, MATCH(LCI!E$1:GC$1, EF!A:A, 0)), 0)) * INDEX(LCI!E:GC, MATCH(C87, LCI!C:C, 0), 0))</f>
        <v>0</v>
      </c>
      <c r="N87" s="3" cm="1">
        <f t="array" ref="N87">SUMPRODUCT((IFERROR(INDEX(EF!I:I, MATCH(LCI!E$1:GC$1, EF!A:A, 0)), 0)) * INDEX(LCI!E:GC, MATCH(C87, LCI!C:C, 0), 0))</f>
        <v>5.1241107611111114E-2</v>
      </c>
      <c r="O87" s="28">
        <f t="shared" si="18"/>
        <v>5.1098274277777779E-2</v>
      </c>
      <c r="P87" s="28">
        <f t="shared" si="19"/>
        <v>5.1074440944444445E-2</v>
      </c>
      <c r="Q87" s="28">
        <f t="shared" si="20"/>
        <v>2.3833333333333334E-5</v>
      </c>
      <c r="R87" s="28">
        <f t="shared" si="21"/>
        <v>0</v>
      </c>
      <c r="S87" s="30" cm="1">
        <f t="array" ref="S87">EF!$I$2*INDEX(LCI!E:E,MATCH(C87,LCI!C:C,0),0)</f>
        <v>1.5277777777777776E-2</v>
      </c>
      <c r="T87" s="3">
        <f t="shared" si="22"/>
        <v>4.5249999999999999E-2</v>
      </c>
      <c r="U87" s="3" cm="1">
        <f t="array" ref="U87">EF!$I$5*INDEX(LCI!D:D,MATCH(C87,LCI!C:C,0),0)</f>
        <v>0</v>
      </c>
      <c r="V87" s="28">
        <f t="shared" si="23"/>
        <v>5.1241107611111114E-2</v>
      </c>
      <c r="W87" s="28" t="s">
        <v>128</v>
      </c>
      <c r="X87" s="28"/>
      <c r="Y87" s="28" t="s">
        <v>386</v>
      </c>
      <c r="Z87" s="28"/>
      <c r="AA87" s="30">
        <f t="shared" si="24"/>
        <v>0.11176888538888889</v>
      </c>
      <c r="AB87" s="28">
        <f t="shared" si="25"/>
        <v>8.2916107611111109E-2</v>
      </c>
      <c r="AC87" s="28">
        <f t="shared" si="26"/>
        <v>7.0473141211557788E-19</v>
      </c>
      <c r="AD87" s="28"/>
      <c r="AE87" s="28"/>
      <c r="AF87" s="28"/>
      <c r="AG87" s="28"/>
      <c r="AH87" s="28"/>
      <c r="AI87" s="28"/>
      <c r="AJ87" s="28"/>
      <c r="AK87" s="28"/>
      <c r="AL87" s="28"/>
      <c r="AM87" s="28"/>
      <c r="AN87" s="28"/>
      <c r="AO87" s="28"/>
      <c r="AP87" s="28"/>
      <c r="AQ87" s="28"/>
      <c r="AR87" s="29"/>
    </row>
    <row r="88" spans="1:44" s="3" customFormat="1" ht="15" customHeight="1">
      <c r="A88" s="3">
        <v>45</v>
      </c>
      <c r="B88" s="3">
        <v>41</v>
      </c>
      <c r="C88" s="3" t="s">
        <v>34</v>
      </c>
      <c r="D88" s="15" t="s">
        <v>34</v>
      </c>
      <c r="E88" s="3">
        <v>6000</v>
      </c>
      <c r="G88" s="3" t="b">
        <v>0</v>
      </c>
      <c r="H88" s="3" t="s">
        <v>109</v>
      </c>
      <c r="I88" s="3">
        <v>1</v>
      </c>
      <c r="J88" s="3" cm="1">
        <f t="array" ref="J88">SUMPRODUCT((IFERROR(INDEX(EF!E:E, MATCH(LCI!E$1:GC$1, EF!A:A, 0)), 0)) * INDEX(LCI!E:GC, MATCH(C88, LCI!C:C, 0), 0))</f>
        <v>4.5833333333333337E-2</v>
      </c>
      <c r="K88" s="3" cm="1">
        <f t="array" ref="K88">SUMPRODUCT((IFERROR(INDEX(EF!F:F, MATCH(LCI!E$1:GC$1, EF!A:A, 0)), 0)) * INDEX(LCI!E:GC, MATCH(C88, LCI!C:C, 0), 0))</f>
        <v>4.5833333333333337E-2</v>
      </c>
      <c r="L88" s="3" cm="1">
        <f t="array" ref="L88">SUMPRODUCT((IFERROR(INDEX(EF!G:G, MATCH(LCI!E$1:GC$1, EF!A:A, 0)), 0)) * INDEX(LCI!E:GC, MATCH(C88, LCI!C:C, 0), 0))</f>
        <v>0</v>
      </c>
      <c r="M88" s="3" cm="1">
        <f t="array" ref="M88">SUMPRODUCT((IFERROR(INDEX(EF!H:H, MATCH(LCI!E$1:GC$1, EF!A:A, 0)), 0)) * INDEX(LCI!E:GC, MATCH(C88, LCI!C:C, 0), 0))</f>
        <v>0</v>
      </c>
      <c r="N88" s="3" cm="1">
        <f t="array" ref="N88">SUMPRODUCT((IFERROR(INDEX(EF!I:I, MATCH(LCI!E$1:GC$1, EF!A:A, 0)), 0)) * INDEX(LCI!E:GC, MATCH(C88, LCI!C:C, 0), 0))</f>
        <v>4.5833333333333337E-2</v>
      </c>
      <c r="O88" s="3">
        <f t="shared" si="18"/>
        <v>4.5833333333333337E-2</v>
      </c>
      <c r="P88" s="3">
        <f t="shared" si="19"/>
        <v>4.5833333333333337E-2</v>
      </c>
      <c r="Q88" s="3">
        <f t="shared" si="20"/>
        <v>0</v>
      </c>
      <c r="R88" s="3">
        <f t="shared" si="21"/>
        <v>0</v>
      </c>
      <c r="S88" s="30" cm="1">
        <f t="array" ref="S88">EF!$I$2*INDEX(LCI!E:E,MATCH(C88,LCI!C:C,0),0)</f>
        <v>4.5833333333333337E-2</v>
      </c>
      <c r="T88" s="3">
        <f t="shared" si="22"/>
        <v>1.8100000000000002E-2</v>
      </c>
      <c r="U88" s="3" cm="1">
        <f t="array" ref="U88">EF!$I$5*INDEX(LCI!D:D,MATCH(C88,LCI!C:C,0),0)</f>
        <v>0</v>
      </c>
      <c r="V88" s="3">
        <f t="shared" si="23"/>
        <v>4.5833333333333337E-2</v>
      </c>
      <c r="W88" s="3" t="s">
        <v>128</v>
      </c>
      <c r="Y88" s="3" t="s">
        <v>148</v>
      </c>
      <c r="AA88" s="30">
        <f t="shared" si="24"/>
        <v>0.10976666666666668</v>
      </c>
      <c r="AB88" s="3">
        <f t="shared" si="25"/>
        <v>5.8503333333333338E-2</v>
      </c>
      <c r="AC88" s="3">
        <f t="shared" si="26"/>
        <v>0</v>
      </c>
      <c r="AR88"/>
    </row>
    <row r="89" spans="1:44" s="28" customFormat="1" ht="15" customHeight="1">
      <c r="A89" s="3">
        <v>39</v>
      </c>
      <c r="B89" s="3">
        <v>33</v>
      </c>
      <c r="C89" s="3" t="s">
        <v>27</v>
      </c>
      <c r="D89" s="3" t="s">
        <v>119</v>
      </c>
      <c r="E89" s="3">
        <v>5000</v>
      </c>
      <c r="F89" s="3"/>
      <c r="G89" s="3" t="b">
        <v>0</v>
      </c>
      <c r="H89" s="3" t="s">
        <v>109</v>
      </c>
      <c r="I89" s="3">
        <v>1</v>
      </c>
      <c r="J89" s="3" cm="1">
        <f t="array" ref="J89">SUMPRODUCT((IFERROR(INDEX(EF!E:E, MATCH(LCI!E$1:GC$1, EF!A:A, 0)), 0)) * INDEX(LCI!E:GC, MATCH(C89, LCI!C:C, 0), 0))</f>
        <v>4.5833333333333337E-2</v>
      </c>
      <c r="K89" s="3" cm="1">
        <f t="array" ref="K89">SUMPRODUCT((IFERROR(INDEX(EF!F:F, MATCH(LCI!E$1:GC$1, EF!A:A, 0)), 0)) * INDEX(LCI!E:GC, MATCH(C89, LCI!C:C, 0), 0))</f>
        <v>4.5833333333333337E-2</v>
      </c>
      <c r="L89" s="3" cm="1">
        <f t="array" ref="L89">SUMPRODUCT((IFERROR(INDEX(EF!G:G, MATCH(LCI!E$1:GC$1, EF!A:A, 0)), 0)) * INDEX(LCI!E:GC, MATCH(C89, LCI!C:C, 0), 0))</f>
        <v>0</v>
      </c>
      <c r="M89" s="3" cm="1">
        <f t="array" ref="M89">SUMPRODUCT((IFERROR(INDEX(EF!H:H, MATCH(LCI!E$1:GC$1, EF!A:A, 0)), 0)) * INDEX(LCI!E:GC, MATCH(C89, LCI!C:C, 0), 0))</f>
        <v>0</v>
      </c>
      <c r="N89" s="3" cm="1">
        <f t="array" ref="N89">SUMPRODUCT((IFERROR(INDEX(EF!I:I, MATCH(LCI!E$1:GC$1, EF!A:A, 0)), 0)) * INDEX(LCI!E:GC, MATCH(C89, LCI!C:C, 0), 0))</f>
        <v>4.5833333333333337E-2</v>
      </c>
      <c r="O89" s="3">
        <f t="shared" si="18"/>
        <v>4.5833333333333337E-2</v>
      </c>
      <c r="P89" s="3">
        <f t="shared" si="19"/>
        <v>4.5833333333333337E-2</v>
      </c>
      <c r="Q89" s="3">
        <f t="shared" si="20"/>
        <v>0</v>
      </c>
      <c r="R89" s="3">
        <f t="shared" si="21"/>
        <v>0</v>
      </c>
      <c r="S89" s="30" cm="1">
        <f t="array" ref="S89">EF!$I$2*INDEX(LCI!E:E,MATCH(C89,LCI!C:C,0),0)</f>
        <v>4.5833333333333337E-2</v>
      </c>
      <c r="T89" s="3">
        <f t="shared" si="22"/>
        <v>1.5083333333333332E-2</v>
      </c>
      <c r="U89" s="3" cm="1">
        <f t="array" ref="U89">EF!$I$5*INDEX(LCI!D:D,MATCH(C89,LCI!C:C,0),0)</f>
        <v>0</v>
      </c>
      <c r="V89" s="3">
        <f t="shared" si="23"/>
        <v>4.5833333333333337E-2</v>
      </c>
      <c r="W89" s="3" t="s">
        <v>128</v>
      </c>
      <c r="X89" s="3"/>
      <c r="Y89" s="3" t="s">
        <v>144</v>
      </c>
      <c r="Z89" s="3" t="s">
        <v>145</v>
      </c>
      <c r="AA89" s="30">
        <f t="shared" si="24"/>
        <v>0.10675000000000001</v>
      </c>
      <c r="AB89" s="3">
        <f t="shared" si="25"/>
        <v>5.6391666666666673E-2</v>
      </c>
      <c r="AC89" s="3">
        <f t="shared" si="26"/>
        <v>0</v>
      </c>
      <c r="AD89" s="3"/>
      <c r="AE89" s="3"/>
      <c r="AF89" s="3"/>
      <c r="AG89" s="3"/>
      <c r="AH89" s="3"/>
      <c r="AI89" s="3"/>
      <c r="AJ89" s="3"/>
      <c r="AK89" s="3"/>
      <c r="AL89" s="3"/>
      <c r="AM89" s="3"/>
      <c r="AN89" s="3"/>
      <c r="AO89" s="3"/>
      <c r="AP89" s="3"/>
      <c r="AQ89" s="3"/>
      <c r="AR89"/>
    </row>
    <row r="90" spans="1:44" s="3" customFormat="1" ht="15" customHeight="1">
      <c r="A90" s="3">
        <v>61</v>
      </c>
      <c r="B90" s="3">
        <v>140</v>
      </c>
      <c r="C90" s="15" t="s">
        <v>97</v>
      </c>
      <c r="D90" s="15" t="s">
        <v>97</v>
      </c>
      <c r="E90" s="3">
        <v>2000</v>
      </c>
      <c r="G90" s="3" t="b">
        <v>0</v>
      </c>
      <c r="H90" s="3" t="s">
        <v>109</v>
      </c>
      <c r="I90" s="3">
        <v>1</v>
      </c>
      <c r="J90" s="3" cm="1">
        <f t="array" ref="J90">SUMPRODUCT((IFERROR(INDEX(EF!E:E, MATCH(LCI!E$1:GC$1, EF!A:A, 0)), 0)) * INDEX(LCI!E:GC, MATCH(C90, LCI!C:C, 0), 0))</f>
        <v>4.5833333333333337E-2</v>
      </c>
      <c r="K90" s="3" cm="1">
        <f t="array" ref="K90">SUMPRODUCT((IFERROR(INDEX(EF!F:F, MATCH(LCI!E$1:GC$1, EF!A:A, 0)), 0)) * INDEX(LCI!E:GC, MATCH(C90, LCI!C:C, 0), 0))</f>
        <v>4.5833333333333337E-2</v>
      </c>
      <c r="L90" s="3" cm="1">
        <f t="array" ref="L90">SUMPRODUCT((IFERROR(INDEX(EF!G:G, MATCH(LCI!E$1:GC$1, EF!A:A, 0)), 0)) * INDEX(LCI!E:GC, MATCH(C90, LCI!C:C, 0), 0))</f>
        <v>0</v>
      </c>
      <c r="M90" s="3" cm="1">
        <f t="array" ref="M90">SUMPRODUCT((IFERROR(INDEX(EF!H:H, MATCH(LCI!E$1:GC$1, EF!A:A, 0)), 0)) * INDEX(LCI!E:GC, MATCH(C90, LCI!C:C, 0), 0))</f>
        <v>0</v>
      </c>
      <c r="N90" s="3" cm="1">
        <f t="array" ref="N90">SUMPRODUCT((IFERROR(INDEX(EF!I:I, MATCH(LCI!E$1:GC$1, EF!A:A, 0)), 0)) * INDEX(LCI!E:GC, MATCH(C90, LCI!C:C, 0), 0))</f>
        <v>4.5833333333333337E-2</v>
      </c>
      <c r="O90" s="3">
        <f t="shared" si="18"/>
        <v>4.5833333333333337E-2</v>
      </c>
      <c r="P90" s="3">
        <f t="shared" si="19"/>
        <v>4.5833333333333337E-2</v>
      </c>
      <c r="Q90" s="3">
        <f t="shared" si="20"/>
        <v>0</v>
      </c>
      <c r="R90" s="3">
        <f t="shared" si="21"/>
        <v>0</v>
      </c>
      <c r="S90" s="30" cm="1">
        <f t="array" ref="S90">EF!$I$2*INDEX(LCI!E:E,MATCH(C90,LCI!C:C,0),0)</f>
        <v>4.5833333333333337E-2</v>
      </c>
      <c r="T90" s="3">
        <f t="shared" si="22"/>
        <v>6.0333333333333333E-3</v>
      </c>
      <c r="U90" s="3" cm="1">
        <f t="array" ref="U90">EF!$I$5*INDEX(LCI!D:D,MATCH(C90,LCI!C:C,0),0)</f>
        <v>0</v>
      </c>
      <c r="V90" s="3">
        <f t="shared" si="23"/>
        <v>4.5833333333333337E-2</v>
      </c>
      <c r="W90" s="3" t="s">
        <v>128</v>
      </c>
      <c r="Y90" s="3" t="s">
        <v>148</v>
      </c>
      <c r="AA90" s="30">
        <f t="shared" si="24"/>
        <v>9.7700000000000009E-2</v>
      </c>
      <c r="AB90" s="3">
        <f t="shared" si="25"/>
        <v>5.0056666666666673E-2</v>
      </c>
      <c r="AC90" s="3">
        <f t="shared" si="26"/>
        <v>0</v>
      </c>
      <c r="AR90"/>
    </row>
    <row r="91" spans="1:44" s="3" customFormat="1" ht="15" customHeight="1">
      <c r="A91" s="3">
        <v>14</v>
      </c>
      <c r="B91" s="3">
        <v>15</v>
      </c>
      <c r="C91" s="3" t="s">
        <v>246</v>
      </c>
      <c r="D91" s="3" t="s">
        <v>246</v>
      </c>
      <c r="E91" s="3">
        <v>10000</v>
      </c>
      <c r="G91" s="3" t="b">
        <v>0</v>
      </c>
      <c r="H91" s="3" t="s">
        <v>109</v>
      </c>
      <c r="I91" s="3">
        <v>1</v>
      </c>
      <c r="J91" s="3" cm="1">
        <f t="array" ref="J91">SUMPRODUCT((IFERROR(INDEX(EF!E:E, MATCH(LCI!E$1:GC$1, EF!A:A, 0)), 0)) * INDEX(LCI!E:GC, MATCH(C91, LCI!C:C, 0), 0))</f>
        <v>5.1098274277777779E-2</v>
      </c>
      <c r="K91" s="3" cm="1">
        <f t="array" ref="K91">SUMPRODUCT((IFERROR(INDEX(EF!F:F, MATCH(LCI!E$1:GC$1, EF!A:A, 0)), 0)) * INDEX(LCI!E:GC, MATCH(C91, LCI!C:C, 0), 0))</f>
        <v>5.1074440944444445E-2</v>
      </c>
      <c r="L91" s="3" cm="1">
        <f t="array" ref="L91">SUMPRODUCT((IFERROR(INDEX(EF!G:G, MATCH(LCI!E$1:GC$1, EF!A:A, 0)), 0)) * INDEX(LCI!E:GC, MATCH(C91, LCI!C:C, 0), 0))</f>
        <v>2.3833333333333334E-5</v>
      </c>
      <c r="M91" s="3" cm="1">
        <f t="array" ref="M91">SUMPRODUCT((IFERROR(INDEX(EF!H:H, MATCH(LCI!E$1:GC$1, EF!A:A, 0)), 0)) * INDEX(LCI!E:GC, MATCH(C91, LCI!C:C, 0), 0))</f>
        <v>0</v>
      </c>
      <c r="N91" s="3" cm="1">
        <f t="array" ref="N91">SUMPRODUCT((IFERROR(INDEX(EF!I:I, MATCH(LCI!E$1:GC$1, EF!A:A, 0)), 0)) * INDEX(LCI!E:GC, MATCH(C91, LCI!C:C, 0), 0))</f>
        <v>5.1241107611111114E-2</v>
      </c>
      <c r="O91" s="3">
        <f t="shared" si="18"/>
        <v>5.1098274277777779E-2</v>
      </c>
      <c r="P91" s="3">
        <f t="shared" si="19"/>
        <v>5.1074440944444445E-2</v>
      </c>
      <c r="Q91" s="3">
        <f t="shared" si="20"/>
        <v>2.3833333333333334E-5</v>
      </c>
      <c r="R91" s="3">
        <f t="shared" si="21"/>
        <v>0</v>
      </c>
      <c r="S91" s="30" cm="1">
        <f t="array" ref="S91">EF!$I$2*INDEX(LCI!E:E,MATCH(C91,LCI!C:C,0),0)</f>
        <v>1.5277777777777776E-2</v>
      </c>
      <c r="T91" s="3">
        <f t="shared" si="22"/>
        <v>3.0166666666666665E-2</v>
      </c>
      <c r="U91" s="3" cm="1">
        <f t="array" ref="U91">EF!$I$5*INDEX(LCI!D:D,MATCH(C91,LCI!C:C,0),0)</f>
        <v>0</v>
      </c>
      <c r="V91" s="3">
        <f t="shared" si="23"/>
        <v>5.1241107611111114E-2</v>
      </c>
      <c r="W91" s="3" t="s">
        <v>128</v>
      </c>
      <c r="Y91" s="3" t="s">
        <v>386</v>
      </c>
      <c r="AA91" s="30">
        <f t="shared" si="24"/>
        <v>9.6685552055555554E-2</v>
      </c>
      <c r="AB91" s="3">
        <f t="shared" si="25"/>
        <v>7.2357774277777787E-2</v>
      </c>
      <c r="AC91" s="3">
        <f t="shared" si="26"/>
        <v>7.0473141211557788E-19</v>
      </c>
      <c r="AR91"/>
    </row>
    <row r="92" spans="1:44" s="3" customFormat="1" ht="15" customHeight="1">
      <c r="A92" s="3">
        <v>16</v>
      </c>
      <c r="B92" s="3">
        <v>134</v>
      </c>
      <c r="C92" s="3" t="s">
        <v>248</v>
      </c>
      <c r="D92" s="3" t="s">
        <v>248</v>
      </c>
      <c r="E92" s="3">
        <v>10000</v>
      </c>
      <c r="G92" s="3" t="b">
        <v>0</v>
      </c>
      <c r="H92" s="3" t="s">
        <v>109</v>
      </c>
      <c r="I92" s="3">
        <v>1</v>
      </c>
      <c r="J92" s="3" cm="1">
        <f t="array" ref="J92">SUMPRODUCT((IFERROR(INDEX(EF!E:E, MATCH(LCI!E$1:GC$1, EF!A:A, 0)), 0)) * INDEX(LCI!E:GC, MATCH(C92, LCI!C:C, 0), 0))</f>
        <v>4.1344275444444439E-2</v>
      </c>
      <c r="K92" s="3" cm="1">
        <f t="array" ref="K92">SUMPRODUCT((IFERROR(INDEX(EF!F:F, MATCH(LCI!E$1:GC$1, EF!A:A, 0)), 0)) * INDEX(LCI!E:GC, MATCH(C92, LCI!C:C, 0), 0))</f>
        <v>4.1320442111111105E-2</v>
      </c>
      <c r="L92" s="3" cm="1">
        <f t="array" ref="L92">SUMPRODUCT((IFERROR(INDEX(EF!G:G, MATCH(LCI!E$1:GC$1, EF!A:A, 0)), 0)) * INDEX(LCI!E:GC, MATCH(C92, LCI!C:C, 0), 0))</f>
        <v>2.3833333333333334E-5</v>
      </c>
      <c r="M92" s="3" cm="1">
        <f t="array" ref="M92">SUMPRODUCT((IFERROR(INDEX(EF!H:H, MATCH(LCI!E$1:GC$1, EF!A:A, 0)), 0)) * INDEX(LCI!E:GC, MATCH(C92, LCI!C:C, 0), 0))</f>
        <v>0</v>
      </c>
      <c r="N92" s="3" cm="1">
        <f t="array" ref="N92">SUMPRODUCT((IFERROR(INDEX(EF!I:I, MATCH(LCI!E$1:GC$1, EF!A:A, 0)), 0)) * INDEX(LCI!E:GC, MATCH(C92, LCI!C:C, 0), 0))</f>
        <v>4.1487108777777781E-2</v>
      </c>
      <c r="O92" s="3">
        <f t="shared" si="18"/>
        <v>4.1344275444444439E-2</v>
      </c>
      <c r="P92" s="3">
        <f t="shared" si="19"/>
        <v>4.1320442111111105E-2</v>
      </c>
      <c r="Q92" s="3">
        <f t="shared" si="20"/>
        <v>2.3833333333333334E-5</v>
      </c>
      <c r="R92" s="3">
        <f t="shared" si="21"/>
        <v>0</v>
      </c>
      <c r="S92" s="30" cm="1">
        <f t="array" ref="S92">EF!$I$2*INDEX(LCI!E:E,MATCH(C92,LCI!C:C,0),0)</f>
        <v>1.5277777777777776E-2</v>
      </c>
      <c r="T92" s="3">
        <f t="shared" si="22"/>
        <v>3.0166666666666665E-2</v>
      </c>
      <c r="U92" s="3" cm="1">
        <f t="array" ref="U92">EF!$I$5*INDEX(LCI!D:D,MATCH(C92,LCI!C:C,0),0)</f>
        <v>0</v>
      </c>
      <c r="V92" s="3">
        <f t="shared" si="23"/>
        <v>4.1487108777777781E-2</v>
      </c>
      <c r="W92" s="3" t="s">
        <v>128</v>
      </c>
      <c r="Y92" s="3" t="s">
        <v>386</v>
      </c>
      <c r="AA92" s="30">
        <f t="shared" si="24"/>
        <v>8.6931553222222221E-2</v>
      </c>
      <c r="AB92" s="3">
        <f t="shared" si="25"/>
        <v>6.2603775444444454E-2</v>
      </c>
      <c r="AC92" s="3">
        <f t="shared" si="26"/>
        <v>7.0473141211557788E-19</v>
      </c>
      <c r="AR92"/>
    </row>
    <row r="93" spans="1:44" s="3" customFormat="1" ht="15" customHeight="1">
      <c r="A93" s="3">
        <v>2</v>
      </c>
      <c r="C93" s="3" t="s">
        <v>234</v>
      </c>
      <c r="D93" s="3" t="s">
        <v>18</v>
      </c>
      <c r="E93" s="3">
        <v>10000</v>
      </c>
      <c r="F93" s="3" t="s">
        <v>111</v>
      </c>
      <c r="G93" s="3" t="b">
        <v>0</v>
      </c>
      <c r="H93" s="3" t="s">
        <v>163</v>
      </c>
      <c r="I93" s="3">
        <f>1/60</f>
        <v>1.6666666666666666E-2</v>
      </c>
      <c r="J93" s="3" cm="1">
        <f t="array" ref="J93">SUMPRODUCT((IFERROR(INDEX(EF!E:E, MATCH(LCI!E$1:GC$1, EF!A:A, 0)), 0)) * INDEX(LCI!E:GC, MATCH(C93, LCI!C:C, 0), 0))</f>
        <v>0.18202973333333333</v>
      </c>
      <c r="K93" s="3" cm="1">
        <f t="array" ref="K93">SUMPRODUCT((IFERROR(INDEX(EF!F:F, MATCH(LCI!E$1:GC$1, EF!A:A, 0)), 0)) * INDEX(LCI!E:GC, MATCH(C93, LCI!C:C, 0), 0))</f>
        <v>0.18202973333333333</v>
      </c>
      <c r="L93" s="3" cm="1">
        <f t="array" ref="L93">SUMPRODUCT((IFERROR(INDEX(EF!G:G, MATCH(LCI!E$1:GC$1, EF!A:A, 0)), 0)) * INDEX(LCI!E:GC, MATCH(C93, LCI!C:C, 0), 0))</f>
        <v>0</v>
      </c>
      <c r="M93" s="3" cm="1">
        <f t="array" ref="M93">SUMPRODUCT((IFERROR(INDEX(EF!H:H, MATCH(LCI!E$1:GC$1, EF!A:A, 0)), 0)) * INDEX(LCI!E:GC, MATCH(C93, LCI!C:C, 0), 0))</f>
        <v>0</v>
      </c>
      <c r="N93" s="3" cm="1">
        <f t="array" ref="N93">SUMPRODUCT((IFERROR(INDEX(EF!I:I, MATCH(LCI!E$1:GC$1, EF!A:A, 0)), 0)) * INDEX(LCI!E:GC, MATCH(C93, LCI!C:C, 0), 0))</f>
        <v>0.18202973333333333</v>
      </c>
      <c r="O93" s="3">
        <f t="shared" si="18"/>
        <v>3.0338288888888888E-3</v>
      </c>
      <c r="P93" s="3">
        <f t="shared" si="19"/>
        <v>3.0338288888888888E-3</v>
      </c>
      <c r="Q93" s="3">
        <f t="shared" si="20"/>
        <v>0</v>
      </c>
      <c r="R93" s="3">
        <f t="shared" si="21"/>
        <v>0</v>
      </c>
      <c r="S93" s="30" cm="1">
        <f t="array" ref="S93">EF!$I$2*INDEX(LCI!E:E,MATCH(C93,LCI!C:C,0),0)</f>
        <v>4.5833333333333337E-2</v>
      </c>
      <c r="T93" s="3">
        <f t="shared" si="22"/>
        <v>3.0166666666666665E-2</v>
      </c>
      <c r="U93" s="3" cm="1">
        <f t="array" ref="U93">EF!$I$5*INDEX(LCI!D:D,MATCH(C93,LCI!C:C,0),0)</f>
        <v>0</v>
      </c>
      <c r="V93" s="3">
        <f t="shared" si="23"/>
        <v>3.0338288888888888E-3</v>
      </c>
      <c r="W93" s="3" t="s">
        <v>128</v>
      </c>
      <c r="X93" s="3" t="s">
        <v>238</v>
      </c>
      <c r="Y93" s="3" t="s">
        <v>320</v>
      </c>
      <c r="Z93" s="14" t="s">
        <v>237</v>
      </c>
      <c r="AA93" s="30">
        <f t="shared" si="24"/>
        <v>7.9033828888888893E-2</v>
      </c>
      <c r="AB93" s="3">
        <f t="shared" si="25"/>
        <v>2.4150495555555554E-2</v>
      </c>
      <c r="AC93" s="3">
        <f t="shared" si="26"/>
        <v>0</v>
      </c>
      <c r="AR93" t="s">
        <v>127</v>
      </c>
    </row>
    <row r="94" spans="1:44" s="28" customFormat="1" ht="15" customHeight="1">
      <c r="A94" s="3">
        <v>18</v>
      </c>
      <c r="B94" s="3">
        <v>50</v>
      </c>
      <c r="C94" s="3" t="s">
        <v>106</v>
      </c>
      <c r="D94" s="15" t="s">
        <v>106</v>
      </c>
      <c r="E94" s="3">
        <v>4000</v>
      </c>
      <c r="F94" s="3"/>
      <c r="G94" s="3" t="b">
        <v>0</v>
      </c>
      <c r="H94" s="3" t="s">
        <v>138</v>
      </c>
      <c r="I94" s="3">
        <f>1/69</f>
        <v>1.4492753623188406E-2</v>
      </c>
      <c r="J94" s="3" cm="1">
        <f t="array" ref="J94">SUMPRODUCT((IFERROR(INDEX(EF!E:E, MATCH(LCI!E$1:GC$1, EF!A:A, 0)), 0)) * INDEX(LCI!E:GC, MATCH(C94, LCI!C:C, 0), 0))</f>
        <v>4.1545076535555552</v>
      </c>
      <c r="K94" s="3" cm="1">
        <f t="array" ref="K94">SUMPRODUCT((IFERROR(INDEX(EF!F:F, MATCH(LCI!E$1:GC$1, EF!A:A, 0)), 0)) * INDEX(LCI!E:GC, MATCH(C94, LCI!C:C, 0), 0))</f>
        <v>4.1547672455555551</v>
      </c>
      <c r="L94" s="3" cm="1">
        <f t="array" ref="L94">SUMPRODUCT((IFERROR(INDEX(EF!G:G, MATCH(LCI!E$1:GC$1, EF!A:A, 0)), 0)) * INDEX(LCI!E:GC, MATCH(C94, LCI!C:C, 0), 0))</f>
        <v>-3.70971E-4</v>
      </c>
      <c r="M94" s="3" cm="1">
        <f t="array" ref="M94">SUMPRODUCT((IFERROR(INDEX(EF!H:H, MATCH(LCI!E$1:GC$1, EF!A:A, 0)), 0)) * INDEX(LCI!E:GC, MATCH(C94, LCI!C:C, 0), 0))</f>
        <v>1.1137899999999999E-4</v>
      </c>
      <c r="N94" s="3" cm="1">
        <f t="array" ref="N94">SUMPRODUCT((IFERROR(INDEX(EF!I:I, MATCH(LCI!E$1:GC$1, EF!A:A, 0)), 0)) * INDEX(LCI!E:GC, MATCH(C94, LCI!C:C, 0), 0))</f>
        <v>4.152136245555555</v>
      </c>
      <c r="O94" s="3">
        <f t="shared" si="18"/>
        <v>6.0210255848631232E-2</v>
      </c>
      <c r="P94" s="3">
        <f t="shared" si="19"/>
        <v>6.0214018051529782E-2</v>
      </c>
      <c r="Q94" s="3">
        <f t="shared" si="20"/>
        <v>-5.3763913043478261E-6</v>
      </c>
      <c r="R94" s="3">
        <f t="shared" si="21"/>
        <v>1.6141884057971013E-6</v>
      </c>
      <c r="S94" s="30" cm="1">
        <f t="array" ref="S94">EF!$I$2*INDEX(LCI!E:E,MATCH(C94,LCI!C:C,0),0)</f>
        <v>3.0555555555555555E-4</v>
      </c>
      <c r="T94" s="3">
        <f t="shared" si="22"/>
        <v>1.2066666666666667E-2</v>
      </c>
      <c r="U94" s="3" cm="1">
        <f t="array" ref="U94">EF!$I$5*INDEX(LCI!D:D,MATCH(C94,LCI!C:C,0),0)</f>
        <v>0</v>
      </c>
      <c r="V94" s="3">
        <f t="shared" si="23"/>
        <v>6.0175887616747178E-2</v>
      </c>
      <c r="W94" s="3" t="s">
        <v>166</v>
      </c>
      <c r="X94" s="3" t="s">
        <v>172</v>
      </c>
      <c r="Y94" s="3" t="s">
        <v>166</v>
      </c>
      <c r="Z94" s="3" t="s">
        <v>170</v>
      </c>
      <c r="AA94" s="30">
        <f t="shared" si="24"/>
        <v>7.2548109838969393E-2</v>
      </c>
      <c r="AB94" s="3">
        <f t="shared" si="25"/>
        <v>6.862255428341385E-2</v>
      </c>
      <c r="AC94" s="3">
        <f t="shared" si="26"/>
        <v>8.0339380981175879E-17</v>
      </c>
      <c r="AD94" s="3"/>
      <c r="AE94" s="3"/>
      <c r="AF94" s="3"/>
      <c r="AG94" s="3"/>
      <c r="AH94" s="3"/>
      <c r="AI94" s="3"/>
      <c r="AJ94" s="3"/>
      <c r="AK94" s="3"/>
      <c r="AL94" s="3"/>
      <c r="AM94" s="3"/>
      <c r="AN94" s="3"/>
      <c r="AO94" s="3"/>
      <c r="AP94" s="3"/>
      <c r="AQ94" s="3"/>
      <c r="AR94"/>
    </row>
    <row r="95" spans="1:44" s="3" customFormat="1" ht="15" customHeight="1">
      <c r="A95" s="3">
        <v>17</v>
      </c>
      <c r="B95" s="3">
        <v>48</v>
      </c>
      <c r="C95" s="3" t="s">
        <v>105</v>
      </c>
      <c r="D95" s="15" t="s">
        <v>105</v>
      </c>
      <c r="E95" s="3">
        <v>900</v>
      </c>
      <c r="G95" s="3" t="b">
        <v>0</v>
      </c>
      <c r="H95" s="3" t="s">
        <v>138</v>
      </c>
      <c r="I95" s="3">
        <f>1/12</f>
        <v>8.3333333333333329E-2</v>
      </c>
      <c r="J95" s="3" cm="1">
        <f t="array" ref="J95">SUMPRODUCT((IFERROR(INDEX(EF!E:E, MATCH(LCI!E$1:GC$1, EF!A:A, 0)), 0)) * INDEX(LCI!E:GC, MATCH(C95, LCI!C:C, 0), 0))</f>
        <v>0.80331758991555557</v>
      </c>
      <c r="K95" s="3" cm="1">
        <f t="array" ref="K95">SUMPRODUCT((IFERROR(INDEX(EF!F:F, MATCH(LCI!E$1:GC$1, EF!A:A, 0)), 0)) * INDEX(LCI!E:GC, MATCH(C95, LCI!C:C, 0), 0))</f>
        <v>0.80331758991555557</v>
      </c>
      <c r="L95" s="3" cm="1">
        <f t="array" ref="L95">SUMPRODUCT((IFERROR(INDEX(EF!G:G, MATCH(LCI!E$1:GC$1, EF!A:A, 0)), 0)) * INDEX(LCI!E:GC, MATCH(C95, LCI!C:C, 0), 0))</f>
        <v>0</v>
      </c>
      <c r="M95" s="3" cm="1">
        <f t="array" ref="M95">SUMPRODUCT((IFERROR(INDEX(EF!H:H, MATCH(LCI!E$1:GC$1, EF!A:A, 0)), 0)) * INDEX(LCI!E:GC, MATCH(C95, LCI!C:C, 0), 0))</f>
        <v>0</v>
      </c>
      <c r="N95" s="3" cm="1">
        <f t="array" ref="N95">SUMPRODUCT((IFERROR(INDEX(EF!I:I, MATCH(LCI!E$1:GC$1, EF!A:A, 0)), 0)) * INDEX(LCI!E:GC, MATCH(C95, LCI!C:C, 0), 0))</f>
        <v>0.80331758991555557</v>
      </c>
      <c r="O95" s="3">
        <f t="shared" si="18"/>
        <v>6.6943132492962965E-2</v>
      </c>
      <c r="P95" s="3">
        <f t="shared" si="19"/>
        <v>6.6943132492962965E-2</v>
      </c>
      <c r="Q95" s="3">
        <f t="shared" si="20"/>
        <v>0</v>
      </c>
      <c r="R95" s="3">
        <f t="shared" si="21"/>
        <v>0</v>
      </c>
      <c r="S95" s="30" cm="1">
        <f t="array" ref="S95">EF!$I$2*INDEX(LCI!E:E,MATCH(C95,LCI!C:C,0),0)</f>
        <v>3.0555555555555555E-4</v>
      </c>
      <c r="T95" s="3">
        <f t="shared" si="22"/>
        <v>2.715E-3</v>
      </c>
      <c r="U95" s="3" cm="1">
        <f t="array" ref="U95">EF!$I$5*INDEX(LCI!D:D,MATCH(C95,LCI!C:C,0),0)</f>
        <v>0</v>
      </c>
      <c r="V95" s="3">
        <f t="shared" si="23"/>
        <v>6.6943132492962965E-2</v>
      </c>
      <c r="W95" s="3" t="s">
        <v>166</v>
      </c>
      <c r="X95" s="3" t="s">
        <v>173</v>
      </c>
      <c r="Y95" t="s">
        <v>386</v>
      </c>
      <c r="AA95" s="30">
        <f t="shared" si="24"/>
        <v>6.9963688048518519E-2</v>
      </c>
      <c r="AB95" s="3">
        <f t="shared" si="25"/>
        <v>6.8843632492962964E-2</v>
      </c>
      <c r="AC95" s="3">
        <f t="shared" si="26"/>
        <v>0</v>
      </c>
      <c r="AR95"/>
    </row>
    <row r="96" spans="1:44" s="3" customFormat="1" ht="15" customHeight="1">
      <c r="A96" s="3">
        <v>52</v>
      </c>
      <c r="B96" s="3">
        <v>145</v>
      </c>
      <c r="C96" s="3" t="s">
        <v>214</v>
      </c>
      <c r="D96" s="15" t="s">
        <v>102</v>
      </c>
      <c r="E96" s="3">
        <v>750</v>
      </c>
      <c r="G96" s="3" t="b">
        <v>0</v>
      </c>
      <c r="H96" s="3" t="s">
        <v>163</v>
      </c>
      <c r="I96" s="3">
        <f>1/60</f>
        <v>1.6666666666666666E-2</v>
      </c>
      <c r="J96" s="3" cm="1">
        <f t="array" ref="J96">SUMPRODUCT((IFERROR(INDEX(EF!E:E, MATCH(LCI!E$1:GC$1, EF!A:A, 0)), 0)) * INDEX(LCI!E:GC, MATCH(C96, LCI!C:C, 0), 0))</f>
        <v>0.26819882813333334</v>
      </c>
      <c r="K96" s="3" cm="1">
        <f t="array" ref="K96">SUMPRODUCT((IFERROR(INDEX(EF!F:F, MATCH(LCI!E$1:GC$1, EF!A:A, 0)), 0)) * INDEX(LCI!E:GC, MATCH(C96, LCI!C:C, 0), 0))</f>
        <v>0.26805582813333334</v>
      </c>
      <c r="L96" s="3" cm="1">
        <f t="array" ref="L96">SUMPRODUCT((IFERROR(INDEX(EF!G:G, MATCH(LCI!E$1:GC$1, EF!A:A, 0)), 0)) * INDEX(LCI!E:GC, MATCH(C96, LCI!C:C, 0), 0))</f>
        <v>1.4300000000000001E-4</v>
      </c>
      <c r="M96" s="3" cm="1">
        <f t="array" ref="M96">SUMPRODUCT((IFERROR(INDEX(EF!H:H, MATCH(LCI!E$1:GC$1, EF!A:A, 0)), 0)) * INDEX(LCI!E:GC, MATCH(C96, LCI!C:C, 0), 0))</f>
        <v>0</v>
      </c>
      <c r="N96" s="3" cm="1">
        <f t="array" ref="N96">SUMPRODUCT((IFERROR(INDEX(EF!I:I, MATCH(LCI!E$1:GC$1, EF!A:A, 0)), 0)) * INDEX(LCI!E:GC, MATCH(C96, LCI!C:C, 0), 0))</f>
        <v>0.26905582813333334</v>
      </c>
      <c r="O96" s="3">
        <f t="shared" si="18"/>
        <v>4.4699804688888888E-3</v>
      </c>
      <c r="P96" s="3">
        <f t="shared" si="19"/>
        <v>4.4675971355555557E-3</v>
      </c>
      <c r="Q96" s="3">
        <f t="shared" si="20"/>
        <v>2.3833333333333335E-6</v>
      </c>
      <c r="R96" s="3">
        <f t="shared" si="21"/>
        <v>0</v>
      </c>
      <c r="S96" s="30" cm="1">
        <f t="array" ref="S96">EF!$I$2*INDEX(LCI!E:E,MATCH(C96,LCI!C:C,0),0)</f>
        <v>4.5833333333333337E-2</v>
      </c>
      <c r="T96" s="3">
        <f t="shared" si="22"/>
        <v>2.2625000000000002E-3</v>
      </c>
      <c r="U96" s="3" cm="1">
        <f t="array" ref="U96">EF!$I$5*INDEX(LCI!D:D,MATCH(C96,LCI!C:C,0),0)</f>
        <v>0</v>
      </c>
      <c r="V96" s="3">
        <f t="shared" si="23"/>
        <v>4.4842638022222223E-3</v>
      </c>
      <c r="W96" s="3" t="s">
        <v>128</v>
      </c>
      <c r="Y96" s="3" t="s">
        <v>321</v>
      </c>
      <c r="AA96" s="30">
        <f t="shared" si="24"/>
        <v>5.2580097135555559E-2</v>
      </c>
      <c r="AB96" s="3">
        <f t="shared" si="25"/>
        <v>6.0680138022222224E-3</v>
      </c>
      <c r="AC96" s="3">
        <f t="shared" si="26"/>
        <v>4.2283884726934673E-18</v>
      </c>
      <c r="AR96"/>
    </row>
    <row r="97" spans="1:44" s="3" customFormat="1" ht="15" customHeight="1">
      <c r="A97" s="3">
        <v>31</v>
      </c>
      <c r="B97" s="3">
        <v>125</v>
      </c>
      <c r="C97" s="3" t="s">
        <v>252</v>
      </c>
      <c r="D97" s="3" t="s">
        <v>252</v>
      </c>
      <c r="E97" s="3">
        <v>3000</v>
      </c>
      <c r="G97" s="3" t="b">
        <v>0</v>
      </c>
      <c r="H97" s="3" t="s">
        <v>109</v>
      </c>
      <c r="I97" s="3">
        <v>1</v>
      </c>
      <c r="J97" s="3" cm="1">
        <f t="array" ref="J97">SUMPRODUCT((IFERROR(INDEX(EF!E:E, MATCH(LCI!E$1:GC$1, EF!A:A, 0)), 0)) * INDEX(LCI!E:GC, MATCH(C97, LCI!C:C, 0), 0))</f>
        <v>3.6303903444444445E-2</v>
      </c>
      <c r="K97" s="3" cm="1">
        <f t="array" ref="K97">SUMPRODUCT((IFERROR(INDEX(EF!F:F, MATCH(LCI!E$1:GC$1, EF!A:A, 0)), 0)) * INDEX(LCI!E:GC, MATCH(C97, LCI!C:C, 0), 0))</f>
        <v>3.6302525444444449E-2</v>
      </c>
      <c r="L97" s="3" cm="1">
        <f t="array" ref="L97">SUMPRODUCT((IFERROR(INDEX(EF!G:G, MATCH(LCI!E$1:GC$1, EF!A:A, 0)), 0)) * INDEX(LCI!E:GC, MATCH(C97, LCI!C:C, 0), 0))</f>
        <v>1.3780000000000002E-6</v>
      </c>
      <c r="M97" s="3" cm="1">
        <f t="array" ref="M97">SUMPRODUCT((IFERROR(INDEX(EF!H:H, MATCH(LCI!E$1:GC$1, EF!A:A, 0)), 0)) * INDEX(LCI!E:GC, MATCH(C97, LCI!C:C, 0), 0))</f>
        <v>0</v>
      </c>
      <c r="N97" s="3" cm="1">
        <f t="array" ref="N97">SUMPRODUCT((IFERROR(INDEX(EF!I:I, MATCH(LCI!E$1:GC$1, EF!A:A, 0)), 0)) * INDEX(LCI!E:GC, MATCH(C97, LCI!C:C, 0), 0))</f>
        <v>3.6310858777777781E-2</v>
      </c>
      <c r="O97" s="3">
        <f t="shared" si="18"/>
        <v>3.6303903444444445E-2</v>
      </c>
      <c r="P97" s="3">
        <f t="shared" si="19"/>
        <v>3.6302525444444449E-2</v>
      </c>
      <c r="Q97" s="3">
        <f t="shared" si="20"/>
        <v>1.3780000000000002E-6</v>
      </c>
      <c r="R97" s="3">
        <f t="shared" si="21"/>
        <v>0</v>
      </c>
      <c r="S97" s="30" cm="1">
        <f t="array" ref="S97">EF!$I$2*INDEX(LCI!E:E,MATCH(C97,LCI!C:C,0),0)</f>
        <v>1.5277777777777781E-3</v>
      </c>
      <c r="T97" s="3">
        <f t="shared" si="22"/>
        <v>9.0500000000000008E-3</v>
      </c>
      <c r="U97" s="3" cm="1">
        <f t="array" ref="U97">EF!$I$5*INDEX(LCI!D:D,MATCH(C97,LCI!C:C,0),0)</f>
        <v>0</v>
      </c>
      <c r="V97" s="3">
        <f t="shared" si="23"/>
        <v>3.6310858777777781E-2</v>
      </c>
      <c r="W97" s="3" t="s">
        <v>128</v>
      </c>
      <c r="Y97" s="3" t="s">
        <v>464</v>
      </c>
      <c r="Z97" s="3" t="s">
        <v>147</v>
      </c>
      <c r="AA97" s="30">
        <f t="shared" si="24"/>
        <v>4.6888636555555557E-2</v>
      </c>
      <c r="AB97" s="3">
        <f t="shared" si="25"/>
        <v>4.2645858777777781E-2</v>
      </c>
      <c r="AC97" s="3">
        <f t="shared" si="26"/>
        <v>-3.6735818922419006E-18</v>
      </c>
      <c r="AR97"/>
    </row>
    <row r="98" spans="1:44" s="3" customFormat="1" ht="15" customHeight="1">
      <c r="A98" s="3">
        <v>22</v>
      </c>
      <c r="B98" s="3">
        <v>26</v>
      </c>
      <c r="C98" s="3" t="s">
        <v>94</v>
      </c>
      <c r="D98" s="15" t="s">
        <v>94</v>
      </c>
      <c r="E98" s="3">
        <v>700</v>
      </c>
      <c r="G98" s="3" t="b">
        <v>0</v>
      </c>
      <c r="H98" s="3" t="s">
        <v>109</v>
      </c>
      <c r="I98" s="3">
        <v>1</v>
      </c>
      <c r="J98" s="3" cm="1">
        <f t="array" ref="J98">SUMPRODUCT((IFERROR(INDEX(EF!E:E, MATCH(LCI!E$1:GC$1, EF!A:A, 0)), 0)) * INDEX(LCI!E:GC, MATCH(C98, LCI!C:C, 0), 0))</f>
        <v>3.4911055555555556E-2</v>
      </c>
      <c r="K98" s="3" cm="1">
        <f t="array" ref="K98">SUMPRODUCT((IFERROR(INDEX(EF!F:F, MATCH(LCI!E$1:GC$1, EF!A:A, 0)), 0)) * INDEX(LCI!E:GC, MATCH(C98, LCI!C:C, 0), 0))</f>
        <v>3.4887222222222222E-2</v>
      </c>
      <c r="L98" s="3" cm="1">
        <f t="array" ref="L98">SUMPRODUCT((IFERROR(INDEX(EF!G:G, MATCH(LCI!E$1:GC$1, EF!A:A, 0)), 0)) * INDEX(LCI!E:GC, MATCH(C98, LCI!C:C, 0), 0))</f>
        <v>2.3833333333333334E-5</v>
      </c>
      <c r="M98" s="3" cm="1">
        <f t="array" ref="M98">SUMPRODUCT((IFERROR(INDEX(EF!H:H, MATCH(LCI!E$1:GC$1, EF!A:A, 0)), 0)) * INDEX(LCI!E:GC, MATCH(C98, LCI!C:C, 0), 0))</f>
        <v>0</v>
      </c>
      <c r="N98" s="3" cm="1">
        <f t="array" ref="N98">SUMPRODUCT((IFERROR(INDEX(EF!I:I, MATCH(LCI!E$1:GC$1, EF!A:A, 0)), 0)) * INDEX(LCI!E:GC, MATCH(C98, LCI!C:C, 0), 0))</f>
        <v>3.5053888888888884E-2</v>
      </c>
      <c r="O98" s="3">
        <f t="shared" ref="O98:O119" si="27">J98*I98</f>
        <v>3.4911055555555556E-2</v>
      </c>
      <c r="P98" s="3">
        <f t="shared" ref="P98:P119" si="28">K98*I98</f>
        <v>3.4887222222222222E-2</v>
      </c>
      <c r="Q98" s="3">
        <f t="shared" ref="Q98:Q119" si="29">L98*I98</f>
        <v>2.3833333333333334E-5</v>
      </c>
      <c r="R98" s="3">
        <f t="shared" ref="R98:R119" si="30">M98*I98</f>
        <v>0</v>
      </c>
      <c r="S98" s="30" cm="1">
        <f t="array" ref="S98">EF!$I$2*INDEX(LCI!E:E,MATCH(C98,LCI!C:C,0),0)</f>
        <v>3.0555555555555555E-4</v>
      </c>
      <c r="T98" s="3">
        <f t="shared" ref="T98:T119" si="31">E98/1000*1/60*0.181</f>
        <v>2.1116666666666662E-3</v>
      </c>
      <c r="U98" s="3" cm="1">
        <f t="array" ref="U98">EF!$I$5*INDEX(LCI!D:D,MATCH(C98,LCI!C:C,0),0)</f>
        <v>0</v>
      </c>
      <c r="V98" s="3">
        <f t="shared" ref="V98:V119" si="32">N98*I98</f>
        <v>3.5053888888888884E-2</v>
      </c>
      <c r="W98" s="3" t="s">
        <v>128</v>
      </c>
      <c r="Y98" s="3" t="s">
        <v>148</v>
      </c>
      <c r="AA98" s="30">
        <f t="shared" ref="AA98:AA119" si="33">S98+T98+U98+V98</f>
        <v>3.7471111111111108E-2</v>
      </c>
      <c r="AB98" s="3">
        <f t="shared" ref="AB98:AB119" si="34">V98+E98/1000*1/60*0.181*0.7</f>
        <v>3.6532055555555554E-2</v>
      </c>
      <c r="AC98" s="3">
        <f t="shared" ref="AC98:AC121" si="35">J98-K98-L98-M98</f>
        <v>7.0473141211557788E-19</v>
      </c>
      <c r="AR98"/>
    </row>
    <row r="99" spans="1:44" s="3" customFormat="1" ht="15" customHeight="1">
      <c r="A99" s="3">
        <v>67</v>
      </c>
      <c r="B99" s="3">
        <v>11</v>
      </c>
      <c r="C99" s="3" t="s">
        <v>22</v>
      </c>
      <c r="D99" s="3" t="s">
        <v>115</v>
      </c>
      <c r="E99" s="3">
        <v>700</v>
      </c>
      <c r="F99" s="3" t="s">
        <v>116</v>
      </c>
      <c r="G99" s="3" t="b">
        <v>0</v>
      </c>
      <c r="H99" s="3" t="s">
        <v>109</v>
      </c>
      <c r="I99" s="3">
        <v>1</v>
      </c>
      <c r="J99" s="3" cm="1">
        <f t="array" ref="J99">SUMPRODUCT((IFERROR(INDEX(EF!E:E, MATCH(LCI!E$1:GC$1, EF!A:A, 0)), 0)) * INDEX(LCI!E:GC, MATCH(C99, LCI!C:C, 0), 0))</f>
        <v>1.5277777777777776E-2</v>
      </c>
      <c r="K99" s="3" cm="1">
        <f t="array" ref="K99">SUMPRODUCT((IFERROR(INDEX(EF!F:F, MATCH(LCI!E$1:GC$1, EF!A:A, 0)), 0)) * INDEX(LCI!E:GC, MATCH(C99, LCI!C:C, 0), 0))</f>
        <v>1.5277777777777776E-2</v>
      </c>
      <c r="L99" s="3" cm="1">
        <f t="array" ref="L99">SUMPRODUCT((IFERROR(INDEX(EF!G:G, MATCH(LCI!E$1:GC$1, EF!A:A, 0)), 0)) * INDEX(LCI!E:GC, MATCH(C99, LCI!C:C, 0), 0))</f>
        <v>0</v>
      </c>
      <c r="M99" s="3" cm="1">
        <f t="array" ref="M99">SUMPRODUCT((IFERROR(INDEX(EF!H:H, MATCH(LCI!E$1:GC$1, EF!A:A, 0)), 0)) * INDEX(LCI!E:GC, MATCH(C99, LCI!C:C, 0), 0))</f>
        <v>0</v>
      </c>
      <c r="N99" s="3" cm="1">
        <f t="array" ref="N99">SUMPRODUCT((IFERROR(INDEX(EF!I:I, MATCH(LCI!E$1:GC$1, EF!A:A, 0)), 0)) * INDEX(LCI!E:GC, MATCH(C99, LCI!C:C, 0), 0))</f>
        <v>1.5277777777777776E-2</v>
      </c>
      <c r="O99" s="3">
        <f t="shared" si="27"/>
        <v>1.5277777777777776E-2</v>
      </c>
      <c r="P99" s="3">
        <f t="shared" si="28"/>
        <v>1.5277777777777776E-2</v>
      </c>
      <c r="Q99" s="3">
        <f t="shared" si="29"/>
        <v>0</v>
      </c>
      <c r="R99" s="3">
        <f t="shared" si="30"/>
        <v>0</v>
      </c>
      <c r="S99" s="30" cm="1">
        <f t="array" ref="S99">EF!$I$2*INDEX(LCI!E:E,MATCH(C99,LCI!C:C,0),0)</f>
        <v>1.5277777777777776E-2</v>
      </c>
      <c r="T99" s="3">
        <f t="shared" si="31"/>
        <v>2.1116666666666662E-3</v>
      </c>
      <c r="U99" s="3" cm="1">
        <f t="array" ref="U99">EF!$I$5*INDEX(LCI!D:D,MATCH(C99,LCI!C:C,0),0)</f>
        <v>0</v>
      </c>
      <c r="V99" s="3">
        <f t="shared" si="32"/>
        <v>1.5277777777777776E-2</v>
      </c>
      <c r="W99" s="3" t="s">
        <v>128</v>
      </c>
      <c r="Y99" s="3" t="s">
        <v>131</v>
      </c>
      <c r="AA99" s="30">
        <f t="shared" si="33"/>
        <v>3.2667222222222222E-2</v>
      </c>
      <c r="AB99" s="3">
        <f t="shared" si="34"/>
        <v>1.6755944444444441E-2</v>
      </c>
      <c r="AC99" s="3">
        <f t="shared" si="35"/>
        <v>0</v>
      </c>
      <c r="AR99"/>
    </row>
    <row r="100" spans="1:44" s="3" customFormat="1" ht="15" customHeight="1">
      <c r="A100" s="3">
        <v>66</v>
      </c>
      <c r="B100" s="3">
        <v>10</v>
      </c>
      <c r="C100" s="3" t="s">
        <v>19</v>
      </c>
      <c r="D100" s="3" t="s">
        <v>19</v>
      </c>
      <c r="E100" s="3">
        <v>500</v>
      </c>
      <c r="F100" s="3" t="s">
        <v>112</v>
      </c>
      <c r="G100" s="3" t="b">
        <v>0</v>
      </c>
      <c r="H100" s="3" t="s">
        <v>109</v>
      </c>
      <c r="I100" s="3">
        <v>1</v>
      </c>
      <c r="J100" s="3" cm="1">
        <f t="array" ref="J100">SUMPRODUCT((IFERROR(INDEX(EF!E:E, MATCH(LCI!E$1:GC$1, EF!A:A, 0)), 0)) * INDEX(LCI!E:GC, MATCH(C100, LCI!C:C, 0), 0))</f>
        <v>1.5277777777777776E-2</v>
      </c>
      <c r="K100" s="3" cm="1">
        <f t="array" ref="K100">SUMPRODUCT((IFERROR(INDEX(EF!F:F, MATCH(LCI!E$1:GC$1, EF!A:A, 0)), 0)) * INDEX(LCI!E:GC, MATCH(C100, LCI!C:C, 0), 0))</f>
        <v>1.5277777777777776E-2</v>
      </c>
      <c r="L100" s="3" cm="1">
        <f t="array" ref="L100">SUMPRODUCT((IFERROR(INDEX(EF!G:G, MATCH(LCI!E$1:GC$1, EF!A:A, 0)), 0)) * INDEX(LCI!E:GC, MATCH(C100, LCI!C:C, 0), 0))</f>
        <v>0</v>
      </c>
      <c r="M100" s="3" cm="1">
        <f t="array" ref="M100">SUMPRODUCT((IFERROR(INDEX(EF!H:H, MATCH(LCI!E$1:GC$1, EF!A:A, 0)), 0)) * INDEX(LCI!E:GC, MATCH(C100, LCI!C:C, 0), 0))</f>
        <v>0</v>
      </c>
      <c r="N100" s="3" cm="1">
        <f t="array" ref="N100">SUMPRODUCT((IFERROR(INDEX(EF!I:I, MATCH(LCI!E$1:GC$1, EF!A:A, 0)), 0)) * INDEX(LCI!E:GC, MATCH(C100, LCI!C:C, 0), 0))</f>
        <v>1.5277777777777776E-2</v>
      </c>
      <c r="O100" s="3">
        <f t="shared" si="27"/>
        <v>1.5277777777777776E-2</v>
      </c>
      <c r="P100" s="3">
        <f t="shared" si="28"/>
        <v>1.5277777777777776E-2</v>
      </c>
      <c r="Q100" s="3">
        <f t="shared" si="29"/>
        <v>0</v>
      </c>
      <c r="R100" s="3">
        <f t="shared" si="30"/>
        <v>0</v>
      </c>
      <c r="S100" s="30" cm="1">
        <f t="array" ref="S100">EF!$I$2*INDEX(LCI!E:E,MATCH(C100,LCI!C:C,0),0)</f>
        <v>1.5277777777777776E-2</v>
      </c>
      <c r="T100" s="3">
        <f t="shared" si="31"/>
        <v>1.5083333333333333E-3</v>
      </c>
      <c r="U100" s="3" cm="1">
        <f t="array" ref="U100">EF!$I$5*INDEX(LCI!D:D,MATCH(C100,LCI!C:C,0),0)</f>
        <v>0</v>
      </c>
      <c r="V100" s="3">
        <f t="shared" si="32"/>
        <v>1.5277777777777776E-2</v>
      </c>
      <c r="W100" s="3" t="s">
        <v>128</v>
      </c>
      <c r="Y100" s="3" t="s">
        <v>131</v>
      </c>
      <c r="AA100" s="30">
        <f t="shared" si="33"/>
        <v>3.2063888888888885E-2</v>
      </c>
      <c r="AB100" s="3">
        <f t="shared" si="34"/>
        <v>1.6333611111111108E-2</v>
      </c>
      <c r="AC100" s="3">
        <f t="shared" si="35"/>
        <v>0</v>
      </c>
      <c r="AR100"/>
    </row>
    <row r="101" spans="1:44" s="3" customFormat="1" ht="15" customHeight="1">
      <c r="A101" s="3">
        <v>64</v>
      </c>
      <c r="B101" s="3">
        <v>55</v>
      </c>
      <c r="C101" s="3" t="s">
        <v>327</v>
      </c>
      <c r="D101" s="3" t="s">
        <v>327</v>
      </c>
      <c r="E101" s="3">
        <v>10000</v>
      </c>
      <c r="G101" s="3" t="b">
        <v>0</v>
      </c>
      <c r="H101" s="3" t="s">
        <v>326</v>
      </c>
      <c r="I101" s="3">
        <f>1/1140</f>
        <v>8.7719298245614037E-4</v>
      </c>
      <c r="J101" s="3" cm="1">
        <f t="array" ref="J101">SUMPRODUCT((IFERROR(INDEX(EF!E:E, MATCH(LCI!E$1:GC$1, EF!A:A, 0)), 0)) * INDEX(LCI!E:GC, MATCH(C101, LCI!C:C, 0), 0))</f>
        <v>8.1348667777777772E-2</v>
      </c>
      <c r="K101" s="3" cm="1">
        <f t="array" ref="K101">SUMPRODUCT((IFERROR(INDEX(EF!F:F, MATCH(LCI!E$1:GC$1, EF!A:A, 0)), 0)) * INDEX(LCI!E:GC, MATCH(C101, LCI!C:C, 0), 0))</f>
        <v>8.1343901111111103E-2</v>
      </c>
      <c r="L101" s="3" cm="1">
        <f t="array" ref="L101">SUMPRODUCT((IFERROR(INDEX(EF!G:G, MATCH(LCI!E$1:GC$1, EF!A:A, 0)), 0)) * INDEX(LCI!E:GC, MATCH(C101, LCI!C:C, 0), 0))</f>
        <v>4.7666666666666671E-6</v>
      </c>
      <c r="M101" s="3" cm="1">
        <f t="array" ref="M101">SUMPRODUCT((IFERROR(INDEX(EF!H:H, MATCH(LCI!E$1:GC$1, EF!A:A, 0)), 0)) * INDEX(LCI!E:GC, MATCH(C101, LCI!C:C, 0), 0))</f>
        <v>0</v>
      </c>
      <c r="N101" s="3" cm="1">
        <f t="array" ref="N101">SUMPRODUCT((IFERROR(INDEX(EF!I:I, MATCH(LCI!E$1:GC$1, EF!A:A, 0)), 0)) * INDEX(LCI!E:GC, MATCH(C101, LCI!C:C, 0), 0))</f>
        <v>8.1377234444444432E-2</v>
      </c>
      <c r="O101" s="3">
        <f t="shared" si="27"/>
        <v>7.1358480506822608E-5</v>
      </c>
      <c r="P101" s="3">
        <f t="shared" si="28"/>
        <v>7.1354299220272903E-5</v>
      </c>
      <c r="Q101" s="3">
        <f t="shared" si="29"/>
        <v>4.1812865497076031E-9</v>
      </c>
      <c r="R101" s="3">
        <f t="shared" si="30"/>
        <v>0</v>
      </c>
      <c r="S101" s="30" cm="1">
        <f t="array" ref="S101">EF!$I$2*INDEX(LCI!E:E,MATCH(C101,LCI!C:C,0),0)</f>
        <v>1.5277777777777781E-3</v>
      </c>
      <c r="T101" s="3">
        <f t="shared" si="31"/>
        <v>3.0166666666666665E-2</v>
      </c>
      <c r="U101" s="3" cm="1">
        <f t="array" ref="U101">EF!$I$5*INDEX(LCI!D:D,MATCH(C101,LCI!C:C,0),0)</f>
        <v>0</v>
      </c>
      <c r="V101" s="3">
        <f t="shared" si="32"/>
        <v>7.1383538986354765E-5</v>
      </c>
      <c r="W101" s="3" t="s">
        <v>328</v>
      </c>
      <c r="X101" s="3" t="s">
        <v>330</v>
      </c>
      <c r="Y101" s="16" t="s">
        <v>329</v>
      </c>
      <c r="AA101" s="30">
        <f t="shared" si="33"/>
        <v>3.1765827983430799E-2</v>
      </c>
      <c r="AB101" s="3">
        <f t="shared" si="34"/>
        <v>2.1188050205653019E-2</v>
      </c>
      <c r="AC101" s="3">
        <f t="shared" si="35"/>
        <v>2.9163344373965561E-18</v>
      </c>
      <c r="AR101"/>
    </row>
    <row r="102" spans="1:44" s="3" customFormat="1" ht="15" customHeight="1">
      <c r="A102" s="3">
        <v>1</v>
      </c>
      <c r="B102" s="3">
        <v>3</v>
      </c>
      <c r="C102" s="3" t="s">
        <v>235</v>
      </c>
      <c r="D102" s="3" t="s">
        <v>18</v>
      </c>
      <c r="E102" s="3">
        <v>2500</v>
      </c>
      <c r="F102" s="3" t="s">
        <v>111</v>
      </c>
      <c r="G102" s="3" t="b">
        <v>0</v>
      </c>
      <c r="H102" s="3" t="s">
        <v>163</v>
      </c>
      <c r="I102" s="3">
        <f>1/60</f>
        <v>1.6666666666666666E-2</v>
      </c>
      <c r="J102" s="3" cm="1">
        <f t="array" ref="J102">SUMPRODUCT((IFERROR(INDEX(EF!E:E, MATCH(LCI!E$1:GC$1, EF!A:A, 0)), 0)) * INDEX(LCI!E:GC, MATCH(C102, LCI!C:C, 0), 0))</f>
        <v>9.1474177777777776E-2</v>
      </c>
      <c r="K102" s="3" cm="1">
        <f t="array" ref="K102">SUMPRODUCT((IFERROR(INDEX(EF!F:F, MATCH(LCI!E$1:GC$1, EF!A:A, 0)), 0)) * INDEX(LCI!E:GC, MATCH(C102, LCI!C:C, 0), 0))</f>
        <v>9.1474177777777776E-2</v>
      </c>
      <c r="L102" s="3" cm="1">
        <f t="array" ref="L102">SUMPRODUCT((IFERROR(INDEX(EF!G:G, MATCH(LCI!E$1:GC$1, EF!A:A, 0)), 0)) * INDEX(LCI!E:GC, MATCH(C102, LCI!C:C, 0), 0))</f>
        <v>0</v>
      </c>
      <c r="M102" s="3" cm="1">
        <f t="array" ref="M102">SUMPRODUCT((IFERROR(INDEX(EF!H:H, MATCH(LCI!E$1:GC$1, EF!A:A, 0)), 0)) * INDEX(LCI!E:GC, MATCH(C102, LCI!C:C, 0), 0))</f>
        <v>0</v>
      </c>
      <c r="N102" s="3" cm="1">
        <f t="array" ref="N102">SUMPRODUCT((IFERROR(INDEX(EF!I:I, MATCH(LCI!E$1:GC$1, EF!A:A, 0)), 0)) * INDEX(LCI!E:GC, MATCH(C102, LCI!C:C, 0), 0))</f>
        <v>9.1474177777777776E-2</v>
      </c>
      <c r="O102" s="3">
        <f t="shared" si="27"/>
        <v>1.5245696296296296E-3</v>
      </c>
      <c r="P102" s="3">
        <f t="shared" si="28"/>
        <v>1.5245696296296296E-3</v>
      </c>
      <c r="Q102" s="3">
        <f t="shared" si="29"/>
        <v>0</v>
      </c>
      <c r="R102" s="3">
        <f t="shared" si="30"/>
        <v>0</v>
      </c>
      <c r="S102" s="30" cm="1">
        <f t="array" ref="S102">EF!$I$2*INDEX(LCI!E:E,MATCH(C102,LCI!C:C,0),0)</f>
        <v>1.5277777777777776E-2</v>
      </c>
      <c r="T102" s="3">
        <f t="shared" si="31"/>
        <v>7.5416666666666661E-3</v>
      </c>
      <c r="U102" s="3" cm="1">
        <f t="array" ref="U102">EF!$I$5*INDEX(LCI!D:D,MATCH(C102,LCI!C:C,0),0)</f>
        <v>0</v>
      </c>
      <c r="V102" s="3">
        <f t="shared" si="32"/>
        <v>1.5245696296296296E-3</v>
      </c>
      <c r="W102" s="3" t="s">
        <v>200</v>
      </c>
      <c r="X102" s="3" t="s">
        <v>238</v>
      </c>
      <c r="Y102" s="3" t="s">
        <v>320</v>
      </c>
      <c r="Z102" s="14" t="s">
        <v>319</v>
      </c>
      <c r="AA102" s="30">
        <f t="shared" si="33"/>
        <v>2.434401407407407E-2</v>
      </c>
      <c r="AB102" s="3">
        <f t="shared" si="34"/>
        <v>6.803736296296296E-3</v>
      </c>
      <c r="AC102" s="3">
        <f t="shared" si="35"/>
        <v>0</v>
      </c>
      <c r="AR102" t="s">
        <v>140</v>
      </c>
    </row>
    <row r="103" spans="1:44" s="3" customFormat="1" ht="15" customHeight="1">
      <c r="A103" s="3">
        <v>53</v>
      </c>
      <c r="B103" s="3">
        <v>4</v>
      </c>
      <c r="C103" s="3" t="s">
        <v>101</v>
      </c>
      <c r="D103" s="15" t="s">
        <v>101</v>
      </c>
      <c r="E103" s="3">
        <v>300</v>
      </c>
      <c r="G103" s="3" t="b">
        <v>0</v>
      </c>
      <c r="H103" s="3" t="s">
        <v>163</v>
      </c>
      <c r="I103" s="3">
        <f>1/60</f>
        <v>1.6666666666666666E-2</v>
      </c>
      <c r="J103" s="3" cm="1">
        <f t="array" ref="J103">SUMPRODUCT((IFERROR(INDEX(EF!E:E, MATCH(LCI!E$1:GC$1, EF!A:A, 0)), 0)) * INDEX(LCI!E:GC, MATCH(C103, LCI!C:C, 0), 0))</f>
        <v>0.12400490937777779</v>
      </c>
      <c r="K103" s="3" cm="1">
        <f t="array" ref="K103">SUMPRODUCT((IFERROR(INDEX(EF!F:F, MATCH(LCI!E$1:GC$1, EF!A:A, 0)), 0)) * INDEX(LCI!E:GC, MATCH(C103, LCI!C:C, 0), 0))</f>
        <v>0.12393340937777779</v>
      </c>
      <c r="L103" s="3" cm="1">
        <f t="array" ref="L103">SUMPRODUCT((IFERROR(INDEX(EF!G:G, MATCH(LCI!E$1:GC$1, EF!A:A, 0)), 0)) * INDEX(LCI!E:GC, MATCH(C103, LCI!C:C, 0), 0))</f>
        <v>7.1500000000000003E-5</v>
      </c>
      <c r="M103" s="3" cm="1">
        <f t="array" ref="M103">SUMPRODUCT((IFERROR(INDEX(EF!H:H, MATCH(LCI!E$1:GC$1, EF!A:A, 0)), 0)) * INDEX(LCI!E:GC, MATCH(C103, LCI!C:C, 0), 0))</f>
        <v>0</v>
      </c>
      <c r="N103" s="3" cm="1">
        <f t="array" ref="N103">SUMPRODUCT((IFERROR(INDEX(EF!I:I, MATCH(LCI!E$1:GC$1, EF!A:A, 0)), 0)) * INDEX(LCI!E:GC, MATCH(C103, LCI!C:C, 0), 0))</f>
        <v>0.12443340937777779</v>
      </c>
      <c r="O103" s="3">
        <f t="shared" si="27"/>
        <v>2.06674848962963E-3</v>
      </c>
      <c r="P103" s="3">
        <f t="shared" si="28"/>
        <v>2.065556822962963E-3</v>
      </c>
      <c r="Q103" s="3">
        <f t="shared" si="29"/>
        <v>1.1916666666666668E-6</v>
      </c>
      <c r="R103" s="3">
        <f t="shared" si="30"/>
        <v>0</v>
      </c>
      <c r="S103" s="30" cm="1">
        <f t="array" ref="S103">EF!$I$2*INDEX(LCI!E:E,MATCH(C103,LCI!C:C,0),0)</f>
        <v>1.5277777777777776E-2</v>
      </c>
      <c r="T103" s="3">
        <f t="shared" si="31"/>
        <v>9.0499999999999999E-4</v>
      </c>
      <c r="U103" s="3" cm="1">
        <f t="array" ref="U103">EF!$I$5*INDEX(LCI!D:D,MATCH(C103,LCI!C:C,0),0)</f>
        <v>0</v>
      </c>
      <c r="V103" s="3">
        <f t="shared" si="32"/>
        <v>2.0738901562962963E-3</v>
      </c>
      <c r="W103" s="3" t="s">
        <v>128</v>
      </c>
      <c r="Y103" s="3" t="s">
        <v>321</v>
      </c>
      <c r="AA103" s="30">
        <f t="shared" si="33"/>
        <v>1.8256667934074072E-2</v>
      </c>
      <c r="AB103" s="3">
        <f t="shared" si="34"/>
        <v>2.7073901562962963E-3</v>
      </c>
      <c r="AC103" s="3">
        <f t="shared" si="35"/>
        <v>2.1141942363467336E-18</v>
      </c>
      <c r="AR103"/>
    </row>
    <row r="104" spans="1:44" s="3" customFormat="1" ht="15" customHeight="1">
      <c r="A104" s="3">
        <v>11</v>
      </c>
      <c r="B104" s="3">
        <v>147</v>
      </c>
      <c r="C104" s="3" t="s">
        <v>242</v>
      </c>
      <c r="D104" s="3" t="s">
        <v>242</v>
      </c>
      <c r="E104" s="3">
        <v>1500</v>
      </c>
      <c r="G104" s="3" t="b">
        <v>0</v>
      </c>
      <c r="H104" s="3" t="s">
        <v>109</v>
      </c>
      <c r="I104" s="3">
        <v>1</v>
      </c>
      <c r="J104" s="3" cm="1">
        <f t="array" ref="J104">SUMPRODUCT((IFERROR(INDEX(EF!E:E, MATCH(LCI!E$1:GC$1, EF!A:A, 0)), 0)) * INDEX(LCI!E:GC, MATCH(C104, LCI!C:C, 0), 0))</f>
        <v>1.2111927194444445E-2</v>
      </c>
      <c r="K104" s="3" cm="1">
        <f t="array" ref="K104">SUMPRODUCT((IFERROR(INDEX(EF!F:F, MATCH(LCI!E$1:GC$1, EF!A:A, 0)), 0)) * INDEX(LCI!E:GC, MATCH(C104, LCI!C:C, 0), 0))</f>
        <v>1.2104777194444444E-2</v>
      </c>
      <c r="L104" s="3" cm="1">
        <f t="array" ref="L104">SUMPRODUCT((IFERROR(INDEX(EF!G:G, MATCH(LCI!E$1:GC$1, EF!A:A, 0)), 0)) * INDEX(LCI!E:GC, MATCH(C104, LCI!C:C, 0), 0))</f>
        <v>7.1500000000000002E-6</v>
      </c>
      <c r="M104" s="3" cm="1">
        <f t="array" ref="M104">SUMPRODUCT((IFERROR(INDEX(EF!H:H, MATCH(LCI!E$1:GC$1, EF!A:A, 0)), 0)) * INDEX(LCI!E:GC, MATCH(C104, LCI!C:C, 0), 0))</f>
        <v>0</v>
      </c>
      <c r="N104" s="3" cm="1">
        <f t="array" ref="N104">SUMPRODUCT((IFERROR(INDEX(EF!I:I, MATCH(LCI!E$1:GC$1, EF!A:A, 0)), 0)) * INDEX(LCI!E:GC, MATCH(C104, LCI!C:C, 0), 0))</f>
        <v>1.2154777194444445E-2</v>
      </c>
      <c r="O104" s="3">
        <f t="shared" si="27"/>
        <v>1.2111927194444445E-2</v>
      </c>
      <c r="P104" s="3">
        <f t="shared" si="28"/>
        <v>1.2104777194444444E-2</v>
      </c>
      <c r="Q104" s="3">
        <f t="shared" si="29"/>
        <v>7.1500000000000002E-6</v>
      </c>
      <c r="R104" s="3">
        <f t="shared" si="30"/>
        <v>0</v>
      </c>
      <c r="S104" s="30" cm="1">
        <f t="array" ref="S104">EF!$I$2*INDEX(LCI!E:E,MATCH(C104,LCI!C:C,0),0)</f>
        <v>1.5277777777777781E-3</v>
      </c>
      <c r="T104" s="3">
        <f t="shared" si="31"/>
        <v>4.5250000000000004E-3</v>
      </c>
      <c r="U104" s="3" cm="1">
        <f t="array" ref="U104">EF!$I$5*INDEX(LCI!D:D,MATCH(C104,LCI!C:C,0),0)</f>
        <v>0</v>
      </c>
      <c r="V104" s="3">
        <f t="shared" si="32"/>
        <v>1.2154777194444445E-2</v>
      </c>
      <c r="W104" s="3" t="s">
        <v>128</v>
      </c>
      <c r="Y104" s="3" t="s">
        <v>386</v>
      </c>
      <c r="AA104" s="30">
        <f t="shared" si="33"/>
        <v>1.8207554972222224E-2</v>
      </c>
      <c r="AB104" s="3">
        <f t="shared" si="34"/>
        <v>1.5322277194444445E-2</v>
      </c>
      <c r="AC104" s="3">
        <f t="shared" si="35"/>
        <v>9.0547822061484706E-19</v>
      </c>
      <c r="AR104"/>
    </row>
    <row r="105" spans="1:44" s="3" customFormat="1" ht="15" customHeight="1">
      <c r="A105" s="3">
        <v>55</v>
      </c>
      <c r="B105" s="3">
        <v>146</v>
      </c>
      <c r="C105" s="15" t="s">
        <v>189</v>
      </c>
      <c r="D105" s="15" t="s">
        <v>95</v>
      </c>
      <c r="E105" s="3">
        <v>500</v>
      </c>
      <c r="G105" s="3" t="b">
        <v>0</v>
      </c>
      <c r="H105" s="3" t="s">
        <v>163</v>
      </c>
      <c r="I105" s="3">
        <f>1/60</f>
        <v>1.6666666666666666E-2</v>
      </c>
      <c r="J105" s="3" cm="1">
        <f t="array" ref="J105">SUMPRODUCT((IFERROR(INDEX(EF!E:E, MATCH(LCI!E$1:GC$1, EF!A:A, 0)), 0)) * INDEX(LCI!E:GC, MATCH(C105, LCI!C:C, 0), 0))</f>
        <v>5.8277867257777782E-2</v>
      </c>
      <c r="K105" s="3" cm="1">
        <f t="array" ref="K105">SUMPRODUCT((IFERROR(INDEX(EF!F:F, MATCH(LCI!E$1:GC$1, EF!A:A, 0)), 0)) * INDEX(LCI!E:GC, MATCH(C105, LCI!C:C, 0), 0))</f>
        <v>5.8249267257777779E-2</v>
      </c>
      <c r="L105" s="3" cm="1">
        <f t="array" ref="L105">SUMPRODUCT((IFERROR(INDEX(EF!G:G, MATCH(LCI!E$1:GC$1, EF!A:A, 0)), 0)) * INDEX(LCI!E:GC, MATCH(C105, LCI!C:C, 0), 0))</f>
        <v>2.8600000000000001E-5</v>
      </c>
      <c r="M105" s="3" cm="1">
        <f t="array" ref="M105">SUMPRODUCT((IFERROR(INDEX(EF!H:H, MATCH(LCI!E$1:GC$1, EF!A:A, 0)), 0)) * INDEX(LCI!E:GC, MATCH(C105, LCI!C:C, 0), 0))</f>
        <v>0</v>
      </c>
      <c r="N105" s="3" cm="1">
        <f t="array" ref="N105">SUMPRODUCT((IFERROR(INDEX(EF!I:I, MATCH(LCI!E$1:GC$1, EF!A:A, 0)), 0)) * INDEX(LCI!E:GC, MATCH(C105, LCI!C:C, 0), 0))</f>
        <v>5.8449267257777784E-2</v>
      </c>
      <c r="O105" s="3">
        <f t="shared" si="27"/>
        <v>9.7129778762962968E-4</v>
      </c>
      <c r="P105" s="3">
        <f t="shared" si="28"/>
        <v>9.7082112096296292E-4</v>
      </c>
      <c r="Q105" s="3">
        <f t="shared" si="29"/>
        <v>4.7666666666666667E-7</v>
      </c>
      <c r="R105" s="3">
        <f t="shared" si="30"/>
        <v>0</v>
      </c>
      <c r="S105" s="30" cm="1">
        <f t="array" ref="S105">EF!$I$2*INDEX(LCI!E:E,MATCH(C105,LCI!C:C,0),0)</f>
        <v>1.5277777777777776E-2</v>
      </c>
      <c r="T105" s="3">
        <f t="shared" si="31"/>
        <v>1.5083333333333333E-3</v>
      </c>
      <c r="U105" s="3" cm="1">
        <f t="array" ref="U105">EF!$I$5*INDEX(LCI!D:D,MATCH(C105,LCI!C:C,0),0)</f>
        <v>0</v>
      </c>
      <c r="V105" s="3">
        <f t="shared" si="32"/>
        <v>9.7415445429629641E-4</v>
      </c>
      <c r="W105" s="3" t="s">
        <v>162</v>
      </c>
      <c r="Y105" s="3" t="s">
        <v>322</v>
      </c>
      <c r="AA105" s="30">
        <f t="shared" si="33"/>
        <v>1.7760265565407406E-2</v>
      </c>
      <c r="AB105" s="3">
        <f t="shared" si="34"/>
        <v>2.0299877876296295E-3</v>
      </c>
      <c r="AC105" s="3">
        <f t="shared" si="35"/>
        <v>3.6219128824593882E-18</v>
      </c>
      <c r="AR105"/>
    </row>
    <row r="106" spans="1:44" s="3" customFormat="1" ht="15" customHeight="1">
      <c r="A106" s="3">
        <v>54</v>
      </c>
      <c r="B106" s="3">
        <v>141</v>
      </c>
      <c r="C106" s="3" t="s">
        <v>103</v>
      </c>
      <c r="D106" s="15" t="s">
        <v>104</v>
      </c>
      <c r="E106" s="3">
        <v>75</v>
      </c>
      <c r="G106" s="3" t="b">
        <v>0</v>
      </c>
      <c r="H106" s="3" t="s">
        <v>163</v>
      </c>
      <c r="I106" s="3">
        <f>1/60</f>
        <v>1.6666666666666666E-2</v>
      </c>
      <c r="J106" s="3" cm="1">
        <f t="array" ref="J106">SUMPRODUCT((IFERROR(INDEX(EF!E:E, MATCH(LCI!E$1:GC$1, EF!A:A, 0)), 0)) * INDEX(LCI!E:GC, MATCH(C106, LCI!C:C, 0), 0))</f>
        <v>5.8277867257777782E-2</v>
      </c>
      <c r="K106" s="3" cm="1">
        <f t="array" ref="K106">SUMPRODUCT((IFERROR(INDEX(EF!F:F, MATCH(LCI!E$1:GC$1, EF!A:A, 0)), 0)) * INDEX(LCI!E:GC, MATCH(C106, LCI!C:C, 0), 0))</f>
        <v>5.8249267257777779E-2</v>
      </c>
      <c r="L106" s="3" cm="1">
        <f t="array" ref="L106">SUMPRODUCT((IFERROR(INDEX(EF!G:G, MATCH(LCI!E$1:GC$1, EF!A:A, 0)), 0)) * INDEX(LCI!E:GC, MATCH(C106, LCI!C:C, 0), 0))</f>
        <v>2.8600000000000001E-5</v>
      </c>
      <c r="M106" s="3" cm="1">
        <f t="array" ref="M106">SUMPRODUCT((IFERROR(INDEX(EF!H:H, MATCH(LCI!E$1:GC$1, EF!A:A, 0)), 0)) * INDEX(LCI!E:GC, MATCH(C106, LCI!C:C, 0), 0))</f>
        <v>0</v>
      </c>
      <c r="N106" s="3" cm="1">
        <f t="array" ref="N106">SUMPRODUCT((IFERROR(INDEX(EF!I:I, MATCH(LCI!E$1:GC$1, EF!A:A, 0)), 0)) * INDEX(LCI!E:GC, MATCH(C106, LCI!C:C, 0), 0))</f>
        <v>5.8449267257777784E-2</v>
      </c>
      <c r="O106" s="3">
        <f t="shared" si="27"/>
        <v>9.7129778762962968E-4</v>
      </c>
      <c r="P106" s="3">
        <f t="shared" si="28"/>
        <v>9.7082112096296292E-4</v>
      </c>
      <c r="Q106" s="3">
        <f t="shared" si="29"/>
        <v>4.7666666666666667E-7</v>
      </c>
      <c r="R106" s="3">
        <f t="shared" si="30"/>
        <v>0</v>
      </c>
      <c r="S106" s="30" cm="1">
        <f t="array" ref="S106">EF!$I$2*INDEX(LCI!E:E,MATCH(C106,LCI!C:C,0),0)</f>
        <v>1.5277777777777776E-2</v>
      </c>
      <c r="T106" s="3">
        <f t="shared" si="31"/>
        <v>2.2625E-4</v>
      </c>
      <c r="U106" s="3" cm="1">
        <f t="array" ref="U106">EF!$I$5*INDEX(LCI!D:D,MATCH(C106,LCI!C:C,0),0)</f>
        <v>0</v>
      </c>
      <c r="V106" s="3">
        <f t="shared" si="32"/>
        <v>9.7415445429629641E-4</v>
      </c>
      <c r="W106" s="3" t="s">
        <v>128</v>
      </c>
      <c r="Y106" s="3" t="s">
        <v>321</v>
      </c>
      <c r="AA106" s="30">
        <f t="shared" si="33"/>
        <v>1.6478182232074073E-2</v>
      </c>
      <c r="AB106" s="3">
        <f t="shared" si="34"/>
        <v>1.1325294542962965E-3</v>
      </c>
      <c r="AC106" s="3">
        <f t="shared" si="35"/>
        <v>3.6219128824593882E-18</v>
      </c>
      <c r="AR106"/>
    </row>
    <row r="107" spans="1:44" s="3" customFormat="1" ht="15" customHeight="1">
      <c r="A107" s="3">
        <v>13</v>
      </c>
      <c r="B107" s="3">
        <v>150</v>
      </c>
      <c r="C107" s="3" t="s">
        <v>245</v>
      </c>
      <c r="D107" s="3" t="s">
        <v>245</v>
      </c>
      <c r="E107" s="3">
        <v>1500</v>
      </c>
      <c r="G107" s="3" t="b">
        <v>0</v>
      </c>
      <c r="H107" s="3" t="s">
        <v>109</v>
      </c>
      <c r="I107" s="3">
        <v>1</v>
      </c>
      <c r="J107" s="3" cm="1">
        <f t="array" ref="J107">SUMPRODUCT((IFERROR(INDEX(EF!E:E, MATCH(LCI!E$1:GC$1, EF!A:A, 0)), 0)) * INDEX(LCI!E:GC, MATCH(C107, LCI!C:C, 0), 0))</f>
        <v>8.6513771944444449E-3</v>
      </c>
      <c r="K107" s="3" cm="1">
        <f t="array" ref="K107">SUMPRODUCT((IFERROR(INDEX(EF!F:F, MATCH(LCI!E$1:GC$1, EF!A:A, 0)), 0)) * INDEX(LCI!E:GC, MATCH(C107, LCI!C:C, 0), 0))</f>
        <v>8.6466105277777788E-3</v>
      </c>
      <c r="L107" s="3" cm="1">
        <f t="array" ref="L107">SUMPRODUCT((IFERROR(INDEX(EF!G:G, MATCH(LCI!E$1:GC$1, EF!A:A, 0)), 0)) * INDEX(LCI!E:GC, MATCH(C107, LCI!C:C, 0), 0))</f>
        <v>4.7666666666666671E-6</v>
      </c>
      <c r="M107" s="3" cm="1">
        <f t="array" ref="M107">SUMPRODUCT((IFERROR(INDEX(EF!H:H, MATCH(LCI!E$1:GC$1, EF!A:A, 0)), 0)) * INDEX(LCI!E:GC, MATCH(C107, LCI!C:C, 0), 0))</f>
        <v>0</v>
      </c>
      <c r="N107" s="3" cm="1">
        <f t="array" ref="N107">SUMPRODUCT((IFERROR(INDEX(EF!I:I, MATCH(LCI!E$1:GC$1, EF!A:A, 0)), 0)) * INDEX(LCI!E:GC, MATCH(C107, LCI!C:C, 0), 0))</f>
        <v>8.679943861111112E-3</v>
      </c>
      <c r="O107" s="3">
        <f t="shared" si="27"/>
        <v>8.6513771944444449E-3</v>
      </c>
      <c r="P107" s="3">
        <f t="shared" si="28"/>
        <v>8.6466105277777788E-3</v>
      </c>
      <c r="Q107" s="3">
        <f t="shared" si="29"/>
        <v>4.7666666666666671E-6</v>
      </c>
      <c r="R107" s="3">
        <f t="shared" si="30"/>
        <v>0</v>
      </c>
      <c r="S107" s="30" cm="1">
        <f t="array" ref="S107">EF!$I$2*INDEX(LCI!E:E,MATCH(C107,LCI!C:C,0),0)</f>
        <v>1.5277777777777781E-3</v>
      </c>
      <c r="T107" s="3">
        <f t="shared" si="31"/>
        <v>4.5250000000000004E-3</v>
      </c>
      <c r="U107" s="3" cm="1">
        <f t="array" ref="U107">EF!$I$5*INDEX(LCI!D:D,MATCH(C107,LCI!C:C,0),0)</f>
        <v>0</v>
      </c>
      <c r="V107" s="3">
        <f t="shared" si="32"/>
        <v>8.679943861111112E-3</v>
      </c>
      <c r="W107" s="3" t="s">
        <v>156</v>
      </c>
      <c r="Y107" s="3" t="s">
        <v>386</v>
      </c>
      <c r="Z107" s="3" t="s">
        <v>157</v>
      </c>
      <c r="AA107" s="30">
        <f t="shared" si="33"/>
        <v>1.473272163888889E-2</v>
      </c>
      <c r="AB107" s="3">
        <f t="shared" si="34"/>
        <v>1.1847443861111112E-2</v>
      </c>
      <c r="AC107" s="3">
        <f t="shared" si="35"/>
        <v>-5.5311251455705812E-19</v>
      </c>
      <c r="AR107"/>
    </row>
    <row r="108" spans="1:44" s="3" customFormat="1" ht="15" customHeight="1">
      <c r="A108" s="3">
        <v>15</v>
      </c>
      <c r="B108" s="3">
        <v>151</v>
      </c>
      <c r="C108" s="3" t="s">
        <v>247</v>
      </c>
      <c r="D108" s="3" t="s">
        <v>247</v>
      </c>
      <c r="E108" s="3">
        <v>1500</v>
      </c>
      <c r="G108" s="3" t="b">
        <v>0</v>
      </c>
      <c r="H108" s="3" t="s">
        <v>109</v>
      </c>
      <c r="I108" s="3">
        <v>1</v>
      </c>
      <c r="J108" s="3" cm="1">
        <f t="array" ref="J108">SUMPRODUCT((IFERROR(INDEX(EF!E:E, MATCH(LCI!E$1:GC$1, EF!A:A, 0)), 0)) * INDEX(LCI!E:GC, MATCH(C108, LCI!C:C, 0), 0))</f>
        <v>8.6513771944444449E-3</v>
      </c>
      <c r="K108" s="3" cm="1">
        <f t="array" ref="K108">SUMPRODUCT((IFERROR(INDEX(EF!F:F, MATCH(LCI!E$1:GC$1, EF!A:A, 0)), 0)) * INDEX(LCI!E:GC, MATCH(C108, LCI!C:C, 0), 0))</f>
        <v>8.6466105277777788E-3</v>
      </c>
      <c r="L108" s="3" cm="1">
        <f t="array" ref="L108">SUMPRODUCT((IFERROR(INDEX(EF!G:G, MATCH(LCI!E$1:GC$1, EF!A:A, 0)), 0)) * INDEX(LCI!E:GC, MATCH(C108, LCI!C:C, 0), 0))</f>
        <v>4.7666666666666671E-6</v>
      </c>
      <c r="M108" s="3" cm="1">
        <f t="array" ref="M108">SUMPRODUCT((IFERROR(INDEX(EF!H:H, MATCH(LCI!E$1:GC$1, EF!A:A, 0)), 0)) * INDEX(LCI!E:GC, MATCH(C108, LCI!C:C, 0), 0))</f>
        <v>0</v>
      </c>
      <c r="N108" s="3" cm="1">
        <f t="array" ref="N108">SUMPRODUCT((IFERROR(INDEX(EF!I:I, MATCH(LCI!E$1:GC$1, EF!A:A, 0)), 0)) * INDEX(LCI!E:GC, MATCH(C108, LCI!C:C, 0), 0))</f>
        <v>8.679943861111112E-3</v>
      </c>
      <c r="O108" s="3">
        <f t="shared" si="27"/>
        <v>8.6513771944444449E-3</v>
      </c>
      <c r="P108" s="3">
        <f t="shared" si="28"/>
        <v>8.6466105277777788E-3</v>
      </c>
      <c r="Q108" s="3">
        <f t="shared" si="29"/>
        <v>4.7666666666666671E-6</v>
      </c>
      <c r="R108" s="3">
        <f t="shared" si="30"/>
        <v>0</v>
      </c>
      <c r="S108" s="30" cm="1">
        <f t="array" ref="S108">EF!$I$2*INDEX(LCI!E:E,MATCH(C108,LCI!C:C,0),0)</f>
        <v>1.5277777777777781E-3</v>
      </c>
      <c r="T108" s="3">
        <f t="shared" si="31"/>
        <v>4.5250000000000004E-3</v>
      </c>
      <c r="U108" s="3" cm="1">
        <f t="array" ref="U108">EF!$I$5*INDEX(LCI!D:D,MATCH(C108,LCI!C:C,0),0)</f>
        <v>0</v>
      </c>
      <c r="V108" s="3">
        <f t="shared" si="32"/>
        <v>8.679943861111112E-3</v>
      </c>
      <c r="W108" s="3" t="s">
        <v>128</v>
      </c>
      <c r="Y108" s="3" t="s">
        <v>386</v>
      </c>
      <c r="AA108" s="30">
        <f t="shared" si="33"/>
        <v>1.473272163888889E-2</v>
      </c>
      <c r="AB108" s="3">
        <f t="shared" si="34"/>
        <v>1.1847443861111112E-2</v>
      </c>
      <c r="AC108" s="3">
        <f t="shared" si="35"/>
        <v>-5.5311251455705812E-19</v>
      </c>
      <c r="AR108"/>
    </row>
    <row r="109" spans="1:44" s="3" customFormat="1" ht="15" customHeight="1">
      <c r="A109" s="3">
        <v>47</v>
      </c>
      <c r="B109" s="3">
        <v>29</v>
      </c>
      <c r="C109" s="3" t="s">
        <v>468</v>
      </c>
      <c r="D109" s="3" t="s">
        <v>118</v>
      </c>
      <c r="E109" s="3">
        <v>1000</v>
      </c>
      <c r="G109" s="3" t="b">
        <v>0</v>
      </c>
      <c r="H109" s="3" t="s">
        <v>109</v>
      </c>
      <c r="I109" s="3">
        <v>1</v>
      </c>
      <c r="J109" s="3" cm="1">
        <f t="array" ref="J109">SUMPRODUCT((IFERROR(INDEX(EF!E:E, MATCH(LCI!E$1:GC$1, EF!A:A, 0)), 0)) * INDEX(LCI!E:GC, MATCH(C109, LCI!C:C, 0), 0))</f>
        <v>8.4488777777777784E-3</v>
      </c>
      <c r="K109" s="3" cm="1">
        <f t="array" ref="K109">SUMPRODUCT((IFERROR(INDEX(EF!F:F, MATCH(LCI!E$1:GC$1, EF!A:A, 0)), 0)) * INDEX(LCI!E:GC, MATCH(C109, LCI!C:C, 0), 0))</f>
        <v>8.4441111111111123E-3</v>
      </c>
      <c r="L109" s="3" cm="1">
        <f t="array" ref="L109">SUMPRODUCT((IFERROR(INDEX(EF!G:G, MATCH(LCI!E$1:GC$1, EF!A:A, 0)), 0)) * INDEX(LCI!E:GC, MATCH(C109, LCI!C:C, 0), 0))</f>
        <v>4.7666666666666671E-6</v>
      </c>
      <c r="M109" s="3" cm="1">
        <f t="array" ref="M109">SUMPRODUCT((IFERROR(INDEX(EF!H:H, MATCH(LCI!E$1:GC$1, EF!A:A, 0)), 0)) * INDEX(LCI!E:GC, MATCH(C109, LCI!C:C, 0), 0))</f>
        <v>0</v>
      </c>
      <c r="N109" s="3" cm="1">
        <f t="array" ref="N109">SUMPRODUCT((IFERROR(INDEX(EF!I:I, MATCH(LCI!E$1:GC$1, EF!A:A, 0)), 0)) * INDEX(LCI!E:GC, MATCH(C109, LCI!C:C, 0), 0))</f>
        <v>8.4774444444444454E-3</v>
      </c>
      <c r="O109" s="3">
        <f t="shared" si="27"/>
        <v>8.4488777777777784E-3</v>
      </c>
      <c r="P109" s="3">
        <f t="shared" si="28"/>
        <v>8.4441111111111123E-3</v>
      </c>
      <c r="Q109" s="3">
        <f t="shared" si="29"/>
        <v>4.7666666666666671E-6</v>
      </c>
      <c r="R109" s="3">
        <f t="shared" si="30"/>
        <v>0</v>
      </c>
      <c r="S109" s="30" cm="1">
        <f t="array" ref="S109">EF!$I$2*INDEX(LCI!E:E,MATCH(C109,LCI!C:C,0),0)</f>
        <v>1.5277777777777781E-3</v>
      </c>
      <c r="T109" s="3">
        <f t="shared" si="31"/>
        <v>3.0166666666666666E-3</v>
      </c>
      <c r="U109" s="3" cm="1">
        <f t="array" ref="U109">EF!$I$5*INDEX(LCI!D:D,MATCH(C109,LCI!C:C,0),0)</f>
        <v>0</v>
      </c>
      <c r="V109" s="3">
        <f t="shared" si="32"/>
        <v>8.4774444444444454E-3</v>
      </c>
      <c r="Y109" s="3" t="s">
        <v>139</v>
      </c>
      <c r="AA109" s="30">
        <f t="shared" si="33"/>
        <v>1.302188888888889E-2</v>
      </c>
      <c r="AB109" s="3">
        <f t="shared" si="34"/>
        <v>1.0589111111111112E-2</v>
      </c>
      <c r="AC109" s="3">
        <f t="shared" si="35"/>
        <v>-5.5311251455705812E-19</v>
      </c>
      <c r="AR109"/>
    </row>
    <row r="110" spans="1:44" s="3" customFormat="1" ht="15" customHeight="1">
      <c r="A110" s="3">
        <v>29</v>
      </c>
      <c r="B110" s="3">
        <v>51</v>
      </c>
      <c r="C110" s="3" t="s">
        <v>41</v>
      </c>
      <c r="D110" s="15" t="s">
        <v>41</v>
      </c>
      <c r="E110" s="3">
        <v>1500</v>
      </c>
      <c r="G110" s="3" t="b">
        <v>0</v>
      </c>
      <c r="H110" s="3" t="s">
        <v>109</v>
      </c>
      <c r="I110" s="3">
        <v>1</v>
      </c>
      <c r="J110" s="3" cm="1">
        <f t="array" ref="J110">SUMPRODUCT((IFERROR(INDEX(EF!E:E, MATCH(LCI!E$1:GC$1, EF!A:A, 0)), 0)) * INDEX(LCI!E:GC, MATCH(C110, LCI!C:C, 0), 0))</f>
        <v>4.9883277777777787E-3</v>
      </c>
      <c r="K110" s="3" cm="1">
        <f t="array" ref="K110">SUMPRODUCT((IFERROR(INDEX(EF!F:F, MATCH(LCI!E$1:GC$1, EF!A:A, 0)), 0)) * INDEX(LCI!E:GC, MATCH(C110, LCI!C:C, 0), 0))</f>
        <v>4.9859444444444448E-3</v>
      </c>
      <c r="L110" s="3" cm="1">
        <f t="array" ref="L110">SUMPRODUCT((IFERROR(INDEX(EF!G:G, MATCH(LCI!E$1:GC$1, EF!A:A, 0)), 0)) * INDEX(LCI!E:GC, MATCH(C110, LCI!C:C, 0), 0))</f>
        <v>2.3833333333333335E-6</v>
      </c>
      <c r="M110" s="3" cm="1">
        <f t="array" ref="M110">SUMPRODUCT((IFERROR(INDEX(EF!H:H, MATCH(LCI!E$1:GC$1, EF!A:A, 0)), 0)) * INDEX(LCI!E:GC, MATCH(C110, LCI!C:C, 0), 0))</f>
        <v>0</v>
      </c>
      <c r="N110" s="3" cm="1">
        <f t="array" ref="N110">SUMPRODUCT((IFERROR(INDEX(EF!I:I, MATCH(LCI!E$1:GC$1, EF!A:A, 0)), 0)) * INDEX(LCI!E:GC, MATCH(C110, LCI!C:C, 0), 0))</f>
        <v>5.0026111111111113E-3</v>
      </c>
      <c r="O110" s="3">
        <f t="shared" si="27"/>
        <v>4.9883277777777787E-3</v>
      </c>
      <c r="P110" s="3">
        <f t="shared" si="28"/>
        <v>4.9859444444444448E-3</v>
      </c>
      <c r="Q110" s="3">
        <f t="shared" si="29"/>
        <v>2.3833333333333335E-6</v>
      </c>
      <c r="R110" s="3">
        <f t="shared" si="30"/>
        <v>0</v>
      </c>
      <c r="S110" s="30" cm="1">
        <f t="array" ref="S110">EF!$I$2*INDEX(LCI!E:E,MATCH(C110,LCI!C:C,0),0)</f>
        <v>1.5277777777777781E-3</v>
      </c>
      <c r="T110" s="3">
        <f t="shared" si="31"/>
        <v>4.5250000000000004E-3</v>
      </c>
      <c r="U110" s="3" cm="1">
        <f t="array" ref="U110">EF!$I$5*INDEX(LCI!D:D,MATCH(C110,LCI!C:C,0),0)</f>
        <v>0</v>
      </c>
      <c r="V110" s="3">
        <f t="shared" si="32"/>
        <v>5.0026111111111113E-3</v>
      </c>
      <c r="W110" s="3" t="s">
        <v>128</v>
      </c>
      <c r="Y110" s="3" t="s">
        <v>175</v>
      </c>
      <c r="Z110" s="14" t="s">
        <v>153</v>
      </c>
      <c r="AA110" s="30">
        <f t="shared" si="33"/>
        <v>1.1055388888888889E-2</v>
      </c>
      <c r="AB110" s="3">
        <f t="shared" si="34"/>
        <v>8.1701111111111106E-3</v>
      </c>
      <c r="AC110" s="3">
        <f t="shared" si="35"/>
        <v>5.9080548070987449E-19</v>
      </c>
      <c r="AR110"/>
    </row>
    <row r="111" spans="1:44" s="3" customFormat="1" ht="15" customHeight="1">
      <c r="A111" s="3">
        <v>9</v>
      </c>
      <c r="B111" s="3">
        <v>153</v>
      </c>
      <c r="C111" s="3" t="s">
        <v>241</v>
      </c>
      <c r="D111" s="3" t="s">
        <v>241</v>
      </c>
      <c r="E111" s="3">
        <v>1200</v>
      </c>
      <c r="G111" s="3" t="b">
        <v>0</v>
      </c>
      <c r="H111" s="3" t="s">
        <v>109</v>
      </c>
      <c r="I111" s="3">
        <v>1</v>
      </c>
      <c r="J111" s="3" cm="1">
        <f t="array" ref="J111">SUMPRODUCT((IFERROR(INDEX(EF!E:E, MATCH(LCI!E$1:GC$1, EF!A:A, 0)), 0)) * INDEX(LCI!E:GC, MATCH(C111, LCI!C:C, 0), 0))</f>
        <v>5.1908271944444452E-3</v>
      </c>
      <c r="K111" s="3" cm="1">
        <f t="array" ref="K111">SUMPRODUCT((IFERROR(INDEX(EF!F:F, MATCH(LCI!E$1:GC$1, EF!A:A, 0)), 0)) * INDEX(LCI!E:GC, MATCH(C111, LCI!C:C, 0), 0))</f>
        <v>5.1884438611111113E-3</v>
      </c>
      <c r="L111" s="3" cm="1">
        <f t="array" ref="L111">SUMPRODUCT((IFERROR(INDEX(EF!G:G, MATCH(LCI!E$1:GC$1, EF!A:A, 0)), 0)) * INDEX(LCI!E:GC, MATCH(C111, LCI!C:C, 0), 0))</f>
        <v>2.3833333333333335E-6</v>
      </c>
      <c r="M111" s="3" cm="1">
        <f t="array" ref="M111">SUMPRODUCT((IFERROR(INDEX(EF!H:H, MATCH(LCI!E$1:GC$1, EF!A:A, 0)), 0)) * INDEX(LCI!E:GC, MATCH(C111, LCI!C:C, 0), 0))</f>
        <v>0</v>
      </c>
      <c r="N111" s="3" cm="1">
        <f t="array" ref="N111">SUMPRODUCT((IFERROR(INDEX(EF!I:I, MATCH(LCI!E$1:GC$1, EF!A:A, 0)), 0)) * INDEX(LCI!E:GC, MATCH(C111, LCI!C:C, 0), 0))</f>
        <v>5.2051105277777778E-3</v>
      </c>
      <c r="O111" s="3">
        <f t="shared" si="27"/>
        <v>5.1908271944444452E-3</v>
      </c>
      <c r="P111" s="3">
        <f t="shared" si="28"/>
        <v>5.1884438611111113E-3</v>
      </c>
      <c r="Q111" s="3">
        <f t="shared" si="29"/>
        <v>2.3833333333333335E-6</v>
      </c>
      <c r="R111" s="3">
        <f t="shared" si="30"/>
        <v>0</v>
      </c>
      <c r="S111" s="30" cm="1">
        <f t="array" ref="S111">EF!$I$2*INDEX(LCI!E:E,MATCH(C111,LCI!C:C,0),0)</f>
        <v>1.5277777777777781E-3</v>
      </c>
      <c r="T111" s="3">
        <f t="shared" si="31"/>
        <v>3.62E-3</v>
      </c>
      <c r="U111" s="3" cm="1">
        <f t="array" ref="U111">EF!$I$5*INDEX(LCI!D:D,MATCH(C111,LCI!C:C,0),0)</f>
        <v>0</v>
      </c>
      <c r="V111" s="3">
        <f t="shared" si="32"/>
        <v>5.2051105277777778E-3</v>
      </c>
      <c r="W111" s="3" t="s">
        <v>128</v>
      </c>
      <c r="Y111" s="3" t="s">
        <v>386</v>
      </c>
      <c r="AA111" s="30">
        <f t="shared" si="33"/>
        <v>1.0352888305555556E-2</v>
      </c>
      <c r="AB111" s="3">
        <f t="shared" si="34"/>
        <v>7.7391105277777776E-3</v>
      </c>
      <c r="AC111" s="3">
        <f t="shared" si="35"/>
        <v>5.9080548070987449E-19</v>
      </c>
      <c r="AR111" t="s">
        <v>149</v>
      </c>
    </row>
    <row r="112" spans="1:44" s="3" customFormat="1" ht="15" customHeight="1">
      <c r="A112" s="3">
        <v>46</v>
      </c>
      <c r="B112" s="3">
        <v>27</v>
      </c>
      <c r="C112" s="3" t="s">
        <v>24</v>
      </c>
      <c r="D112" s="3" t="s">
        <v>117</v>
      </c>
      <c r="E112" s="3">
        <v>800</v>
      </c>
      <c r="G112" s="3" t="b">
        <v>0</v>
      </c>
      <c r="H112" s="3" t="s">
        <v>109</v>
      </c>
      <c r="I112" s="3">
        <v>1</v>
      </c>
      <c r="J112" s="3" cm="1">
        <f t="array" ref="J112">SUMPRODUCT((IFERROR(INDEX(EF!E:E, MATCH(LCI!E$1:GC$1, EF!A:A, 0)), 0)) * INDEX(LCI!E:GC, MATCH(C112, LCI!C:C, 0), 0))</f>
        <v>4.9883277777777787E-3</v>
      </c>
      <c r="K112" s="3" cm="1">
        <f t="array" ref="K112">SUMPRODUCT((IFERROR(INDEX(EF!F:F, MATCH(LCI!E$1:GC$1, EF!A:A, 0)), 0)) * INDEX(LCI!E:GC, MATCH(C112, LCI!C:C, 0), 0))</f>
        <v>4.9859444444444448E-3</v>
      </c>
      <c r="L112" s="3" cm="1">
        <f t="array" ref="L112">SUMPRODUCT((IFERROR(INDEX(EF!G:G, MATCH(LCI!E$1:GC$1, EF!A:A, 0)), 0)) * INDEX(LCI!E:GC, MATCH(C112, LCI!C:C, 0), 0))</f>
        <v>2.3833333333333335E-6</v>
      </c>
      <c r="M112" s="3" cm="1">
        <f t="array" ref="M112">SUMPRODUCT((IFERROR(INDEX(EF!H:H, MATCH(LCI!E$1:GC$1, EF!A:A, 0)), 0)) * INDEX(LCI!E:GC, MATCH(C112, LCI!C:C, 0), 0))</f>
        <v>0</v>
      </c>
      <c r="N112" s="3" cm="1">
        <f t="array" ref="N112">SUMPRODUCT((IFERROR(INDEX(EF!I:I, MATCH(LCI!E$1:GC$1, EF!A:A, 0)), 0)) * INDEX(LCI!E:GC, MATCH(C112, LCI!C:C, 0), 0))</f>
        <v>5.0026111111111113E-3</v>
      </c>
      <c r="O112" s="3">
        <f t="shared" si="27"/>
        <v>4.9883277777777787E-3</v>
      </c>
      <c r="P112" s="3">
        <f t="shared" si="28"/>
        <v>4.9859444444444448E-3</v>
      </c>
      <c r="Q112" s="3">
        <f t="shared" si="29"/>
        <v>2.3833333333333335E-6</v>
      </c>
      <c r="R112" s="3">
        <f t="shared" si="30"/>
        <v>0</v>
      </c>
      <c r="S112" s="30" cm="1">
        <f t="array" ref="S112">EF!$I$2*INDEX(LCI!E:E,MATCH(C112,LCI!C:C,0),0)</f>
        <v>1.5277777777777781E-3</v>
      </c>
      <c r="T112" s="3">
        <f t="shared" si="31"/>
        <v>2.4133333333333333E-3</v>
      </c>
      <c r="U112" s="3" cm="1">
        <f t="array" ref="U112">EF!$I$5*INDEX(LCI!D:D,MATCH(C112,LCI!C:C,0),0)</f>
        <v>0</v>
      </c>
      <c r="V112" s="3">
        <f t="shared" si="32"/>
        <v>5.0026111111111113E-3</v>
      </c>
      <c r="W112" s="3" t="s">
        <v>128</v>
      </c>
      <c r="Y112" s="3" t="s">
        <v>139</v>
      </c>
      <c r="AA112" s="30">
        <f t="shared" si="33"/>
        <v>8.9437222222222227E-3</v>
      </c>
      <c r="AB112" s="3">
        <f t="shared" si="34"/>
        <v>6.6919444444444448E-3</v>
      </c>
      <c r="AC112" s="3">
        <f t="shared" si="35"/>
        <v>5.9080548070987449E-19</v>
      </c>
      <c r="AR112"/>
    </row>
    <row r="113" spans="1:44" s="3" customFormat="1" ht="15" customHeight="1">
      <c r="A113" s="3">
        <v>48</v>
      </c>
      <c r="B113" s="3">
        <v>9</v>
      </c>
      <c r="C113" s="3" t="s">
        <v>21</v>
      </c>
      <c r="D113" s="3" t="s">
        <v>21</v>
      </c>
      <c r="E113" s="3">
        <v>1100</v>
      </c>
      <c r="F113" s="3" t="s">
        <v>114</v>
      </c>
      <c r="G113" s="3" t="b">
        <v>0</v>
      </c>
      <c r="H113" s="3" t="s">
        <v>109</v>
      </c>
      <c r="I113" s="3">
        <v>1</v>
      </c>
      <c r="J113" s="3" cm="1">
        <f t="array" ref="J113">SUMPRODUCT((IFERROR(INDEX(EF!E:E, MATCH(LCI!E$1:GC$1, EF!A:A, 0)), 0)) * INDEX(LCI!E:GC, MATCH(C113, LCI!C:C, 0), 0))</f>
        <v>3.7661055555555556E-3</v>
      </c>
      <c r="K113" s="3" cm="1">
        <f t="array" ref="K113">SUMPRODUCT((IFERROR(INDEX(EF!F:F, MATCH(LCI!E$1:GC$1, EF!A:A, 0)), 0)) * INDEX(LCI!E:GC, MATCH(C113, LCI!C:C, 0), 0))</f>
        <v>3.7637222222222226E-3</v>
      </c>
      <c r="L113" s="3" cm="1">
        <f t="array" ref="L113">SUMPRODUCT((IFERROR(INDEX(EF!G:G, MATCH(LCI!E$1:GC$1, EF!A:A, 0)), 0)) * INDEX(LCI!E:GC, MATCH(C113, LCI!C:C, 0), 0))</f>
        <v>2.3833333333333335E-6</v>
      </c>
      <c r="M113" s="3" cm="1">
        <f t="array" ref="M113">SUMPRODUCT((IFERROR(INDEX(EF!H:H, MATCH(LCI!E$1:GC$1, EF!A:A, 0)), 0)) * INDEX(LCI!E:GC, MATCH(C113, LCI!C:C, 0), 0))</f>
        <v>0</v>
      </c>
      <c r="N113" s="3" cm="1">
        <f t="array" ref="N113">SUMPRODUCT((IFERROR(INDEX(EF!I:I, MATCH(LCI!E$1:GC$1, EF!A:A, 0)), 0)) * INDEX(LCI!E:GC, MATCH(C113, LCI!C:C, 0), 0))</f>
        <v>3.7803888888888891E-3</v>
      </c>
      <c r="O113" s="3">
        <f t="shared" si="27"/>
        <v>3.7661055555555556E-3</v>
      </c>
      <c r="P113" s="3">
        <f t="shared" si="28"/>
        <v>3.7637222222222226E-3</v>
      </c>
      <c r="Q113" s="3">
        <f t="shared" si="29"/>
        <v>2.3833333333333335E-6</v>
      </c>
      <c r="R113" s="3">
        <f t="shared" si="30"/>
        <v>0</v>
      </c>
      <c r="S113" s="30" cm="1">
        <f t="array" ref="S113">EF!$I$2*INDEX(LCI!E:E,MATCH(C113,LCI!C:C,0),0)</f>
        <v>3.0555555555555555E-4</v>
      </c>
      <c r="T113" s="3">
        <f t="shared" si="31"/>
        <v>3.3183333333333333E-3</v>
      </c>
      <c r="U113" s="3" cm="1">
        <f t="array" ref="U113">EF!$I$5*INDEX(LCI!D:D,MATCH(C113,LCI!C:C,0),0)</f>
        <v>0</v>
      </c>
      <c r="V113" s="3">
        <f t="shared" si="32"/>
        <v>3.7803888888888891E-3</v>
      </c>
      <c r="W113" s="3" t="s">
        <v>121</v>
      </c>
      <c r="Y113" s="3" t="s">
        <v>133</v>
      </c>
      <c r="AA113" s="30">
        <f t="shared" si="33"/>
        <v>7.4042777777777779E-3</v>
      </c>
      <c r="AB113" s="3">
        <f t="shared" si="34"/>
        <v>6.1032222222222217E-3</v>
      </c>
      <c r="AC113" s="3">
        <f t="shared" si="35"/>
        <v>-2.7655625727852906E-19</v>
      </c>
      <c r="AR113" t="s">
        <v>163</v>
      </c>
    </row>
    <row r="114" spans="1:44" ht="15" customHeight="1">
      <c r="A114" s="3">
        <v>40</v>
      </c>
      <c r="B114">
        <v>34</v>
      </c>
      <c r="C114" t="s">
        <v>28</v>
      </c>
      <c r="D114" t="s">
        <v>28</v>
      </c>
      <c r="E114">
        <v>0</v>
      </c>
      <c r="G114" s="3" t="b">
        <v>0</v>
      </c>
      <c r="H114" s="3" t="s">
        <v>109</v>
      </c>
      <c r="I114" s="3">
        <v>1</v>
      </c>
      <c r="J114" s="3" cm="1">
        <f t="array" ref="J114">SUMPRODUCT((IFERROR(INDEX(EF!E:E, MATCH(LCI!E$1:GC$1, EF!A:A, 0)), 0)) * INDEX(LCI!E:GC, MATCH(C114, LCI!C:C, 0), 0))</f>
        <v>4.9883277777777787E-3</v>
      </c>
      <c r="K114" s="3" cm="1">
        <f t="array" ref="K114">SUMPRODUCT((IFERROR(INDEX(EF!F:F, MATCH(LCI!E$1:GC$1, EF!A:A, 0)), 0)) * INDEX(LCI!E:GC, MATCH(C114, LCI!C:C, 0), 0))</f>
        <v>4.9859444444444448E-3</v>
      </c>
      <c r="L114" s="3" cm="1">
        <f t="array" ref="L114">SUMPRODUCT((IFERROR(INDEX(EF!G:G, MATCH(LCI!E$1:GC$1, EF!A:A, 0)), 0)) * INDEX(LCI!E:GC, MATCH(C114, LCI!C:C, 0), 0))</f>
        <v>2.3833333333333335E-6</v>
      </c>
      <c r="M114" s="3" cm="1">
        <f t="array" ref="M114">SUMPRODUCT((IFERROR(INDEX(EF!H:H, MATCH(LCI!E$1:GC$1, EF!A:A, 0)), 0)) * INDEX(LCI!E:GC, MATCH(C114, LCI!C:C, 0), 0))</f>
        <v>0</v>
      </c>
      <c r="N114" s="3" cm="1">
        <f t="array" ref="N114">SUMPRODUCT((IFERROR(INDEX(EF!I:I, MATCH(LCI!E$1:GC$1, EF!A:A, 0)), 0)) * INDEX(LCI!E:GC, MATCH(C114, LCI!C:C, 0), 0))</f>
        <v>5.0026111111111113E-3</v>
      </c>
      <c r="O114" s="3">
        <f t="shared" si="27"/>
        <v>4.9883277777777787E-3</v>
      </c>
      <c r="P114" s="3">
        <f t="shared" si="28"/>
        <v>4.9859444444444448E-3</v>
      </c>
      <c r="Q114" s="3">
        <f t="shared" si="29"/>
        <v>2.3833333333333335E-6</v>
      </c>
      <c r="R114" s="3">
        <f t="shared" si="30"/>
        <v>0</v>
      </c>
      <c r="S114" s="30" cm="1">
        <f t="array" ref="S114">EF!$I$2*INDEX(LCI!E:E,MATCH(C114,LCI!C:C,0),0)</f>
        <v>1.5277777777777781E-3</v>
      </c>
      <c r="T114" s="3">
        <f t="shared" si="31"/>
        <v>0</v>
      </c>
      <c r="U114" s="3" cm="1">
        <f t="array" ref="U114">EF!$I$5*INDEX(LCI!D:D,MATCH(C114,LCI!C:C,0),0)</f>
        <v>0</v>
      </c>
      <c r="V114" s="3">
        <f t="shared" si="32"/>
        <v>5.0026111111111113E-3</v>
      </c>
      <c r="W114" s="3" t="s">
        <v>146</v>
      </c>
      <c r="X114" s="3"/>
      <c r="Y114" s="3" t="s">
        <v>133</v>
      </c>
      <c r="Z114" s="3"/>
      <c r="AA114" s="30">
        <f t="shared" si="33"/>
        <v>6.5303888888888894E-3</v>
      </c>
      <c r="AB114" s="3">
        <f t="shared" si="34"/>
        <v>5.0026111111111113E-3</v>
      </c>
      <c r="AC114" s="3">
        <f t="shared" si="35"/>
        <v>5.9080548070987449E-19</v>
      </c>
      <c r="AE114" s="3"/>
    </row>
    <row r="115" spans="1:44" ht="15" customHeight="1">
      <c r="A115" s="3">
        <v>32</v>
      </c>
      <c r="B115">
        <v>39</v>
      </c>
      <c r="C115" t="s">
        <v>40</v>
      </c>
      <c r="D115" s="26" t="s">
        <v>40</v>
      </c>
      <c r="E115">
        <v>700</v>
      </c>
      <c r="G115" s="3" t="b">
        <v>0</v>
      </c>
      <c r="H115" s="3" t="s">
        <v>109</v>
      </c>
      <c r="I115" s="3">
        <v>1</v>
      </c>
      <c r="J115" s="3" cm="1">
        <f t="array" ref="J115">SUMPRODUCT((IFERROR(INDEX(EF!E:E, MATCH(LCI!E$1:GC$1, EF!A:A, 0)), 0)) * INDEX(LCI!E:GC, MATCH(C115, LCI!C:C, 0), 0))</f>
        <v>1.5277777777777781E-3</v>
      </c>
      <c r="K115" s="3" cm="1">
        <f t="array" ref="K115">SUMPRODUCT((IFERROR(INDEX(EF!F:F, MATCH(LCI!E$1:GC$1, EF!A:A, 0)), 0)) * INDEX(LCI!E:GC, MATCH(C115, LCI!C:C, 0), 0))</f>
        <v>1.5277777777777781E-3</v>
      </c>
      <c r="L115" s="3" cm="1">
        <f t="array" ref="L115">SUMPRODUCT((IFERROR(INDEX(EF!G:G, MATCH(LCI!E$1:GC$1, EF!A:A, 0)), 0)) * INDEX(LCI!E:GC, MATCH(C115, LCI!C:C, 0), 0))</f>
        <v>0</v>
      </c>
      <c r="M115" s="3" cm="1">
        <f t="array" ref="M115">SUMPRODUCT((IFERROR(INDEX(EF!H:H, MATCH(LCI!E$1:GC$1, EF!A:A, 0)), 0)) * INDEX(LCI!E:GC, MATCH(C115, LCI!C:C, 0), 0))</f>
        <v>0</v>
      </c>
      <c r="N115" s="3" cm="1">
        <f t="array" ref="N115">SUMPRODUCT((IFERROR(INDEX(EF!I:I, MATCH(LCI!E$1:GC$1, EF!A:A, 0)), 0)) * INDEX(LCI!E:GC, MATCH(C115, LCI!C:C, 0), 0))</f>
        <v>1.5277777777777781E-3</v>
      </c>
      <c r="O115" s="3">
        <f t="shared" si="27"/>
        <v>1.5277777777777781E-3</v>
      </c>
      <c r="P115" s="3">
        <f t="shared" si="28"/>
        <v>1.5277777777777781E-3</v>
      </c>
      <c r="Q115" s="3">
        <f t="shared" si="29"/>
        <v>0</v>
      </c>
      <c r="R115" s="3">
        <f t="shared" si="30"/>
        <v>0</v>
      </c>
      <c r="S115" s="30" cm="1">
        <f t="array" ref="S115">EF!$I$2*INDEX(LCI!E:E,MATCH(C115,LCI!C:C,0),0)</f>
        <v>1.5277777777777781E-3</v>
      </c>
      <c r="T115" s="3">
        <f t="shared" si="31"/>
        <v>2.1116666666666662E-3</v>
      </c>
      <c r="U115" s="3" cm="1">
        <f t="array" ref="U115">EF!$I$5*INDEX(LCI!D:D,MATCH(C115,LCI!C:C,0),0)</f>
        <v>0</v>
      </c>
      <c r="V115" s="3">
        <f t="shared" si="32"/>
        <v>1.5277777777777781E-3</v>
      </c>
      <c r="W115" s="3" t="s">
        <v>128</v>
      </c>
      <c r="X115" s="3"/>
      <c r="Y115" s="3" t="s">
        <v>133</v>
      </c>
      <c r="Z115" s="3"/>
      <c r="AA115" s="30">
        <f t="shared" si="33"/>
        <v>5.1672222222222224E-3</v>
      </c>
      <c r="AB115" s="3">
        <f t="shared" si="34"/>
        <v>3.0059444444444443E-3</v>
      </c>
      <c r="AC115" s="3">
        <f t="shared" si="35"/>
        <v>0</v>
      </c>
      <c r="AE115" s="3"/>
    </row>
    <row r="116" spans="1:44" ht="15" customHeight="1">
      <c r="A116" s="3">
        <v>27</v>
      </c>
      <c r="B116">
        <v>32</v>
      </c>
      <c r="C116" t="s">
        <v>35</v>
      </c>
      <c r="D116" s="26" t="s">
        <v>35</v>
      </c>
      <c r="E116">
        <v>600</v>
      </c>
      <c r="G116" s="3" t="b">
        <v>0</v>
      </c>
      <c r="H116" s="3" t="s">
        <v>109</v>
      </c>
      <c r="I116" s="3">
        <v>1</v>
      </c>
      <c r="J116" s="3" cm="1">
        <f t="array" ref="J116">SUMPRODUCT((IFERROR(INDEX(EF!E:E, MATCH(LCI!E$1:GC$1, EF!A:A, 0)), 0)) * INDEX(LCI!E:GC, MATCH(C116, LCI!C:C, 0), 0))</f>
        <v>5.4999999999999996E-8</v>
      </c>
      <c r="K116" s="3" cm="1">
        <f t="array" ref="K116">SUMPRODUCT((IFERROR(INDEX(EF!F:F, MATCH(LCI!E$1:GC$1, EF!A:A, 0)), 0)) * INDEX(LCI!E:GC, MATCH(C116, LCI!C:C, 0), 0))</f>
        <v>5.4999999999999996E-8</v>
      </c>
      <c r="L116" s="3" cm="1">
        <f t="array" ref="L116">SUMPRODUCT((IFERROR(INDEX(EF!G:G, MATCH(LCI!E$1:GC$1, EF!A:A, 0)), 0)) * INDEX(LCI!E:GC, MATCH(C116, LCI!C:C, 0), 0))</f>
        <v>0</v>
      </c>
      <c r="M116" s="3" cm="1">
        <f t="array" ref="M116">SUMPRODUCT((IFERROR(INDEX(EF!H:H, MATCH(LCI!E$1:GC$1, EF!A:A, 0)), 0)) * INDEX(LCI!E:GC, MATCH(C116, LCI!C:C, 0), 0))</f>
        <v>0</v>
      </c>
      <c r="N116" s="3" cm="1">
        <f t="array" ref="N116">SUMPRODUCT((IFERROR(INDEX(EF!I:I, MATCH(LCI!E$1:GC$1, EF!A:A, 0)), 0)) * INDEX(LCI!E:GC, MATCH(C116, LCI!C:C, 0), 0))</f>
        <v>5.4999999999999996E-8</v>
      </c>
      <c r="O116" s="3">
        <f t="shared" si="27"/>
        <v>5.4999999999999996E-8</v>
      </c>
      <c r="P116" s="3">
        <f t="shared" si="28"/>
        <v>5.4999999999999996E-8</v>
      </c>
      <c r="Q116" s="3">
        <f t="shared" si="29"/>
        <v>0</v>
      </c>
      <c r="R116" s="3">
        <f t="shared" si="30"/>
        <v>0</v>
      </c>
      <c r="S116" s="30" cm="1">
        <f t="array" ref="S116">EF!$I$2*INDEX(LCI!E:E,MATCH(C116,LCI!C:C,0),0)</f>
        <v>5.4999999999999996E-8</v>
      </c>
      <c r="T116" s="3">
        <f t="shared" si="31"/>
        <v>1.81E-3</v>
      </c>
      <c r="U116" s="3" cm="1">
        <f t="array" ref="U116">EF!$I$5*INDEX(LCI!D:D,MATCH(C116,LCI!C:C,0),0)</f>
        <v>0</v>
      </c>
      <c r="V116" s="3">
        <f t="shared" si="32"/>
        <v>5.4999999999999996E-8</v>
      </c>
      <c r="W116" s="18" t="s">
        <v>121</v>
      </c>
      <c r="X116" s="3"/>
      <c r="Y116" s="3" t="s">
        <v>131</v>
      </c>
      <c r="Z116" s="3"/>
      <c r="AA116" s="30">
        <f t="shared" si="33"/>
        <v>1.8101100000000002E-3</v>
      </c>
      <c r="AB116" s="3">
        <f t="shared" si="34"/>
        <v>1.267055E-3</v>
      </c>
      <c r="AC116" s="3">
        <f t="shared" si="35"/>
        <v>0</v>
      </c>
    </row>
    <row r="117" spans="1:44" ht="15" customHeight="1">
      <c r="A117" s="3">
        <v>28</v>
      </c>
      <c r="B117">
        <v>42</v>
      </c>
      <c r="C117" t="s">
        <v>31</v>
      </c>
      <c r="D117" t="s">
        <v>31</v>
      </c>
      <c r="E117">
        <v>500</v>
      </c>
      <c r="G117" s="3" t="b">
        <v>0</v>
      </c>
      <c r="H117" s="3" t="s">
        <v>109</v>
      </c>
      <c r="I117" s="3">
        <v>1</v>
      </c>
      <c r="J117" s="3" cm="1">
        <f t="array" ref="J117">SUMPRODUCT((IFERROR(INDEX(EF!E:E, MATCH(LCI!E$1:GC$1, EF!A:A, 0)), 0)) * INDEX(LCI!E:GC, MATCH(C117, LCI!C:C, 0), 0))</f>
        <v>5.4999999999999996E-8</v>
      </c>
      <c r="K117" s="3" cm="1">
        <f t="array" ref="K117">SUMPRODUCT((IFERROR(INDEX(EF!F:F, MATCH(LCI!E$1:GC$1, EF!A:A, 0)), 0)) * INDEX(LCI!E:GC, MATCH(C117, LCI!C:C, 0), 0))</f>
        <v>5.4999999999999996E-8</v>
      </c>
      <c r="L117" s="3" cm="1">
        <f t="array" ref="L117">SUMPRODUCT((IFERROR(INDEX(EF!G:G, MATCH(LCI!E$1:GC$1, EF!A:A, 0)), 0)) * INDEX(LCI!E:GC, MATCH(C117, LCI!C:C, 0), 0))</f>
        <v>0</v>
      </c>
      <c r="M117" s="3" cm="1">
        <f t="array" ref="M117">SUMPRODUCT((IFERROR(INDEX(EF!H:H, MATCH(LCI!E$1:GC$1, EF!A:A, 0)), 0)) * INDEX(LCI!E:GC, MATCH(C117, LCI!C:C, 0), 0))</f>
        <v>0</v>
      </c>
      <c r="N117" s="3" cm="1">
        <f t="array" ref="N117">SUMPRODUCT((IFERROR(INDEX(EF!I:I, MATCH(LCI!E$1:GC$1, EF!A:A, 0)), 0)) * INDEX(LCI!E:GC, MATCH(C117, LCI!C:C, 0), 0))</f>
        <v>5.4999999999999996E-8</v>
      </c>
      <c r="O117" s="3">
        <f t="shared" si="27"/>
        <v>5.4999999999999996E-8</v>
      </c>
      <c r="P117" s="3">
        <f t="shared" si="28"/>
        <v>5.4999999999999996E-8</v>
      </c>
      <c r="Q117" s="3">
        <f t="shared" si="29"/>
        <v>0</v>
      </c>
      <c r="R117" s="3">
        <f t="shared" si="30"/>
        <v>0</v>
      </c>
      <c r="S117" s="30" cm="1">
        <f t="array" ref="S117">EF!$I$2*INDEX(LCI!E:E,MATCH(C117,LCI!C:C,0),0)</f>
        <v>5.4999999999999996E-8</v>
      </c>
      <c r="T117" s="3">
        <f t="shared" si="31"/>
        <v>1.5083333333333333E-3</v>
      </c>
      <c r="U117" s="3" cm="1">
        <f t="array" ref="U117">EF!$I$5*INDEX(LCI!D:D,MATCH(C117,LCI!C:C,0),0)</f>
        <v>0</v>
      </c>
      <c r="V117" s="3">
        <f t="shared" si="32"/>
        <v>5.4999999999999996E-8</v>
      </c>
      <c r="W117" s="18" t="s">
        <v>128</v>
      </c>
      <c r="X117" s="3"/>
      <c r="Y117" s="3" t="s">
        <v>131</v>
      </c>
      <c r="Z117" s="3"/>
      <c r="AA117" s="30">
        <f t="shared" si="33"/>
        <v>1.5084433333333335E-3</v>
      </c>
      <c r="AB117" s="3">
        <f t="shared" si="34"/>
        <v>1.0558883333333334E-3</v>
      </c>
      <c r="AC117" s="3">
        <f t="shared" si="35"/>
        <v>0</v>
      </c>
    </row>
    <row r="118" spans="1:44" s="3" customFormat="1" ht="15" customHeight="1">
      <c r="A118" s="3">
        <v>7</v>
      </c>
      <c r="B118" s="3">
        <v>5</v>
      </c>
      <c r="C118" s="3" t="s">
        <v>17</v>
      </c>
      <c r="D118" s="3" t="s">
        <v>17</v>
      </c>
      <c r="E118" s="3">
        <v>30</v>
      </c>
      <c r="F118" s="3" t="s">
        <v>110</v>
      </c>
      <c r="G118" s="3" t="b">
        <v>0</v>
      </c>
      <c r="H118" s="3" t="s">
        <v>109</v>
      </c>
      <c r="I118" s="3">
        <v>1</v>
      </c>
      <c r="J118" s="3" cm="1">
        <f t="array" ref="J118">SUMPRODUCT((IFERROR(INDEX(EF!E:E, MATCH(LCI!E$1:GC$1, EF!A:A, 0)), 0)) * INDEX(LCI!E:GC, MATCH(C118, LCI!C:C, 0), 0))</f>
        <v>5.4999999999999996E-8</v>
      </c>
      <c r="K118" s="3" cm="1">
        <f t="array" ref="K118">SUMPRODUCT((IFERROR(INDEX(EF!F:F, MATCH(LCI!E$1:GC$1, EF!A:A, 0)), 0)) * INDEX(LCI!E:GC, MATCH(C118, LCI!C:C, 0), 0))</f>
        <v>5.4999999999999996E-8</v>
      </c>
      <c r="L118" s="3" cm="1">
        <f t="array" ref="L118">SUMPRODUCT((IFERROR(INDEX(EF!G:G, MATCH(LCI!E$1:GC$1, EF!A:A, 0)), 0)) * INDEX(LCI!E:GC, MATCH(C118, LCI!C:C, 0), 0))</f>
        <v>0</v>
      </c>
      <c r="M118" s="3" cm="1">
        <f t="array" ref="M118">SUMPRODUCT((IFERROR(INDEX(EF!H:H, MATCH(LCI!E$1:GC$1, EF!A:A, 0)), 0)) * INDEX(LCI!E:GC, MATCH(C118, LCI!C:C, 0), 0))</f>
        <v>0</v>
      </c>
      <c r="N118" s="3" cm="1">
        <f t="array" ref="N118">SUMPRODUCT((IFERROR(INDEX(EF!I:I, MATCH(LCI!E$1:GC$1, EF!A:A, 0)), 0)) * INDEX(LCI!E:GC, MATCH(C118, LCI!C:C, 0), 0))</f>
        <v>5.4999999999999996E-8</v>
      </c>
      <c r="O118" s="3">
        <f t="shared" si="27"/>
        <v>5.4999999999999996E-8</v>
      </c>
      <c r="P118" s="3">
        <f t="shared" si="28"/>
        <v>5.4999999999999996E-8</v>
      </c>
      <c r="Q118" s="3">
        <f t="shared" si="29"/>
        <v>0</v>
      </c>
      <c r="R118" s="3">
        <f t="shared" si="30"/>
        <v>0</v>
      </c>
      <c r="S118" s="30" cm="1">
        <f t="array" ref="S118">EF!$I$2*INDEX(LCI!E:E,MATCH(C118,LCI!C:C,0),0)</f>
        <v>5.4999999999999996E-8</v>
      </c>
      <c r="T118" s="3">
        <f t="shared" si="31"/>
        <v>9.0500000000000004E-5</v>
      </c>
      <c r="U118" s="3" cm="1">
        <f t="array" ref="U118">EF!$I$5*INDEX(LCI!D:D,MATCH(C118,LCI!C:C,0),0)</f>
        <v>0</v>
      </c>
      <c r="V118" s="3">
        <f t="shared" si="32"/>
        <v>5.4999999999999996E-8</v>
      </c>
      <c r="W118" s="3" t="s">
        <v>128</v>
      </c>
      <c r="Y118" s="3" t="s">
        <v>129</v>
      </c>
      <c r="AA118" s="30">
        <f t="shared" si="33"/>
        <v>9.0610000000000002E-5</v>
      </c>
      <c r="AB118" s="3">
        <f t="shared" si="34"/>
        <v>6.3404999999999993E-5</v>
      </c>
      <c r="AC118" s="3">
        <f t="shared" si="35"/>
        <v>0</v>
      </c>
      <c r="AR118" t="s">
        <v>109</v>
      </c>
    </row>
    <row r="119" spans="1:44" s="3" customFormat="1" ht="15" customHeight="1">
      <c r="A119" s="3">
        <v>26</v>
      </c>
      <c r="B119" s="3">
        <v>23</v>
      </c>
      <c r="C119" s="3" t="s">
        <v>15</v>
      </c>
      <c r="D119" s="3" t="s">
        <v>15</v>
      </c>
      <c r="E119" s="3">
        <v>0</v>
      </c>
      <c r="F119" s="3" t="s">
        <v>15</v>
      </c>
      <c r="G119" s="3" t="b">
        <v>0</v>
      </c>
      <c r="H119" s="3" t="s">
        <v>109</v>
      </c>
      <c r="I119" s="3">
        <v>1</v>
      </c>
      <c r="J119" s="3" cm="1">
        <f t="array" ref="J119">SUMPRODUCT((IFERROR(INDEX(EF!E:E, MATCH(LCI!E$1:GC$1, EF!A:A, 0)), 0)) * INDEX(LCI!E:GC, MATCH(C119, LCI!C:C, 0), 0))</f>
        <v>5.4999999999999996E-8</v>
      </c>
      <c r="K119" s="3" cm="1">
        <f t="array" ref="K119">SUMPRODUCT((IFERROR(INDEX(EF!F:F, MATCH(LCI!E$1:GC$1, EF!A:A, 0)), 0)) * INDEX(LCI!E:GC, MATCH(C119, LCI!C:C, 0), 0))</f>
        <v>5.4999999999999996E-8</v>
      </c>
      <c r="L119" s="3" cm="1">
        <f t="array" ref="L119">SUMPRODUCT((IFERROR(INDEX(EF!G:G, MATCH(LCI!E$1:GC$1, EF!A:A, 0)), 0)) * INDEX(LCI!E:GC, MATCH(C119, LCI!C:C, 0), 0))</f>
        <v>0</v>
      </c>
      <c r="M119" s="3" cm="1">
        <f t="array" ref="M119">SUMPRODUCT((IFERROR(INDEX(EF!H:H, MATCH(LCI!E$1:GC$1, EF!A:A, 0)), 0)) * INDEX(LCI!E:GC, MATCH(C119, LCI!C:C, 0), 0))</f>
        <v>0</v>
      </c>
      <c r="N119" s="3" cm="1">
        <f t="array" ref="N119">SUMPRODUCT((IFERROR(INDEX(EF!I:I, MATCH(LCI!E$1:GC$1, EF!A:A, 0)), 0)) * INDEX(LCI!E:GC, MATCH(C119, LCI!C:C, 0), 0))</f>
        <v>5.4999999999999996E-8</v>
      </c>
      <c r="O119" s="3">
        <f t="shared" si="27"/>
        <v>5.4999999999999996E-8</v>
      </c>
      <c r="P119" s="3">
        <f t="shared" si="28"/>
        <v>5.4999999999999996E-8</v>
      </c>
      <c r="Q119" s="3">
        <f t="shared" si="29"/>
        <v>0</v>
      </c>
      <c r="R119" s="3">
        <f t="shared" si="30"/>
        <v>0</v>
      </c>
      <c r="S119" s="30" cm="1">
        <f t="array" ref="S119">EF!$I$2*INDEX(LCI!E:E,MATCH(C119,LCI!C:C,0),0)</f>
        <v>5.4999999999999996E-8</v>
      </c>
      <c r="T119" s="3">
        <f t="shared" si="31"/>
        <v>0</v>
      </c>
      <c r="U119" s="3" cm="1">
        <f t="array" ref="U119">EF!$I$5*INDEX(LCI!D:D,MATCH(C119,LCI!C:C,0),0)</f>
        <v>0</v>
      </c>
      <c r="V119" s="3">
        <f t="shared" si="32"/>
        <v>5.4999999999999996E-8</v>
      </c>
      <c r="W119" s="3" t="s">
        <v>128</v>
      </c>
      <c r="Y119" s="3" t="s">
        <v>461</v>
      </c>
      <c r="AA119" s="30">
        <f t="shared" si="33"/>
        <v>1.0999999999999999E-7</v>
      </c>
      <c r="AB119" s="3">
        <f t="shared" si="34"/>
        <v>5.4999999999999996E-8</v>
      </c>
      <c r="AC119" s="3">
        <f t="shared" si="35"/>
        <v>0</v>
      </c>
      <c r="AR119"/>
    </row>
    <row r="120" spans="1:44" ht="15" customHeight="1">
      <c r="C120" t="s">
        <v>539</v>
      </c>
      <c r="J120" s="18" t="e" cm="1">
        <f t="array" ref="J120">SUMPRODUCT((IFERROR(INDEX(EF!E:E, MATCH(LCI!E$1:GC$1, EF!A:A, 0)), 0)) * INDEX(LCI!E:GC, MATCH(C120, LCI!C:C, 0), 0))</f>
        <v>#N/A</v>
      </c>
      <c r="K120" s="18" t="e" cm="1">
        <f t="array" ref="K120">SUMPRODUCT((IFERROR(INDEX(EF!F:F, MATCH(LCI!E$1:GC$1, EF!A:A, 0)), 0)) * INDEX(LCI!E:GC, MATCH(C120, LCI!C:C, 0), 0))</f>
        <v>#N/A</v>
      </c>
      <c r="L120" s="18" t="e" cm="1">
        <f t="array" ref="L120">SUMPRODUCT((IFERROR(INDEX(EF!G:G, MATCH(LCI!E$1:GC$1, EF!A:A, 0)), 0)) * INDEX(LCI!E:GC, MATCH(C120, LCI!C:C, 0), 0))</f>
        <v>#N/A</v>
      </c>
      <c r="M120" s="18" t="e" cm="1">
        <f t="array" ref="M120">SUMPRODUCT((IFERROR(INDEX(EF!H:H, MATCH(LCI!E$1:GC$1, EF!A:A, 0)), 0)) * INDEX(LCI!E:GC, MATCH(C120, LCI!C:C, 0), 0))</f>
        <v>#N/A</v>
      </c>
      <c r="N120" s="18" t="e" cm="1">
        <f t="array" ref="N120">SUMPRODUCT((IFERROR(INDEX(EF!I:I, MATCH(LCI!E$1:GC$1, EF!A:A, 0)), 0)) * INDEX(LCI!E:GC, MATCH(C120, LCI!C:C, 0), 0))</f>
        <v>#N/A</v>
      </c>
      <c r="S120" s="31">
        <f>SUM(S2:S119)</f>
        <v>2.8905558305555572</v>
      </c>
      <c r="T120" s="31">
        <f t="shared" ref="T120:V120" si="36">SUM(T2:T119)</f>
        <v>21.896459916666654</v>
      </c>
      <c r="U120" s="31">
        <f t="shared" si="36"/>
        <v>2.8333399959689336</v>
      </c>
      <c r="V120" s="31">
        <f t="shared" si="36"/>
        <v>39.79492639876581</v>
      </c>
      <c r="W120" s="5">
        <f>S120+T120+U120+V120</f>
        <v>67.415282141956951</v>
      </c>
      <c r="AC120" s="18" t="e">
        <f t="shared" si="35"/>
        <v>#N/A</v>
      </c>
    </row>
    <row r="121" spans="1:44" ht="15" customHeight="1">
      <c r="C121" t="s">
        <v>540</v>
      </c>
      <c r="J121" s="18" t="e" cm="1">
        <f t="array" ref="J121">SUMPRODUCT((IFERROR(INDEX(EF!E:E, MATCH(LCI!E$1:GC$1, EF!A:A, 0)), 0)) * INDEX(LCI!E:GC, MATCH(C121, LCI!C:C, 0), 0))</f>
        <v>#N/A</v>
      </c>
      <c r="K121" s="18" t="e" cm="1">
        <f t="array" ref="K121">SUMPRODUCT((IFERROR(INDEX(EF!F:F, MATCH(LCI!E$1:GC$1, EF!A:A, 0)), 0)) * INDEX(LCI!E:GC, MATCH(C121, LCI!C:C, 0), 0))</f>
        <v>#N/A</v>
      </c>
      <c r="L121" s="18" t="e" cm="1">
        <f t="array" ref="L121">SUMPRODUCT((IFERROR(INDEX(EF!G:G, MATCH(LCI!E$1:GC$1, EF!A:A, 0)), 0)) * INDEX(LCI!E:GC, MATCH(C121, LCI!C:C, 0), 0))</f>
        <v>#N/A</v>
      </c>
      <c r="M121" s="18" t="e" cm="1">
        <f t="array" ref="M121">SUMPRODUCT((IFERROR(INDEX(EF!H:H, MATCH(LCI!E$1:GC$1, EF!A:A, 0)), 0)) * INDEX(LCI!E:GC, MATCH(C121, LCI!C:C, 0), 0))</f>
        <v>#N/A</v>
      </c>
      <c r="N121" s="18" t="e" cm="1">
        <f t="array" ref="N121">SUMPRODUCT((IFERROR(INDEX(EF!I:I, MATCH(LCI!E$1:GC$1, EF!A:A, 0)), 0)) * INDEX(LCI!E:GC, MATCH(C121, LCI!C:C, 0), 0))</f>
        <v>#N/A</v>
      </c>
      <c r="S121" s="31">
        <f>S120/W120</f>
        <v>4.2876863208387801E-2</v>
      </c>
      <c r="T121" s="5">
        <f>T120/W120</f>
        <v>0.32479964810588624</v>
      </c>
      <c r="U121" s="31">
        <f>U120/W120</f>
        <v>4.2028156019620962E-2</v>
      </c>
      <c r="V121" s="5">
        <f>V120/W120</f>
        <v>0.59029533266610501</v>
      </c>
      <c r="AC121" s="18" t="e">
        <f t="shared" si="35"/>
        <v>#N/A</v>
      </c>
    </row>
    <row r="1048575" spans="7:7" ht="15" customHeight="1">
      <c r="G1048575" s="3" t="b">
        <v>1</v>
      </c>
    </row>
  </sheetData>
  <autoFilter ref="A1:AR119" xr:uid="{2F1AAB9B-7EB7-4C05-BB3F-97C06F9E4A0A}">
    <sortState xmlns:xlrd2="http://schemas.microsoft.com/office/spreadsheetml/2017/richdata2" ref="A2:AR119">
      <sortCondition descending="1" ref="AA1:AA119"/>
    </sortState>
  </autoFilter>
  <phoneticPr fontId="4" type="noConversion"/>
  <conditionalFormatting sqref="C2:I43">
    <cfRule type="expression" dxfId="20" priority="6">
      <formula>"MOD(LIGNE() ;2)"</formula>
    </cfRule>
  </conditionalFormatting>
  <conditionalFormatting sqref="C64:I67 W64:W118">
    <cfRule type="expression" dxfId="19" priority="4">
      <formula>"MOD(LIGNE() ;2)"</formula>
    </cfRule>
  </conditionalFormatting>
  <conditionalFormatting sqref="C1:AA1 AC1:XFD1 A1:A119 AD2:AR2 AS2:XFD3 AS5:XFD6 AS8:XFD47 W22:X48 C44:G45 H45:I45 C46:I61 AS49:XFD119 W52:W54 W56:X63 E62:I63 X65:X80 C68:F115 G68:I119 X81:Z94 X95 Z95 X96:Z118 E116:F117 C118:F119 C120:C121 AF157:AQ345 AS157:XFD1048576 A346:A1048576">
    <cfRule type="expression" dxfId="18" priority="37">
      <formula>"MOD(LIGNE() ;2)"</formula>
    </cfRule>
  </conditionalFormatting>
  <conditionalFormatting sqref="V2:Z7 J2:U119 AA2:AC119 AD3:AQ3 AD4:XFD4 AD5:AQ6 AD7:XFD7 AD8:AR12 W8:Z21 V8:V119 AD13:AQ47 Y22:Z40 Z41 Y42:Z48 AD48:XFD48 W49:Z51 AD49:AQ119 Y52:Z54 W55:Z55 Y56:Z80 C62:D62 W119:Z119 T120:V120 J120:N121 S120:S121 AC120:AC121 U121 C346:AQ1048576">
    <cfRule type="expression" dxfId="17" priority="28">
      <formula>"MOD(LIGNE() ;2)"</formula>
    </cfRule>
  </conditionalFormatting>
  <conditionalFormatting sqref="W8:W9 H44">
    <cfRule type="expression" dxfId="16" priority="44">
      <formula>"MOD(LIGNE() ;2)"</formula>
    </cfRule>
  </conditionalFormatting>
  <hyperlinks>
    <hyperlink ref="Z110" r:id="rId1" xr:uid="{288EFA99-5A79-4ADC-BE38-D290A576CBE0}"/>
    <hyperlink ref="Z102" r:id="rId2" display="https://www.xtlaser.com/laser-cutting-consumption/" xr:uid="{BB500C8E-A870-4A31-994C-A077AC22FB0F}"/>
    <hyperlink ref="Z93" r:id="rId3" display="https://www.xtlaser.com/laser-cutting-consumption/" xr:uid="{DCFDA2E7-312F-40A5-AED9-DC16CCD3A654}"/>
    <hyperlink ref="Z74" r:id="rId4" display="https://www.xtlaser.com/laser-cutting-consumption/" xr:uid="{8F633126-9E88-401F-96FA-9CADECB50B96}"/>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A7EAA-A9B7-4753-B86D-FE981665F64A}">
  <dimension ref="A1:AE120"/>
  <sheetViews>
    <sheetView tabSelected="1" zoomScale="70" workbookViewId="0">
      <pane ySplit="1" topLeftCell="A2" activePane="bottomLeft" state="frozen"/>
      <selection pane="bottomLeft" activeCell="D21" sqref="D21"/>
    </sheetView>
  </sheetViews>
  <sheetFormatPr defaultRowHeight="14.4"/>
  <cols>
    <col min="3" max="3" width="43.88671875" customWidth="1"/>
    <col min="4" max="4" width="24.5546875" customWidth="1"/>
    <col min="5" max="5" width="31.88671875" customWidth="1"/>
    <col min="6" max="6" width="34.88671875" customWidth="1"/>
    <col min="7" max="7" width="15.5546875" customWidth="1"/>
    <col min="8" max="8" width="22.21875" customWidth="1"/>
    <col min="9" max="9" width="19" customWidth="1"/>
    <col min="10" max="10" width="15.33203125" customWidth="1"/>
    <col min="11" max="11" width="17" customWidth="1"/>
    <col min="12" max="12" width="13.5546875" customWidth="1"/>
    <col min="13" max="13" width="18.5546875" customWidth="1"/>
    <col min="14" max="14" width="19.109375" customWidth="1"/>
    <col min="15" max="15" width="16.88671875" customWidth="1"/>
    <col min="18" max="18" width="15.33203125" customWidth="1"/>
    <col min="19" max="19" width="16.88671875" customWidth="1"/>
    <col min="20" max="20" width="15.21875" customWidth="1"/>
    <col min="24" max="24" width="13.88671875" customWidth="1"/>
    <col min="25" max="25" width="16.109375" customWidth="1"/>
    <col min="26" max="26" width="24" customWidth="1"/>
    <col min="27" max="27" width="19.109375" customWidth="1"/>
    <col min="29" max="29" width="23" customWidth="1"/>
    <col min="31" max="31" width="19" customWidth="1"/>
  </cols>
  <sheetData>
    <row r="1" spans="1:31">
      <c r="A1" s="2" t="s">
        <v>0</v>
      </c>
      <c r="B1" s="2" t="s">
        <v>125</v>
      </c>
      <c r="C1" s="2" t="s">
        <v>1</v>
      </c>
      <c r="D1" t="s">
        <v>239</v>
      </c>
      <c r="E1" t="s">
        <v>403</v>
      </c>
      <c r="F1" t="s">
        <v>229</v>
      </c>
      <c r="G1" t="s">
        <v>231</v>
      </c>
      <c r="H1" t="s">
        <v>215</v>
      </c>
      <c r="I1" t="s">
        <v>249</v>
      </c>
      <c r="J1" t="s">
        <v>250</v>
      </c>
      <c r="K1" t="s">
        <v>232</v>
      </c>
      <c r="L1" t="s">
        <v>233</v>
      </c>
      <c r="M1" t="s">
        <v>388</v>
      </c>
      <c r="N1" t="s">
        <v>389</v>
      </c>
      <c r="O1" t="s">
        <v>390</v>
      </c>
      <c r="P1" t="s">
        <v>391</v>
      </c>
      <c r="Q1" t="s">
        <v>392</v>
      </c>
      <c r="R1" t="s">
        <v>414</v>
      </c>
      <c r="S1" t="s">
        <v>393</v>
      </c>
      <c r="T1" t="s">
        <v>262</v>
      </c>
      <c r="U1" t="s">
        <v>413</v>
      </c>
      <c r="V1" t="s">
        <v>277</v>
      </c>
      <c r="W1" t="s">
        <v>278</v>
      </c>
      <c r="X1" t="s">
        <v>279</v>
      </c>
      <c r="Y1" t="s">
        <v>394</v>
      </c>
      <c r="Z1" t="s">
        <v>395</v>
      </c>
      <c r="AA1" t="s">
        <v>396</v>
      </c>
      <c r="AB1" t="s">
        <v>397</v>
      </c>
      <c r="AC1" t="s">
        <v>398</v>
      </c>
      <c r="AD1" t="s">
        <v>399</v>
      </c>
      <c r="AE1" t="s">
        <v>400</v>
      </c>
    </row>
    <row r="2" spans="1:31">
      <c r="A2" s="6">
        <v>1</v>
      </c>
      <c r="B2" s="6"/>
      <c r="C2" s="6" t="s">
        <v>235</v>
      </c>
      <c r="E2">
        <f t="shared" ref="E2:E33" si="0">F2/60000/60</f>
        <v>2.7777777777777775E-6</v>
      </c>
      <c r="F2">
        <v>10</v>
      </c>
      <c r="G2">
        <f>(IFERROR(INDEX('General processes'!E:E, MATCH(A2, 'General processes'!A:A, 0)), 0))</f>
        <v>2500</v>
      </c>
      <c r="K2">
        <v>1.9800000000000002E-2</v>
      </c>
      <c r="L2">
        <v>1</v>
      </c>
    </row>
    <row r="3" spans="1:31">
      <c r="A3" s="6">
        <v>2</v>
      </c>
      <c r="B3" s="6"/>
      <c r="C3" s="6" t="s">
        <v>234</v>
      </c>
      <c r="E3">
        <f t="shared" si="0"/>
        <v>8.3333333333333337E-6</v>
      </c>
      <c r="F3">
        <v>30</v>
      </c>
      <c r="G3">
        <f>(IFERROR(INDEX('General processes'!E:E, MATCH(A3, 'General processes'!A:A, 0)), 0))</f>
        <v>10000</v>
      </c>
      <c r="K3">
        <v>1.9800000000000002E-2</v>
      </c>
      <c r="L3">
        <v>2</v>
      </c>
    </row>
    <row r="4" spans="1:31">
      <c r="A4" s="6">
        <v>3</v>
      </c>
      <c r="B4" s="6"/>
      <c r="C4" s="6" t="s">
        <v>236</v>
      </c>
      <c r="E4">
        <f t="shared" si="0"/>
        <v>8.3333333333333337E-6</v>
      </c>
      <c r="F4">
        <v>30</v>
      </c>
      <c r="G4">
        <f>(IFERROR(INDEX('General processes'!E:E, MATCH(A4, 'General processes'!A:A, 0)), 0))</f>
        <v>50000</v>
      </c>
      <c r="K4">
        <v>1.9800000000000002E-2</v>
      </c>
      <c r="L4">
        <v>4</v>
      </c>
    </row>
    <row r="5" spans="1:31">
      <c r="A5" s="6">
        <v>4</v>
      </c>
      <c r="B5" s="6"/>
      <c r="C5" s="6" t="s">
        <v>212</v>
      </c>
      <c r="E5">
        <f t="shared" si="0"/>
        <v>8.3333333333333337E-6</v>
      </c>
      <c r="F5">
        <v>30</v>
      </c>
      <c r="G5">
        <f>(IFERROR(INDEX('General processes'!E:E, MATCH(A5, 'General processes'!A:A, 0)), 0))</f>
        <v>34000</v>
      </c>
      <c r="K5">
        <v>1.9800000000000002E-2</v>
      </c>
      <c r="L5">
        <v>3.5000000000000003E-2</v>
      </c>
    </row>
    <row r="6" spans="1:31">
      <c r="A6" s="6">
        <v>5</v>
      </c>
      <c r="B6" s="8"/>
      <c r="C6" s="6" t="s">
        <v>99</v>
      </c>
      <c r="E6">
        <f t="shared" si="0"/>
        <v>8.3333333333333337E-6</v>
      </c>
      <c r="F6">
        <v>30</v>
      </c>
      <c r="G6">
        <f>(IFERROR(INDEX('General processes'!E:E, MATCH(A6, 'General processes'!A:A, 0)), 0))</f>
        <v>60000</v>
      </c>
      <c r="K6">
        <v>1.9800000000000002E-2</v>
      </c>
      <c r="L6">
        <v>2.4199999999999999E-2</v>
      </c>
    </row>
    <row r="7" spans="1:31">
      <c r="A7" s="6">
        <v>6</v>
      </c>
      <c r="B7" s="6"/>
      <c r="C7" s="6" t="s">
        <v>100</v>
      </c>
      <c r="E7">
        <f t="shared" si="0"/>
        <v>8.3333333333333337E-6</v>
      </c>
      <c r="F7">
        <v>30</v>
      </c>
      <c r="G7">
        <f>(IFERROR(INDEX('General processes'!E:E, MATCH(A7, 'General processes'!A:A, 0)), 0))</f>
        <v>78000</v>
      </c>
      <c r="K7">
        <v>3.9600000000000003E-2</v>
      </c>
      <c r="L7">
        <v>2.4199999999999999E-2</v>
      </c>
      <c r="AD7">
        <v>0.2</v>
      </c>
    </row>
    <row r="8" spans="1:31">
      <c r="A8" s="6">
        <v>7</v>
      </c>
      <c r="B8" s="6"/>
      <c r="C8" s="6" t="s">
        <v>17</v>
      </c>
      <c r="D8">
        <v>0</v>
      </c>
      <c r="E8">
        <v>9.9999999999999994E-12</v>
      </c>
      <c r="G8">
        <f>(IFERROR(INDEX('General processes'!E:E, MATCH(A8, 'General processes'!A:A, 0)), 0))</f>
        <v>30</v>
      </c>
    </row>
    <row r="9" spans="1:31">
      <c r="A9" s="6">
        <v>8</v>
      </c>
      <c r="B9" s="6" t="s">
        <v>462</v>
      </c>
      <c r="C9" s="6" t="s">
        <v>23</v>
      </c>
      <c r="D9">
        <v>10</v>
      </c>
      <c r="E9">
        <f t="shared" si="0"/>
        <v>8.3333333333333337E-6</v>
      </c>
      <c r="F9">
        <v>30</v>
      </c>
      <c r="G9">
        <f>(IFERROR(INDEX('General processes'!E:E, MATCH(A9, 'General processes'!A:A, 0)), 0))</f>
        <v>20000</v>
      </c>
      <c r="H9">
        <v>0.1</v>
      </c>
      <c r="I9">
        <f>0.2/60</f>
        <v>3.3333333333333335E-3</v>
      </c>
      <c r="M9">
        <v>0.1</v>
      </c>
      <c r="AD9">
        <v>0.1</v>
      </c>
      <c r="AE9">
        <f>0.2/60</f>
        <v>3.3333333333333335E-3</v>
      </c>
    </row>
    <row r="10" spans="1:31">
      <c r="A10" s="6">
        <v>9</v>
      </c>
      <c r="B10" s="6"/>
      <c r="C10" s="6" t="s">
        <v>241</v>
      </c>
      <c r="E10">
        <f t="shared" si="0"/>
        <v>2.7777777777777781E-7</v>
      </c>
      <c r="F10">
        <v>1</v>
      </c>
      <c r="G10">
        <f>(IFERROR(INDEX('General processes'!E:E, MATCH(A10, 'General processes'!A:A, 0)), 0))</f>
        <v>1200</v>
      </c>
      <c r="I10">
        <f>0.1/60</f>
        <v>1.6666666666666668E-3</v>
      </c>
      <c r="J10">
        <f>0.05/60</f>
        <v>8.3333333333333339E-4</v>
      </c>
      <c r="AE10">
        <f>0.1/60</f>
        <v>1.6666666666666668E-3</v>
      </c>
    </row>
    <row r="11" spans="1:31">
      <c r="A11" s="6">
        <v>10</v>
      </c>
      <c r="B11" s="6"/>
      <c r="C11" s="6" t="s">
        <v>243</v>
      </c>
      <c r="E11">
        <f t="shared" si="0"/>
        <v>2.7777777777777775E-6</v>
      </c>
      <c r="F11">
        <v>10</v>
      </c>
      <c r="G11">
        <f>(IFERROR(INDEX('General processes'!E:E, MATCH(A11, 'General processes'!A:A, 0)), 0))</f>
        <v>10000</v>
      </c>
      <c r="I11">
        <f>1/60</f>
        <v>1.6666666666666666E-2</v>
      </c>
      <c r="J11">
        <f>0.2/60</f>
        <v>3.3333333333333335E-3</v>
      </c>
      <c r="AD11">
        <f>1/60</f>
        <v>1.6666666666666666E-2</v>
      </c>
      <c r="AE11">
        <f>1/60</f>
        <v>1.6666666666666666E-2</v>
      </c>
    </row>
    <row r="12" spans="1:31">
      <c r="A12" s="6">
        <v>11</v>
      </c>
      <c r="B12" s="6"/>
      <c r="C12" s="6" t="s">
        <v>242</v>
      </c>
      <c r="E12">
        <f t="shared" si="0"/>
        <v>2.7777777777777781E-7</v>
      </c>
      <c r="F12">
        <v>1</v>
      </c>
      <c r="G12">
        <f>(IFERROR(INDEX('General processes'!E:E, MATCH(A12, 'General processes'!A:A, 0)), 0))</f>
        <v>1500</v>
      </c>
      <c r="I12">
        <f>0.3/60</f>
        <v>5.0000000000000001E-3</v>
      </c>
      <c r="J12">
        <f>0.05/60</f>
        <v>8.3333333333333339E-4</v>
      </c>
      <c r="AE12">
        <f>0.3/60</f>
        <v>5.0000000000000001E-3</v>
      </c>
    </row>
    <row r="13" spans="1:31">
      <c r="A13" s="6">
        <v>12</v>
      </c>
      <c r="B13" s="6"/>
      <c r="C13" s="6" t="s">
        <v>244</v>
      </c>
      <c r="E13">
        <f t="shared" si="0"/>
        <v>2.7777777777777775E-6</v>
      </c>
      <c r="F13">
        <v>10</v>
      </c>
      <c r="G13">
        <f>(IFERROR(INDEX('General processes'!E:E, MATCH(A13, 'General processes'!A:A, 0)), 0))</f>
        <v>15000</v>
      </c>
      <c r="I13">
        <f>1/60</f>
        <v>1.6666666666666666E-2</v>
      </c>
      <c r="J13">
        <f>0.3/60</f>
        <v>5.0000000000000001E-3</v>
      </c>
      <c r="AE13">
        <f>1/60</f>
        <v>1.6666666666666666E-2</v>
      </c>
    </row>
    <row r="14" spans="1:31">
      <c r="A14" s="6">
        <v>13</v>
      </c>
      <c r="B14" s="6"/>
      <c r="C14" s="6" t="s">
        <v>245</v>
      </c>
      <c r="E14">
        <f t="shared" si="0"/>
        <v>2.7777777777777781E-7</v>
      </c>
      <c r="F14">
        <v>1</v>
      </c>
      <c r="G14">
        <f>(IFERROR(INDEX('General processes'!E:E, MATCH(A14, 'General processes'!A:A, 0)), 0))</f>
        <v>1500</v>
      </c>
      <c r="I14">
        <f>0.2/60</f>
        <v>3.3333333333333335E-3</v>
      </c>
      <c r="J14">
        <f>0.05/60</f>
        <v>8.3333333333333339E-4</v>
      </c>
      <c r="AE14">
        <f>0.2/60</f>
        <v>3.3333333333333335E-3</v>
      </c>
    </row>
    <row r="15" spans="1:31">
      <c r="A15" s="6">
        <v>14</v>
      </c>
      <c r="B15" s="6"/>
      <c r="C15" s="6" t="s">
        <v>246</v>
      </c>
      <c r="E15">
        <f t="shared" si="0"/>
        <v>2.7777777777777775E-6</v>
      </c>
      <c r="F15">
        <v>10</v>
      </c>
      <c r="G15">
        <f>(IFERROR(INDEX('General processes'!E:E, MATCH(A15, 'General processes'!A:A, 0)), 0))</f>
        <v>10000</v>
      </c>
      <c r="I15">
        <f>1/60</f>
        <v>1.6666666666666666E-2</v>
      </c>
      <c r="J15">
        <f>0.3/60</f>
        <v>5.0000000000000001E-3</v>
      </c>
      <c r="AE15">
        <f>1/60</f>
        <v>1.6666666666666666E-2</v>
      </c>
    </row>
    <row r="16" spans="1:31">
      <c r="A16" s="6">
        <v>15</v>
      </c>
      <c r="B16" s="6"/>
      <c r="C16" s="6" t="s">
        <v>247</v>
      </c>
      <c r="E16">
        <f t="shared" si="0"/>
        <v>2.7777777777777781E-7</v>
      </c>
      <c r="F16">
        <v>1</v>
      </c>
      <c r="G16">
        <f>(IFERROR(INDEX('General processes'!E:E, MATCH(A16, 'General processes'!A:A, 0)), 0))</f>
        <v>1500</v>
      </c>
      <c r="I16">
        <f>0.2/60</f>
        <v>3.3333333333333335E-3</v>
      </c>
      <c r="J16">
        <f>0.05/60</f>
        <v>8.3333333333333339E-4</v>
      </c>
      <c r="AE16">
        <f>0.2/60</f>
        <v>3.3333333333333335E-3</v>
      </c>
    </row>
    <row r="17" spans="1:31">
      <c r="A17" s="6">
        <v>16</v>
      </c>
      <c r="B17" s="6"/>
      <c r="C17" s="6" t="s">
        <v>248</v>
      </c>
      <c r="E17">
        <f t="shared" si="0"/>
        <v>2.7777777777777775E-6</v>
      </c>
      <c r="F17">
        <v>10</v>
      </c>
      <c r="G17">
        <f>(IFERROR(INDEX('General processes'!E:E, MATCH(A17, 'General processes'!A:A, 0)), 0))</f>
        <v>10000</v>
      </c>
      <c r="I17">
        <f>1/60</f>
        <v>1.6666666666666666E-2</v>
      </c>
      <c r="J17">
        <f>0.2/60</f>
        <v>3.3333333333333335E-3</v>
      </c>
      <c r="AE17">
        <f>0.4/60</f>
        <v>6.6666666666666671E-3</v>
      </c>
    </row>
    <row r="18" spans="1:31">
      <c r="A18" s="6">
        <v>17</v>
      </c>
      <c r="B18" s="6"/>
      <c r="C18" s="6" t="s">
        <v>105</v>
      </c>
      <c r="E18">
        <f t="shared" si="0"/>
        <v>5.5555555555555555E-8</v>
      </c>
      <c r="F18">
        <v>0.2</v>
      </c>
      <c r="G18">
        <f>(IFERROR(INDEX('General processes'!E:E, MATCH(A18, 'General processes'!A:A, 0)), 0))</f>
        <v>900</v>
      </c>
      <c r="J18">
        <v>1.476</v>
      </c>
      <c r="K18">
        <v>1.1743379999999999E-2</v>
      </c>
      <c r="N18">
        <v>0.155</v>
      </c>
      <c r="O18">
        <v>4.8275039999999998E-2</v>
      </c>
    </row>
    <row r="19" spans="1:31">
      <c r="A19" s="6">
        <v>18</v>
      </c>
      <c r="B19" s="6"/>
      <c r="C19" s="6" t="s">
        <v>106</v>
      </c>
      <c r="E19">
        <f t="shared" si="0"/>
        <v>5.5555555555555555E-8</v>
      </c>
      <c r="F19">
        <v>0.2</v>
      </c>
      <c r="G19">
        <f>(IFERROR(INDEX('General processes'!E:E, MATCH(A19, 'General processes'!A:A, 0)), 0))</f>
        <v>4000</v>
      </c>
      <c r="N19">
        <v>1.532</v>
      </c>
      <c r="P19">
        <v>0.38300000000000001</v>
      </c>
      <c r="Q19">
        <v>0.877</v>
      </c>
    </row>
    <row r="20" spans="1:31">
      <c r="A20" s="6">
        <v>19</v>
      </c>
      <c r="B20" s="6"/>
      <c r="C20" s="6" t="s">
        <v>183</v>
      </c>
      <c r="E20">
        <f t="shared" si="0"/>
        <v>5.5555555555555555E-8</v>
      </c>
      <c r="F20">
        <v>0.2</v>
      </c>
      <c r="G20">
        <f>(IFERROR(INDEX('General processes'!E:E, MATCH(A20, 'General processes'!A:A, 0)), 0))</f>
        <v>25000</v>
      </c>
      <c r="J20">
        <v>3.64</v>
      </c>
      <c r="N20">
        <v>6.7999999999999996E-3</v>
      </c>
    </row>
    <row r="21" spans="1:31">
      <c r="A21" s="6">
        <v>20</v>
      </c>
      <c r="B21" s="6"/>
      <c r="C21" s="6" t="s">
        <v>471</v>
      </c>
      <c r="E21">
        <f t="shared" si="0"/>
        <v>5.5555555555555555E-8</v>
      </c>
      <c r="F21">
        <v>0.2</v>
      </c>
      <c r="G21">
        <f>(IFERROR(INDEX('General processes'!E:E, MATCH(A21, 'General processes'!A:A, 0)), 0))</f>
        <v>1900</v>
      </c>
      <c r="K21">
        <v>7.1171999999999999E-2</v>
      </c>
      <c r="N21">
        <v>0.88400000000000001</v>
      </c>
      <c r="O21">
        <v>0.292576</v>
      </c>
    </row>
    <row r="22" spans="1:31" ht="12.6" customHeight="1">
      <c r="A22" s="6">
        <v>21</v>
      </c>
      <c r="B22" s="6"/>
      <c r="C22" s="3" t="s">
        <v>467</v>
      </c>
      <c r="E22">
        <f t="shared" si="0"/>
        <v>5.5555555555555555E-8</v>
      </c>
      <c r="F22">
        <v>0.2</v>
      </c>
      <c r="G22">
        <f>(IFERROR(INDEX('General processes'!E:E, MATCH(A22, 'General processes'!A:A, 0)), 0))</f>
        <v>8000</v>
      </c>
      <c r="K22">
        <v>8.5762259999999993E-2</v>
      </c>
      <c r="N22">
        <v>1.216</v>
      </c>
      <c r="O22">
        <v>0.35255407999999994</v>
      </c>
    </row>
    <row r="23" spans="1:31">
      <c r="A23" s="6">
        <v>22</v>
      </c>
      <c r="B23" s="6"/>
      <c r="C23" s="6" t="s">
        <v>94</v>
      </c>
      <c r="E23">
        <f t="shared" si="0"/>
        <v>5.5555555555555555E-8</v>
      </c>
      <c r="F23">
        <v>0.2</v>
      </c>
      <c r="G23">
        <f>(IFERROR(INDEX('General processes'!E:E, MATCH(A23, 'General processes'!A:A, 0)), 0))</f>
        <v>700</v>
      </c>
      <c r="I23">
        <f>1/60</f>
        <v>1.6666666666666666E-2</v>
      </c>
      <c r="AE23">
        <f>1/60</f>
        <v>1.6666666666666666E-2</v>
      </c>
    </row>
    <row r="24" spans="1:31">
      <c r="A24" s="6">
        <v>23</v>
      </c>
      <c r="B24" s="6"/>
      <c r="C24" s="6" t="s">
        <v>20</v>
      </c>
      <c r="E24">
        <f t="shared" si="0"/>
        <v>8.3333333333333337E-6</v>
      </c>
      <c r="F24">
        <v>30</v>
      </c>
      <c r="G24">
        <f>(IFERROR(INDEX('General processes'!E:E, MATCH(A24, 'General processes'!A:A, 0)), 0))</f>
        <v>10000</v>
      </c>
      <c r="I24">
        <f>2/60</f>
        <v>3.3333333333333333E-2</v>
      </c>
      <c r="AE24">
        <f>2/60</f>
        <v>3.3333333333333333E-2</v>
      </c>
    </row>
    <row r="25" spans="1:31">
      <c r="A25" s="6">
        <v>24</v>
      </c>
      <c r="B25" s="6"/>
      <c r="C25" s="6" t="s">
        <v>16</v>
      </c>
      <c r="E25">
        <f t="shared" si="0"/>
        <v>8.3333333333333337E-6</v>
      </c>
      <c r="F25">
        <v>30</v>
      </c>
      <c r="G25">
        <f>(IFERROR(INDEX('General processes'!E:E, MATCH(A25, 'General processes'!A:A, 0)), 0))</f>
        <v>22000</v>
      </c>
      <c r="I25">
        <f>2/60</f>
        <v>3.3333333333333333E-2</v>
      </c>
      <c r="AE25">
        <f>2/60</f>
        <v>3.3333333333333333E-2</v>
      </c>
    </row>
    <row r="26" spans="1:31">
      <c r="A26" s="6">
        <v>25</v>
      </c>
      <c r="B26" s="6"/>
      <c r="C26" s="6" t="s">
        <v>43</v>
      </c>
      <c r="E26">
        <f t="shared" si="0"/>
        <v>8.3333333333333337E-6</v>
      </c>
      <c r="F26">
        <v>30</v>
      </c>
      <c r="G26">
        <f>(IFERROR(INDEX('General processes'!E:E, MATCH(A26, 'General processes'!A:A, 0)), 0))</f>
        <v>22000</v>
      </c>
      <c r="I26">
        <f>2/60</f>
        <v>3.3333333333333333E-2</v>
      </c>
      <c r="AE26">
        <f>2/60</f>
        <v>3.3333333333333333E-2</v>
      </c>
    </row>
    <row r="27" spans="1:31">
      <c r="A27" s="6">
        <v>26</v>
      </c>
      <c r="B27" s="6"/>
      <c r="C27" s="6" t="s">
        <v>15</v>
      </c>
      <c r="E27">
        <v>9.9999999999999994E-12</v>
      </c>
      <c r="F27">
        <v>0</v>
      </c>
      <c r="G27">
        <f>(IFERROR(INDEX('General processes'!E:E, MATCH(A27, 'General processes'!A:A, 0)), 0))</f>
        <v>0</v>
      </c>
    </row>
    <row r="28" spans="1:31">
      <c r="A28" s="6">
        <v>27</v>
      </c>
      <c r="B28" s="6"/>
      <c r="C28" s="6" t="s">
        <v>35</v>
      </c>
      <c r="E28">
        <v>9.9999999999999994E-12</v>
      </c>
      <c r="F28">
        <v>0</v>
      </c>
      <c r="G28">
        <f>(IFERROR(INDEX('General processes'!E:E, MATCH(A28, 'General processes'!A:A, 0)), 0))</f>
        <v>600</v>
      </c>
    </row>
    <row r="29" spans="1:31">
      <c r="A29" s="6">
        <v>28</v>
      </c>
      <c r="B29" s="8"/>
      <c r="C29" s="6" t="s">
        <v>31</v>
      </c>
      <c r="E29">
        <v>9.9999999999999994E-12</v>
      </c>
      <c r="F29">
        <v>0</v>
      </c>
      <c r="G29">
        <f>(IFERROR(INDEX('General processes'!E:E, MATCH(A29, 'General processes'!A:A, 0)), 0))</f>
        <v>500</v>
      </c>
    </row>
    <row r="30" spans="1:31">
      <c r="A30" s="6">
        <v>29</v>
      </c>
      <c r="B30" s="6"/>
      <c r="C30" s="6" t="s">
        <v>41</v>
      </c>
      <c r="E30">
        <f t="shared" si="0"/>
        <v>2.7777777777777781E-7</v>
      </c>
      <c r="F30">
        <v>1</v>
      </c>
      <c r="G30">
        <f>(IFERROR(INDEX('General processes'!E:E, MATCH(A30, 'General processes'!A:A, 0)), 0))</f>
        <v>1500</v>
      </c>
      <c r="I30">
        <f>0.1/60</f>
        <v>1.6666666666666668E-3</v>
      </c>
      <c r="AE30">
        <f>0.1/60</f>
        <v>1.6666666666666668E-3</v>
      </c>
    </row>
    <row r="31" spans="1:31">
      <c r="A31" s="6">
        <v>30</v>
      </c>
      <c r="B31" s="6"/>
      <c r="C31" s="6" t="s">
        <v>36</v>
      </c>
      <c r="E31">
        <f t="shared" si="0"/>
        <v>2.7777777777777781E-7</v>
      </c>
      <c r="F31">
        <v>1</v>
      </c>
      <c r="G31">
        <f>(IFERROR(INDEX('General processes'!E:E, MATCH(A31, 'General processes'!A:A, 0)), 0))</f>
        <v>10000</v>
      </c>
      <c r="I31">
        <f>3/60</f>
        <v>0.05</v>
      </c>
      <c r="AE31">
        <f>3/60</f>
        <v>0.05</v>
      </c>
    </row>
    <row r="32" spans="1:31">
      <c r="A32" s="6">
        <v>31</v>
      </c>
      <c r="B32" s="6" t="s">
        <v>253</v>
      </c>
      <c r="C32" s="6" t="s">
        <v>252</v>
      </c>
      <c r="E32">
        <f t="shared" si="0"/>
        <v>2.7777777777777781E-7</v>
      </c>
      <c r="F32">
        <v>1</v>
      </c>
      <c r="G32">
        <f>(IFERROR(INDEX('General processes'!E:E, MATCH(A32, 'General processes'!A:A, 0)), 0))</f>
        <v>3000</v>
      </c>
      <c r="H32">
        <f>2/60</f>
        <v>3.3333333333333333E-2</v>
      </c>
      <c r="I32">
        <f>0.05/60</f>
        <v>8.3333333333333339E-4</v>
      </c>
      <c r="J32">
        <f>0.2/60</f>
        <v>3.3333333333333335E-3</v>
      </c>
      <c r="M32">
        <f>0.05/60</f>
        <v>8.3333333333333339E-4</v>
      </c>
      <c r="R32">
        <f>0.02/60</f>
        <v>3.3333333333333332E-4</v>
      </c>
      <c r="S32">
        <f>0.01/60</f>
        <v>1.6666666666666666E-4</v>
      </c>
      <c r="AD32">
        <f>2/60</f>
        <v>3.3333333333333333E-2</v>
      </c>
      <c r="AE32">
        <f>0.05/60</f>
        <v>8.3333333333333339E-4</v>
      </c>
    </row>
    <row r="33" spans="1:31">
      <c r="A33" s="6">
        <v>32</v>
      </c>
      <c r="B33" s="6"/>
      <c r="C33" s="6" t="s">
        <v>40</v>
      </c>
      <c r="E33">
        <f t="shared" si="0"/>
        <v>2.7777777777777781E-7</v>
      </c>
      <c r="F33">
        <v>1</v>
      </c>
      <c r="G33">
        <f>(IFERROR(INDEX('General processes'!E:E, MATCH(A33, 'General processes'!A:A, 0)), 0))</f>
        <v>700</v>
      </c>
    </row>
    <row r="34" spans="1:31" ht="19.2" customHeight="1">
      <c r="A34" s="6">
        <v>33</v>
      </c>
      <c r="B34" s="12" t="s">
        <v>254</v>
      </c>
      <c r="C34" s="6" t="s">
        <v>142</v>
      </c>
      <c r="D34">
        <v>24.819752259581016</v>
      </c>
      <c r="E34">
        <f t="shared" ref="E34:E65" si="1">F34/60000/60</f>
        <v>2.7777777777777775E-6</v>
      </c>
      <c r="F34">
        <v>10</v>
      </c>
      <c r="G34">
        <f>(IFERROR(INDEX('General processes'!E:E, MATCH(A34, 'General processes'!A:A, 0)), 0))</f>
        <v>1000</v>
      </c>
      <c r="H34">
        <v>3.9410766882499185E-4</v>
      </c>
      <c r="M34">
        <v>1.2423819280202185E-3</v>
      </c>
      <c r="T34">
        <v>7.0157774805159061E-4</v>
      </c>
      <c r="U34">
        <v>0.52942995755549371</v>
      </c>
      <c r="V34">
        <v>0.53488747905200162</v>
      </c>
      <c r="W34">
        <v>1.6025514237621708E-2</v>
      </c>
      <c r="X34">
        <v>2.4546327252217138E-3</v>
      </c>
      <c r="AD34">
        <v>3.9410766882499185E-4</v>
      </c>
    </row>
    <row r="35" spans="1:31">
      <c r="A35" s="6">
        <v>34</v>
      </c>
      <c r="B35" s="6"/>
      <c r="C35" s="6" t="s">
        <v>26</v>
      </c>
      <c r="D35">
        <v>0.3</v>
      </c>
      <c r="E35">
        <f t="shared" si="1"/>
        <v>8.3333333333333337E-6</v>
      </c>
      <c r="F35">
        <v>30</v>
      </c>
      <c r="G35">
        <f>(IFERROR(INDEX('General processes'!E:E, MATCH(A35, 'General processes'!A:A, 0)), 0))</f>
        <v>10000</v>
      </c>
      <c r="H35">
        <v>3.9410766882499185E-4</v>
      </c>
      <c r="M35">
        <v>1.2423819280202185E-3</v>
      </c>
      <c r="T35">
        <v>7.0157774805159061E-4</v>
      </c>
      <c r="U35">
        <v>0.52942995755549371</v>
      </c>
      <c r="V35">
        <v>0.53488747905200162</v>
      </c>
      <c r="W35">
        <v>1.6025514237621708E-2</v>
      </c>
      <c r="X35">
        <v>2.4546327252217138E-3</v>
      </c>
      <c r="AD35">
        <v>3.9410766882499185E-4</v>
      </c>
    </row>
    <row r="36" spans="1:31">
      <c r="A36" s="6">
        <v>35</v>
      </c>
      <c r="B36" s="6"/>
      <c r="C36" s="6" t="s">
        <v>143</v>
      </c>
      <c r="D36">
        <v>0.25</v>
      </c>
      <c r="E36">
        <f t="shared" si="1"/>
        <v>8.3333333333333337E-6</v>
      </c>
      <c r="F36">
        <v>30</v>
      </c>
      <c r="G36">
        <f>(IFERROR(INDEX('General processes'!E:E, MATCH(A36, 'General processes'!A:A, 0)), 0))</f>
        <v>10000</v>
      </c>
      <c r="H36">
        <v>3.9410766882499185E-4</v>
      </c>
      <c r="M36">
        <v>1.2423819280202185E-3</v>
      </c>
      <c r="T36">
        <v>7.0157774805159061E-4</v>
      </c>
      <c r="U36">
        <v>0.52942995755549371</v>
      </c>
      <c r="V36">
        <v>0.53488747905200162</v>
      </c>
      <c r="W36">
        <v>1.6025514237621708E-2</v>
      </c>
      <c r="X36">
        <v>2.4546327252217138E-3</v>
      </c>
      <c r="AD36">
        <v>3.9410766882499185E-4</v>
      </c>
    </row>
    <row r="37" spans="1:31">
      <c r="A37" s="6">
        <v>36</v>
      </c>
      <c r="B37" s="6"/>
      <c r="C37" s="12" t="s">
        <v>137</v>
      </c>
      <c r="E37">
        <f t="shared" si="1"/>
        <v>8.3333333333333337E-6</v>
      </c>
      <c r="F37">
        <v>30</v>
      </c>
      <c r="G37">
        <f>(IFERROR(INDEX('General processes'!E:E, MATCH(A37, 'General processes'!A:A, 0)), 0))</f>
        <v>3000</v>
      </c>
      <c r="H37">
        <f>0.08+0.41</f>
        <v>0.49</v>
      </c>
      <c r="Y37">
        <v>1E-3</v>
      </c>
      <c r="AD37">
        <f>0.08+0.41</f>
        <v>0.49</v>
      </c>
    </row>
    <row r="38" spans="1:31">
      <c r="A38" s="6">
        <v>37</v>
      </c>
      <c r="B38" s="6"/>
      <c r="C38" s="6" t="s">
        <v>30</v>
      </c>
      <c r="E38">
        <f t="shared" si="1"/>
        <v>5.5555555555555555E-8</v>
      </c>
      <c r="F38">
        <v>0.2</v>
      </c>
      <c r="G38">
        <f>(IFERROR(INDEX('General processes'!E:E, MATCH(A38, 'General processes'!A:A, 0)), 0))</f>
        <v>100</v>
      </c>
      <c r="H38">
        <v>1</v>
      </c>
      <c r="Y38">
        <v>0.01</v>
      </c>
      <c r="AD38">
        <v>1</v>
      </c>
    </row>
    <row r="39" spans="1:31">
      <c r="A39" s="6">
        <v>38</v>
      </c>
      <c r="B39" s="6"/>
      <c r="C39" s="6" t="s">
        <v>33</v>
      </c>
      <c r="E39">
        <v>9.9999999999999994E-12</v>
      </c>
      <c r="F39">
        <v>0</v>
      </c>
      <c r="G39">
        <f>(IFERROR(INDEX('General processes'!E:E, MATCH(A39, 'General processes'!A:A, 0)), 0))</f>
        <v>2000</v>
      </c>
      <c r="H39">
        <v>3</v>
      </c>
      <c r="AD39">
        <v>3</v>
      </c>
    </row>
    <row r="40" spans="1:31">
      <c r="A40" s="6">
        <v>39</v>
      </c>
      <c r="B40" s="6"/>
      <c r="C40" s="6" t="s">
        <v>27</v>
      </c>
      <c r="E40">
        <f t="shared" si="1"/>
        <v>8.3333333333333337E-6</v>
      </c>
      <c r="F40">
        <v>30</v>
      </c>
      <c r="G40">
        <f>(IFERROR(INDEX('General processes'!E:E, MATCH(A40, 'General processes'!A:A, 0)), 0))</f>
        <v>5000</v>
      </c>
    </row>
    <row r="41" spans="1:31">
      <c r="A41" s="6">
        <v>40</v>
      </c>
      <c r="B41" s="6"/>
      <c r="C41" s="6" t="s">
        <v>28</v>
      </c>
      <c r="E41">
        <f t="shared" si="1"/>
        <v>2.7777777777777781E-7</v>
      </c>
      <c r="F41">
        <v>1</v>
      </c>
      <c r="G41">
        <f>(IFERROR(INDEX('General processes'!E:E, MATCH(A41, 'General processes'!A:A, 0)), 0))</f>
        <v>0</v>
      </c>
      <c r="I41">
        <f>0.1/60</f>
        <v>1.6666666666666668E-3</v>
      </c>
      <c r="AE41">
        <f>0.1/60</f>
        <v>1.6666666666666668E-3</v>
      </c>
    </row>
    <row r="42" spans="1:31">
      <c r="A42" s="6">
        <v>41</v>
      </c>
      <c r="B42" s="6"/>
      <c r="C42" s="6" t="s">
        <v>327</v>
      </c>
      <c r="E42">
        <f t="shared" si="1"/>
        <v>2.7777777777777781E-7</v>
      </c>
      <c r="F42">
        <v>1</v>
      </c>
      <c r="G42">
        <f>(IFERROR(INDEX('General processes'!E:E, MATCH(A42, 'General processes'!A:A, 0)), 0))</f>
        <v>0</v>
      </c>
      <c r="I42">
        <f>0.2/60</f>
        <v>3.3333333333333335E-3</v>
      </c>
      <c r="J42">
        <v>0.3</v>
      </c>
      <c r="AE42">
        <f>0.2/60</f>
        <v>3.3333333333333335E-3</v>
      </c>
    </row>
    <row r="43" spans="1:31">
      <c r="A43" s="6">
        <v>42</v>
      </c>
      <c r="B43" s="6"/>
      <c r="C43" s="6" t="s">
        <v>306</v>
      </c>
      <c r="E43">
        <f t="shared" si="1"/>
        <v>8.3333333333333337E-6</v>
      </c>
      <c r="F43">
        <v>30</v>
      </c>
      <c r="G43">
        <f>(IFERROR(INDEX('General processes'!E:E, MATCH(A43, 'General processes'!A:A, 0)), 0))</f>
        <v>4000</v>
      </c>
      <c r="H43">
        <v>0.04</v>
      </c>
      <c r="Z43">
        <v>5.0000000000000001E-3</v>
      </c>
      <c r="AD43">
        <v>0.04</v>
      </c>
    </row>
    <row r="44" spans="1:31">
      <c r="A44" s="6">
        <v>43</v>
      </c>
      <c r="B44" s="6"/>
      <c r="C44" s="6" t="s">
        <v>305</v>
      </c>
      <c r="E44">
        <f t="shared" si="1"/>
        <v>8.3333333333333337E-6</v>
      </c>
      <c r="F44">
        <v>30</v>
      </c>
      <c r="G44">
        <f>(IFERROR(INDEX('General processes'!E:E, MATCH(A44, 'General processes'!A:A, 0)), 0))</f>
        <v>6000</v>
      </c>
      <c r="Z44">
        <v>5.0000000000000001E-3</v>
      </c>
    </row>
    <row r="45" spans="1:31">
      <c r="A45" s="6">
        <v>44</v>
      </c>
      <c r="B45" s="6"/>
      <c r="C45" s="6" t="s">
        <v>93</v>
      </c>
      <c r="E45">
        <f t="shared" si="1"/>
        <v>8.3333333333333337E-6</v>
      </c>
      <c r="F45">
        <v>30</v>
      </c>
      <c r="G45">
        <f>(IFERROR(INDEX('General processes'!E:E, MATCH(A45, 'General processes'!A:A, 0)), 0))</f>
        <v>26515</v>
      </c>
      <c r="H45">
        <v>2</v>
      </c>
      <c r="Z45">
        <v>0.5</v>
      </c>
      <c r="AD45">
        <v>2</v>
      </c>
    </row>
    <row r="46" spans="1:31">
      <c r="A46" s="6">
        <v>45</v>
      </c>
      <c r="B46" s="6"/>
      <c r="C46" s="6" t="s">
        <v>34</v>
      </c>
      <c r="E46">
        <f t="shared" si="1"/>
        <v>8.3333333333333337E-6</v>
      </c>
      <c r="F46">
        <v>30</v>
      </c>
      <c r="G46">
        <f>(IFERROR(INDEX('General processes'!E:E, MATCH(A46, 'General processes'!A:A, 0)), 0))</f>
        <v>6000</v>
      </c>
    </row>
    <row r="47" spans="1:31">
      <c r="A47" s="6">
        <v>46</v>
      </c>
      <c r="B47" s="6"/>
      <c r="C47" s="6" t="s">
        <v>24</v>
      </c>
      <c r="E47">
        <f t="shared" si="1"/>
        <v>2.7777777777777781E-7</v>
      </c>
      <c r="F47">
        <v>1</v>
      </c>
      <c r="G47">
        <f>(IFERROR(INDEX('General processes'!E:E, MATCH(A47, 'General processes'!A:A, 0)), 0))</f>
        <v>800</v>
      </c>
      <c r="I47">
        <f>0.1/60</f>
        <v>1.6666666666666668E-3</v>
      </c>
      <c r="AE47">
        <f>0.1/60</f>
        <v>1.6666666666666668E-3</v>
      </c>
    </row>
    <row r="48" spans="1:31">
      <c r="A48" s="6">
        <v>47</v>
      </c>
      <c r="B48" s="6"/>
      <c r="C48" s="3" t="s">
        <v>468</v>
      </c>
      <c r="E48">
        <f t="shared" si="1"/>
        <v>2.7777777777777781E-7</v>
      </c>
      <c r="F48">
        <v>1</v>
      </c>
      <c r="G48">
        <f>(IFERROR(INDEX('General processes'!E:E, MATCH(A48, 'General processes'!A:A, 0)), 0))</f>
        <v>1000</v>
      </c>
      <c r="I48">
        <f>0.2/60</f>
        <v>3.3333333333333335E-3</v>
      </c>
      <c r="AE48">
        <f>0.2/60</f>
        <v>3.3333333333333335E-3</v>
      </c>
    </row>
    <row r="49" spans="1:31">
      <c r="A49" s="6">
        <v>48</v>
      </c>
      <c r="B49" s="6"/>
      <c r="C49" s="6" t="s">
        <v>21</v>
      </c>
      <c r="E49">
        <f t="shared" si="1"/>
        <v>5.5555555555555555E-8</v>
      </c>
      <c r="F49">
        <v>0.2</v>
      </c>
      <c r="G49">
        <f>(IFERROR(INDEX('General processes'!E:E, MATCH(A49, 'General processes'!A:A, 0)), 0))</f>
        <v>1100</v>
      </c>
      <c r="I49">
        <f>0.1/60</f>
        <v>1.6666666666666668E-3</v>
      </c>
      <c r="AE49">
        <f>0.1/60</f>
        <v>1.6666666666666668E-3</v>
      </c>
    </row>
    <row r="50" spans="1:31">
      <c r="A50" s="6">
        <v>49</v>
      </c>
      <c r="B50" s="6"/>
      <c r="C50" s="6" t="s">
        <v>45</v>
      </c>
      <c r="E50">
        <f t="shared" si="1"/>
        <v>8.3333333333333337E-6</v>
      </c>
      <c r="F50">
        <v>30</v>
      </c>
      <c r="G50">
        <f>(IFERROR(INDEX('General processes'!E:E, MATCH(A50, 'General processes'!A:A, 0)), 0))</f>
        <v>25000</v>
      </c>
      <c r="J50">
        <v>3.64</v>
      </c>
      <c r="N50">
        <v>6.7999999999999996E-3</v>
      </c>
    </row>
    <row r="51" spans="1:31">
      <c r="A51" s="6">
        <v>50</v>
      </c>
      <c r="B51" s="6"/>
      <c r="C51" s="6" t="s">
        <v>44</v>
      </c>
      <c r="D51">
        <v>5.97</v>
      </c>
      <c r="E51">
        <f t="shared" si="1"/>
        <v>8.3333333333333337E-6</v>
      </c>
      <c r="F51">
        <v>30</v>
      </c>
      <c r="G51">
        <f>(IFERROR(INDEX('General processes'!E:E, MATCH(A51, 'General processes'!A:A, 0)), 0))</f>
        <v>7000</v>
      </c>
      <c r="I51">
        <v>10</v>
      </c>
      <c r="K51">
        <v>12.3</v>
      </c>
      <c r="AE51">
        <v>10</v>
      </c>
    </row>
    <row r="52" spans="1:31">
      <c r="A52" s="6">
        <v>51</v>
      </c>
      <c r="B52" s="6"/>
      <c r="C52" s="3" t="s">
        <v>184</v>
      </c>
      <c r="E52">
        <f t="shared" si="1"/>
        <v>8.3333333333333337E-6</v>
      </c>
      <c r="F52">
        <v>30</v>
      </c>
      <c r="G52">
        <f>(IFERROR(INDEX('General processes'!E:E, MATCH(A52, 'General processes'!A:A, 0)), 0))</f>
        <v>33000</v>
      </c>
      <c r="J52">
        <v>2.79</v>
      </c>
    </row>
    <row r="53" spans="1:31">
      <c r="A53" s="6">
        <v>52</v>
      </c>
      <c r="B53" s="6"/>
      <c r="C53" s="6" t="s">
        <v>214</v>
      </c>
      <c r="E53">
        <f t="shared" si="1"/>
        <v>8.3333333333333337E-6</v>
      </c>
      <c r="F53">
        <v>30</v>
      </c>
      <c r="G53">
        <v>5000</v>
      </c>
      <c r="I53">
        <v>0.1</v>
      </c>
      <c r="J53">
        <v>3.5999999999999997E-2</v>
      </c>
      <c r="K53">
        <v>5.94E-3</v>
      </c>
      <c r="L53">
        <v>1.8759999999999999E-2</v>
      </c>
      <c r="AE53">
        <v>0.1</v>
      </c>
    </row>
    <row r="54" spans="1:31">
      <c r="A54" s="6">
        <v>53</v>
      </c>
      <c r="B54" s="6"/>
      <c r="C54" s="6" t="s">
        <v>101</v>
      </c>
      <c r="E54">
        <f t="shared" si="1"/>
        <v>2.7777777777777775E-6</v>
      </c>
      <c r="F54">
        <v>10</v>
      </c>
      <c r="G54">
        <v>2500</v>
      </c>
      <c r="I54">
        <v>0.05</v>
      </c>
      <c r="J54">
        <v>1.2E-2</v>
      </c>
      <c r="K54">
        <v>1.98E-3</v>
      </c>
      <c r="L54">
        <v>6.2500000000000003E-3</v>
      </c>
      <c r="AE54">
        <v>0.05</v>
      </c>
    </row>
    <row r="55" spans="1:31">
      <c r="A55" s="6">
        <v>54</v>
      </c>
      <c r="B55" s="6"/>
      <c r="C55" s="6" t="s">
        <v>103</v>
      </c>
      <c r="E55">
        <f t="shared" si="1"/>
        <v>2.7777777777777775E-6</v>
      </c>
      <c r="F55">
        <v>10</v>
      </c>
      <c r="G55">
        <v>500</v>
      </c>
      <c r="I55">
        <v>0.02</v>
      </c>
      <c r="J55">
        <v>3.5999999999999999E-3</v>
      </c>
      <c r="K55">
        <v>5.9400000000000002E-4</v>
      </c>
      <c r="L55">
        <v>1.8799999999999999E-3</v>
      </c>
      <c r="AE55">
        <v>0.02</v>
      </c>
    </row>
    <row r="56" spans="1:31">
      <c r="A56" s="6">
        <v>55</v>
      </c>
      <c r="B56" s="6"/>
      <c r="C56" s="7" t="s">
        <v>189</v>
      </c>
      <c r="E56">
        <f t="shared" si="1"/>
        <v>2.7777777777777775E-6</v>
      </c>
      <c r="F56">
        <v>10</v>
      </c>
      <c r="G56">
        <f>(IFERROR(INDEX('General processes'!E:E, MATCH(A56, 'General processes'!A:A, 0)), 0))</f>
        <v>500</v>
      </c>
      <c r="I56">
        <v>0.02</v>
      </c>
      <c r="J56">
        <v>3.5999999999999999E-3</v>
      </c>
      <c r="K56">
        <v>5.9400000000000002E-4</v>
      </c>
      <c r="L56">
        <v>1.8799999999999999E-3</v>
      </c>
      <c r="AE56">
        <v>0.02</v>
      </c>
    </row>
    <row r="57" spans="1:31">
      <c r="A57" s="6">
        <v>56</v>
      </c>
      <c r="B57" s="6"/>
      <c r="C57" s="6" t="s">
        <v>251</v>
      </c>
      <c r="E57">
        <f t="shared" si="1"/>
        <v>8.3333333333333337E-6</v>
      </c>
      <c r="F57">
        <v>30</v>
      </c>
      <c r="G57">
        <f>(IFERROR(INDEX('General processes'!E:E, MATCH(A57, 'General processes'!A:A, 0)), 0))</f>
        <v>5125</v>
      </c>
      <c r="L57">
        <v>0.41799999999999998</v>
      </c>
    </row>
    <row r="58" spans="1:31">
      <c r="A58" s="6">
        <v>57</v>
      </c>
      <c r="B58" s="6"/>
      <c r="C58" t="s">
        <v>469</v>
      </c>
      <c r="E58">
        <f t="shared" si="1"/>
        <v>2.7777777777777775E-6</v>
      </c>
      <c r="F58">
        <v>10</v>
      </c>
      <c r="G58">
        <f>(IFERROR(INDEX('General processes'!E:E, MATCH(A58, 'General processes'!A:A, 0)), 0))</f>
        <v>4000</v>
      </c>
      <c r="H58">
        <v>6</v>
      </c>
      <c r="I58">
        <v>1.8000000000000001E-4</v>
      </c>
      <c r="J58">
        <v>7.9999999999999993E-5</v>
      </c>
      <c r="AD58">
        <v>6</v>
      </c>
      <c r="AE58">
        <v>1.8000000000000001E-4</v>
      </c>
    </row>
    <row r="59" spans="1:31">
      <c r="A59" s="6">
        <v>58</v>
      </c>
      <c r="B59" s="6"/>
      <c r="C59" s="3" t="s">
        <v>470</v>
      </c>
      <c r="E59">
        <f t="shared" si="1"/>
        <v>2.7777777777777775E-6</v>
      </c>
      <c r="F59">
        <v>10</v>
      </c>
      <c r="G59">
        <f>(IFERROR(INDEX('General processes'!E:E, MATCH(A59, 'General processes'!A:A, 0)), 0))</f>
        <v>5000</v>
      </c>
      <c r="H59">
        <v>2</v>
      </c>
      <c r="J59">
        <v>1.6666666666666667E-5</v>
      </c>
      <c r="AA59">
        <v>3.7439999999999999E-3</v>
      </c>
      <c r="AD59">
        <v>2</v>
      </c>
    </row>
    <row r="60" spans="1:31">
      <c r="A60" s="6">
        <v>59</v>
      </c>
      <c r="B60" s="6"/>
      <c r="C60" s="3" t="s">
        <v>466</v>
      </c>
      <c r="E60">
        <f t="shared" si="1"/>
        <v>2.7777777777777775E-6</v>
      </c>
      <c r="F60">
        <v>10</v>
      </c>
      <c r="G60">
        <f>(IFERROR(INDEX('General processes'!E:E, MATCH(A60, 'General processes'!A:A, 0)), 0))</f>
        <v>3000</v>
      </c>
      <c r="H60">
        <v>6</v>
      </c>
      <c r="I60">
        <v>3.7439999999999999E-3</v>
      </c>
      <c r="J60">
        <v>1.6666666666666667E-5</v>
      </c>
      <c r="AD60">
        <v>6</v>
      </c>
      <c r="AE60">
        <v>3.7439999999999999E-3</v>
      </c>
    </row>
    <row r="61" spans="1:31">
      <c r="A61" s="6">
        <v>60</v>
      </c>
      <c r="B61" s="6"/>
      <c r="C61" s="7" t="s">
        <v>186</v>
      </c>
      <c r="E61">
        <f t="shared" si="1"/>
        <v>8.3333333333333337E-6</v>
      </c>
      <c r="F61">
        <v>30</v>
      </c>
      <c r="G61">
        <f>(IFERROR(INDEX('General processes'!E:E, MATCH(A61, 'General processes'!A:A, 0)), 0))</f>
        <v>20000</v>
      </c>
    </row>
    <row r="62" spans="1:31">
      <c r="A62" s="6">
        <v>61</v>
      </c>
      <c r="B62" s="6"/>
      <c r="C62" s="7" t="s">
        <v>97</v>
      </c>
      <c r="E62">
        <f t="shared" si="1"/>
        <v>8.3333333333333337E-6</v>
      </c>
      <c r="F62">
        <v>30</v>
      </c>
      <c r="G62">
        <f>(IFERROR(INDEX('General processes'!E:E, MATCH(A62, 'General processes'!A:A, 0)), 0))</f>
        <v>2000</v>
      </c>
    </row>
    <row r="63" spans="1:31">
      <c r="A63" s="6">
        <v>62</v>
      </c>
      <c r="B63" s="6"/>
      <c r="C63" s="8" t="s">
        <v>201</v>
      </c>
      <c r="E63">
        <f t="shared" si="1"/>
        <v>2.7777777777777781E-7</v>
      </c>
      <c r="F63">
        <v>1</v>
      </c>
      <c r="G63">
        <f>(IFERROR(INDEX('General processes'!E:E, MATCH(A63, 'General processes'!A:A, 0)), 0))</f>
        <v>80000</v>
      </c>
    </row>
    <row r="64" spans="1:31">
      <c r="A64" s="6">
        <v>63</v>
      </c>
      <c r="B64" s="6"/>
      <c r="C64" s="8" t="s">
        <v>205</v>
      </c>
      <c r="D64">
        <v>2.52</v>
      </c>
      <c r="E64">
        <f t="shared" si="1"/>
        <v>2.7777777777777781E-7</v>
      </c>
      <c r="F64">
        <v>1</v>
      </c>
      <c r="G64">
        <f>(IFERROR(INDEX('General processes'!E:E, MATCH(A64, 'General processes'!A:A, 0)), 0))</f>
        <v>10000</v>
      </c>
      <c r="AB64">
        <f>10/60</f>
        <v>0.16666666666666666</v>
      </c>
      <c r="AC64">
        <f>10/60</f>
        <v>0.16666666666666666</v>
      </c>
    </row>
    <row r="65" spans="1:31">
      <c r="A65" s="6">
        <v>64</v>
      </c>
      <c r="B65" s="6"/>
      <c r="C65" s="6" t="s">
        <v>327</v>
      </c>
      <c r="D65">
        <v>5477.4</v>
      </c>
      <c r="E65">
        <f t="shared" si="1"/>
        <v>8.3333333333333337E-6</v>
      </c>
      <c r="F65">
        <v>30</v>
      </c>
      <c r="G65">
        <f>(IFERROR(INDEX('General processes'!E:E, MATCH(A65, 'General processes'!A:A, 0)), 0))</f>
        <v>10000</v>
      </c>
    </row>
    <row r="66" spans="1:31">
      <c r="A66" s="6">
        <v>65</v>
      </c>
      <c r="B66" s="6"/>
      <c r="C66" s="6" t="s">
        <v>42</v>
      </c>
      <c r="E66">
        <f t="shared" ref="E66:E97" si="2">F66/60000/60</f>
        <v>8.3333333333333337E-6</v>
      </c>
      <c r="F66">
        <v>30</v>
      </c>
      <c r="G66">
        <f>(IFERROR(INDEX('General processes'!E:E, MATCH(A66, 'General processes'!A:A, 0)), 0))</f>
        <v>100000</v>
      </c>
    </row>
    <row r="67" spans="1:31">
      <c r="A67" s="6">
        <v>66</v>
      </c>
      <c r="B67" s="6"/>
      <c r="C67" s="6" t="s">
        <v>19</v>
      </c>
      <c r="E67">
        <f t="shared" si="2"/>
        <v>2.7777777777777775E-6</v>
      </c>
      <c r="F67">
        <v>10</v>
      </c>
      <c r="G67">
        <f>(IFERROR(INDEX('General processes'!E:E, MATCH(A67, 'General processes'!A:A, 0)), 0))</f>
        <v>500</v>
      </c>
    </row>
    <row r="68" spans="1:31">
      <c r="A68" s="6">
        <v>67</v>
      </c>
      <c r="B68" s="6"/>
      <c r="C68" s="6" t="s">
        <v>22</v>
      </c>
      <c r="E68">
        <f t="shared" si="2"/>
        <v>2.7777777777777775E-6</v>
      </c>
      <c r="F68">
        <v>10</v>
      </c>
      <c r="G68">
        <f>(IFERROR(INDEX('General processes'!E:E, MATCH(A68, 'General processes'!A:A, 0)), 0))</f>
        <v>700</v>
      </c>
    </row>
    <row r="69" spans="1:31">
      <c r="A69" s="6">
        <v>68</v>
      </c>
      <c r="B69" s="6"/>
      <c r="C69" s="6" t="s">
        <v>46</v>
      </c>
      <c r="E69">
        <f t="shared" si="2"/>
        <v>2.7777777777777781E-7</v>
      </c>
      <c r="F69">
        <v>1</v>
      </c>
      <c r="G69">
        <f>(IFERROR(INDEX('General processes'!E:E, MATCH(A69, 'General processes'!A:A, 0)), 0))</f>
        <v>230000</v>
      </c>
      <c r="I69">
        <f>1/60</f>
        <v>1.6666666666666666E-2</v>
      </c>
      <c r="AE69">
        <f>1/60</f>
        <v>1.6666666666666666E-2</v>
      </c>
    </row>
    <row r="70" spans="1:31">
      <c r="A70" s="6">
        <v>69</v>
      </c>
      <c r="B70" s="6"/>
      <c r="C70" s="6" t="s">
        <v>47</v>
      </c>
      <c r="E70">
        <f t="shared" si="2"/>
        <v>8.3333333333333337E-6</v>
      </c>
      <c r="F70">
        <v>30</v>
      </c>
      <c r="G70">
        <f>(IFERROR(INDEX('General processes'!E:E, MATCH(A70, 'General processes'!A:A, 0)), 0))</f>
        <v>160000</v>
      </c>
      <c r="I70">
        <f t="shared" ref="I70:I119" si="3">1/60</f>
        <v>1.6666666666666666E-2</v>
      </c>
      <c r="AE70">
        <f t="shared" ref="AE70:AE119" si="4">1/60</f>
        <v>1.6666666666666666E-2</v>
      </c>
    </row>
    <row r="71" spans="1:31">
      <c r="A71" s="6">
        <v>70</v>
      </c>
      <c r="B71" s="6"/>
      <c r="C71" s="6" t="s">
        <v>48</v>
      </c>
      <c r="E71">
        <f t="shared" si="2"/>
        <v>8.3333333333333337E-6</v>
      </c>
      <c r="F71">
        <v>30</v>
      </c>
      <c r="G71">
        <f>(IFERROR(INDEX('General processes'!E:E, MATCH(A71, 'General processes'!A:A, 0)), 0))</f>
        <v>167000</v>
      </c>
      <c r="I71">
        <f t="shared" si="3"/>
        <v>1.6666666666666666E-2</v>
      </c>
      <c r="AE71">
        <f t="shared" si="4"/>
        <v>1.6666666666666666E-2</v>
      </c>
    </row>
    <row r="72" spans="1:31">
      <c r="A72" s="6">
        <v>71</v>
      </c>
      <c r="B72" s="6"/>
      <c r="C72" s="6" t="s">
        <v>49</v>
      </c>
      <c r="E72">
        <f t="shared" si="2"/>
        <v>8.3333333333333337E-6</v>
      </c>
      <c r="F72">
        <v>30</v>
      </c>
      <c r="G72">
        <f>(IFERROR(INDEX('General processes'!E:E, MATCH(A72, 'General processes'!A:A, 0)), 0))</f>
        <v>148000</v>
      </c>
      <c r="I72">
        <f t="shared" si="3"/>
        <v>1.6666666666666666E-2</v>
      </c>
      <c r="AE72">
        <f t="shared" si="4"/>
        <v>1.6666666666666666E-2</v>
      </c>
    </row>
    <row r="73" spans="1:31">
      <c r="A73" s="6">
        <v>72</v>
      </c>
      <c r="B73" s="6"/>
      <c r="C73" s="6" t="s">
        <v>50</v>
      </c>
      <c r="E73">
        <f t="shared" si="2"/>
        <v>8.3333333333333337E-6</v>
      </c>
      <c r="F73">
        <v>30</v>
      </c>
      <c r="G73">
        <f>(IFERROR(INDEX('General processes'!E:E, MATCH(A73, 'General processes'!A:A, 0)), 0))</f>
        <v>102000</v>
      </c>
      <c r="I73">
        <f t="shared" si="3"/>
        <v>1.6666666666666666E-2</v>
      </c>
      <c r="AE73">
        <f t="shared" si="4"/>
        <v>1.6666666666666666E-2</v>
      </c>
    </row>
    <row r="74" spans="1:31">
      <c r="A74" s="6">
        <v>73</v>
      </c>
      <c r="B74" s="6"/>
      <c r="C74" s="6" t="s">
        <v>51</v>
      </c>
      <c r="E74">
        <f t="shared" si="2"/>
        <v>8.3333333333333337E-6</v>
      </c>
      <c r="F74">
        <v>30</v>
      </c>
      <c r="G74">
        <f>(IFERROR(INDEX('General processes'!E:E, MATCH(A74, 'General processes'!A:A, 0)), 0))</f>
        <v>102000</v>
      </c>
      <c r="I74">
        <f t="shared" si="3"/>
        <v>1.6666666666666666E-2</v>
      </c>
      <c r="AE74">
        <f t="shared" si="4"/>
        <v>1.6666666666666666E-2</v>
      </c>
    </row>
    <row r="75" spans="1:31">
      <c r="A75" s="6">
        <v>74</v>
      </c>
      <c r="B75" s="6"/>
      <c r="C75" s="6" t="s">
        <v>52</v>
      </c>
      <c r="E75">
        <f t="shared" si="2"/>
        <v>2.7777777777777775E-6</v>
      </c>
      <c r="F75">
        <v>10</v>
      </c>
      <c r="G75">
        <f>(IFERROR(INDEX('General processes'!E:E, MATCH(A75, 'General processes'!A:A, 0)), 0))</f>
        <v>58000</v>
      </c>
      <c r="I75">
        <f t="shared" si="3"/>
        <v>1.6666666666666666E-2</v>
      </c>
      <c r="AE75">
        <f t="shared" si="4"/>
        <v>1.6666666666666666E-2</v>
      </c>
    </row>
    <row r="76" spans="1:31">
      <c r="A76" s="6">
        <v>75</v>
      </c>
      <c r="B76" s="6"/>
      <c r="C76" s="6" t="s">
        <v>53</v>
      </c>
      <c r="E76">
        <f t="shared" si="2"/>
        <v>2.7777777777777775E-6</v>
      </c>
      <c r="F76">
        <v>10</v>
      </c>
      <c r="G76">
        <f>(IFERROR(INDEX('General processes'!E:E, MATCH(A76, 'General processes'!A:A, 0)), 0))</f>
        <v>58000</v>
      </c>
      <c r="I76">
        <f t="shared" si="3"/>
        <v>1.6666666666666666E-2</v>
      </c>
      <c r="AE76">
        <f t="shared" si="4"/>
        <v>1.6666666666666666E-2</v>
      </c>
    </row>
    <row r="77" spans="1:31">
      <c r="A77" s="6">
        <v>76</v>
      </c>
      <c r="B77" s="6"/>
      <c r="C77" s="6" t="s">
        <v>54</v>
      </c>
      <c r="E77">
        <f t="shared" si="2"/>
        <v>2.7777777777777775E-6</v>
      </c>
      <c r="F77">
        <v>10</v>
      </c>
      <c r="G77">
        <f>(IFERROR(INDEX('General processes'!E:E, MATCH(A77, 'General processes'!A:A, 0)), 0))</f>
        <v>46000</v>
      </c>
      <c r="I77">
        <f t="shared" si="3"/>
        <v>1.6666666666666666E-2</v>
      </c>
      <c r="AE77">
        <f t="shared" si="4"/>
        <v>1.6666666666666666E-2</v>
      </c>
    </row>
    <row r="78" spans="1:31">
      <c r="A78" s="6">
        <v>77</v>
      </c>
      <c r="B78" s="6"/>
      <c r="C78" s="6" t="s">
        <v>55</v>
      </c>
      <c r="E78">
        <f t="shared" si="2"/>
        <v>2.7777777777777781E-7</v>
      </c>
      <c r="F78">
        <v>1</v>
      </c>
      <c r="G78">
        <f>(IFERROR(INDEX('General processes'!E:E, MATCH(A78, 'General processes'!A:A, 0)), 0))</f>
        <v>110000</v>
      </c>
      <c r="I78">
        <f t="shared" si="3"/>
        <v>1.6666666666666666E-2</v>
      </c>
      <c r="AE78">
        <f t="shared" si="4"/>
        <v>1.6666666666666666E-2</v>
      </c>
    </row>
    <row r="79" spans="1:31">
      <c r="A79" s="6">
        <v>78</v>
      </c>
      <c r="B79" s="6"/>
      <c r="C79" s="6" t="s">
        <v>56</v>
      </c>
      <c r="E79">
        <f t="shared" si="2"/>
        <v>8.3333333333333337E-6</v>
      </c>
      <c r="F79">
        <v>30</v>
      </c>
      <c r="G79">
        <f>(IFERROR(INDEX('General processes'!E:E, MATCH(A79, 'General processes'!A:A, 0)), 0))</f>
        <v>109000</v>
      </c>
      <c r="I79">
        <f t="shared" si="3"/>
        <v>1.6666666666666666E-2</v>
      </c>
      <c r="AE79">
        <f t="shared" si="4"/>
        <v>1.6666666666666666E-2</v>
      </c>
    </row>
    <row r="80" spans="1:31">
      <c r="A80" s="6">
        <v>79</v>
      </c>
      <c r="B80" s="6"/>
      <c r="C80" s="6" t="s">
        <v>57</v>
      </c>
      <c r="E80">
        <f t="shared" si="2"/>
        <v>8.3333333333333337E-6</v>
      </c>
      <c r="F80">
        <v>30</v>
      </c>
      <c r="G80">
        <f>(IFERROR(INDEX('General processes'!E:E, MATCH(A80, 'General processes'!A:A, 0)), 0))</f>
        <v>98000</v>
      </c>
      <c r="I80">
        <f t="shared" si="3"/>
        <v>1.6666666666666666E-2</v>
      </c>
      <c r="AE80">
        <f t="shared" si="4"/>
        <v>1.6666666666666666E-2</v>
      </c>
    </row>
    <row r="81" spans="1:31">
      <c r="A81" s="6">
        <v>80</v>
      </c>
      <c r="B81" s="6"/>
      <c r="C81" s="6" t="s">
        <v>58</v>
      </c>
      <c r="E81">
        <f t="shared" si="2"/>
        <v>8.3333333333333337E-6</v>
      </c>
      <c r="F81">
        <v>30</v>
      </c>
      <c r="G81">
        <f>(IFERROR(INDEX('General processes'!E:E, MATCH(A81, 'General processes'!A:A, 0)), 0))</f>
        <v>96000</v>
      </c>
      <c r="I81">
        <f t="shared" si="3"/>
        <v>1.6666666666666666E-2</v>
      </c>
      <c r="AE81">
        <f t="shared" si="4"/>
        <v>1.6666666666666666E-2</v>
      </c>
    </row>
    <row r="82" spans="1:31">
      <c r="A82" s="6">
        <v>81</v>
      </c>
      <c r="B82" s="6"/>
      <c r="C82" s="6" t="s">
        <v>59</v>
      </c>
      <c r="E82">
        <f t="shared" si="2"/>
        <v>8.3333333333333337E-6</v>
      </c>
      <c r="F82">
        <v>30</v>
      </c>
      <c r="G82">
        <f>(IFERROR(INDEX('General processes'!E:E, MATCH(A82, 'General processes'!A:A, 0)), 0))</f>
        <v>63000</v>
      </c>
      <c r="I82">
        <f t="shared" si="3"/>
        <v>1.6666666666666666E-2</v>
      </c>
      <c r="AE82">
        <f t="shared" si="4"/>
        <v>1.6666666666666666E-2</v>
      </c>
    </row>
    <row r="83" spans="1:31">
      <c r="A83" s="6">
        <v>82</v>
      </c>
      <c r="B83" s="6"/>
      <c r="C83" s="6" t="s">
        <v>60</v>
      </c>
      <c r="E83">
        <f t="shared" si="2"/>
        <v>2.7777777777777775E-6</v>
      </c>
      <c r="F83">
        <v>10</v>
      </c>
      <c r="G83">
        <f>(IFERROR(INDEX('General processes'!E:E, MATCH(A83, 'General processes'!A:A, 0)), 0))</f>
        <v>48000</v>
      </c>
      <c r="I83">
        <f t="shared" si="3"/>
        <v>1.6666666666666666E-2</v>
      </c>
      <c r="AE83">
        <f t="shared" si="4"/>
        <v>1.6666666666666666E-2</v>
      </c>
    </row>
    <row r="84" spans="1:31">
      <c r="A84" s="6">
        <v>83</v>
      </c>
      <c r="B84" s="6"/>
      <c r="C84" s="6" t="s">
        <v>61</v>
      </c>
      <c r="E84">
        <f t="shared" si="2"/>
        <v>2.7777777777777775E-6</v>
      </c>
      <c r="F84">
        <v>10</v>
      </c>
      <c r="G84">
        <f>(IFERROR(INDEX('General processes'!E:E, MATCH(A84, 'General processes'!A:A, 0)), 0))</f>
        <v>33000</v>
      </c>
      <c r="I84">
        <f t="shared" si="3"/>
        <v>1.6666666666666666E-2</v>
      </c>
      <c r="AE84">
        <f t="shared" si="4"/>
        <v>1.6666666666666666E-2</v>
      </c>
    </row>
    <row r="85" spans="1:31">
      <c r="A85" s="6">
        <v>84</v>
      </c>
      <c r="B85" s="6"/>
      <c r="C85" s="6" t="s">
        <v>62</v>
      </c>
      <c r="E85">
        <f t="shared" si="2"/>
        <v>2.7777777777777775E-6</v>
      </c>
      <c r="F85">
        <v>10</v>
      </c>
      <c r="G85">
        <f>(IFERROR(INDEX('General processes'!E:E, MATCH(A85, 'General processes'!A:A, 0)), 0))</f>
        <v>23000</v>
      </c>
      <c r="I85">
        <f t="shared" si="3"/>
        <v>1.6666666666666666E-2</v>
      </c>
      <c r="AE85">
        <f t="shared" si="4"/>
        <v>1.6666666666666666E-2</v>
      </c>
    </row>
    <row r="86" spans="1:31">
      <c r="A86" s="6">
        <v>85</v>
      </c>
      <c r="B86" s="6"/>
      <c r="C86" s="6" t="s">
        <v>63</v>
      </c>
      <c r="E86">
        <f t="shared" si="2"/>
        <v>8.3333333333333337E-6</v>
      </c>
      <c r="F86">
        <v>30</v>
      </c>
      <c r="G86">
        <f>(IFERROR(INDEX('General processes'!E:E, MATCH(A86, 'General processes'!A:A, 0)), 0))</f>
        <v>10000</v>
      </c>
      <c r="I86">
        <f t="shared" si="3"/>
        <v>1.6666666666666666E-2</v>
      </c>
      <c r="AE86">
        <f t="shared" si="4"/>
        <v>1.6666666666666666E-2</v>
      </c>
    </row>
    <row r="87" spans="1:31">
      <c r="A87" s="6">
        <v>86</v>
      </c>
      <c r="B87" s="6"/>
      <c r="C87" s="6" t="s">
        <v>64</v>
      </c>
      <c r="E87">
        <f t="shared" si="2"/>
        <v>8.3333333333333337E-6</v>
      </c>
      <c r="F87">
        <v>30</v>
      </c>
      <c r="G87">
        <f>(IFERROR(INDEX('General processes'!E:E, MATCH(A87, 'General processes'!A:A, 0)), 0))</f>
        <v>172000</v>
      </c>
      <c r="I87">
        <f t="shared" si="3"/>
        <v>1.6666666666666666E-2</v>
      </c>
      <c r="AE87">
        <f t="shared" si="4"/>
        <v>1.6666666666666666E-2</v>
      </c>
    </row>
    <row r="88" spans="1:31">
      <c r="A88" s="6">
        <v>87</v>
      </c>
      <c r="B88" s="6"/>
      <c r="C88" s="6" t="s">
        <v>65</v>
      </c>
      <c r="E88">
        <f t="shared" si="2"/>
        <v>8.3333333333333337E-6</v>
      </c>
      <c r="F88">
        <v>30</v>
      </c>
      <c r="G88">
        <f>(IFERROR(INDEX('General processes'!E:E, MATCH(A88, 'General processes'!A:A, 0)), 0))</f>
        <v>135000</v>
      </c>
      <c r="I88">
        <f t="shared" si="3"/>
        <v>1.6666666666666666E-2</v>
      </c>
      <c r="AE88">
        <f t="shared" si="4"/>
        <v>1.6666666666666666E-2</v>
      </c>
    </row>
    <row r="89" spans="1:31">
      <c r="A89" s="6">
        <v>88</v>
      </c>
      <c r="B89" s="6"/>
      <c r="C89" s="6" t="s">
        <v>66</v>
      </c>
      <c r="E89">
        <f t="shared" si="2"/>
        <v>8.3333333333333337E-6</v>
      </c>
      <c r="F89">
        <v>30</v>
      </c>
      <c r="G89">
        <f>(IFERROR(INDEX('General processes'!E:E, MATCH(A89, 'General processes'!A:A, 0)), 0))</f>
        <v>132000</v>
      </c>
      <c r="I89">
        <f t="shared" si="3"/>
        <v>1.6666666666666666E-2</v>
      </c>
      <c r="AE89">
        <f t="shared" si="4"/>
        <v>1.6666666666666666E-2</v>
      </c>
    </row>
    <row r="90" spans="1:31">
      <c r="A90" s="6">
        <v>89</v>
      </c>
      <c r="B90" s="6"/>
      <c r="C90" s="6" t="s">
        <v>67</v>
      </c>
      <c r="E90">
        <f t="shared" si="2"/>
        <v>8.3333333333333337E-6</v>
      </c>
      <c r="F90">
        <v>30</v>
      </c>
      <c r="G90">
        <f>(IFERROR(INDEX('General processes'!E:E, MATCH(A90, 'General processes'!A:A, 0)), 0))</f>
        <v>122000</v>
      </c>
      <c r="I90">
        <f t="shared" si="3"/>
        <v>1.6666666666666666E-2</v>
      </c>
      <c r="AE90">
        <f t="shared" si="4"/>
        <v>1.6666666666666666E-2</v>
      </c>
    </row>
    <row r="91" spans="1:31">
      <c r="A91" s="6">
        <v>90</v>
      </c>
      <c r="B91" s="6"/>
      <c r="C91" s="6" t="s">
        <v>68</v>
      </c>
      <c r="E91">
        <f t="shared" si="2"/>
        <v>8.3333333333333337E-6</v>
      </c>
      <c r="F91">
        <v>30</v>
      </c>
      <c r="G91">
        <f>(IFERROR(INDEX('General processes'!E:E, MATCH(A91, 'General processes'!A:A, 0)), 0))</f>
        <v>75000</v>
      </c>
      <c r="I91">
        <f t="shared" si="3"/>
        <v>1.6666666666666666E-2</v>
      </c>
      <c r="AE91">
        <f t="shared" si="4"/>
        <v>1.6666666666666666E-2</v>
      </c>
    </row>
    <row r="92" spans="1:31">
      <c r="A92" s="6">
        <v>91</v>
      </c>
      <c r="B92" s="6"/>
      <c r="C92" s="6" t="s">
        <v>69</v>
      </c>
      <c r="E92">
        <f t="shared" si="2"/>
        <v>8.3333333333333337E-6</v>
      </c>
      <c r="F92">
        <v>30</v>
      </c>
      <c r="G92">
        <f>(IFERROR(INDEX('General processes'!E:E, MATCH(A92, 'General processes'!A:A, 0)), 0))</f>
        <v>46000</v>
      </c>
      <c r="I92">
        <f t="shared" si="3"/>
        <v>1.6666666666666666E-2</v>
      </c>
      <c r="AE92">
        <f t="shared" si="4"/>
        <v>1.6666666666666666E-2</v>
      </c>
    </row>
    <row r="93" spans="1:31">
      <c r="A93" s="6">
        <v>92</v>
      </c>
      <c r="B93" s="6"/>
      <c r="C93" s="6" t="s">
        <v>70</v>
      </c>
      <c r="E93">
        <f t="shared" si="2"/>
        <v>2.7777777777777775E-6</v>
      </c>
      <c r="F93">
        <v>10</v>
      </c>
      <c r="G93">
        <f>(IFERROR(INDEX('General processes'!E:E, MATCH(A93, 'General processes'!A:A, 0)), 0))</f>
        <v>35000</v>
      </c>
      <c r="I93">
        <f t="shared" si="3"/>
        <v>1.6666666666666666E-2</v>
      </c>
      <c r="AE93">
        <f t="shared" si="4"/>
        <v>1.6666666666666666E-2</v>
      </c>
    </row>
    <row r="94" spans="1:31">
      <c r="A94" s="6">
        <v>93</v>
      </c>
      <c r="B94" s="6"/>
      <c r="C94" s="6" t="s">
        <v>79</v>
      </c>
      <c r="E94">
        <f t="shared" si="2"/>
        <v>8.3333333333333337E-6</v>
      </c>
      <c r="F94">
        <v>30</v>
      </c>
      <c r="G94">
        <f>(IFERROR(INDEX('General processes'!E:E, MATCH(A94, 'General processes'!A:A, 0)), 0))</f>
        <v>273000</v>
      </c>
      <c r="I94">
        <f t="shared" si="3"/>
        <v>1.6666666666666666E-2</v>
      </c>
      <c r="AE94">
        <f t="shared" si="4"/>
        <v>1.6666666666666666E-2</v>
      </c>
    </row>
    <row r="95" spans="1:31">
      <c r="A95" s="6">
        <v>94</v>
      </c>
      <c r="B95" s="6"/>
      <c r="C95" s="6" t="s">
        <v>71</v>
      </c>
      <c r="E95">
        <f t="shared" si="2"/>
        <v>2.7777777777777775E-6</v>
      </c>
      <c r="F95">
        <v>10</v>
      </c>
      <c r="G95">
        <f>(IFERROR(INDEX('General processes'!E:E, MATCH(A95, 'General processes'!A:A, 0)), 0))</f>
        <v>274000</v>
      </c>
      <c r="I95">
        <f t="shared" si="3"/>
        <v>1.6666666666666666E-2</v>
      </c>
      <c r="AE95">
        <f t="shared" si="4"/>
        <v>1.6666666666666666E-2</v>
      </c>
    </row>
    <row r="96" spans="1:31">
      <c r="A96" s="6">
        <v>95</v>
      </c>
      <c r="B96" s="6"/>
      <c r="C96" s="6" t="s">
        <v>72</v>
      </c>
      <c r="E96">
        <f t="shared" si="2"/>
        <v>2.7777777777777775E-6</v>
      </c>
      <c r="F96">
        <v>10</v>
      </c>
      <c r="G96">
        <f>(IFERROR(INDEX('General processes'!E:E, MATCH(A96, 'General processes'!A:A, 0)), 0))</f>
        <v>223000</v>
      </c>
      <c r="I96">
        <f t="shared" si="3"/>
        <v>1.6666666666666666E-2</v>
      </c>
      <c r="AE96">
        <f t="shared" si="4"/>
        <v>1.6666666666666666E-2</v>
      </c>
    </row>
    <row r="97" spans="1:31">
      <c r="A97" s="6">
        <v>96</v>
      </c>
      <c r="B97" s="6"/>
      <c r="C97" s="6" t="s">
        <v>80</v>
      </c>
      <c r="E97">
        <f t="shared" si="2"/>
        <v>8.3333333333333337E-6</v>
      </c>
      <c r="F97">
        <v>30</v>
      </c>
      <c r="G97">
        <f>(IFERROR(INDEX('General processes'!E:E, MATCH(A97, 'General processes'!A:A, 0)), 0))</f>
        <v>217000</v>
      </c>
      <c r="I97">
        <f t="shared" si="3"/>
        <v>1.6666666666666666E-2</v>
      </c>
      <c r="AE97">
        <f t="shared" si="4"/>
        <v>1.6666666666666666E-2</v>
      </c>
    </row>
    <row r="98" spans="1:31">
      <c r="A98" s="6">
        <v>97</v>
      </c>
      <c r="B98" s="6"/>
      <c r="C98" s="6" t="s">
        <v>81</v>
      </c>
      <c r="E98">
        <f t="shared" ref="E98:E120" si="5">F98/60000/60</f>
        <v>8.3333333333333337E-6</v>
      </c>
      <c r="F98">
        <v>30</v>
      </c>
      <c r="G98">
        <f>(IFERROR(INDEX('General processes'!E:E, MATCH(A98, 'General processes'!A:A, 0)), 0))</f>
        <v>135000</v>
      </c>
      <c r="I98">
        <f t="shared" si="3"/>
        <v>1.6666666666666666E-2</v>
      </c>
      <c r="AE98">
        <f t="shared" si="4"/>
        <v>1.6666666666666666E-2</v>
      </c>
    </row>
    <row r="99" spans="1:31">
      <c r="A99" s="6">
        <v>98</v>
      </c>
      <c r="B99" s="6"/>
      <c r="C99" s="6" t="s">
        <v>82</v>
      </c>
      <c r="E99">
        <f t="shared" si="5"/>
        <v>8.3333333333333337E-6</v>
      </c>
      <c r="F99">
        <v>30</v>
      </c>
      <c r="G99">
        <f>(IFERROR(INDEX('General processes'!E:E, MATCH(A99, 'General processes'!A:A, 0)), 0))</f>
        <v>83000</v>
      </c>
      <c r="I99">
        <f t="shared" si="3"/>
        <v>1.6666666666666666E-2</v>
      </c>
      <c r="AE99">
        <f t="shared" si="4"/>
        <v>1.6666666666666666E-2</v>
      </c>
    </row>
    <row r="100" spans="1:31">
      <c r="A100" s="6">
        <v>99</v>
      </c>
      <c r="B100" s="6"/>
      <c r="C100" s="6" t="s">
        <v>83</v>
      </c>
      <c r="E100">
        <f t="shared" si="5"/>
        <v>8.3333333333333337E-6</v>
      </c>
      <c r="F100">
        <v>30</v>
      </c>
      <c r="G100">
        <f>(IFERROR(INDEX('General processes'!E:E, MATCH(A100, 'General processes'!A:A, 0)), 0))</f>
        <v>73000</v>
      </c>
      <c r="I100">
        <f t="shared" si="3"/>
        <v>1.6666666666666666E-2</v>
      </c>
      <c r="AE100">
        <f t="shared" si="4"/>
        <v>1.6666666666666666E-2</v>
      </c>
    </row>
    <row r="101" spans="1:31">
      <c r="A101" s="6">
        <v>100</v>
      </c>
      <c r="B101" s="6"/>
      <c r="C101" s="6" t="s">
        <v>84</v>
      </c>
      <c r="E101">
        <f t="shared" si="5"/>
        <v>8.3333333333333337E-6</v>
      </c>
      <c r="F101">
        <v>30</v>
      </c>
      <c r="G101">
        <f>(IFERROR(INDEX('General processes'!E:E, MATCH(A101, 'General processes'!A:A, 0)), 0))</f>
        <v>57000</v>
      </c>
      <c r="I101">
        <f t="shared" si="3"/>
        <v>1.6666666666666666E-2</v>
      </c>
      <c r="AE101">
        <f t="shared" si="4"/>
        <v>1.6666666666666666E-2</v>
      </c>
    </row>
    <row r="102" spans="1:31">
      <c r="A102" s="6">
        <v>101</v>
      </c>
      <c r="B102" s="6"/>
      <c r="C102" s="6" t="s">
        <v>85</v>
      </c>
      <c r="E102">
        <f t="shared" si="5"/>
        <v>8.3333333333333337E-6</v>
      </c>
      <c r="F102">
        <v>30</v>
      </c>
      <c r="G102">
        <f>(IFERROR(INDEX('General processes'!E:E, MATCH(A102, 'General processes'!A:A, 0)), 0))</f>
        <v>88000</v>
      </c>
      <c r="I102">
        <f t="shared" si="3"/>
        <v>1.6666666666666666E-2</v>
      </c>
      <c r="AE102">
        <f t="shared" si="4"/>
        <v>1.6666666666666666E-2</v>
      </c>
    </row>
    <row r="103" spans="1:31">
      <c r="A103" s="6">
        <v>102</v>
      </c>
      <c r="B103" s="6"/>
      <c r="C103" s="6" t="s">
        <v>86</v>
      </c>
      <c r="E103">
        <f t="shared" si="5"/>
        <v>8.3333333333333337E-6</v>
      </c>
      <c r="F103">
        <v>30</v>
      </c>
      <c r="G103">
        <f>(IFERROR(INDEX('General processes'!E:E, MATCH(A103, 'General processes'!A:A, 0)), 0))</f>
        <v>66000</v>
      </c>
      <c r="I103">
        <f t="shared" si="3"/>
        <v>1.6666666666666666E-2</v>
      </c>
      <c r="AE103">
        <f t="shared" si="4"/>
        <v>1.6666666666666666E-2</v>
      </c>
    </row>
    <row r="104" spans="1:31">
      <c r="A104" s="6">
        <v>103</v>
      </c>
      <c r="B104" s="6"/>
      <c r="C104" s="6" t="s">
        <v>87</v>
      </c>
      <c r="E104">
        <f t="shared" si="5"/>
        <v>8.3333333333333337E-6</v>
      </c>
      <c r="F104">
        <v>30</v>
      </c>
      <c r="G104">
        <f>(IFERROR(INDEX('General processes'!E:E, MATCH(A104, 'General processes'!A:A, 0)), 0))</f>
        <v>53000</v>
      </c>
      <c r="I104">
        <f t="shared" si="3"/>
        <v>1.6666666666666666E-2</v>
      </c>
      <c r="AE104">
        <f t="shared" si="4"/>
        <v>1.6666666666666666E-2</v>
      </c>
    </row>
    <row r="105" spans="1:31">
      <c r="A105" s="6">
        <v>104</v>
      </c>
      <c r="B105" s="6"/>
      <c r="C105" s="6" t="s">
        <v>88</v>
      </c>
      <c r="E105">
        <f t="shared" si="5"/>
        <v>2.7777777777777775E-6</v>
      </c>
      <c r="F105">
        <v>10</v>
      </c>
      <c r="G105">
        <f>(IFERROR(INDEX('General processes'!E:E, MATCH(A105, 'General processes'!A:A, 0)), 0))</f>
        <v>133000</v>
      </c>
      <c r="I105">
        <f t="shared" si="3"/>
        <v>1.6666666666666666E-2</v>
      </c>
      <c r="AE105">
        <f t="shared" si="4"/>
        <v>1.6666666666666666E-2</v>
      </c>
    </row>
    <row r="106" spans="1:31">
      <c r="A106" s="6">
        <v>105</v>
      </c>
      <c r="B106" s="6"/>
      <c r="C106" s="6" t="s">
        <v>89</v>
      </c>
      <c r="E106">
        <f t="shared" si="5"/>
        <v>2.7777777777777775E-6</v>
      </c>
      <c r="F106">
        <v>10</v>
      </c>
      <c r="G106">
        <f>(IFERROR(INDEX('General processes'!E:E, MATCH(A106, 'General processes'!A:A, 0)), 0))</f>
        <v>133000</v>
      </c>
      <c r="I106">
        <f t="shared" si="3"/>
        <v>1.6666666666666666E-2</v>
      </c>
      <c r="AE106">
        <f t="shared" si="4"/>
        <v>1.6666666666666666E-2</v>
      </c>
    </row>
    <row r="107" spans="1:31">
      <c r="A107" s="6">
        <v>106</v>
      </c>
      <c r="B107" s="6"/>
      <c r="C107" s="6" t="s">
        <v>90</v>
      </c>
      <c r="E107">
        <f t="shared" si="5"/>
        <v>5.5555555555555555E-8</v>
      </c>
      <c r="F107">
        <v>0.2</v>
      </c>
      <c r="G107">
        <f>(IFERROR(INDEX('General processes'!E:E, MATCH(A107, 'General processes'!A:A, 0)), 0))</f>
        <v>119000</v>
      </c>
      <c r="I107">
        <f t="shared" si="3"/>
        <v>1.6666666666666666E-2</v>
      </c>
      <c r="AE107">
        <f t="shared" si="4"/>
        <v>1.6666666666666666E-2</v>
      </c>
    </row>
    <row r="108" spans="1:31">
      <c r="A108" s="6">
        <v>107</v>
      </c>
      <c r="B108" s="6"/>
      <c r="C108" s="6" t="s">
        <v>91</v>
      </c>
      <c r="E108">
        <f t="shared" si="5"/>
        <v>5.5555555555555555E-8</v>
      </c>
      <c r="F108">
        <v>0.2</v>
      </c>
      <c r="G108">
        <f>(IFERROR(INDEX('General processes'!E:E, MATCH(A108, 'General processes'!A:A, 0)), 0))</f>
        <v>118000</v>
      </c>
      <c r="I108">
        <f t="shared" si="3"/>
        <v>1.6666666666666666E-2</v>
      </c>
      <c r="AE108">
        <f t="shared" si="4"/>
        <v>1.6666666666666666E-2</v>
      </c>
    </row>
    <row r="109" spans="1:31">
      <c r="A109" s="6">
        <v>108</v>
      </c>
      <c r="B109" s="6"/>
      <c r="C109" s="6" t="s">
        <v>73</v>
      </c>
      <c r="E109">
        <f t="shared" si="5"/>
        <v>2.7777777777777775E-6</v>
      </c>
      <c r="F109">
        <v>10</v>
      </c>
      <c r="G109">
        <f>(IFERROR(INDEX('General processes'!E:E, MATCH(A109, 'General processes'!A:A, 0)), 0))</f>
        <v>204000</v>
      </c>
      <c r="I109">
        <f t="shared" si="3"/>
        <v>1.6666666666666666E-2</v>
      </c>
      <c r="AE109">
        <f t="shared" si="4"/>
        <v>1.6666666666666666E-2</v>
      </c>
    </row>
    <row r="110" spans="1:31">
      <c r="A110" s="6">
        <v>109</v>
      </c>
      <c r="B110" s="6"/>
      <c r="C110" s="6" t="s">
        <v>74</v>
      </c>
      <c r="E110">
        <f t="shared" si="5"/>
        <v>2.7777777777777781E-7</v>
      </c>
      <c r="F110">
        <v>1</v>
      </c>
      <c r="G110">
        <f>(IFERROR(INDEX('General processes'!E:E, MATCH(A110, 'General processes'!A:A, 0)), 0))</f>
        <v>203000</v>
      </c>
      <c r="I110">
        <f t="shared" si="3"/>
        <v>1.6666666666666666E-2</v>
      </c>
      <c r="AE110">
        <f t="shared" si="4"/>
        <v>1.6666666666666666E-2</v>
      </c>
    </row>
    <row r="111" spans="1:31">
      <c r="A111" s="6">
        <v>110</v>
      </c>
      <c r="B111" s="6"/>
      <c r="C111" s="6" t="s">
        <v>75</v>
      </c>
      <c r="E111">
        <f t="shared" si="5"/>
        <v>2.7777777777777775E-6</v>
      </c>
      <c r="F111">
        <v>10</v>
      </c>
      <c r="G111">
        <f>(IFERROR(INDEX('General processes'!E:E, MATCH(A111, 'General processes'!A:A, 0)), 0))</f>
        <v>174000</v>
      </c>
      <c r="I111">
        <f t="shared" si="3"/>
        <v>1.6666666666666666E-2</v>
      </c>
      <c r="AE111">
        <f t="shared" si="4"/>
        <v>1.6666666666666666E-2</v>
      </c>
    </row>
    <row r="112" spans="1:31">
      <c r="A112" s="6">
        <v>111</v>
      </c>
      <c r="B112" s="6"/>
      <c r="C112" s="6" t="s">
        <v>76</v>
      </c>
      <c r="E112">
        <f t="shared" si="5"/>
        <v>8.3333333333333337E-6</v>
      </c>
      <c r="F112">
        <v>30</v>
      </c>
      <c r="G112">
        <f>(IFERROR(INDEX('General processes'!E:E, MATCH(A112, 'General processes'!A:A, 0)), 0))</f>
        <v>168000</v>
      </c>
      <c r="I112">
        <f t="shared" si="3"/>
        <v>1.6666666666666666E-2</v>
      </c>
      <c r="AE112">
        <f t="shared" si="4"/>
        <v>1.6666666666666666E-2</v>
      </c>
    </row>
    <row r="113" spans="1:31">
      <c r="A113" s="6">
        <v>112</v>
      </c>
      <c r="B113" s="6"/>
      <c r="C113" s="6" t="s">
        <v>77</v>
      </c>
      <c r="E113">
        <f t="shared" si="5"/>
        <v>2.7777777777777775E-6</v>
      </c>
      <c r="F113">
        <v>10</v>
      </c>
      <c r="G113">
        <f>(IFERROR(INDEX('General processes'!E:E, MATCH(A113, 'General processes'!A:A, 0)), 0))</f>
        <v>74000</v>
      </c>
      <c r="I113">
        <f t="shared" si="3"/>
        <v>1.6666666666666666E-2</v>
      </c>
      <c r="AE113">
        <f t="shared" si="4"/>
        <v>1.6666666666666666E-2</v>
      </c>
    </row>
    <row r="114" spans="1:31">
      <c r="A114" s="6">
        <v>113</v>
      </c>
      <c r="B114" s="6"/>
      <c r="C114" s="6" t="s">
        <v>78</v>
      </c>
      <c r="E114">
        <f t="shared" si="5"/>
        <v>2.7777777777777781E-7</v>
      </c>
      <c r="F114">
        <v>1</v>
      </c>
      <c r="G114">
        <f>(IFERROR(INDEX('General processes'!E:E, MATCH(A114, 'General processes'!A:A, 0)), 0))</f>
        <v>63000</v>
      </c>
      <c r="I114">
        <f t="shared" si="3"/>
        <v>1.6666666666666666E-2</v>
      </c>
      <c r="AE114">
        <f t="shared" si="4"/>
        <v>1.6666666666666666E-2</v>
      </c>
    </row>
    <row r="115" spans="1:31">
      <c r="A115" s="6">
        <v>114</v>
      </c>
      <c r="B115" s="6"/>
      <c r="C115" s="8" t="s">
        <v>195</v>
      </c>
      <c r="E115">
        <f t="shared" si="5"/>
        <v>2.7777777777777775E-6</v>
      </c>
      <c r="F115">
        <v>10</v>
      </c>
      <c r="G115">
        <f>(IFERROR(INDEX('General processes'!E:E, MATCH(A115, 'General processes'!A:A, 0)), 0))</f>
        <v>180000</v>
      </c>
      <c r="I115">
        <f t="shared" si="3"/>
        <v>1.6666666666666666E-2</v>
      </c>
      <c r="AE115">
        <f t="shared" si="4"/>
        <v>1.6666666666666666E-2</v>
      </c>
    </row>
    <row r="116" spans="1:31">
      <c r="A116" s="6">
        <v>115</v>
      </c>
      <c r="B116" s="6"/>
      <c r="C116" s="8" t="s">
        <v>196</v>
      </c>
      <c r="E116">
        <f t="shared" si="5"/>
        <v>2.7777777777777775E-6</v>
      </c>
      <c r="F116">
        <v>10</v>
      </c>
      <c r="G116">
        <f>(IFERROR(INDEX('General processes'!E:E, MATCH(A116, 'General processes'!A:A, 0)), 0))</f>
        <v>250000</v>
      </c>
      <c r="I116">
        <f t="shared" si="3"/>
        <v>1.6666666666666666E-2</v>
      </c>
      <c r="AE116">
        <f t="shared" si="4"/>
        <v>1.6666666666666666E-2</v>
      </c>
    </row>
    <row r="117" spans="1:31">
      <c r="A117" s="6">
        <v>116</v>
      </c>
      <c r="B117" s="6"/>
      <c r="C117" s="8" t="s">
        <v>197</v>
      </c>
      <c r="E117">
        <f t="shared" si="5"/>
        <v>2.7777777777777775E-6</v>
      </c>
      <c r="F117">
        <v>10</v>
      </c>
      <c r="G117">
        <f>(IFERROR(INDEX('General processes'!E:E, MATCH(A117, 'General processes'!A:A, 0)), 0))</f>
        <v>250000</v>
      </c>
      <c r="I117">
        <f t="shared" si="3"/>
        <v>1.6666666666666666E-2</v>
      </c>
      <c r="AE117">
        <f t="shared" si="4"/>
        <v>1.6666666666666666E-2</v>
      </c>
    </row>
    <row r="118" spans="1:31">
      <c r="A118" s="6">
        <v>117</v>
      </c>
      <c r="B118" s="6"/>
      <c r="C118" s="8" t="s">
        <v>198</v>
      </c>
      <c r="E118">
        <f t="shared" si="5"/>
        <v>2.7777777777777781E-7</v>
      </c>
      <c r="F118">
        <v>1</v>
      </c>
      <c r="G118">
        <f>(IFERROR(INDEX('General processes'!E:E, MATCH(A118, 'General processes'!A:A, 0)), 0))</f>
        <v>350000</v>
      </c>
      <c r="I118">
        <f t="shared" si="3"/>
        <v>1.6666666666666666E-2</v>
      </c>
      <c r="AE118">
        <f t="shared" si="4"/>
        <v>1.6666666666666666E-2</v>
      </c>
    </row>
    <row r="119" spans="1:31">
      <c r="A119" s="6">
        <v>118</v>
      </c>
      <c r="B119" s="6"/>
      <c r="C119" s="6" t="s">
        <v>32</v>
      </c>
      <c r="E119">
        <f t="shared" si="5"/>
        <v>2.7777777777777781E-7</v>
      </c>
      <c r="F119">
        <v>1</v>
      </c>
      <c r="G119">
        <f>(IFERROR(INDEX('General processes'!E:E, MATCH(A119, 'General processes'!A:A, 0)), 0))</f>
        <v>90000</v>
      </c>
      <c r="I119">
        <f t="shared" si="3"/>
        <v>1.6666666666666666E-2</v>
      </c>
      <c r="AE119">
        <f t="shared" si="4"/>
        <v>1.6666666666666666E-2</v>
      </c>
    </row>
    <row r="120" spans="1:31">
      <c r="A120" s="6">
        <v>119</v>
      </c>
      <c r="B120" s="6"/>
      <c r="C120" s="6" t="s">
        <v>332</v>
      </c>
      <c r="E120">
        <f t="shared" si="5"/>
        <v>8.3333333333333337E-6</v>
      </c>
      <c r="F120">
        <v>30</v>
      </c>
      <c r="G120">
        <f>(IFERROR(INDEX('General processes'!E:E, MATCH(A120, 'General processes'!A:A, 0)), 0))</f>
        <v>30000</v>
      </c>
      <c r="J120">
        <v>0.1</v>
      </c>
    </row>
  </sheetData>
  <conditionalFormatting sqref="A2:A22">
    <cfRule type="expression" dxfId="15" priority="24">
      <formula>"MOD(LIGNE() ;2)"</formula>
    </cfRule>
  </conditionalFormatting>
  <conditionalFormatting sqref="A28:A120">
    <cfRule type="expression" dxfId="14" priority="8">
      <formula>"MOD(LIGNE() ;2)"</formula>
    </cfRule>
  </conditionalFormatting>
  <conditionalFormatting sqref="A1:D1 A23:B27 B28">
    <cfRule type="expression" dxfId="13" priority="40">
      <formula>"MOD(LIGNE() ;2)"</formula>
    </cfRule>
  </conditionalFormatting>
  <conditionalFormatting sqref="A157:D1048524">
    <cfRule type="expression" dxfId="12" priority="38">
      <formula>"MOD(LIGNE() ;2)"</formula>
    </cfRule>
  </conditionalFormatting>
  <conditionalFormatting sqref="B2:B5">
    <cfRule type="expression" dxfId="11" priority="33">
      <formula>"MOD(LIGNE() ;2)"</formula>
    </cfRule>
  </conditionalFormatting>
  <conditionalFormatting sqref="B7:B22">
    <cfRule type="expression" dxfId="10" priority="35">
      <formula>"MOD(LIGNE() ;2)"</formula>
    </cfRule>
  </conditionalFormatting>
  <conditionalFormatting sqref="B30:B120">
    <cfRule type="expression" dxfId="9" priority="11">
      <formula>"MOD(LIGNE() ;2)"</formula>
    </cfRule>
  </conditionalFormatting>
  <conditionalFormatting sqref="C2:D63">
    <cfRule type="expression" dxfId="8" priority="1">
      <formula>"MOD(LIGNE() ;2)"</formula>
    </cfRule>
  </conditionalFormatting>
  <conditionalFormatting sqref="C65:D116">
    <cfRule type="expression" dxfId="7" priority="9">
      <formula>"MOD(LIGNE() ;2)"</formula>
    </cfRule>
  </conditionalFormatting>
  <conditionalFormatting sqref="C119:D120">
    <cfRule type="expression" dxfId="6" priority="7">
      <formula>"MOD(LIGNE() ;2)"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49BDD-5B18-47A3-8160-442C6DBEF24C}">
  <dimension ref="A1:L77"/>
  <sheetViews>
    <sheetView zoomScale="88" workbookViewId="0">
      <pane ySplit="1" topLeftCell="A2" activePane="bottomLeft" state="frozen"/>
      <selection pane="bottomLeft" activeCell="I5" sqref="I5"/>
    </sheetView>
  </sheetViews>
  <sheetFormatPr defaultRowHeight="14.4"/>
  <cols>
    <col min="1" max="1" width="55.33203125" customWidth="1"/>
    <col min="2" max="3" width="15.44140625" customWidth="1"/>
    <col min="4" max="4" width="13.6640625" customWidth="1"/>
    <col min="5" max="5" width="15.44140625" customWidth="1"/>
    <col min="6" max="6" width="14.21875" customWidth="1"/>
    <col min="7" max="7" width="21.44140625" customWidth="1"/>
    <col min="8" max="9" width="24.44140625" customWidth="1"/>
    <col min="10" max="10" width="27.77734375" customWidth="1"/>
    <col min="11" max="11" width="17.5546875" customWidth="1"/>
    <col min="12" max="12" width="13" bestFit="1" customWidth="1"/>
  </cols>
  <sheetData>
    <row r="1" spans="1:12" s="4" customFormat="1">
      <c r="A1" s="4" t="s">
        <v>123</v>
      </c>
      <c r="B1" s="4" t="s">
        <v>223</v>
      </c>
      <c r="C1" s="4" t="s">
        <v>401</v>
      </c>
      <c r="D1" s="4" t="s">
        <v>402</v>
      </c>
      <c r="E1" s="4" t="s">
        <v>9</v>
      </c>
      <c r="F1" s="4" t="s">
        <v>10</v>
      </c>
      <c r="G1" s="4" t="s">
        <v>11</v>
      </c>
      <c r="H1" s="4" t="s">
        <v>124</v>
      </c>
      <c r="I1" s="4" t="s">
        <v>208</v>
      </c>
      <c r="J1" s="4" t="s">
        <v>125</v>
      </c>
      <c r="K1" s="4" t="s">
        <v>126</v>
      </c>
      <c r="L1" s="4" t="s">
        <v>209</v>
      </c>
    </row>
    <row r="2" spans="1:12">
      <c r="A2" s="2" t="s">
        <v>403</v>
      </c>
      <c r="B2" t="s">
        <v>224</v>
      </c>
      <c r="C2" t="s">
        <v>405</v>
      </c>
      <c r="D2" t="s">
        <v>404</v>
      </c>
      <c r="E2">
        <v>5500</v>
      </c>
      <c r="F2">
        <v>5500</v>
      </c>
      <c r="G2">
        <v>0</v>
      </c>
      <c r="H2">
        <v>0</v>
      </c>
      <c r="I2">
        <v>5500</v>
      </c>
      <c r="J2" t="s">
        <v>407</v>
      </c>
      <c r="K2" t="s">
        <v>408</v>
      </c>
      <c r="L2">
        <f>E2-F2-G2-H2</f>
        <v>0</v>
      </c>
    </row>
    <row r="3" spans="1:12">
      <c r="A3" s="2" t="s">
        <v>215</v>
      </c>
      <c r="B3" s="19" t="s">
        <v>406</v>
      </c>
      <c r="C3" t="s">
        <v>409</v>
      </c>
      <c r="D3" t="s">
        <v>404</v>
      </c>
      <c r="E3" s="20">
        <v>6.2E-4</v>
      </c>
      <c r="F3" s="20">
        <v>6.2E-4</v>
      </c>
      <c r="G3">
        <v>0</v>
      </c>
      <c r="H3">
        <v>0</v>
      </c>
      <c r="I3" s="20">
        <v>6.2E-4</v>
      </c>
      <c r="K3" t="s">
        <v>127</v>
      </c>
      <c r="L3">
        <f t="shared" ref="L3:L27" si="0">E3-F3-G3-H3</f>
        <v>0</v>
      </c>
    </row>
    <row r="4" spans="1:12">
      <c r="A4" s="2" t="s">
        <v>249</v>
      </c>
      <c r="B4" t="s">
        <v>224</v>
      </c>
      <c r="C4" t="s">
        <v>410</v>
      </c>
      <c r="D4" t="s">
        <v>404</v>
      </c>
      <c r="E4" s="20">
        <f>F4+G4</f>
        <v>1.1414299999999999</v>
      </c>
      <c r="F4" s="21">
        <v>1.1399999999999999</v>
      </c>
      <c r="G4" s="20">
        <v>1.4300000000000001E-3</v>
      </c>
      <c r="H4" s="21">
        <v>0</v>
      </c>
      <c r="I4" s="21">
        <v>1.1499999999999999</v>
      </c>
      <c r="L4">
        <f t="shared" si="0"/>
        <v>4.2283884726934673E-17</v>
      </c>
    </row>
    <row r="5" spans="1:12">
      <c r="A5" s="2" t="s">
        <v>239</v>
      </c>
      <c r="B5" t="s">
        <v>224</v>
      </c>
      <c r="C5" t="s">
        <v>411</v>
      </c>
      <c r="D5" t="s">
        <v>404</v>
      </c>
      <c r="E5">
        <v>6.4600000000000005E-2</v>
      </c>
      <c r="F5">
        <v>6.4600000000000005E-2</v>
      </c>
      <c r="G5">
        <v>0</v>
      </c>
      <c r="H5">
        <v>0</v>
      </c>
      <c r="I5">
        <v>6.4600000000000005E-2</v>
      </c>
      <c r="L5">
        <f t="shared" si="0"/>
        <v>0</v>
      </c>
    </row>
    <row r="6" spans="1:12">
      <c r="A6" s="2" t="s">
        <v>250</v>
      </c>
      <c r="B6" t="s">
        <v>441</v>
      </c>
      <c r="C6" t="s">
        <v>442</v>
      </c>
      <c r="D6" t="s">
        <v>404</v>
      </c>
      <c r="E6">
        <f>0.503*0.4831</f>
        <v>0.2429993</v>
      </c>
      <c r="F6">
        <f>0.503*0.4831</f>
        <v>0.2429993</v>
      </c>
      <c r="G6">
        <v>0</v>
      </c>
      <c r="H6">
        <v>0</v>
      </c>
      <c r="I6">
        <f>0.503*0.4831</f>
        <v>0.2429993</v>
      </c>
      <c r="J6" t="s">
        <v>440</v>
      </c>
      <c r="L6">
        <f t="shared" si="0"/>
        <v>0</v>
      </c>
    </row>
    <row r="7" spans="1:12">
      <c r="A7" s="2" t="s">
        <v>232</v>
      </c>
      <c r="B7" t="s">
        <v>224</v>
      </c>
      <c r="C7" t="s">
        <v>412</v>
      </c>
      <c r="D7" t="s">
        <v>404</v>
      </c>
      <c r="E7">
        <v>0.81799999999999995</v>
      </c>
      <c r="F7">
        <v>0.81799999999999995</v>
      </c>
      <c r="G7">
        <v>0</v>
      </c>
      <c r="H7">
        <v>0</v>
      </c>
      <c r="I7">
        <v>0.81799999999999995</v>
      </c>
      <c r="J7" t="s">
        <v>407</v>
      </c>
      <c r="L7">
        <f t="shared" si="0"/>
        <v>0</v>
      </c>
    </row>
    <row r="8" spans="1:12">
      <c r="A8" s="2" t="s">
        <v>233</v>
      </c>
      <c r="B8" t="s">
        <v>448</v>
      </c>
      <c r="C8" t="s">
        <v>450</v>
      </c>
      <c r="D8" t="s">
        <v>449</v>
      </c>
      <c r="E8" s="25">
        <v>0.06</v>
      </c>
      <c r="F8" s="25">
        <v>0.06</v>
      </c>
      <c r="G8">
        <v>0</v>
      </c>
      <c r="H8">
        <v>0</v>
      </c>
      <c r="I8" s="25">
        <v>0.06</v>
      </c>
      <c r="J8" t="s">
        <v>451</v>
      </c>
      <c r="L8">
        <f t="shared" si="0"/>
        <v>0</v>
      </c>
    </row>
    <row r="9" spans="1:12">
      <c r="A9" s="2" t="s">
        <v>388</v>
      </c>
      <c r="B9" t="s">
        <v>418</v>
      </c>
      <c r="C9" s="22" t="s">
        <v>419</v>
      </c>
      <c r="D9" t="s">
        <v>420</v>
      </c>
      <c r="E9">
        <f>70/1000</f>
        <v>7.0000000000000007E-2</v>
      </c>
      <c r="F9">
        <f>70/1000</f>
        <v>7.0000000000000007E-2</v>
      </c>
      <c r="G9">
        <v>0</v>
      </c>
      <c r="H9">
        <v>0</v>
      </c>
      <c r="I9">
        <f>70/1000</f>
        <v>7.0000000000000007E-2</v>
      </c>
      <c r="J9" t="s">
        <v>407</v>
      </c>
      <c r="L9">
        <f t="shared" si="0"/>
        <v>0</v>
      </c>
    </row>
    <row r="10" spans="1:12">
      <c r="A10" s="2" t="s">
        <v>389</v>
      </c>
      <c r="B10" t="s">
        <v>224</v>
      </c>
      <c r="C10" t="s">
        <v>415</v>
      </c>
      <c r="D10" t="s">
        <v>404</v>
      </c>
      <c r="E10">
        <v>2.5499999999999998</v>
      </c>
      <c r="F10">
        <v>2.5499999999999998</v>
      </c>
      <c r="G10">
        <v>0</v>
      </c>
      <c r="H10">
        <v>0</v>
      </c>
      <c r="I10">
        <v>2.5499999999999998</v>
      </c>
      <c r="L10">
        <f t="shared" si="0"/>
        <v>0</v>
      </c>
    </row>
    <row r="11" spans="1:12">
      <c r="A11" s="2" t="s">
        <v>390</v>
      </c>
      <c r="B11" t="s">
        <v>224</v>
      </c>
      <c r="C11" t="s">
        <v>412</v>
      </c>
      <c r="D11" t="s">
        <v>404</v>
      </c>
      <c r="E11">
        <v>0.81799999999999995</v>
      </c>
      <c r="F11">
        <v>0.81799999999999995</v>
      </c>
      <c r="G11">
        <v>0</v>
      </c>
      <c r="H11">
        <v>0</v>
      </c>
      <c r="I11">
        <v>0.81799999999999995</v>
      </c>
      <c r="J11" t="s">
        <v>447</v>
      </c>
      <c r="L11">
        <f t="shared" si="0"/>
        <v>0</v>
      </c>
    </row>
    <row r="12" spans="1:12">
      <c r="A12" s="2" t="s">
        <v>391</v>
      </c>
      <c r="B12" t="s">
        <v>444</v>
      </c>
      <c r="C12" s="24" t="s">
        <v>446</v>
      </c>
      <c r="D12" t="s">
        <v>445</v>
      </c>
      <c r="E12">
        <f>1.43/1000</f>
        <v>1.4299999999999998E-3</v>
      </c>
      <c r="F12">
        <f>1.43/1000</f>
        <v>1.4299999999999998E-3</v>
      </c>
      <c r="G12">
        <v>0</v>
      </c>
      <c r="H12">
        <v>0</v>
      </c>
      <c r="I12">
        <f>1.43/1000</f>
        <v>1.4299999999999998E-3</v>
      </c>
      <c r="L12">
        <f t="shared" si="0"/>
        <v>0</v>
      </c>
    </row>
    <row r="13" spans="1:12">
      <c r="A13" s="2" t="s">
        <v>392</v>
      </c>
      <c r="B13" t="s">
        <v>428</v>
      </c>
      <c r="C13" s="23" t="s">
        <v>431</v>
      </c>
      <c r="D13" s="23" t="s">
        <v>432</v>
      </c>
      <c r="E13">
        <f>F13+G13+H13</f>
        <v>0.28170399999999995</v>
      </c>
      <c r="F13">
        <f>282/1000</f>
        <v>0.28199999999999997</v>
      </c>
      <c r="G13">
        <f>-0.423/1000</f>
        <v>-4.2299999999999998E-4</v>
      </c>
      <c r="H13">
        <f>0.127/1000</f>
        <v>1.27E-4</v>
      </c>
      <c r="I13">
        <f>279/1000</f>
        <v>0.27900000000000003</v>
      </c>
      <c r="L13">
        <f t="shared" si="0"/>
        <v>-1.8485647040877851E-17</v>
      </c>
    </row>
    <row r="14" spans="1:12">
      <c r="A14" s="2" t="s">
        <v>414</v>
      </c>
      <c r="B14" t="s">
        <v>224</v>
      </c>
      <c r="C14" t="s">
        <v>433</v>
      </c>
      <c r="D14" t="s">
        <v>404</v>
      </c>
      <c r="E14" s="20">
        <f>F14+G14</f>
        <v>1.290559</v>
      </c>
      <c r="F14" s="21">
        <v>1.29</v>
      </c>
      <c r="G14" s="20">
        <v>5.5900000000000004E-4</v>
      </c>
      <c r="H14" s="21">
        <v>0</v>
      </c>
      <c r="I14" s="21">
        <v>1.29</v>
      </c>
      <c r="L14">
        <f t="shared" si="0"/>
        <v>-2.3852447794681098E-17</v>
      </c>
    </row>
    <row r="15" spans="1:12">
      <c r="A15" s="2" t="s">
        <v>393</v>
      </c>
      <c r="B15" t="s">
        <v>436</v>
      </c>
      <c r="C15" t="s">
        <v>435</v>
      </c>
      <c r="D15" t="s">
        <v>434</v>
      </c>
      <c r="E15">
        <v>3.38</v>
      </c>
      <c r="F15">
        <v>3.38</v>
      </c>
      <c r="G15">
        <v>0</v>
      </c>
      <c r="I15">
        <v>3.38</v>
      </c>
      <c r="L15">
        <f t="shared" si="0"/>
        <v>0</v>
      </c>
    </row>
    <row r="16" spans="1:12">
      <c r="A16" s="2" t="s">
        <v>262</v>
      </c>
      <c r="B16" t="s">
        <v>424</v>
      </c>
      <c r="C16" t="s">
        <v>423</v>
      </c>
      <c r="D16" t="s">
        <v>425</v>
      </c>
      <c r="E16">
        <f>F16+G16+H16</f>
        <v>1.5914000000000002E-3</v>
      </c>
      <c r="F16">
        <f>0.0164/10</f>
        <v>1.6400000000000002E-3</v>
      </c>
      <c r="G16">
        <f>-0.000486/10</f>
        <v>-4.8600000000000002E-5</v>
      </c>
      <c r="H16">
        <v>0</v>
      </c>
      <c r="I16">
        <f>0.0164/10</f>
        <v>1.6400000000000002E-3</v>
      </c>
      <c r="L16">
        <f t="shared" si="0"/>
        <v>1.3552527156068805E-20</v>
      </c>
    </row>
    <row r="17" spans="1:12">
      <c r="A17" s="2" t="s">
        <v>413</v>
      </c>
      <c r="B17" t="s">
        <v>224</v>
      </c>
      <c r="C17" t="s">
        <v>422</v>
      </c>
      <c r="E17">
        <v>2.93</v>
      </c>
      <c r="F17">
        <v>2.93</v>
      </c>
      <c r="G17">
        <v>0</v>
      </c>
      <c r="H17">
        <v>0</v>
      </c>
      <c r="I17">
        <v>2.93</v>
      </c>
      <c r="J17" t="s">
        <v>407</v>
      </c>
      <c r="L17">
        <f t="shared" si="0"/>
        <v>0</v>
      </c>
    </row>
    <row r="18" spans="1:12">
      <c r="A18" s="2" t="s">
        <v>277</v>
      </c>
      <c r="B18" t="s">
        <v>418</v>
      </c>
      <c r="C18" s="22" t="s">
        <v>417</v>
      </c>
      <c r="D18" t="s">
        <v>416</v>
      </c>
      <c r="E18">
        <f>70.1/1000</f>
        <v>7.0099999999999996E-2</v>
      </c>
      <c r="F18">
        <f>70.1/1000</f>
        <v>7.0099999999999996E-2</v>
      </c>
      <c r="G18">
        <v>0</v>
      </c>
      <c r="H18">
        <v>0</v>
      </c>
      <c r="I18">
        <f>70.1/1000</f>
        <v>7.0099999999999996E-2</v>
      </c>
      <c r="J18" t="s">
        <v>407</v>
      </c>
      <c r="L18">
        <f t="shared" si="0"/>
        <v>0</v>
      </c>
    </row>
    <row r="19" spans="1:12">
      <c r="A19" s="2" t="s">
        <v>278</v>
      </c>
      <c r="B19" t="s">
        <v>428</v>
      </c>
      <c r="C19" s="23" t="s">
        <v>427</v>
      </c>
      <c r="D19" t="s">
        <v>426</v>
      </c>
      <c r="E19">
        <f>F19+G19+H19</f>
        <v>0.53026240000000002</v>
      </c>
      <c r="F19">
        <f>0.206 +0.324</f>
        <v>0.53</v>
      </c>
      <c r="G19">
        <f>0.0000576+0.0000995</f>
        <v>1.571E-4</v>
      </c>
      <c r="H19">
        <f>0.0000706+0.0000347</f>
        <v>1.053E-4</v>
      </c>
      <c r="I19">
        <f>0.206+0.325</f>
        <v>0.53100000000000003</v>
      </c>
      <c r="K19" t="s">
        <v>429</v>
      </c>
      <c r="L19">
        <f t="shared" si="0"/>
        <v>-4.0251005653524352E-18</v>
      </c>
    </row>
    <row r="20" spans="1:12">
      <c r="A20" s="2" t="s">
        <v>279</v>
      </c>
      <c r="B20" t="s">
        <v>454</v>
      </c>
      <c r="C20" t="s">
        <v>453</v>
      </c>
      <c r="D20" t="s">
        <v>452</v>
      </c>
      <c r="E20">
        <v>2.11</v>
      </c>
      <c r="F20">
        <v>2.11</v>
      </c>
      <c r="G20">
        <v>0</v>
      </c>
      <c r="H20">
        <v>0</v>
      </c>
      <c r="I20">
        <v>2.11</v>
      </c>
      <c r="J20" t="s">
        <v>407</v>
      </c>
      <c r="L20">
        <f t="shared" si="0"/>
        <v>0</v>
      </c>
    </row>
    <row r="21" spans="1:12">
      <c r="A21" s="2" t="s">
        <v>394</v>
      </c>
      <c r="B21" t="s">
        <v>224</v>
      </c>
      <c r="C21" t="s">
        <v>430</v>
      </c>
      <c r="E21" s="20">
        <f>F21+G21+H21</f>
        <v>1.5900097400000002</v>
      </c>
      <c r="F21" s="21">
        <v>1.59</v>
      </c>
      <c r="G21" s="20">
        <v>9.7399999999999999E-6</v>
      </c>
      <c r="H21">
        <v>0</v>
      </c>
      <c r="I21" s="21">
        <v>1.59</v>
      </c>
      <c r="L21">
        <f t="shared" si="0"/>
        <v>9.134233896600924E-17</v>
      </c>
    </row>
    <row r="22" spans="1:12">
      <c r="A22" s="2" t="s">
        <v>395</v>
      </c>
      <c r="B22" t="s">
        <v>428</v>
      </c>
      <c r="C22" s="23" t="s">
        <v>437</v>
      </c>
      <c r="D22" t="s">
        <v>438</v>
      </c>
      <c r="E22" s="20">
        <f>F22+G22+H22</f>
        <v>1.0785750000000001</v>
      </c>
      <c r="F22" s="5">
        <v>1.06</v>
      </c>
      <c r="G22" s="5">
        <v>1.84E-2</v>
      </c>
      <c r="H22" s="5">
        <v>1.75E-4</v>
      </c>
      <c r="I22" s="5">
        <v>1.06</v>
      </c>
      <c r="L22">
        <f t="shared" si="0"/>
        <v>8.4838819996990722E-18</v>
      </c>
    </row>
    <row r="23" spans="1:12">
      <c r="A23" s="2" t="s">
        <v>396</v>
      </c>
      <c r="B23" t="s">
        <v>455</v>
      </c>
      <c r="D23" t="s">
        <v>456</v>
      </c>
      <c r="E23">
        <v>4.7458999999999999E-4</v>
      </c>
      <c r="F23">
        <v>4.7458999999999999E-4</v>
      </c>
      <c r="G23">
        <v>0</v>
      </c>
      <c r="H23">
        <v>0</v>
      </c>
      <c r="I23">
        <v>4.7458999999999999E-4</v>
      </c>
      <c r="L23">
        <f t="shared" si="0"/>
        <v>0</v>
      </c>
    </row>
    <row r="24" spans="1:12">
      <c r="A24" s="2" t="s">
        <v>397</v>
      </c>
      <c r="B24" t="s">
        <v>454</v>
      </c>
      <c r="C24" t="s">
        <v>457</v>
      </c>
      <c r="E24">
        <v>5.27</v>
      </c>
      <c r="F24">
        <v>5.27</v>
      </c>
      <c r="G24">
        <v>0</v>
      </c>
      <c r="H24">
        <v>0</v>
      </c>
      <c r="I24">
        <v>5.27</v>
      </c>
      <c r="J24" t="s">
        <v>407</v>
      </c>
      <c r="L24">
        <f t="shared" si="0"/>
        <v>0</v>
      </c>
    </row>
    <row r="25" spans="1:12">
      <c r="A25" s="2" t="s">
        <v>398</v>
      </c>
      <c r="B25" t="s">
        <v>224</v>
      </c>
      <c r="C25" t="s">
        <v>421</v>
      </c>
      <c r="E25">
        <f t="shared" ref="E25:F27" si="1">0.894+0.0409</f>
        <v>0.93490000000000006</v>
      </c>
      <c r="F25">
        <f t="shared" si="1"/>
        <v>0.93490000000000006</v>
      </c>
      <c r="G25">
        <v>0</v>
      </c>
      <c r="H25">
        <v>0</v>
      </c>
      <c r="I25">
        <f>0.894+0.0409</f>
        <v>0.93490000000000006</v>
      </c>
      <c r="L25">
        <f t="shared" si="0"/>
        <v>0</v>
      </c>
    </row>
    <row r="26" spans="1:12">
      <c r="A26" s="2" t="s">
        <v>399</v>
      </c>
      <c r="B26" t="s">
        <v>224</v>
      </c>
      <c r="C26" t="s">
        <v>421</v>
      </c>
      <c r="E26">
        <f t="shared" si="1"/>
        <v>0.93490000000000006</v>
      </c>
      <c r="F26">
        <f t="shared" si="1"/>
        <v>0.93490000000000006</v>
      </c>
      <c r="G26">
        <v>0</v>
      </c>
      <c r="H26">
        <v>0</v>
      </c>
      <c r="I26">
        <f>0.894+0.0409</f>
        <v>0.93490000000000006</v>
      </c>
      <c r="L26">
        <f t="shared" si="0"/>
        <v>0</v>
      </c>
    </row>
    <row r="27" spans="1:12">
      <c r="A27" s="2" t="s">
        <v>400</v>
      </c>
      <c r="B27" t="s">
        <v>224</v>
      </c>
      <c r="C27" t="s">
        <v>421</v>
      </c>
      <c r="E27">
        <f t="shared" si="1"/>
        <v>0.93490000000000006</v>
      </c>
      <c r="F27">
        <f t="shared" si="1"/>
        <v>0.93490000000000006</v>
      </c>
      <c r="G27">
        <v>0</v>
      </c>
      <c r="H27">
        <v>0</v>
      </c>
      <c r="I27">
        <f>0.894+0.0409</f>
        <v>0.93490000000000006</v>
      </c>
      <c r="L27">
        <f t="shared" si="0"/>
        <v>0</v>
      </c>
    </row>
    <row r="35" ht="15" customHeight="1"/>
    <row r="36" ht="15" customHeight="1"/>
    <row r="55" ht="20.399999999999999" customHeight="1"/>
    <row r="77" ht="22.8" customHeight="1"/>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21ACF-6CF1-489E-97F4-076EB3B86534}">
  <dimension ref="A1:N120"/>
  <sheetViews>
    <sheetView workbookViewId="0">
      <selection activeCell="G28" sqref="G28"/>
    </sheetView>
  </sheetViews>
  <sheetFormatPr defaultRowHeight="14.4"/>
  <cols>
    <col min="2" max="2" width="54" customWidth="1"/>
    <col min="8" max="8" width="42.33203125" customWidth="1"/>
    <col min="12" max="12" width="18.5546875" customWidth="1"/>
  </cols>
  <sheetData>
    <row r="1" spans="1:14">
      <c r="A1" s="9" t="s">
        <v>387</v>
      </c>
      <c r="B1" s="9" t="s">
        <v>1</v>
      </c>
      <c r="C1" t="s">
        <v>210</v>
      </c>
      <c r="G1" t="s">
        <v>530</v>
      </c>
      <c r="H1" t="s">
        <v>531</v>
      </c>
      <c r="L1" s="3" t="s">
        <v>533</v>
      </c>
      <c r="M1" s="3" t="s">
        <v>532</v>
      </c>
      <c r="N1" s="3" t="s">
        <v>1</v>
      </c>
    </row>
    <row r="2" spans="1:14">
      <c r="A2" s="3">
        <v>1</v>
      </c>
      <c r="B2" s="3" t="s">
        <v>195</v>
      </c>
      <c r="C2">
        <v>0.43012611111111104</v>
      </c>
      <c r="G2">
        <v>1</v>
      </c>
      <c r="H2" t="s">
        <v>472</v>
      </c>
      <c r="L2" s="3">
        <v>153</v>
      </c>
      <c r="M2" s="3">
        <v>7</v>
      </c>
      <c r="N2" s="3" t="s">
        <v>475</v>
      </c>
    </row>
    <row r="3" spans="1:14">
      <c r="A3" s="3">
        <v>2</v>
      </c>
      <c r="B3" s="3" t="s">
        <v>212</v>
      </c>
      <c r="C3">
        <v>7.4892455555555557E-2</v>
      </c>
      <c r="G3">
        <v>2</v>
      </c>
      <c r="H3" t="s">
        <v>473</v>
      </c>
      <c r="L3" s="3">
        <v>154</v>
      </c>
      <c r="M3" s="3">
        <v>8</v>
      </c>
      <c r="N3" s="3" t="s">
        <v>476</v>
      </c>
    </row>
    <row r="4" spans="1:14">
      <c r="A4" s="3">
        <v>3</v>
      </c>
      <c r="B4" s="3" t="s">
        <v>235</v>
      </c>
      <c r="C4">
        <v>6.803736296296296E-3</v>
      </c>
      <c r="G4">
        <v>3</v>
      </c>
      <c r="H4" t="s">
        <v>18</v>
      </c>
      <c r="L4" s="3">
        <v>118</v>
      </c>
      <c r="M4" s="3">
        <v>12</v>
      </c>
      <c r="N4" s="3" t="s">
        <v>478</v>
      </c>
    </row>
    <row r="5" spans="1:14">
      <c r="A5" s="3">
        <v>4</v>
      </c>
      <c r="B5" s="3" t="s">
        <v>101</v>
      </c>
      <c r="C5">
        <v>2.7073901562962963E-3</v>
      </c>
      <c r="G5">
        <v>4</v>
      </c>
      <c r="H5" t="s">
        <v>474</v>
      </c>
      <c r="L5" s="3">
        <v>147</v>
      </c>
      <c r="M5" s="3">
        <v>13</v>
      </c>
      <c r="N5" s="3" t="s">
        <v>479</v>
      </c>
    </row>
    <row r="6" spans="1:14">
      <c r="A6" s="3">
        <v>5</v>
      </c>
      <c r="B6" s="3" t="s">
        <v>17</v>
      </c>
      <c r="C6">
        <v>6.3349999999999995E-5</v>
      </c>
      <c r="G6">
        <v>5</v>
      </c>
      <c r="H6" t="s">
        <v>17</v>
      </c>
      <c r="L6" s="3">
        <v>150</v>
      </c>
      <c r="M6" s="3">
        <v>14</v>
      </c>
      <c r="N6" s="3" t="s">
        <v>480</v>
      </c>
    </row>
    <row r="7" spans="1:14">
      <c r="A7" s="3">
        <v>6</v>
      </c>
      <c r="B7" s="3" t="s">
        <v>23</v>
      </c>
      <c r="C7">
        <v>0.84156833333333336</v>
      </c>
      <c r="G7">
        <v>6</v>
      </c>
      <c r="H7" t="s">
        <v>23</v>
      </c>
      <c r="L7" s="3">
        <v>17</v>
      </c>
      <c r="M7" s="3">
        <v>16</v>
      </c>
      <c r="N7" s="3" t="s">
        <v>482</v>
      </c>
    </row>
    <row r="8" spans="1:14">
      <c r="A8" s="3">
        <v>9</v>
      </c>
      <c r="B8" s="3" t="s">
        <v>21</v>
      </c>
      <c r="C8">
        <v>6.1032222222222217E-3</v>
      </c>
      <c r="G8">
        <v>9</v>
      </c>
      <c r="H8" t="s">
        <v>477</v>
      </c>
      <c r="L8" s="3">
        <v>125</v>
      </c>
      <c r="M8" s="3">
        <v>38</v>
      </c>
      <c r="N8" s="3" t="s">
        <v>484</v>
      </c>
    </row>
    <row r="9" spans="1:14">
      <c r="A9" s="3">
        <v>10</v>
      </c>
      <c r="B9" s="3" t="s">
        <v>19</v>
      </c>
      <c r="C9">
        <v>1.6333611111111108E-2</v>
      </c>
      <c r="G9">
        <v>10</v>
      </c>
      <c r="H9" t="s">
        <v>19</v>
      </c>
      <c r="L9" s="3">
        <v>151</v>
      </c>
      <c r="M9" s="3">
        <v>46</v>
      </c>
      <c r="N9" s="3" t="s">
        <v>485</v>
      </c>
    </row>
    <row r="10" spans="1:14">
      <c r="A10" s="3">
        <v>11</v>
      </c>
      <c r="B10" s="3" t="s">
        <v>22</v>
      </c>
      <c r="C10">
        <v>1.6755944444444441E-2</v>
      </c>
      <c r="G10">
        <v>11</v>
      </c>
      <c r="H10" t="s">
        <v>22</v>
      </c>
      <c r="L10" s="3">
        <v>134</v>
      </c>
      <c r="M10" s="3">
        <v>47</v>
      </c>
      <c r="N10" s="3" t="s">
        <v>486</v>
      </c>
    </row>
    <row r="11" spans="1:14">
      <c r="A11" s="3">
        <v>15</v>
      </c>
      <c r="B11" s="3" t="s">
        <v>246</v>
      </c>
      <c r="C11">
        <v>5.6542440944444439E-2</v>
      </c>
      <c r="G11">
        <v>15</v>
      </c>
      <c r="H11" t="s">
        <v>481</v>
      </c>
      <c r="L11" s="3">
        <v>6</v>
      </c>
      <c r="M11" s="3">
        <v>52</v>
      </c>
      <c r="N11" s="3" t="s">
        <v>487</v>
      </c>
    </row>
    <row r="12" spans="1:14">
      <c r="A12" s="3">
        <v>17</v>
      </c>
      <c r="B12" s="3" t="s">
        <v>471</v>
      </c>
      <c r="C12">
        <v>0.4293540699259259</v>
      </c>
      <c r="G12">
        <v>17</v>
      </c>
      <c r="H12" t="s">
        <v>471</v>
      </c>
      <c r="L12" s="3">
        <v>125</v>
      </c>
      <c r="M12" s="3">
        <v>111</v>
      </c>
      <c r="N12" s="3" t="s">
        <v>490</v>
      </c>
    </row>
    <row r="13" spans="1:14">
      <c r="A13" s="3">
        <v>18</v>
      </c>
      <c r="B13" s="3" t="s">
        <v>467</v>
      </c>
      <c r="C13">
        <v>0.20909601787086418</v>
      </c>
      <c r="G13">
        <v>18</v>
      </c>
      <c r="H13" t="s">
        <v>467</v>
      </c>
      <c r="L13" s="3">
        <v>50</v>
      </c>
      <c r="M13" s="3">
        <v>112</v>
      </c>
      <c r="N13" s="3" t="s">
        <v>491</v>
      </c>
    </row>
    <row r="14" spans="1:14">
      <c r="A14" s="3">
        <v>20</v>
      </c>
      <c r="B14" s="3" t="s">
        <v>332</v>
      </c>
      <c r="C14">
        <v>0.13348326333333332</v>
      </c>
      <c r="G14">
        <v>20</v>
      </c>
      <c r="H14" t="s">
        <v>483</v>
      </c>
      <c r="L14" s="3">
        <v>20</v>
      </c>
      <c r="M14" s="3">
        <v>113</v>
      </c>
      <c r="N14" s="3" t="s">
        <v>492</v>
      </c>
    </row>
    <row r="15" spans="1:14">
      <c r="A15" s="3">
        <v>21</v>
      </c>
      <c r="B15" s="3" t="s">
        <v>20</v>
      </c>
      <c r="C15">
        <v>9.8133999999999999E-2</v>
      </c>
      <c r="G15">
        <v>21</v>
      </c>
      <c r="H15" t="s">
        <v>20</v>
      </c>
      <c r="L15" s="3">
        <v>118</v>
      </c>
      <c r="M15" s="3">
        <v>114</v>
      </c>
      <c r="N15" s="3" t="s">
        <v>493</v>
      </c>
    </row>
    <row r="16" spans="1:14">
      <c r="A16" s="3">
        <v>22</v>
      </c>
      <c r="B16" s="3" t="s">
        <v>16</v>
      </c>
      <c r="C16">
        <v>0.123474</v>
      </c>
      <c r="G16">
        <v>22</v>
      </c>
      <c r="H16" t="s">
        <v>16</v>
      </c>
      <c r="L16" s="3">
        <v>20</v>
      </c>
      <c r="M16" s="3">
        <v>115</v>
      </c>
      <c r="N16" s="3" t="s">
        <v>494</v>
      </c>
    </row>
    <row r="17" spans="1:14">
      <c r="A17" s="3">
        <v>23</v>
      </c>
      <c r="B17" s="3" t="s">
        <v>15</v>
      </c>
      <c r="C17">
        <v>0</v>
      </c>
      <c r="G17">
        <v>23</v>
      </c>
      <c r="H17" t="s">
        <v>15</v>
      </c>
      <c r="L17" s="3">
        <v>20</v>
      </c>
      <c r="M17" s="3">
        <v>116</v>
      </c>
      <c r="N17" s="3" t="s">
        <v>495</v>
      </c>
    </row>
    <row r="18" spans="1:14">
      <c r="A18" s="3">
        <v>24</v>
      </c>
      <c r="B18" s="3" t="s">
        <v>32</v>
      </c>
      <c r="C18">
        <v>0.22632611111111106</v>
      </c>
      <c r="G18">
        <v>24</v>
      </c>
      <c r="H18" t="s">
        <v>32</v>
      </c>
      <c r="L18" s="3">
        <v>20</v>
      </c>
      <c r="M18" s="3">
        <v>117</v>
      </c>
      <c r="N18" s="3" t="s">
        <v>496</v>
      </c>
    </row>
    <row r="19" spans="1:14">
      <c r="A19" s="3">
        <v>26</v>
      </c>
      <c r="B19" s="3" t="s">
        <v>94</v>
      </c>
      <c r="C19">
        <v>1.7375722222222223E-2</v>
      </c>
      <c r="G19">
        <v>26</v>
      </c>
      <c r="H19" t="s">
        <v>94</v>
      </c>
      <c r="L19" s="3">
        <v>118</v>
      </c>
      <c r="M19" s="3">
        <v>118</v>
      </c>
      <c r="N19" s="3" t="s">
        <v>497</v>
      </c>
    </row>
    <row r="20" spans="1:14">
      <c r="A20" s="3">
        <v>27</v>
      </c>
      <c r="B20" s="3" t="s">
        <v>24</v>
      </c>
      <c r="C20">
        <v>6.6919444444444448E-3</v>
      </c>
      <c r="G20">
        <v>27</v>
      </c>
      <c r="H20" t="s">
        <v>24</v>
      </c>
      <c r="L20" s="3">
        <v>20</v>
      </c>
      <c r="M20" s="3">
        <v>119</v>
      </c>
      <c r="N20" s="3" t="s">
        <v>498</v>
      </c>
    </row>
    <row r="21" spans="1:14">
      <c r="A21" s="3">
        <v>28</v>
      </c>
      <c r="B21" s="3" t="s">
        <v>36</v>
      </c>
      <c r="C21">
        <v>1.4812444444444446E-2</v>
      </c>
      <c r="G21">
        <v>28</v>
      </c>
      <c r="H21" t="s">
        <v>36</v>
      </c>
      <c r="L21" s="3">
        <v>20</v>
      </c>
      <c r="M21" s="3">
        <v>120</v>
      </c>
      <c r="N21" s="3" t="s">
        <v>499</v>
      </c>
    </row>
    <row r="22" spans="1:14">
      <c r="A22" s="3">
        <v>29</v>
      </c>
      <c r="B22" s="3" t="s">
        <v>468</v>
      </c>
      <c r="C22">
        <v>1.0589111111111112E-2</v>
      </c>
      <c r="G22">
        <v>29</v>
      </c>
      <c r="H22" t="s">
        <v>468</v>
      </c>
      <c r="L22" s="3">
        <v>20</v>
      </c>
      <c r="M22" s="3">
        <v>121</v>
      </c>
      <c r="N22" s="3" t="s">
        <v>500</v>
      </c>
    </row>
    <row r="23" spans="1:14">
      <c r="A23" s="3">
        <v>30</v>
      </c>
      <c r="B23" s="3" t="s">
        <v>142</v>
      </c>
      <c r="C23">
        <v>3.2236164643717222</v>
      </c>
      <c r="G23">
        <v>30</v>
      </c>
      <c r="H23" t="s">
        <v>142</v>
      </c>
      <c r="L23" s="3">
        <v>134</v>
      </c>
      <c r="M23" s="3">
        <v>122</v>
      </c>
      <c r="N23" s="3" t="s">
        <v>501</v>
      </c>
    </row>
    <row r="24" spans="1:14">
      <c r="A24" s="3">
        <v>31</v>
      </c>
      <c r="B24" s="3" t="s">
        <v>26</v>
      </c>
      <c r="C24">
        <v>1.6892010239583441</v>
      </c>
      <c r="G24">
        <v>31</v>
      </c>
      <c r="H24" t="s">
        <v>26</v>
      </c>
      <c r="L24" s="3">
        <v>15</v>
      </c>
      <c r="M24" s="3">
        <v>123</v>
      </c>
      <c r="N24" s="3" t="s">
        <v>502</v>
      </c>
    </row>
    <row r="25" spans="1:14">
      <c r="A25" s="3">
        <v>32</v>
      </c>
      <c r="B25" s="3" t="s">
        <v>35</v>
      </c>
      <c r="C25">
        <v>1.2669999999999999E-3</v>
      </c>
      <c r="G25">
        <v>32</v>
      </c>
      <c r="H25" t="s">
        <v>35</v>
      </c>
      <c r="L25" s="3">
        <v>147</v>
      </c>
      <c r="M25" s="3">
        <v>126</v>
      </c>
      <c r="N25" s="3" t="s">
        <v>504</v>
      </c>
    </row>
    <row r="26" spans="1:14">
      <c r="A26" s="3">
        <v>33</v>
      </c>
      <c r="B26" s="3" t="s">
        <v>27</v>
      </c>
      <c r="C26">
        <v>5.6391666666666673E-2</v>
      </c>
      <c r="G26">
        <v>33</v>
      </c>
      <c r="H26" t="s">
        <v>27</v>
      </c>
      <c r="L26" s="3">
        <v>2</v>
      </c>
      <c r="M26" s="3">
        <v>128</v>
      </c>
      <c r="N26" s="3" t="s">
        <v>506</v>
      </c>
    </row>
    <row r="27" spans="1:14">
      <c r="A27" s="3">
        <v>34</v>
      </c>
      <c r="B27" s="3" t="s">
        <v>28</v>
      </c>
      <c r="C27">
        <v>5.0026111111111113E-3</v>
      </c>
      <c r="G27">
        <v>34</v>
      </c>
      <c r="H27" t="s">
        <v>28</v>
      </c>
      <c r="L27" s="3">
        <v>2</v>
      </c>
      <c r="M27" s="3">
        <v>129</v>
      </c>
      <c r="N27" s="3" t="s">
        <v>507</v>
      </c>
    </row>
    <row r="28" spans="1:14">
      <c r="A28" s="3">
        <v>35</v>
      </c>
      <c r="B28" s="3" t="s">
        <v>29</v>
      </c>
      <c r="C28">
        <v>8.2855401111111102E-2</v>
      </c>
      <c r="G28">
        <v>35</v>
      </c>
      <c r="H28" t="s">
        <v>29</v>
      </c>
      <c r="L28" s="3">
        <v>125</v>
      </c>
      <c r="M28" s="3">
        <v>130</v>
      </c>
      <c r="N28" s="3" t="s">
        <v>508</v>
      </c>
    </row>
    <row r="29" spans="1:14">
      <c r="A29" s="3">
        <v>39</v>
      </c>
      <c r="B29" s="3" t="s">
        <v>40</v>
      </c>
      <c r="C29">
        <v>3.0059444444444443E-3</v>
      </c>
      <c r="G29">
        <v>39</v>
      </c>
      <c r="H29" t="s">
        <v>40</v>
      </c>
      <c r="L29" s="3">
        <v>4</v>
      </c>
      <c r="M29" s="3">
        <v>136</v>
      </c>
      <c r="N29" s="3" t="s">
        <v>512</v>
      </c>
    </row>
    <row r="30" spans="1:14">
      <c r="A30" s="3">
        <v>40</v>
      </c>
      <c r="B30" s="3" t="s">
        <v>93</v>
      </c>
      <c r="C30">
        <v>2.502864175</v>
      </c>
      <c r="G30">
        <v>40</v>
      </c>
      <c r="H30" t="s">
        <v>93</v>
      </c>
      <c r="L30" s="3">
        <v>4</v>
      </c>
      <c r="M30" s="3">
        <v>138</v>
      </c>
      <c r="N30" s="3" t="s">
        <v>513</v>
      </c>
    </row>
    <row r="31" spans="1:14">
      <c r="A31" s="3">
        <v>41</v>
      </c>
      <c r="B31" s="3" t="s">
        <v>34</v>
      </c>
      <c r="C31">
        <v>5.8503333333333338E-2</v>
      </c>
      <c r="G31">
        <v>41</v>
      </c>
      <c r="H31" t="s">
        <v>34</v>
      </c>
      <c r="L31" s="3">
        <v>15</v>
      </c>
      <c r="M31" s="3">
        <v>139</v>
      </c>
      <c r="N31" s="3" t="s">
        <v>514</v>
      </c>
    </row>
    <row r="32" spans="1:14">
      <c r="A32" s="3">
        <v>42</v>
      </c>
      <c r="B32" s="3" t="s">
        <v>31</v>
      </c>
      <c r="C32">
        <v>1.0558333333333333E-3</v>
      </c>
      <c r="G32">
        <v>42</v>
      </c>
      <c r="H32" t="s">
        <v>31</v>
      </c>
      <c r="L32" s="3">
        <v>4</v>
      </c>
      <c r="M32" s="3">
        <v>142</v>
      </c>
      <c r="N32" s="3" t="s">
        <v>516</v>
      </c>
    </row>
    <row r="33" spans="1:14">
      <c r="A33" s="3">
        <v>43</v>
      </c>
      <c r="B33" s="3" t="s">
        <v>30</v>
      </c>
      <c r="C33">
        <v>0.95193672222222225</v>
      </c>
      <c r="G33">
        <v>43</v>
      </c>
      <c r="H33" t="s">
        <v>30</v>
      </c>
      <c r="L33" s="3">
        <v>4</v>
      </c>
      <c r="M33" s="3">
        <v>143</v>
      </c>
      <c r="N33" s="3" t="s">
        <v>517</v>
      </c>
    </row>
    <row r="34" spans="1:14">
      <c r="A34" s="3">
        <v>44</v>
      </c>
      <c r="B34" s="3" t="s">
        <v>33</v>
      </c>
      <c r="C34">
        <v>2.8107833333333341</v>
      </c>
      <c r="G34">
        <v>44</v>
      </c>
      <c r="H34" t="s">
        <v>33</v>
      </c>
      <c r="L34" s="3">
        <v>4</v>
      </c>
      <c r="M34" s="3">
        <v>144</v>
      </c>
      <c r="N34" s="3" t="s">
        <v>518</v>
      </c>
    </row>
    <row r="35" spans="1:14">
      <c r="A35" s="3">
        <v>45</v>
      </c>
      <c r="B35" s="3" t="s">
        <v>42</v>
      </c>
      <c r="C35">
        <v>0.25700000000000001</v>
      </c>
      <c r="G35">
        <v>45</v>
      </c>
      <c r="H35" t="s">
        <v>42</v>
      </c>
      <c r="L35" s="3">
        <v>150</v>
      </c>
      <c r="M35" s="3">
        <v>148</v>
      </c>
      <c r="N35" s="3" t="s">
        <v>521</v>
      </c>
    </row>
    <row r="36" spans="1:14">
      <c r="A36" s="3">
        <v>48</v>
      </c>
      <c r="B36" s="3" t="s">
        <v>105</v>
      </c>
      <c r="C36">
        <v>6.8843632492962964E-2</v>
      </c>
      <c r="G36">
        <v>48</v>
      </c>
      <c r="H36" t="s">
        <v>105</v>
      </c>
      <c r="L36" s="3">
        <v>151</v>
      </c>
      <c r="M36" s="3">
        <v>149</v>
      </c>
      <c r="N36" s="3" t="s">
        <v>522</v>
      </c>
    </row>
    <row r="37" spans="1:14">
      <c r="A37" s="3">
        <v>49</v>
      </c>
      <c r="B37" s="3" t="s">
        <v>43</v>
      </c>
      <c r="C37">
        <v>0.123474</v>
      </c>
      <c r="G37">
        <v>49</v>
      </c>
      <c r="H37" t="s">
        <v>43</v>
      </c>
      <c r="L37" s="3">
        <v>153</v>
      </c>
      <c r="M37" s="3">
        <v>152</v>
      </c>
      <c r="N37" s="3" t="s">
        <v>525</v>
      </c>
    </row>
    <row r="38" spans="1:14">
      <c r="A38" s="3">
        <v>50</v>
      </c>
      <c r="B38" s="3" t="s">
        <v>106</v>
      </c>
      <c r="C38">
        <v>6.862255428341385E-2</v>
      </c>
      <c r="G38">
        <v>50</v>
      </c>
      <c r="H38" t="s">
        <v>106</v>
      </c>
      <c r="L38" s="3">
        <v>154</v>
      </c>
      <c r="M38" s="3">
        <v>155</v>
      </c>
      <c r="N38" s="3" t="s">
        <v>528</v>
      </c>
    </row>
    <row r="39" spans="1:14">
      <c r="A39" s="3">
        <v>51</v>
      </c>
      <c r="B39" s="3" t="s">
        <v>41</v>
      </c>
      <c r="C39">
        <v>8.1701111111111106E-3</v>
      </c>
      <c r="G39">
        <v>51</v>
      </c>
      <c r="H39" t="s">
        <v>41</v>
      </c>
    </row>
    <row r="40" spans="1:14">
      <c r="A40" s="3">
        <v>53</v>
      </c>
      <c r="B40" s="3" t="s">
        <v>45</v>
      </c>
      <c r="C40">
        <v>2.8958640226666668</v>
      </c>
      <c r="G40">
        <v>53</v>
      </c>
      <c r="H40" t="s">
        <v>45</v>
      </c>
    </row>
    <row r="41" spans="1:14">
      <c r="A41" s="3">
        <v>54</v>
      </c>
      <c r="B41" s="3" t="s">
        <v>44</v>
      </c>
      <c r="C41">
        <v>5.6828749217422411E-2</v>
      </c>
      <c r="G41">
        <v>54</v>
      </c>
      <c r="H41" t="s">
        <v>44</v>
      </c>
    </row>
    <row r="42" spans="1:14">
      <c r="A42" s="3">
        <v>55</v>
      </c>
      <c r="B42" s="3" t="s">
        <v>327</v>
      </c>
      <c r="C42">
        <v>0.33154287134502924</v>
      </c>
      <c r="G42">
        <v>55</v>
      </c>
      <c r="H42" t="s">
        <v>488</v>
      </c>
    </row>
    <row r="43" spans="1:14">
      <c r="A43" s="3">
        <v>57</v>
      </c>
      <c r="B43" s="16" t="s">
        <v>137</v>
      </c>
      <c r="C43">
        <v>0.51216313333333341</v>
      </c>
      <c r="G43">
        <v>57</v>
      </c>
      <c r="H43" t="s">
        <v>137</v>
      </c>
    </row>
    <row r="44" spans="1:14">
      <c r="A44" s="3">
        <v>59</v>
      </c>
      <c r="B44" s="3" t="s">
        <v>46</v>
      </c>
      <c r="C44">
        <v>0.52195944444444442</v>
      </c>
      <c r="G44">
        <v>59</v>
      </c>
      <c r="H44" t="s">
        <v>46</v>
      </c>
    </row>
    <row r="45" spans="1:14">
      <c r="A45" s="3">
        <v>60</v>
      </c>
      <c r="B45" s="3" t="s">
        <v>47</v>
      </c>
      <c r="C45">
        <v>0.41844833333333331</v>
      </c>
      <c r="G45">
        <v>60</v>
      </c>
      <c r="H45" t="s">
        <v>47</v>
      </c>
    </row>
    <row r="46" spans="1:14">
      <c r="A46" s="3">
        <v>61</v>
      </c>
      <c r="B46" s="3" t="s">
        <v>48</v>
      </c>
      <c r="C46">
        <v>0.43322999999999989</v>
      </c>
      <c r="G46">
        <v>61</v>
      </c>
      <c r="H46" t="s">
        <v>48</v>
      </c>
    </row>
    <row r="47" spans="1:14">
      <c r="A47" s="3">
        <v>62</v>
      </c>
      <c r="B47" s="3" t="s">
        <v>49</v>
      </c>
      <c r="C47">
        <v>0.39310833333333334</v>
      </c>
      <c r="G47">
        <v>62</v>
      </c>
      <c r="H47" t="s">
        <v>49</v>
      </c>
    </row>
    <row r="48" spans="1:14">
      <c r="A48" s="3">
        <v>63</v>
      </c>
      <c r="B48" s="3" t="s">
        <v>50</v>
      </c>
      <c r="C48">
        <v>0.29597166666666663</v>
      </c>
      <c r="G48">
        <v>63</v>
      </c>
      <c r="H48" t="s">
        <v>50</v>
      </c>
    </row>
    <row r="49" spans="1:8">
      <c r="A49" s="3">
        <v>64</v>
      </c>
      <c r="B49" s="3" t="s">
        <v>51</v>
      </c>
      <c r="C49">
        <v>0.29597166666666663</v>
      </c>
      <c r="G49">
        <v>64</v>
      </c>
      <c r="H49" t="s">
        <v>51</v>
      </c>
    </row>
    <row r="50" spans="1:8">
      <c r="A50" s="3">
        <v>65</v>
      </c>
      <c r="B50" s="3" t="s">
        <v>52</v>
      </c>
      <c r="C50">
        <v>0.17250277777777775</v>
      </c>
      <c r="G50">
        <v>65</v>
      </c>
      <c r="H50" t="s">
        <v>52</v>
      </c>
    </row>
    <row r="51" spans="1:8">
      <c r="A51" s="3">
        <v>66</v>
      </c>
      <c r="B51" s="3" t="s">
        <v>53</v>
      </c>
      <c r="C51">
        <v>0.17250277777777775</v>
      </c>
      <c r="G51">
        <v>66</v>
      </c>
      <c r="H51" t="s">
        <v>53</v>
      </c>
    </row>
    <row r="52" spans="1:8">
      <c r="A52" s="3">
        <v>67</v>
      </c>
      <c r="B52" s="3" t="s">
        <v>54</v>
      </c>
      <c r="C52">
        <v>0.14716277777777778</v>
      </c>
      <c r="G52">
        <v>67</v>
      </c>
      <c r="H52" t="s">
        <v>54</v>
      </c>
    </row>
    <row r="53" spans="1:8">
      <c r="A53" s="3">
        <v>68</v>
      </c>
      <c r="B53" s="3" t="s">
        <v>55</v>
      </c>
      <c r="C53">
        <v>0.26855944444444441</v>
      </c>
      <c r="G53">
        <v>68</v>
      </c>
      <c r="H53" t="s">
        <v>55</v>
      </c>
    </row>
    <row r="54" spans="1:8">
      <c r="A54" s="3">
        <v>69</v>
      </c>
      <c r="B54" s="3" t="s">
        <v>56</v>
      </c>
      <c r="C54">
        <v>0.31075333333333333</v>
      </c>
      <c r="G54">
        <v>69</v>
      </c>
      <c r="H54" t="s">
        <v>56</v>
      </c>
    </row>
    <row r="55" spans="1:8">
      <c r="A55" s="3">
        <v>70</v>
      </c>
      <c r="B55" s="3" t="s">
        <v>57</v>
      </c>
      <c r="C55">
        <v>0.28752499999999998</v>
      </c>
      <c r="G55">
        <v>70</v>
      </c>
      <c r="H55" t="s">
        <v>57</v>
      </c>
    </row>
    <row r="56" spans="1:8">
      <c r="A56" s="3">
        <v>71</v>
      </c>
      <c r="B56" s="3" t="s">
        <v>58</v>
      </c>
      <c r="C56">
        <v>0.28330166666666667</v>
      </c>
      <c r="G56">
        <v>71</v>
      </c>
      <c r="H56" t="s">
        <v>58</v>
      </c>
    </row>
    <row r="57" spans="1:8">
      <c r="A57" s="3">
        <v>72</v>
      </c>
      <c r="B57" s="3" t="s">
        <v>59</v>
      </c>
      <c r="C57">
        <v>0.21361666666666665</v>
      </c>
      <c r="G57">
        <v>72</v>
      </c>
      <c r="H57" t="s">
        <v>59</v>
      </c>
    </row>
    <row r="58" spans="1:8">
      <c r="A58" s="3">
        <v>73</v>
      </c>
      <c r="B58" s="3" t="s">
        <v>60</v>
      </c>
      <c r="C58">
        <v>0.15138611111111111</v>
      </c>
      <c r="G58">
        <v>73</v>
      </c>
      <c r="H58" t="s">
        <v>60</v>
      </c>
    </row>
    <row r="59" spans="1:8">
      <c r="A59" s="3">
        <v>74</v>
      </c>
      <c r="B59" s="3" t="s">
        <v>61</v>
      </c>
      <c r="C59">
        <v>0.1197111111111111</v>
      </c>
      <c r="G59">
        <v>74</v>
      </c>
      <c r="H59" t="s">
        <v>61</v>
      </c>
    </row>
    <row r="60" spans="1:8">
      <c r="A60" s="3">
        <v>75</v>
      </c>
      <c r="B60" s="3" t="s">
        <v>62</v>
      </c>
      <c r="C60">
        <v>9.8594444444444443E-2</v>
      </c>
      <c r="G60">
        <v>75</v>
      </c>
      <c r="H60" t="s">
        <v>62</v>
      </c>
    </row>
    <row r="61" spans="1:8">
      <c r="A61" s="3">
        <v>76</v>
      </c>
      <c r="B61" s="3" t="s">
        <v>63</v>
      </c>
      <c r="C61">
        <v>0.10169833333333334</v>
      </c>
      <c r="G61">
        <v>76</v>
      </c>
      <c r="H61" t="s">
        <v>63</v>
      </c>
    </row>
    <row r="62" spans="1:8">
      <c r="A62" s="3">
        <v>77</v>
      </c>
      <c r="B62" s="3" t="s">
        <v>64</v>
      </c>
      <c r="C62">
        <v>0.44378833333333334</v>
      </c>
      <c r="G62">
        <v>77</v>
      </c>
      <c r="H62" t="s">
        <v>64</v>
      </c>
    </row>
    <row r="63" spans="1:8">
      <c r="A63" s="18">
        <v>78</v>
      </c>
      <c r="B63" t="s">
        <v>65</v>
      </c>
      <c r="C63">
        <v>0.36565666666666663</v>
      </c>
      <c r="G63">
        <v>78</v>
      </c>
      <c r="H63" t="s">
        <v>65</v>
      </c>
    </row>
    <row r="64" spans="1:8">
      <c r="A64" s="18">
        <v>79</v>
      </c>
      <c r="B64" t="s">
        <v>66</v>
      </c>
      <c r="C64">
        <v>0.35932166666666665</v>
      </c>
      <c r="G64">
        <v>79</v>
      </c>
      <c r="H64" t="s">
        <v>66</v>
      </c>
    </row>
    <row r="65" spans="1:8">
      <c r="A65" s="3">
        <v>80</v>
      </c>
      <c r="B65" s="3" t="s">
        <v>67</v>
      </c>
      <c r="C65">
        <v>0.33820499999999998</v>
      </c>
      <c r="G65">
        <v>80</v>
      </c>
      <c r="H65" t="s">
        <v>67</v>
      </c>
    </row>
    <row r="66" spans="1:8">
      <c r="A66" s="3">
        <v>81</v>
      </c>
      <c r="B66" s="3" t="s">
        <v>68</v>
      </c>
      <c r="C66">
        <v>0.23895666666666665</v>
      </c>
      <c r="G66">
        <v>81</v>
      </c>
      <c r="H66" t="s">
        <v>68</v>
      </c>
    </row>
    <row r="67" spans="1:8">
      <c r="A67" s="3">
        <v>82</v>
      </c>
      <c r="B67" s="3" t="s">
        <v>69</v>
      </c>
      <c r="C67">
        <v>0.17771833333333331</v>
      </c>
      <c r="G67">
        <v>82</v>
      </c>
      <c r="H67" t="s">
        <v>69</v>
      </c>
    </row>
    <row r="68" spans="1:8">
      <c r="A68" s="3">
        <v>83</v>
      </c>
      <c r="B68" s="3" t="s">
        <v>70</v>
      </c>
      <c r="C68">
        <v>0.12393444444444443</v>
      </c>
      <c r="G68">
        <v>83</v>
      </c>
      <c r="H68" t="s">
        <v>70</v>
      </c>
    </row>
    <row r="69" spans="1:8">
      <c r="A69" s="3">
        <v>84</v>
      </c>
      <c r="B69" s="3" t="s">
        <v>79</v>
      </c>
      <c r="C69">
        <v>0.65706666666666658</v>
      </c>
      <c r="G69">
        <v>84</v>
      </c>
      <c r="H69" t="s">
        <v>79</v>
      </c>
    </row>
    <row r="70" spans="1:8">
      <c r="A70" s="3">
        <v>85</v>
      </c>
      <c r="B70" s="3" t="s">
        <v>71</v>
      </c>
      <c r="C70">
        <v>0.62862277777777764</v>
      </c>
      <c r="G70">
        <v>85</v>
      </c>
      <c r="H70" t="s">
        <v>71</v>
      </c>
    </row>
    <row r="71" spans="1:8">
      <c r="A71" s="3">
        <v>86</v>
      </c>
      <c r="B71" s="3" t="s">
        <v>72</v>
      </c>
      <c r="C71">
        <v>0.52092777777777777</v>
      </c>
      <c r="G71">
        <v>86</v>
      </c>
      <c r="H71" t="s">
        <v>72</v>
      </c>
    </row>
    <row r="72" spans="1:8">
      <c r="A72" s="3">
        <v>87</v>
      </c>
      <c r="B72" s="3" t="s">
        <v>80</v>
      </c>
      <c r="C72">
        <v>0.53881333333333326</v>
      </c>
      <c r="G72">
        <v>87</v>
      </c>
      <c r="H72" t="s">
        <v>80</v>
      </c>
    </row>
    <row r="73" spans="1:8">
      <c r="A73" s="3">
        <v>88</v>
      </c>
      <c r="B73" s="3" t="s">
        <v>81</v>
      </c>
      <c r="C73">
        <v>0.36565666666666663</v>
      </c>
      <c r="G73">
        <v>88</v>
      </c>
      <c r="H73" t="s">
        <v>81</v>
      </c>
    </row>
    <row r="74" spans="1:8">
      <c r="A74" s="3">
        <v>89</v>
      </c>
      <c r="B74" s="3" t="s">
        <v>82</v>
      </c>
      <c r="C74">
        <v>0.25585000000000002</v>
      </c>
      <c r="G74">
        <v>89</v>
      </c>
      <c r="H74" t="s">
        <v>82</v>
      </c>
    </row>
    <row r="75" spans="1:8">
      <c r="A75" s="3">
        <v>90</v>
      </c>
      <c r="B75" s="3" t="s">
        <v>83</v>
      </c>
      <c r="C75">
        <v>0.23473333333333329</v>
      </c>
      <c r="G75">
        <v>90</v>
      </c>
      <c r="H75" t="s">
        <v>83</v>
      </c>
    </row>
    <row r="76" spans="1:8">
      <c r="A76" s="3">
        <v>91</v>
      </c>
      <c r="B76" s="3" t="s">
        <v>84</v>
      </c>
      <c r="C76">
        <v>0.20094666666666666</v>
      </c>
      <c r="G76">
        <v>91</v>
      </c>
      <c r="H76" t="s">
        <v>84</v>
      </c>
    </row>
    <row r="77" spans="1:8">
      <c r="A77" s="3">
        <v>92</v>
      </c>
      <c r="B77" s="3" t="s">
        <v>85</v>
      </c>
      <c r="C77">
        <v>0.2664083333333333</v>
      </c>
      <c r="G77">
        <v>92</v>
      </c>
      <c r="H77" t="s">
        <v>85</v>
      </c>
    </row>
    <row r="78" spans="1:8">
      <c r="A78" s="3">
        <v>93</v>
      </c>
      <c r="B78" s="3" t="s">
        <v>86</v>
      </c>
      <c r="C78">
        <v>0.21995166666666666</v>
      </c>
      <c r="G78">
        <v>93</v>
      </c>
      <c r="H78" t="s">
        <v>86</v>
      </c>
    </row>
    <row r="79" spans="1:8">
      <c r="A79" s="3">
        <v>94</v>
      </c>
      <c r="B79" s="3" t="s">
        <v>87</v>
      </c>
      <c r="C79">
        <v>0.19249999999999998</v>
      </c>
      <c r="G79">
        <v>94</v>
      </c>
      <c r="H79" t="s">
        <v>87</v>
      </c>
    </row>
    <row r="80" spans="1:8">
      <c r="A80" s="3">
        <v>95</v>
      </c>
      <c r="B80" s="3" t="s">
        <v>88</v>
      </c>
      <c r="C80">
        <v>0.33087777777777777</v>
      </c>
      <c r="G80">
        <v>95</v>
      </c>
      <c r="H80" t="s">
        <v>88</v>
      </c>
    </row>
    <row r="81" spans="1:8">
      <c r="A81" s="3">
        <v>96</v>
      </c>
      <c r="B81" s="3" t="s">
        <v>89</v>
      </c>
      <c r="C81">
        <v>0.33087777777777777</v>
      </c>
      <c r="G81">
        <v>96</v>
      </c>
      <c r="H81" t="s">
        <v>89</v>
      </c>
    </row>
    <row r="82" spans="1:8">
      <c r="A82" s="3">
        <v>97</v>
      </c>
      <c r="B82" s="3" t="s">
        <v>90</v>
      </c>
      <c r="C82">
        <v>0.28634222222222222</v>
      </c>
      <c r="G82">
        <v>97</v>
      </c>
      <c r="H82" t="s">
        <v>90</v>
      </c>
    </row>
    <row r="83" spans="1:8">
      <c r="A83" s="3">
        <v>98</v>
      </c>
      <c r="B83" s="3" t="s">
        <v>91</v>
      </c>
      <c r="C83">
        <v>0.28423055555555554</v>
      </c>
      <c r="G83">
        <v>98</v>
      </c>
      <c r="H83" t="s">
        <v>91</v>
      </c>
    </row>
    <row r="84" spans="1:8">
      <c r="A84" s="3">
        <v>99</v>
      </c>
      <c r="B84" s="3" t="s">
        <v>73</v>
      </c>
      <c r="C84">
        <v>0.48080611111111105</v>
      </c>
      <c r="G84">
        <v>99</v>
      </c>
      <c r="H84" t="s">
        <v>73</v>
      </c>
    </row>
    <row r="85" spans="1:8">
      <c r="A85" s="3">
        <v>100</v>
      </c>
      <c r="B85" s="3" t="s">
        <v>74</v>
      </c>
      <c r="C85">
        <v>0.46494444444444438</v>
      </c>
      <c r="G85">
        <v>100</v>
      </c>
      <c r="H85" t="s">
        <v>74</v>
      </c>
    </row>
    <row r="86" spans="1:8">
      <c r="A86" s="3">
        <v>101</v>
      </c>
      <c r="B86" s="3" t="s">
        <v>75</v>
      </c>
      <c r="C86">
        <v>0.41745611111111103</v>
      </c>
      <c r="G86">
        <v>101</v>
      </c>
      <c r="H86" t="s">
        <v>75</v>
      </c>
    </row>
    <row r="87" spans="1:8">
      <c r="A87" s="3">
        <v>102</v>
      </c>
      <c r="B87" s="3" t="s">
        <v>76</v>
      </c>
      <c r="C87">
        <v>0.43534166666666657</v>
      </c>
      <c r="G87">
        <v>102</v>
      </c>
      <c r="H87" t="s">
        <v>76</v>
      </c>
    </row>
    <row r="88" spans="1:8">
      <c r="A88" s="3">
        <v>103</v>
      </c>
      <c r="B88" s="3" t="s">
        <v>77</v>
      </c>
      <c r="C88">
        <v>0.20628944444444444</v>
      </c>
      <c r="G88">
        <v>103</v>
      </c>
      <c r="H88" t="s">
        <v>77</v>
      </c>
    </row>
    <row r="89" spans="1:8">
      <c r="A89" s="3">
        <v>104</v>
      </c>
      <c r="B89" s="3" t="s">
        <v>78</v>
      </c>
      <c r="C89">
        <v>0.16931111111111108</v>
      </c>
      <c r="G89">
        <v>104</v>
      </c>
      <c r="H89" t="s">
        <v>78</v>
      </c>
    </row>
    <row r="90" spans="1:8">
      <c r="A90" s="3">
        <v>105</v>
      </c>
      <c r="B90" s="3" t="s">
        <v>196</v>
      </c>
      <c r="C90">
        <v>0.57794277777777769</v>
      </c>
      <c r="G90">
        <v>105</v>
      </c>
      <c r="H90" t="s">
        <v>489</v>
      </c>
    </row>
    <row r="91" spans="1:8">
      <c r="A91" s="3">
        <v>106</v>
      </c>
      <c r="B91" s="3" t="s">
        <v>197</v>
      </c>
      <c r="C91">
        <v>0.57794277777777769</v>
      </c>
      <c r="G91">
        <v>106</v>
      </c>
      <c r="H91" t="s">
        <v>197</v>
      </c>
    </row>
    <row r="92" spans="1:8">
      <c r="A92" s="3">
        <v>107</v>
      </c>
      <c r="B92" s="3" t="s">
        <v>198</v>
      </c>
      <c r="C92">
        <v>0.77535944444444427</v>
      </c>
      <c r="G92">
        <v>107</v>
      </c>
      <c r="H92" t="s">
        <v>198</v>
      </c>
    </row>
    <row r="93" spans="1:8">
      <c r="A93" s="3">
        <v>108</v>
      </c>
      <c r="B93" s="3" t="s">
        <v>143</v>
      </c>
      <c r="C93">
        <v>1.6859710239583441</v>
      </c>
      <c r="G93">
        <v>108</v>
      </c>
      <c r="H93" t="s">
        <v>143</v>
      </c>
    </row>
    <row r="94" spans="1:8">
      <c r="A94" s="3">
        <v>109</v>
      </c>
      <c r="B94" s="3" t="s">
        <v>184</v>
      </c>
      <c r="C94">
        <v>2.9648905213333334</v>
      </c>
      <c r="G94">
        <v>109</v>
      </c>
      <c r="H94" t="s">
        <v>184</v>
      </c>
    </row>
    <row r="95" spans="1:8">
      <c r="A95" s="3">
        <v>110</v>
      </c>
      <c r="B95" s="3" t="s">
        <v>183</v>
      </c>
      <c r="C95">
        <v>2.7592806893333335</v>
      </c>
      <c r="G95">
        <v>110</v>
      </c>
      <c r="H95" t="s">
        <v>183</v>
      </c>
    </row>
    <row r="96" spans="1:8">
      <c r="A96" s="3">
        <v>118</v>
      </c>
      <c r="B96" s="3" t="s">
        <v>244</v>
      </c>
      <c r="C96">
        <v>5.6542440944444439E-2</v>
      </c>
      <c r="G96">
        <v>124</v>
      </c>
      <c r="H96" t="s">
        <v>186</v>
      </c>
    </row>
    <row r="97" spans="1:8">
      <c r="A97" s="3">
        <v>124</v>
      </c>
      <c r="B97" s="15" t="s">
        <v>186</v>
      </c>
      <c r="C97">
        <v>8.8066666666666668E-2</v>
      </c>
      <c r="G97">
        <v>125</v>
      </c>
      <c r="H97" t="s">
        <v>503</v>
      </c>
    </row>
    <row r="98" spans="1:8">
      <c r="A98" s="3">
        <v>125</v>
      </c>
      <c r="B98" s="3" t="s">
        <v>252</v>
      </c>
      <c r="C98">
        <v>4.2645858777777781E-2</v>
      </c>
      <c r="G98">
        <v>127</v>
      </c>
      <c r="H98" t="s">
        <v>505</v>
      </c>
    </row>
    <row r="99" spans="1:8">
      <c r="A99" s="3">
        <v>127</v>
      </c>
      <c r="B99" s="3" t="s">
        <v>251</v>
      </c>
      <c r="C99">
        <v>8.1735624999999992E-2</v>
      </c>
      <c r="G99">
        <v>127</v>
      </c>
      <c r="H99" t="s">
        <v>505</v>
      </c>
    </row>
    <row r="100" spans="1:8">
      <c r="A100" s="3">
        <v>131</v>
      </c>
      <c r="B100" s="3" t="s">
        <v>100</v>
      </c>
      <c r="C100">
        <v>0.16915636888888888</v>
      </c>
      <c r="G100">
        <v>131</v>
      </c>
      <c r="H100" t="s">
        <v>509</v>
      </c>
    </row>
    <row r="101" spans="1:8">
      <c r="A101" s="3">
        <v>132</v>
      </c>
      <c r="B101" s="3" t="s">
        <v>469</v>
      </c>
      <c r="C101">
        <v>5.6372391663884454</v>
      </c>
      <c r="G101">
        <v>132</v>
      </c>
      <c r="H101" t="s">
        <v>469</v>
      </c>
    </row>
    <row r="102" spans="1:8">
      <c r="A102" s="3">
        <v>133</v>
      </c>
      <c r="B102" s="3" t="s">
        <v>470</v>
      </c>
      <c r="C102">
        <v>1.8968819379644044</v>
      </c>
      <c r="G102">
        <v>133</v>
      </c>
      <c r="H102" t="s">
        <v>470</v>
      </c>
    </row>
    <row r="103" spans="1:8">
      <c r="A103" s="3">
        <v>134</v>
      </c>
      <c r="B103" s="3" t="s">
        <v>248</v>
      </c>
      <c r="C103">
        <v>5.6137442111111116E-2</v>
      </c>
      <c r="G103">
        <v>134</v>
      </c>
      <c r="H103" t="s">
        <v>510</v>
      </c>
    </row>
    <row r="104" spans="1:8">
      <c r="A104" s="3">
        <v>135</v>
      </c>
      <c r="B104" s="3" t="s">
        <v>99</v>
      </c>
      <c r="C104">
        <v>0.12978498888888887</v>
      </c>
      <c r="G104">
        <v>135</v>
      </c>
      <c r="H104" t="s">
        <v>511</v>
      </c>
    </row>
    <row r="105" spans="1:8">
      <c r="A105" s="3">
        <v>137</v>
      </c>
      <c r="B105" s="3" t="s">
        <v>466</v>
      </c>
      <c r="C105">
        <v>5.6425426933661118</v>
      </c>
      <c r="G105">
        <v>137</v>
      </c>
      <c r="H105" t="s">
        <v>466</v>
      </c>
    </row>
    <row r="106" spans="1:8">
      <c r="A106" s="3">
        <v>140</v>
      </c>
      <c r="B106" s="15" t="s">
        <v>97</v>
      </c>
      <c r="C106">
        <v>5.0056666666666673E-2</v>
      </c>
      <c r="G106">
        <v>140</v>
      </c>
      <c r="H106" t="s">
        <v>97</v>
      </c>
    </row>
    <row r="107" spans="1:8">
      <c r="A107" s="3">
        <v>141</v>
      </c>
      <c r="B107" s="3" t="s">
        <v>103</v>
      </c>
      <c r="C107">
        <v>1.1325294542962965E-3</v>
      </c>
      <c r="G107">
        <v>141</v>
      </c>
      <c r="H107" t="s">
        <v>515</v>
      </c>
    </row>
    <row r="108" spans="1:8">
      <c r="A108" s="3">
        <v>145</v>
      </c>
      <c r="B108" s="3" t="s">
        <v>214</v>
      </c>
      <c r="C108">
        <v>6.0680138022222224E-3</v>
      </c>
      <c r="G108">
        <v>145</v>
      </c>
      <c r="H108" t="s">
        <v>519</v>
      </c>
    </row>
    <row r="109" spans="1:8">
      <c r="A109" s="3">
        <v>146</v>
      </c>
      <c r="B109" s="15" t="s">
        <v>189</v>
      </c>
      <c r="C109">
        <v>2.0299877876296295E-3</v>
      </c>
      <c r="G109">
        <v>146</v>
      </c>
      <c r="H109" t="s">
        <v>189</v>
      </c>
    </row>
    <row r="110" spans="1:8">
      <c r="A110" s="3">
        <v>147</v>
      </c>
      <c r="B110" s="3" t="s">
        <v>242</v>
      </c>
      <c r="C110">
        <v>1.5322277194444445E-2</v>
      </c>
      <c r="G110">
        <v>147</v>
      </c>
      <c r="H110" t="s">
        <v>520</v>
      </c>
    </row>
    <row r="111" spans="1:8">
      <c r="A111" s="3">
        <v>150</v>
      </c>
      <c r="B111" s="3" t="s">
        <v>245</v>
      </c>
      <c r="C111">
        <v>1.1847443861111112E-2</v>
      </c>
      <c r="G111">
        <v>150</v>
      </c>
      <c r="H111" t="s">
        <v>523</v>
      </c>
    </row>
    <row r="112" spans="1:8">
      <c r="A112" s="3">
        <v>151</v>
      </c>
      <c r="B112" s="3" t="s">
        <v>247</v>
      </c>
      <c r="C112">
        <v>1.1847443861111112E-2</v>
      </c>
      <c r="G112">
        <v>151</v>
      </c>
      <c r="H112" t="s">
        <v>524</v>
      </c>
    </row>
    <row r="113" spans="1:8">
      <c r="A113" s="3">
        <v>153</v>
      </c>
      <c r="B113" s="3" t="s">
        <v>241</v>
      </c>
      <c r="C113">
        <v>7.7391105277777776E-3</v>
      </c>
      <c r="G113">
        <v>153</v>
      </c>
      <c r="H113" t="s">
        <v>526</v>
      </c>
    </row>
    <row r="114" spans="1:8">
      <c r="A114" s="3">
        <v>154</v>
      </c>
      <c r="B114" s="3" t="s">
        <v>243</v>
      </c>
      <c r="C114">
        <v>4.4964442111111107E-2</v>
      </c>
      <c r="G114">
        <v>154</v>
      </c>
      <c r="H114" t="s">
        <v>527</v>
      </c>
    </row>
    <row r="115" spans="1:8">
      <c r="A115">
        <v>156</v>
      </c>
      <c r="B115" t="s">
        <v>201</v>
      </c>
      <c r="C115">
        <v>0.17046111111111109</v>
      </c>
      <c r="G115">
        <v>156</v>
      </c>
      <c r="H115" t="s">
        <v>529</v>
      </c>
    </row>
    <row r="116" spans="1:8" ht="16.2" customHeight="1">
      <c r="A116">
        <v>157</v>
      </c>
      <c r="B116" t="s">
        <v>205</v>
      </c>
      <c r="C116">
        <v>1.2195864444444444</v>
      </c>
      <c r="G116">
        <v>157</v>
      </c>
      <c r="H116" t="s">
        <v>205</v>
      </c>
    </row>
    <row r="117" spans="1:8">
      <c r="B117" t="s">
        <v>236</v>
      </c>
      <c r="C117">
        <v>0.11061716222222222</v>
      </c>
    </row>
    <row r="118" spans="1:8">
      <c r="B118" t="s">
        <v>306</v>
      </c>
      <c r="C118">
        <v>9.7000800000000012E-2</v>
      </c>
    </row>
    <row r="119" spans="1:8">
      <c r="A119" s="3">
        <v>36</v>
      </c>
      <c r="B119" s="3" t="s">
        <v>305</v>
      </c>
      <c r="C119">
        <v>6.3803333333333337E-2</v>
      </c>
    </row>
    <row r="120" spans="1:8">
      <c r="A120" s="3"/>
      <c r="B120" s="3" t="s">
        <v>234</v>
      </c>
      <c r="C120">
        <v>2.4150495555555554E-2</v>
      </c>
    </row>
  </sheetData>
  <autoFilter ref="A1:C120" xr:uid="{DD521ACF-6CF1-489E-97F4-076EB3B86534}">
    <sortState xmlns:xlrd2="http://schemas.microsoft.com/office/spreadsheetml/2017/richdata2" ref="A2:C120">
      <sortCondition ref="A1:A120"/>
    </sortState>
  </autoFilter>
  <conditionalFormatting sqref="B1:B63">
    <cfRule type="expression" dxfId="5" priority="4">
      <formula>"MOD(LIGNE() ;2)"</formula>
    </cfRule>
  </conditionalFormatting>
  <conditionalFormatting sqref="B65:B116">
    <cfRule type="expression" dxfId="4" priority="3">
      <formula>"MOD(LIGNE() ;2)"</formula>
    </cfRule>
  </conditionalFormatting>
  <conditionalFormatting sqref="B119:B120">
    <cfRule type="expression" dxfId="3" priority="6">
      <formula>"MOD(LIGNE() ;2)"</formula>
    </cfRule>
  </conditionalFormatting>
  <conditionalFormatting sqref="B347:B1048576">
    <cfRule type="expression" dxfId="2" priority="5">
      <formula>"MOD(LIGNE() ;2)"</formula>
    </cfRule>
  </conditionalFormatting>
  <conditionalFormatting sqref="H116">
    <cfRule type="expression" dxfId="1" priority="1">
      <formula>"MOD(LIGNE() ;2)"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03FD9-D561-476D-BEAA-7FE12EBC871D}">
  <dimension ref="A1:G73"/>
  <sheetViews>
    <sheetView topLeftCell="A33" workbookViewId="0">
      <selection activeCell="B74" sqref="B74"/>
    </sheetView>
  </sheetViews>
  <sheetFormatPr defaultRowHeight="14.4"/>
  <cols>
    <col min="1" max="1" width="35.77734375" customWidth="1"/>
    <col min="2" max="2" width="37.77734375" customWidth="1"/>
    <col min="3" max="3" width="21.77734375" customWidth="1"/>
    <col min="4" max="4" width="12.6640625" customWidth="1"/>
    <col min="5" max="5" width="18" customWidth="1"/>
    <col min="6" max="6" width="18.77734375" customWidth="1"/>
  </cols>
  <sheetData>
    <row r="1" spans="1:7">
      <c r="A1" s="9" t="s">
        <v>219</v>
      </c>
      <c r="B1" s="9" t="s">
        <v>221</v>
      </c>
      <c r="C1" s="9" t="s">
        <v>220</v>
      </c>
      <c r="D1" s="9" t="s">
        <v>225</v>
      </c>
      <c r="E1" s="32" t="s">
        <v>226</v>
      </c>
      <c r="F1" s="33"/>
      <c r="G1" s="9" t="s">
        <v>240</v>
      </c>
    </row>
    <row r="2" spans="1:7">
      <c r="A2" s="3" t="s">
        <v>230</v>
      </c>
      <c r="B2" s="3">
        <v>0.2</v>
      </c>
      <c r="C2" s="9"/>
      <c r="D2" s="9"/>
      <c r="E2" s="10"/>
      <c r="F2" s="11"/>
      <c r="G2">
        <v>0</v>
      </c>
    </row>
    <row r="3" spans="1:7">
      <c r="A3" s="3" t="s">
        <v>218</v>
      </c>
      <c r="B3" s="3">
        <v>1</v>
      </c>
      <c r="C3" s="3">
        <v>60000</v>
      </c>
      <c r="D3" s="3">
        <f>A8*B3*1000/C3/60</f>
        <v>1.5277777777777776E-3</v>
      </c>
      <c r="E3" s="3">
        <f>0.000924</f>
        <v>9.2400000000000002E-4</v>
      </c>
      <c r="F3" s="3" t="s">
        <v>228</v>
      </c>
      <c r="G3">
        <f>0.1/60</f>
        <v>1.6666666666666668E-3</v>
      </c>
    </row>
    <row r="4" spans="1:7">
      <c r="A4" s="3" t="s">
        <v>216</v>
      </c>
      <c r="B4" s="3">
        <v>10</v>
      </c>
      <c r="C4" s="3">
        <v>100000</v>
      </c>
      <c r="D4" s="3">
        <f>A8*B4*1000/C4/60</f>
        <v>9.1666666666666667E-3</v>
      </c>
      <c r="E4" s="3">
        <f>2/60</f>
        <v>3.3333333333333333E-2</v>
      </c>
      <c r="F4" s="3" t="s">
        <v>227</v>
      </c>
      <c r="G4">
        <f>0.5/60</f>
        <v>8.3333333333333332E-3</v>
      </c>
    </row>
    <row r="5" spans="1:7">
      <c r="A5" s="3" t="s">
        <v>217</v>
      </c>
      <c r="B5" s="3">
        <v>30</v>
      </c>
      <c r="C5" s="3">
        <v>180000</v>
      </c>
      <c r="D5" s="3">
        <f>A8*B5*1000/C5/60</f>
        <v>1.5277777777777777E-2</v>
      </c>
      <c r="E5" s="3"/>
      <c r="F5" s="3"/>
      <c r="G5">
        <f>1/60</f>
        <v>1.6666666666666666E-2</v>
      </c>
    </row>
    <row r="7" spans="1:7">
      <c r="A7" s="3" t="s">
        <v>222</v>
      </c>
      <c r="B7" s="3" t="s">
        <v>223</v>
      </c>
    </row>
    <row r="8" spans="1:7">
      <c r="A8" s="3">
        <v>5.5</v>
      </c>
      <c r="B8" s="3" t="s">
        <v>224</v>
      </c>
    </row>
    <row r="12" spans="1:7">
      <c r="A12" t="s">
        <v>257</v>
      </c>
      <c r="B12">
        <f>2*60</f>
        <v>120</v>
      </c>
    </row>
    <row r="13" spans="1:7">
      <c r="A13" s="13" t="s">
        <v>255</v>
      </c>
      <c r="B13" t="s">
        <v>259</v>
      </c>
      <c r="C13" s="3" t="s">
        <v>273</v>
      </c>
    </row>
    <row r="14" spans="1:7">
      <c r="A14" t="s">
        <v>256</v>
      </c>
      <c r="B14" t="s">
        <v>260</v>
      </c>
      <c r="C14" t="s">
        <v>261</v>
      </c>
      <c r="D14" t="s">
        <v>271</v>
      </c>
      <c r="E14" t="s">
        <v>280</v>
      </c>
    </row>
    <row r="15" spans="1:7">
      <c r="A15" t="s">
        <v>239</v>
      </c>
      <c r="B15">
        <v>166.7</v>
      </c>
      <c r="C15">
        <v>5.5970206798918197E-2</v>
      </c>
      <c r="D15">
        <f>B15/C15/B12</f>
        <v>24.819752259581016</v>
      </c>
    </row>
    <row r="16" spans="1:7">
      <c r="A16" t="s">
        <v>262</v>
      </c>
      <c r="B16">
        <v>9.3299999999999994E-2</v>
      </c>
      <c r="C16">
        <v>1.1082164480832799</v>
      </c>
      <c r="D16">
        <f>B16/C16/B12</f>
        <v>7.0157774805159061E-4</v>
      </c>
    </row>
    <row r="17" spans="1:5">
      <c r="A17" t="s">
        <v>270</v>
      </c>
      <c r="B17">
        <v>0.24399999999999999</v>
      </c>
      <c r="C17">
        <v>0.323714500323178</v>
      </c>
      <c r="D17">
        <f>B17/C17/B12</f>
        <v>6.2812550296738939E-3</v>
      </c>
      <c r="E17">
        <f>D17*60</f>
        <v>0.37687530178043366</v>
      </c>
    </row>
    <row r="18" spans="1:5">
      <c r="A18" t="s">
        <v>263</v>
      </c>
      <c r="B18">
        <v>163.98</v>
      </c>
      <c r="C18">
        <v>2.5810779698025801</v>
      </c>
      <c r="D18">
        <f>B18/C18/B12</f>
        <v>0.52942995755549371</v>
      </c>
    </row>
    <row r="19" spans="1:5">
      <c r="A19" t="s">
        <v>264</v>
      </c>
      <c r="B19">
        <v>10.4</v>
      </c>
      <c r="C19">
        <v>0.162027847090885</v>
      </c>
      <c r="D19">
        <f>B19/C19/B12</f>
        <v>0.53488747905200162</v>
      </c>
    </row>
    <row r="20" spans="1:5">
      <c r="A20" t="s">
        <v>258</v>
      </c>
      <c r="B20" t="s">
        <v>276</v>
      </c>
      <c r="D20" t="e">
        <f>B20/C20/B12</f>
        <v>#VALUE!</v>
      </c>
    </row>
    <row r="21" spans="1:5">
      <c r="A21" t="s">
        <v>265</v>
      </c>
      <c r="B21">
        <v>3.31</v>
      </c>
      <c r="C21">
        <v>1.7212136175061601</v>
      </c>
      <c r="D21">
        <f>B21/C21/B12</f>
        <v>1.6025514237621708E-2</v>
      </c>
    </row>
    <row r="22" spans="1:5">
      <c r="A22" t="s">
        <v>266</v>
      </c>
      <c r="B22">
        <v>1.57</v>
      </c>
      <c r="C22">
        <v>5.3300574048818596</v>
      </c>
      <c r="D22">
        <f>B22/C22/B12</f>
        <v>2.4546327252217138E-3</v>
      </c>
    </row>
    <row r="23" spans="1:5">
      <c r="A23" t="s">
        <v>267</v>
      </c>
      <c r="B23">
        <v>0.13700000000000001</v>
      </c>
      <c r="C23">
        <v>0.918933736009791</v>
      </c>
      <c r="D23">
        <f>B23/C23/B12</f>
        <v>1.2423819280202185E-3</v>
      </c>
    </row>
    <row r="24" spans="1:5">
      <c r="A24" t="s">
        <v>268</v>
      </c>
      <c r="B24">
        <v>0.10299999999999999</v>
      </c>
      <c r="C24">
        <v>2.17791583678745</v>
      </c>
      <c r="D24">
        <f>B24/C24/B12</f>
        <v>3.9410766882499185E-4</v>
      </c>
    </row>
    <row r="25" spans="1:5">
      <c r="A25" t="s">
        <v>269</v>
      </c>
      <c r="B25">
        <v>8.9300000000000004E-3</v>
      </c>
      <c r="C25">
        <v>3.0485984173163301E-4</v>
      </c>
      <c r="D25">
        <f>B25/C25/B12</f>
        <v>0.24410124417821941</v>
      </c>
    </row>
    <row r="26" spans="1:5">
      <c r="A26" t="s">
        <v>274</v>
      </c>
      <c r="B26" t="s">
        <v>275</v>
      </c>
    </row>
    <row r="29" spans="1:5" ht="19.8" customHeight="1">
      <c r="A29" s="13" t="s">
        <v>283</v>
      </c>
      <c r="B29" t="s">
        <v>284</v>
      </c>
      <c r="C29" s="1" t="s">
        <v>289</v>
      </c>
      <c r="D29" t="s">
        <v>293</v>
      </c>
      <c r="E29" t="s">
        <v>295</v>
      </c>
    </row>
    <row r="30" spans="1:5">
      <c r="A30" t="s">
        <v>256</v>
      </c>
      <c r="C30" t="s">
        <v>125</v>
      </c>
    </row>
    <row r="31" spans="1:5">
      <c r="A31" t="s">
        <v>285</v>
      </c>
      <c r="B31">
        <f>0.08+0.41</f>
        <v>0.49</v>
      </c>
      <c r="C31" t="s">
        <v>290</v>
      </c>
    </row>
    <row r="32" spans="1:5">
      <c r="A32" t="s">
        <v>286</v>
      </c>
      <c r="B32" t="s">
        <v>303</v>
      </c>
    </row>
    <row r="33" spans="1:4">
      <c r="A33" t="s">
        <v>287</v>
      </c>
    </row>
    <row r="34" spans="1:4">
      <c r="A34" t="s">
        <v>297</v>
      </c>
      <c r="B34">
        <v>1E-3</v>
      </c>
      <c r="C34" t="s">
        <v>294</v>
      </c>
    </row>
    <row r="35" spans="1:4">
      <c r="A35" t="s">
        <v>302</v>
      </c>
    </row>
    <row r="38" spans="1:4">
      <c r="A38" s="13" t="s">
        <v>288</v>
      </c>
      <c r="C38" t="s">
        <v>296</v>
      </c>
    </row>
    <row r="39" spans="1:4">
      <c r="A39" t="s">
        <v>256</v>
      </c>
      <c r="B39" t="s">
        <v>291</v>
      </c>
    </row>
    <row r="40" spans="1:4">
      <c r="A40" t="s">
        <v>292</v>
      </c>
      <c r="B40">
        <v>10</v>
      </c>
      <c r="C40" t="s">
        <v>300</v>
      </c>
    </row>
    <row r="41" spans="1:4">
      <c r="A41" t="s">
        <v>286</v>
      </c>
      <c r="B41" t="s">
        <v>301</v>
      </c>
    </row>
    <row r="42" spans="1:4" ht="15.6" customHeight="1">
      <c r="A42" t="s">
        <v>298</v>
      </c>
      <c r="B42">
        <v>0.01</v>
      </c>
      <c r="C42" s="1" t="s">
        <v>299</v>
      </c>
    </row>
    <row r="44" spans="1:4">
      <c r="A44" s="13" t="s">
        <v>311</v>
      </c>
      <c r="B44" t="s">
        <v>309</v>
      </c>
      <c r="C44" t="s">
        <v>310</v>
      </c>
      <c r="D44" t="s">
        <v>317</v>
      </c>
    </row>
    <row r="45" spans="1:4">
      <c r="A45" t="s">
        <v>312</v>
      </c>
      <c r="B45">
        <v>0.67</v>
      </c>
      <c r="C45">
        <f>B45/10</f>
        <v>6.7000000000000004E-2</v>
      </c>
    </row>
    <row r="46" spans="1:4">
      <c r="A46" t="s">
        <v>313</v>
      </c>
      <c r="B46">
        <v>1.4999999999999999E-2</v>
      </c>
      <c r="C46">
        <f t="shared" ref="C46:C47" si="0">B46/10</f>
        <v>1.5E-3</v>
      </c>
    </row>
    <row r="47" spans="1:4">
      <c r="A47" t="s">
        <v>314</v>
      </c>
      <c r="B47">
        <v>0.4</v>
      </c>
      <c r="C47">
        <f t="shared" si="0"/>
        <v>0.04</v>
      </c>
    </row>
    <row r="48" spans="1:4">
      <c r="B48" t="s">
        <v>316</v>
      </c>
      <c r="C48">
        <f>C45*60</f>
        <v>4.0200000000000005</v>
      </c>
    </row>
    <row r="50" spans="1:3">
      <c r="A50" s="13" t="s">
        <v>308</v>
      </c>
      <c r="B50" t="s">
        <v>309</v>
      </c>
      <c r="C50" t="s">
        <v>310</v>
      </c>
    </row>
    <row r="51" spans="1:3">
      <c r="A51" t="s">
        <v>315</v>
      </c>
      <c r="B51">
        <v>1.4999999999999999E-2</v>
      </c>
      <c r="C51">
        <f>B51/10</f>
        <v>1.5E-3</v>
      </c>
    </row>
    <row r="52" spans="1:3">
      <c r="A52" t="s">
        <v>312</v>
      </c>
      <c r="B52">
        <v>0.995</v>
      </c>
      <c r="C52">
        <f>B52/10</f>
        <v>9.9500000000000005E-2</v>
      </c>
    </row>
    <row r="53" spans="1:3">
      <c r="B53" t="s">
        <v>316</v>
      </c>
      <c r="C53">
        <f>C52*60</f>
        <v>5.9700000000000006</v>
      </c>
    </row>
    <row r="56" spans="1:3">
      <c r="A56" s="13" t="s">
        <v>439</v>
      </c>
    </row>
    <row r="73" spans="1:2">
      <c r="A73" t="s">
        <v>443</v>
      </c>
      <c r="B73">
        <f>0.3865/0.8</f>
        <v>0.48312499999999997</v>
      </c>
    </row>
  </sheetData>
  <mergeCells count="1">
    <mergeCell ref="E1:F1"/>
  </mergeCells>
  <conditionalFormatting sqref="C13">
    <cfRule type="expression" dxfId="0" priority="1">
      <formula>"MOD(LIGNE() ;2)"</formula>
    </cfRule>
  </conditionalFormatting>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d718e9c-013f-4083-b780-250d049de4fb">
      <Terms xmlns="http://schemas.microsoft.com/office/infopath/2007/PartnerControls"/>
    </lcf76f155ced4ddcb4097134ff3c332f>
    <TaxCatchAll xmlns="63dbc4f1-e6f3-4e5a-bcc3-e445b7ed3b7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9BCE65F03F6F04298E5A4452B3F583E" ma:contentTypeVersion="14" ma:contentTypeDescription="Create a new document." ma:contentTypeScope="" ma:versionID="1dae2089138708196a4cce5aad6a0c29">
  <xsd:schema xmlns:xsd="http://www.w3.org/2001/XMLSchema" xmlns:xs="http://www.w3.org/2001/XMLSchema" xmlns:p="http://schemas.microsoft.com/office/2006/metadata/properties" xmlns:ns2="0d718e9c-013f-4083-b780-250d049de4fb" xmlns:ns3="63dbc4f1-e6f3-4e5a-bcc3-e445b7ed3b76" targetNamespace="http://schemas.microsoft.com/office/2006/metadata/properties" ma:root="true" ma:fieldsID="e2ce7cc4d6e447b5c5cbd02aff920d23" ns2:_="" ns3:_="">
    <xsd:import namespace="0d718e9c-013f-4083-b780-250d049de4fb"/>
    <xsd:import namespace="63dbc4f1-e6f3-4e5a-bcc3-e445b7ed3b7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718e9c-013f-4083-b780-250d049de4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19a7f1f-b30b-46cc-8e18-6c365a2b73c1"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3dbc4f1-e6f3-4e5a-bcc3-e445b7ed3b7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8a47559-13c5-492d-87b6-11f5c56da0b8}" ma:internalName="TaxCatchAll" ma:showField="CatchAllData" ma:web="63dbc4f1-e6f3-4e5a-bcc3-e445b7ed3b76">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A44F70-F689-4AA2-9E9A-EFAB6456DA6D}">
  <ds:schemaRefs>
    <ds:schemaRef ds:uri="http://schemas.microsoft.com/office/2006/metadata/properties"/>
    <ds:schemaRef ds:uri="http://schemas.microsoft.com/office/infopath/2007/PartnerControls"/>
    <ds:schemaRef ds:uri="0d718e9c-013f-4083-b780-250d049de4fb"/>
    <ds:schemaRef ds:uri="63dbc4f1-e6f3-4e5a-bcc3-e445b7ed3b76"/>
  </ds:schemaRefs>
</ds:datastoreItem>
</file>

<file path=customXml/itemProps2.xml><?xml version="1.0" encoding="utf-8"?>
<ds:datastoreItem xmlns:ds="http://schemas.openxmlformats.org/officeDocument/2006/customXml" ds:itemID="{EA46692C-6B44-435A-89F6-E0471AAC3331}">
  <ds:schemaRefs>
    <ds:schemaRef ds:uri="http://schemas.microsoft.com/sharepoint/v3/contenttype/forms"/>
  </ds:schemaRefs>
</ds:datastoreItem>
</file>

<file path=customXml/itemProps3.xml><?xml version="1.0" encoding="utf-8"?>
<ds:datastoreItem xmlns:ds="http://schemas.openxmlformats.org/officeDocument/2006/customXml" ds:itemID="{27E5419A-647B-47AB-845F-ABD38ECA61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718e9c-013f-4083-b780-250d049de4fb"/>
    <ds:schemaRef ds:uri="63dbc4f1-e6f3-4e5a-bcc3-e445b7ed3b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processes</vt:lpstr>
      <vt:lpstr>LCI</vt:lpstr>
      <vt:lpstr>EF</vt:lpstr>
      <vt:lpstr>check</vt:lpstr>
      <vt:lpstr>Assumption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Isabelle Grimaldi</dc:creator>
  <cp:lastModifiedBy>Isabelle Grimaldi</cp:lastModifiedBy>
  <dcterms:created xsi:type="dcterms:W3CDTF">2024-11-06T12:22:58Z</dcterms:created>
  <dcterms:modified xsi:type="dcterms:W3CDTF">2025-02-16T19:16:57Z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0x010100D9BCE65F03F6F04298E5A4452B3F583E</vt:lpwstr>
  </property>
  <property fmtid="{D5CDD505-2E9C-101B-9397-08002B2CF9AE}" pid="3" name="MediaServiceImageTags">
    <vt:lpwstr/>
  </property>
</Properties>
</file>