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drawings/drawing11.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35" yWindow="465" windowWidth="18285" windowHeight="7770" tabRatio="684"/>
  </bookViews>
  <sheets>
    <sheet name="Table of Content" sheetId="12" r:id="rId1"/>
    <sheet name=" System Parameters" sheetId="3" r:id="rId2"/>
    <sheet name="Range Calculator" sheetId="10" r:id="rId3"/>
    <sheet name="B-Field sweep" sheetId="7" r:id="rId4"/>
    <sheet name="Error Calculator" sheetId="11" r:id="rId5"/>
    <sheet name="Gain vs Frequency" sheetId="8" r:id="rId6"/>
    <sheet name="Troubleshooting" sheetId="13" r:id="rId7"/>
    <sheet name="About" sheetId="14" r:id="rId8"/>
    <sheet name="Help" sheetId="15" r:id="rId9"/>
    <sheet name="Calculations" sheetId="5" state="hidden" r:id="rId10"/>
    <sheet name="OverTempSupply" sheetId="6" state="hidden" r:id="rId11"/>
  </sheets>
  <externalReferences>
    <externalReference r:id="rId12"/>
    <externalReference r:id="rId13"/>
  </externalReferences>
  <definedNames>
    <definedName name="Bin">' System Parameters'!#REF!</definedName>
    <definedName name="BWsel">' System Parameters'!$D$15</definedName>
    <definedName name="CCgain">12.2</definedName>
    <definedName name="CornerFreq">[1]Calculations!$D$5</definedName>
    <definedName name="DiffAmp_MaxSwing">'[1]DRV421 System Parameters'!$AL$70</definedName>
    <definedName name="FEgain">4200</definedName>
    <definedName name="FilterBW" localSheetId="7">'[1]DRV421 System Parameters'!$D$31</definedName>
    <definedName name="FilterBW" localSheetId="8">'[1]DRV421 System Parameters'!$D$31</definedName>
    <definedName name="FilterBW" localSheetId="0">'[1]DRV421 System Parameters'!$D$31</definedName>
    <definedName name="FilterBW" localSheetId="6">'[1]DRV421 System Parameters'!$D$31</definedName>
    <definedName name="FilterBW">'[2]DRV421 System Parameters'!$D$31</definedName>
    <definedName name="GainDiffAmp" comment="Diffamp Gain" localSheetId="7">'[1]DRV421 System Parameters'!$AL$69</definedName>
    <definedName name="GainDiffAmp" comment="Diffamp Gain" localSheetId="8">'[1]DRV421 System Parameters'!$AL$69</definedName>
    <definedName name="GainDiffAmp" comment="Diffamp Gain" localSheetId="0">'[1]DRV421 System Parameters'!$AL$69</definedName>
    <definedName name="GainDiffAmp" comment="Diffamp Gain" localSheetId="6">'[1]DRV421 System Parameters'!$AL$69</definedName>
    <definedName name="GainDiffAmp" comment="Diffamp Gain">4</definedName>
    <definedName name="Gsel" comment="DRV421 gain select pins" localSheetId="7">'[1]DRV421 System Parameters'!$D$23</definedName>
    <definedName name="Gsel" comment="DRV421 gain select pins" localSheetId="8">'[1]DRV421 System Parameters'!$D$23</definedName>
    <definedName name="Gsel" comment="DRV421 gain select pins" localSheetId="0">'[1]DRV421 System Parameters'!$D$23</definedName>
    <definedName name="Gsel" comment="DRV421 gain select pins" localSheetId="6">'[1]DRV421 System Parameters'!$D$23</definedName>
    <definedName name="Gsel" comment="DRV421 gain select pins">' System Parameters'!$D$15</definedName>
    <definedName name="Icomp_overload_temp">' System Parameters'!$U$12</definedName>
    <definedName name="Icomp_ovrld" localSheetId="7">'[1]DRV421 System Parameters'!$T$11</definedName>
    <definedName name="Icomp_ovrld" localSheetId="8">'[1]DRV421 System Parameters'!$T$11</definedName>
    <definedName name="Icomp_ovrld" localSheetId="0">'[1]DRV421 System Parameters'!$T$11</definedName>
    <definedName name="Icomp_ovrld" localSheetId="6">'[1]DRV421 System Parameters'!$T$11</definedName>
    <definedName name="Icomp_ovrld">' System Parameters'!$T$12</definedName>
    <definedName name="Inductance" comment="Compensation coil inductance" localSheetId="7">'[1]DRV421 System Parameters'!$D$18</definedName>
    <definedName name="Inductance" comment="Compensation coil inductance" localSheetId="8">'[1]DRV421 System Parameters'!$D$18</definedName>
    <definedName name="Inductance" comment="Compensation coil inductance" localSheetId="0">'[1]DRV421 System Parameters'!$D$18</definedName>
    <definedName name="Inductance" comment="Compensation coil inductance" localSheetId="6">'[1]DRV421 System Parameters'!$D$18</definedName>
    <definedName name="Inductance" comment="Compensation coil inductance">' System Parameters'!$D$19</definedName>
    <definedName name="K" comment="Gain selection coefficient">'[1]DRV421 System Parameters'!$D$30</definedName>
    <definedName name="MagneticGain" comment="Core magnetic gain (primary to sensor) " localSheetId="7">'[1]DRV421 System Parameters'!$D$21</definedName>
    <definedName name="MagneticGain" comment="Core magnetic gain (primary to sensor) " localSheetId="8">'[1]DRV421 System Parameters'!$D$21</definedName>
    <definedName name="MagneticGain" comment="Core magnetic gain (primary to sensor) " localSheetId="0">'[1]DRV421 System Parameters'!$D$21</definedName>
    <definedName name="MagneticGain" comment="Core magnetic gain (primary to sensor) " localSheetId="6">'[1]DRV421 System Parameters'!$D$21</definedName>
    <definedName name="MagneticGain">'[2]DRV421 System Parameters'!$D$21</definedName>
    <definedName name="max_diffamp_swing">'B-Field sweep'!$F$12</definedName>
    <definedName name="MaxField">' System Parameters'!$D$9</definedName>
    <definedName name="MaxIout" comment="Maximum output current" localSheetId="7">'[1]DRV421 System Parameters'!$T$10</definedName>
    <definedName name="MaxIout" comment="Maximum output current" localSheetId="8">'[1]DRV421 System Parameters'!$T$10</definedName>
    <definedName name="MaxIout" comment="Maximum output current" localSheetId="0">'[1]DRV421 System Parameters'!$T$10</definedName>
    <definedName name="MaxIout" comment="Maximum output current" localSheetId="6">'[1]DRV421 System Parameters'!$T$10</definedName>
    <definedName name="MaxIout" comment="Maximum output current">' System Parameters'!$T$11</definedName>
    <definedName name="MeasBW">' System Parameters'!$D$17</definedName>
    <definedName name="nT_to_uT">0.001</definedName>
    <definedName name="Rcoil">90</definedName>
    <definedName name="Rcomp" comment="Resistance of compensation coil" localSheetId="7">'[1]DRV421 System Parameters'!$D$19</definedName>
    <definedName name="Rcomp" comment="Resistance of compensation coil" localSheetId="8">'[1]DRV421 System Parameters'!$D$19</definedName>
    <definedName name="Rcomp" comment="Resistance of compensation coil" localSheetId="0">'[1]DRV421 System Parameters'!$D$19</definedName>
    <definedName name="Rcomp" comment="Resistance of compensation coil" localSheetId="6">'[1]DRV421 System Parameters'!$D$19</definedName>
    <definedName name="Rcomp" comment="Resistance of compensation coil">' System Parameters'!$D$20</definedName>
    <definedName name="Reference" comment="Reference setting selected" localSheetId="7">'[1]DRV421 System Parameters'!$D$12</definedName>
    <definedName name="Reference" comment="Reference setting selected" localSheetId="8">'[1]DRV421 System Parameters'!$D$12</definedName>
    <definedName name="Reference" comment="Reference setting selected" localSheetId="0">'[1]DRV421 System Parameters'!$D$12</definedName>
    <definedName name="Reference" comment="Reference setting selected" localSheetId="6">'[1]DRV421 System Parameters'!$D$12</definedName>
    <definedName name="Reference" comment="Reference setting selected">' System Parameters'!$D$12</definedName>
    <definedName name="Refin" comment="Reference input for diffamp" localSheetId="7">'[1]DRV421 System Parameters'!$D$13</definedName>
    <definedName name="Refin" comment="Reference input for diffamp" localSheetId="8">'[1]DRV421 System Parameters'!$D$13</definedName>
    <definedName name="Refin" comment="Reference input for diffamp" localSheetId="0">'[1]DRV421 System Parameters'!$D$13</definedName>
    <definedName name="Refin" comment="Reference input for diffamp" localSheetId="6">'[1]DRV421 System Parameters'!$D$13</definedName>
    <definedName name="Refin" comment="Reference input for diffamp">' System Parameters'!$D$13</definedName>
    <definedName name="RefSel" comment="Reference selection" localSheetId="7">'[1]DRV421 System Parameters'!$D$11</definedName>
    <definedName name="RefSel" comment="Reference selection" localSheetId="8">'[1]DRV421 System Parameters'!$D$11</definedName>
    <definedName name="RefSel" comment="Reference selection" localSheetId="0">'[1]DRV421 System Parameters'!$D$11</definedName>
    <definedName name="RefSel" comment="Reference selection" localSheetId="6">'[1]DRV421 System Parameters'!$D$11</definedName>
    <definedName name="RefSel" comment="Reference selection">' System Parameters'!$D$11</definedName>
    <definedName name="Rmax">' System Parameters'!$D$21</definedName>
    <definedName name="SeriesResistance" comment="Total shunt and compensation coil resistance" localSheetId="7">'[1]DRV421 System Parameters'!$D$29</definedName>
    <definedName name="SeriesResistance" comment="Total shunt and compensation coil resistance" localSheetId="8">'[1]DRV421 System Parameters'!$D$29</definedName>
    <definedName name="SeriesResistance" comment="Total shunt and compensation coil resistance" localSheetId="0">'[1]DRV421 System Parameters'!$D$29</definedName>
    <definedName name="SeriesResistance" comment="Total shunt and compensation coil resistance" localSheetId="6">'[1]DRV421 System Parameters'!$D$29</definedName>
    <definedName name="SeriesResistance" comment="Total shunt and compensation coil resistance">' System Parameters'!$D$22</definedName>
    <definedName name="SeriesResistanceMax">' System Parameters'!$D$23</definedName>
    <definedName name="Shunt" comment="Shunt Resistor Chosen" localSheetId="7">'[1]DRV421 System Parameters'!$D$14</definedName>
    <definedName name="Shunt" comment="Shunt Resistor Chosen" localSheetId="8">'[1]DRV421 System Parameters'!$D$14</definedName>
    <definedName name="Shunt" comment="Shunt Resistor Chosen" localSheetId="0">'[1]DRV421 System Parameters'!$D$14</definedName>
    <definedName name="Shunt" comment="Shunt Resistor Chosen" localSheetId="6">'[1]DRV421 System Parameters'!$D$14</definedName>
    <definedName name="Shunt" comment="Shunt Resistor Chosen">' System Parameters'!$D$14</definedName>
    <definedName name="Supply" comment="Supply voltage" localSheetId="7">'[1]DRV421 System Parameters'!$D$10</definedName>
    <definedName name="Supply" comment="Supply voltage" localSheetId="8">'[1]DRV421 System Parameters'!$D$10</definedName>
    <definedName name="Supply" comment="Supply voltage" localSheetId="0">'[1]DRV421 System Parameters'!$D$10</definedName>
    <definedName name="Supply" comment="Supply voltage" localSheetId="6">'[1]DRV421 System Parameters'!$D$10</definedName>
    <definedName name="Supply" comment="Supply voltage">' System Parameters'!$D$10</definedName>
    <definedName name="SystemGain" comment="Primary to output gain" localSheetId="7">'[1]DRV421 System Parameters'!$T$9</definedName>
    <definedName name="SystemGain" comment="Primary to output gain" localSheetId="8">'[1]DRV421 System Parameters'!$T$9</definedName>
    <definedName name="SystemGain" comment="Primary to output gain" localSheetId="0">'[1]DRV421 System Parameters'!$T$9</definedName>
    <definedName name="SystemGain" comment="Primary to output gain" localSheetId="6">'[1]DRV421 System Parameters'!$T$9</definedName>
    <definedName name="SystemGain" comment="Primary to output gain">' System Parameters'!$T$9</definedName>
    <definedName name="Temp">'[2]DRV421 System Parameters'!$D$15</definedName>
    <definedName name="Temperature" localSheetId="7">'[1]DRV421 System Parameters'!$D$15</definedName>
    <definedName name="Temperature" localSheetId="8">'[1]DRV421 System Parameters'!$D$15</definedName>
    <definedName name="Temperature" localSheetId="0">'[1]DRV421 System Parameters'!$D$15</definedName>
    <definedName name="Temperature" localSheetId="6">'[1]DRV421 System Parameters'!$D$15</definedName>
    <definedName name="Temperature">' System Parameters'!$D$16</definedName>
    <definedName name="Turns" comment="Compensation coil number of turns" localSheetId="7">'[1]DRV421 System Parameters'!$D$20</definedName>
    <definedName name="Turns" comment="Compensation coil number of turns" localSheetId="8">'[1]DRV421 System Parameters'!$D$20</definedName>
    <definedName name="Turns" comment="Compensation coil number of turns" localSheetId="0">'[1]DRV421 System Parameters'!$D$20</definedName>
    <definedName name="Turns" comment="Compensation coil number of turns" localSheetId="6">'[1]DRV421 System Parameters'!$D$20</definedName>
    <definedName name="Turns">'[2]DRV421 System Parameters'!$D$20</definedName>
  </definedNames>
  <calcPr calcId="145621"/>
</workbook>
</file>

<file path=xl/calcChain.xml><?xml version="1.0" encoding="utf-8"?>
<calcChain xmlns="http://schemas.openxmlformats.org/spreadsheetml/2006/main">
  <c r="D13" i="3" l="1"/>
  <c r="T13" i="3" s="1"/>
  <c r="F26" i="11"/>
  <c r="E26" i="11"/>
  <c r="F21" i="11"/>
  <c r="E21" i="11"/>
  <c r="F20" i="11"/>
  <c r="E20" i="11"/>
  <c r="E22" i="11" l="1"/>
  <c r="E17" i="11"/>
  <c r="F17" i="11"/>
  <c r="E18" i="11"/>
  <c r="C77" i="10" l="1"/>
  <c r="C44" i="10"/>
  <c r="C11" i="10"/>
  <c r="C12" i="10" s="1"/>
  <c r="D6" i="5"/>
  <c r="E86" i="6"/>
  <c r="H86" i="6"/>
  <c r="K86" i="6"/>
  <c r="C13" i="10" l="1"/>
  <c r="C45" i="10"/>
  <c r="C78" i="10"/>
  <c r="T11" i="3"/>
  <c r="C14" i="10" l="1"/>
  <c r="C46" i="10"/>
  <c r="C79" i="10"/>
  <c r="U20" i="3"/>
  <c r="U11" i="3"/>
  <c r="U9" i="3"/>
  <c r="D21" i="3"/>
  <c r="O10" i="10" s="1"/>
  <c r="B89" i="6"/>
  <c r="B90" i="6" s="1"/>
  <c r="C88" i="6"/>
  <c r="G88" i="6" s="1"/>
  <c r="V13" i="10" l="1"/>
  <c r="D10" i="10"/>
  <c r="U21" i="3"/>
  <c r="U13" i="10"/>
  <c r="S45" i="10"/>
  <c r="S13" i="10"/>
  <c r="Q45" i="10"/>
  <c r="G13" i="10"/>
  <c r="G45" i="10"/>
  <c r="J45" i="10"/>
  <c r="U79" i="10"/>
  <c r="Q79" i="10"/>
  <c r="M79" i="10"/>
  <c r="I79" i="10"/>
  <c r="E79" i="10"/>
  <c r="U78" i="10"/>
  <c r="Q78" i="10"/>
  <c r="M78" i="10"/>
  <c r="I78" i="10"/>
  <c r="E78" i="10"/>
  <c r="U77" i="10"/>
  <c r="Q77" i="10"/>
  <c r="M77" i="10"/>
  <c r="I77" i="10"/>
  <c r="E77" i="10"/>
  <c r="U76" i="10"/>
  <c r="S79" i="10"/>
  <c r="N79" i="10"/>
  <c r="H79" i="10"/>
  <c r="W78" i="10"/>
  <c r="R78" i="10"/>
  <c r="L78" i="10"/>
  <c r="G78" i="10"/>
  <c r="V77" i="10"/>
  <c r="P77" i="10"/>
  <c r="K77" i="10"/>
  <c r="F77" i="10"/>
  <c r="T76" i="10"/>
  <c r="P76" i="10"/>
  <c r="L76" i="10"/>
  <c r="H76" i="10"/>
  <c r="D76" i="10"/>
  <c r="R79" i="10"/>
  <c r="G79" i="10"/>
  <c r="P78" i="10"/>
  <c r="F78" i="10"/>
  <c r="O77" i="10"/>
  <c r="D77" i="10"/>
  <c r="O76" i="10"/>
  <c r="G76" i="10"/>
  <c r="V79" i="10"/>
  <c r="P79" i="10"/>
  <c r="K79" i="10"/>
  <c r="F79" i="10"/>
  <c r="T78" i="10"/>
  <c r="O78" i="10"/>
  <c r="J78" i="10"/>
  <c r="D78" i="10"/>
  <c r="S77" i="10"/>
  <c r="N77" i="10"/>
  <c r="H77" i="10"/>
  <c r="W76" i="10"/>
  <c r="R76" i="10"/>
  <c r="N76" i="10"/>
  <c r="J76" i="10"/>
  <c r="F76" i="10"/>
  <c r="T79" i="10"/>
  <c r="O79" i="10"/>
  <c r="J79" i="10"/>
  <c r="D79" i="10"/>
  <c r="S78" i="10"/>
  <c r="N78" i="10"/>
  <c r="H78" i="10"/>
  <c r="W77" i="10"/>
  <c r="R77" i="10"/>
  <c r="L77" i="10"/>
  <c r="G77" i="10"/>
  <c r="V76" i="10"/>
  <c r="Q76" i="10"/>
  <c r="M76" i="10"/>
  <c r="I76" i="10"/>
  <c r="E76" i="10"/>
  <c r="W79" i="10"/>
  <c r="L79" i="10"/>
  <c r="V78" i="10"/>
  <c r="K78" i="10"/>
  <c r="T77" i="10"/>
  <c r="J77" i="10"/>
  <c r="S76" i="10"/>
  <c r="K76" i="10"/>
  <c r="N45" i="10"/>
  <c r="U13" i="3"/>
  <c r="L13" i="10"/>
  <c r="M45" i="10"/>
  <c r="H45" i="10"/>
  <c r="O13" i="10"/>
  <c r="E13" i="10"/>
  <c r="P13" i="10"/>
  <c r="F45" i="10"/>
  <c r="O45" i="10"/>
  <c r="L45" i="10"/>
  <c r="Q13" i="10"/>
  <c r="U14" i="10"/>
  <c r="Q14" i="10"/>
  <c r="M14" i="10"/>
  <c r="I14" i="10"/>
  <c r="E14" i="10"/>
  <c r="C15" i="10"/>
  <c r="V14" i="10"/>
  <c r="R14" i="10"/>
  <c r="N14" i="10"/>
  <c r="J14" i="10"/>
  <c r="F14" i="10"/>
  <c r="W14" i="10"/>
  <c r="O14" i="10"/>
  <c r="G14" i="10"/>
  <c r="T14" i="10"/>
  <c r="D14" i="10"/>
  <c r="S14" i="10"/>
  <c r="P14" i="10"/>
  <c r="H14" i="10"/>
  <c r="L14" i="10"/>
  <c r="K14" i="10"/>
  <c r="T43" i="10"/>
  <c r="P43" i="10"/>
  <c r="L43" i="10"/>
  <c r="H43" i="10"/>
  <c r="D43" i="10"/>
  <c r="U10" i="10"/>
  <c r="Q10" i="10"/>
  <c r="M10" i="10"/>
  <c r="I10" i="10"/>
  <c r="E10" i="10"/>
  <c r="U43" i="10"/>
  <c r="Q43" i="10"/>
  <c r="M43" i="10"/>
  <c r="I43" i="10"/>
  <c r="E43" i="10"/>
  <c r="V10" i="10"/>
  <c r="R10" i="10"/>
  <c r="N10" i="10"/>
  <c r="J10" i="10"/>
  <c r="F10" i="10"/>
  <c r="R44" i="10"/>
  <c r="J44" i="10"/>
  <c r="R43" i="10"/>
  <c r="J43" i="10"/>
  <c r="T11" i="10"/>
  <c r="L11" i="10"/>
  <c r="D11" i="10"/>
  <c r="T10" i="10"/>
  <c r="L10" i="10"/>
  <c r="Q44" i="10"/>
  <c r="W43" i="10"/>
  <c r="G43" i="10"/>
  <c r="Q11" i="10"/>
  <c r="S10" i="10"/>
  <c r="W44" i="10"/>
  <c r="F44" i="10"/>
  <c r="N43" i="10"/>
  <c r="I12" i="10"/>
  <c r="P11" i="10"/>
  <c r="P10" i="10"/>
  <c r="V44" i="10"/>
  <c r="M44" i="10"/>
  <c r="E44" i="10"/>
  <c r="S43" i="10"/>
  <c r="K43" i="10"/>
  <c r="U11" i="10"/>
  <c r="M11" i="10"/>
  <c r="E11" i="10"/>
  <c r="W10" i="10"/>
  <c r="G10" i="10"/>
  <c r="I44" i="10"/>
  <c r="O43" i="10"/>
  <c r="I11" i="10"/>
  <c r="K10" i="10"/>
  <c r="N44" i="10"/>
  <c r="V43" i="10"/>
  <c r="F43" i="10"/>
  <c r="Q12" i="10"/>
  <c r="H11" i="10"/>
  <c r="H10" i="10"/>
  <c r="S12" i="10"/>
  <c r="T12" i="10"/>
  <c r="D12" i="10"/>
  <c r="N12" i="10"/>
  <c r="T44" i="10"/>
  <c r="O11" i="10"/>
  <c r="H44" i="10"/>
  <c r="F11" i="10"/>
  <c r="V11" i="10"/>
  <c r="O44" i="10"/>
  <c r="P12" i="10"/>
  <c r="V12" i="10"/>
  <c r="E12" i="10"/>
  <c r="S11" i="10"/>
  <c r="J11" i="10"/>
  <c r="S44" i="10"/>
  <c r="L12" i="10"/>
  <c r="M12" i="10"/>
  <c r="W11" i="10"/>
  <c r="N11" i="10"/>
  <c r="W12" i="10"/>
  <c r="G12" i="10"/>
  <c r="H12" i="10"/>
  <c r="F12" i="10"/>
  <c r="U12" i="10"/>
  <c r="K11" i="10"/>
  <c r="D44" i="10"/>
  <c r="R11" i="10"/>
  <c r="K44" i="10"/>
  <c r="O12" i="10"/>
  <c r="J12" i="10"/>
  <c r="R12" i="10"/>
  <c r="L44" i="10"/>
  <c r="U44" i="10"/>
  <c r="K12" i="10"/>
  <c r="G11" i="10"/>
  <c r="P44" i="10"/>
  <c r="G44" i="10"/>
  <c r="W45" i="10"/>
  <c r="E45" i="10"/>
  <c r="I45" i="10"/>
  <c r="D45" i="10"/>
  <c r="T45" i="10"/>
  <c r="K13" i="10"/>
  <c r="J13" i="10"/>
  <c r="N13" i="10"/>
  <c r="M13" i="10"/>
  <c r="H13" i="10"/>
  <c r="W46" i="10"/>
  <c r="S46" i="10"/>
  <c r="O46" i="10"/>
  <c r="K46" i="10"/>
  <c r="G46" i="10"/>
  <c r="C47" i="10"/>
  <c r="T46" i="10"/>
  <c r="P46" i="10"/>
  <c r="L46" i="10"/>
  <c r="H46" i="10"/>
  <c r="D46" i="10"/>
  <c r="V46" i="10"/>
  <c r="N46" i="10"/>
  <c r="F46" i="10"/>
  <c r="Q46" i="10"/>
  <c r="I46" i="10"/>
  <c r="M46" i="10"/>
  <c r="E46" i="10"/>
  <c r="R46" i="10"/>
  <c r="J46" i="10"/>
  <c r="U46" i="10"/>
  <c r="C80" i="10"/>
  <c r="E80" i="10" s="1"/>
  <c r="K45" i="10"/>
  <c r="R45" i="10"/>
  <c r="V45" i="10"/>
  <c r="U45" i="10"/>
  <c r="P45" i="10"/>
  <c r="R13" i="10"/>
  <c r="W13" i="10"/>
  <c r="F13" i="10"/>
  <c r="I13" i="10"/>
  <c r="D13" i="10"/>
  <c r="T13" i="10"/>
  <c r="H88" i="6"/>
  <c r="I88" i="6" s="1"/>
  <c r="J88" i="6"/>
  <c r="K88" i="6"/>
  <c r="L88" i="6" s="1"/>
  <c r="C89" i="6"/>
  <c r="J89" i="6" s="1"/>
  <c r="D88" i="6"/>
  <c r="B91" i="6"/>
  <c r="C90" i="6"/>
  <c r="H90" i="6" s="1"/>
  <c r="F12" i="7"/>
  <c r="T21" i="3"/>
  <c r="E88" i="6"/>
  <c r="E89" i="6"/>
  <c r="T20" i="3"/>
  <c r="K80" i="10" l="1"/>
  <c r="R80" i="10"/>
  <c r="T80" i="10"/>
  <c r="U80" i="10"/>
  <c r="N80" i="10"/>
  <c r="G80" i="10"/>
  <c r="S80" i="10"/>
  <c r="Q80" i="10"/>
  <c r="O80" i="10"/>
  <c r="I80" i="10"/>
  <c r="D80" i="10"/>
  <c r="M80" i="10"/>
  <c r="J80" i="10"/>
  <c r="L80" i="10"/>
  <c r="F80" i="10"/>
  <c r="H80" i="10"/>
  <c r="W80" i="10"/>
  <c r="P80" i="10"/>
  <c r="V80" i="10"/>
  <c r="C81" i="10"/>
  <c r="V47" i="10"/>
  <c r="R47" i="10"/>
  <c r="N47" i="10"/>
  <c r="J47" i="10"/>
  <c r="F47" i="10"/>
  <c r="W47" i="10"/>
  <c r="S47" i="10"/>
  <c r="O47" i="10"/>
  <c r="K47" i="10"/>
  <c r="G47" i="10"/>
  <c r="Q47" i="10"/>
  <c r="I47" i="10"/>
  <c r="T47" i="10"/>
  <c r="L47" i="10"/>
  <c r="D47" i="10"/>
  <c r="C48" i="10"/>
  <c r="H47" i="10"/>
  <c r="E47" i="10"/>
  <c r="P47" i="10"/>
  <c r="M47" i="10"/>
  <c r="U47" i="10"/>
  <c r="C16" i="10"/>
  <c r="V15" i="10"/>
  <c r="R15" i="10"/>
  <c r="N15" i="10"/>
  <c r="J15" i="10"/>
  <c r="F15" i="10"/>
  <c r="W15" i="10"/>
  <c r="S15" i="10"/>
  <c r="O15" i="10"/>
  <c r="K15" i="10"/>
  <c r="G15" i="10"/>
  <c r="P15" i="10"/>
  <c r="H15" i="10"/>
  <c r="U15" i="10"/>
  <c r="M15" i="10"/>
  <c r="T15" i="10"/>
  <c r="D15" i="10"/>
  <c r="Q15" i="10"/>
  <c r="I15" i="10"/>
  <c r="E15" i="10"/>
  <c r="L15" i="10"/>
  <c r="E90" i="6"/>
  <c r="K90" i="6"/>
  <c r="B92" i="6"/>
  <c r="C91" i="6"/>
  <c r="E91" i="6" s="1"/>
  <c r="D89" i="6"/>
  <c r="G90" i="6"/>
  <c r="I90" i="6" s="1"/>
  <c r="H89" i="6"/>
  <c r="G89" i="6"/>
  <c r="D90" i="6"/>
  <c r="J90" i="6"/>
  <c r="K89" i="6"/>
  <c r="L89" i="6" s="1"/>
  <c r="D23" i="3"/>
  <c r="M81" i="10" l="1"/>
  <c r="P81" i="10"/>
  <c r="U81" i="10"/>
  <c r="E81" i="10"/>
  <c r="F81" i="10"/>
  <c r="J81" i="10"/>
  <c r="N81" i="10"/>
  <c r="G81" i="10"/>
  <c r="D81" i="10"/>
  <c r="I81" i="10"/>
  <c r="K81" i="10"/>
  <c r="R81" i="10"/>
  <c r="Q81" i="10"/>
  <c r="H81" i="10"/>
  <c r="T81" i="10"/>
  <c r="V81" i="10"/>
  <c r="W81" i="10"/>
  <c r="S81" i="10"/>
  <c r="L81" i="10"/>
  <c r="O81" i="10"/>
  <c r="U15" i="3"/>
  <c r="U22" i="3"/>
  <c r="U48" i="10"/>
  <c r="Q48" i="10"/>
  <c r="M48" i="10"/>
  <c r="I48" i="10"/>
  <c r="E48" i="10"/>
  <c r="V48" i="10"/>
  <c r="R48" i="10"/>
  <c r="N48" i="10"/>
  <c r="J48" i="10"/>
  <c r="F48" i="10"/>
  <c r="T48" i="10"/>
  <c r="L48" i="10"/>
  <c r="D48" i="10"/>
  <c r="K48" i="10"/>
  <c r="W48" i="10"/>
  <c r="O48" i="10"/>
  <c r="G48" i="10"/>
  <c r="S48" i="10"/>
  <c r="C49" i="10"/>
  <c r="H48" i="10"/>
  <c r="P48" i="10"/>
  <c r="C82" i="10"/>
  <c r="W16" i="10"/>
  <c r="S16" i="10"/>
  <c r="O16" i="10"/>
  <c r="K16" i="10"/>
  <c r="G16" i="10"/>
  <c r="T16" i="10"/>
  <c r="P16" i="10"/>
  <c r="L16" i="10"/>
  <c r="H16" i="10"/>
  <c r="D16" i="10"/>
  <c r="Q16" i="10"/>
  <c r="I16" i="10"/>
  <c r="F16" i="10"/>
  <c r="U16" i="10"/>
  <c r="E16" i="10"/>
  <c r="C17" i="10"/>
  <c r="R16" i="10"/>
  <c r="J16" i="10"/>
  <c r="V16" i="10"/>
  <c r="N16" i="10"/>
  <c r="M16" i="10"/>
  <c r="K91" i="6"/>
  <c r="I89" i="6"/>
  <c r="G91" i="6"/>
  <c r="L90" i="6"/>
  <c r="D91" i="6"/>
  <c r="J91" i="6"/>
  <c r="H91" i="6"/>
  <c r="I91" i="6" s="1"/>
  <c r="B93" i="6"/>
  <c r="C92" i="6"/>
  <c r="J92" i="6" s="1"/>
  <c r="E92" i="6"/>
  <c r="U10" i="3"/>
  <c r="U12" i="3"/>
  <c r="U24" i="3" s="1"/>
  <c r="D7" i="5"/>
  <c r="O15" i="5"/>
  <c r="T9" i="3"/>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B32" i="5"/>
  <c r="N31" i="5"/>
  <c r="B31" i="5"/>
  <c r="O31" i="5" s="1"/>
  <c r="N30" i="5"/>
  <c r="B30" i="5"/>
  <c r="N29" i="5"/>
  <c r="B29" i="5"/>
  <c r="O29" i="5" s="1"/>
  <c r="N28" i="5"/>
  <c r="B28" i="5"/>
  <c r="N27" i="5"/>
  <c r="B27" i="5"/>
  <c r="B36" i="5" s="1"/>
  <c r="B45" i="5" s="1"/>
  <c r="N26" i="5"/>
  <c r="B26" i="5"/>
  <c r="N25" i="5"/>
  <c r="B25" i="5"/>
  <c r="B34" i="5" s="1"/>
  <c r="N24" i="5"/>
  <c r="B24" i="5"/>
  <c r="O23" i="5"/>
  <c r="N23" i="5"/>
  <c r="O22" i="5"/>
  <c r="N22" i="5"/>
  <c r="O21" i="5"/>
  <c r="N21" i="5"/>
  <c r="O20" i="5"/>
  <c r="N20" i="5"/>
  <c r="O19" i="5"/>
  <c r="N19" i="5"/>
  <c r="O18" i="5"/>
  <c r="N18" i="5"/>
  <c r="O17" i="5"/>
  <c r="N17" i="5"/>
  <c r="O16" i="5"/>
  <c r="N16" i="5"/>
  <c r="N15" i="5"/>
  <c r="C9" i="5"/>
  <c r="AB58" i="5"/>
  <c r="C8" i="5"/>
  <c r="AB57" i="5"/>
  <c r="C7" i="5"/>
  <c r="AB56" i="5"/>
  <c r="C6" i="5"/>
  <c r="AB55" i="5"/>
  <c r="AA55" i="5"/>
  <c r="Z55" i="5"/>
  <c r="I82" i="10" l="1"/>
  <c r="R82" i="10"/>
  <c r="Q82" i="10"/>
  <c r="G82" i="10"/>
  <c r="E82" i="10"/>
  <c r="L82" i="10"/>
  <c r="O82" i="10"/>
  <c r="H82" i="10"/>
  <c r="U82" i="10"/>
  <c r="K82" i="10"/>
  <c r="D82" i="10"/>
  <c r="S82" i="10"/>
  <c r="F82" i="10"/>
  <c r="V82" i="10"/>
  <c r="P82" i="10"/>
  <c r="W82" i="10"/>
  <c r="T82" i="10"/>
  <c r="N82" i="10"/>
  <c r="J82" i="10"/>
  <c r="M82" i="10"/>
  <c r="L91" i="6"/>
  <c r="T17" i="10"/>
  <c r="P17" i="10"/>
  <c r="L17" i="10"/>
  <c r="H17" i="10"/>
  <c r="D17" i="10"/>
  <c r="U17" i="10"/>
  <c r="Q17" i="10"/>
  <c r="M17" i="10"/>
  <c r="I17" i="10"/>
  <c r="E17" i="10"/>
  <c r="C18" i="10"/>
  <c r="R17" i="10"/>
  <c r="J17" i="10"/>
  <c r="W17" i="10"/>
  <c r="V17" i="10"/>
  <c r="F17" i="10"/>
  <c r="S17" i="10"/>
  <c r="K17" i="10"/>
  <c r="O17" i="10"/>
  <c r="G17" i="10"/>
  <c r="N17" i="10"/>
  <c r="C83" i="10"/>
  <c r="C50" i="10"/>
  <c r="T49" i="10"/>
  <c r="P49" i="10"/>
  <c r="L49" i="10"/>
  <c r="H49" i="10"/>
  <c r="D49" i="10"/>
  <c r="U49" i="10"/>
  <c r="Q49" i="10"/>
  <c r="M49" i="10"/>
  <c r="I49" i="10"/>
  <c r="E49" i="10"/>
  <c r="W49" i="10"/>
  <c r="O49" i="10"/>
  <c r="G49" i="10"/>
  <c r="V49" i="10"/>
  <c r="F49" i="10"/>
  <c r="R49" i="10"/>
  <c r="J49" i="10"/>
  <c r="N49" i="10"/>
  <c r="K49" i="10"/>
  <c r="S49" i="10"/>
  <c r="D92" i="6"/>
  <c r="H92" i="6"/>
  <c r="B94" i="6"/>
  <c r="C93" i="6"/>
  <c r="D93" i="6" s="1"/>
  <c r="G92" i="6"/>
  <c r="K92" i="6"/>
  <c r="L92" i="6" s="1"/>
  <c r="D57" i="5"/>
  <c r="D45" i="5"/>
  <c r="D37" i="5"/>
  <c r="D29" i="5"/>
  <c r="D25" i="5"/>
  <c r="D21" i="5"/>
  <c r="D17" i="5"/>
  <c r="D40" i="5"/>
  <c r="D36" i="5"/>
  <c r="D32" i="5"/>
  <c r="D28" i="5"/>
  <c r="D24" i="5"/>
  <c r="D20" i="5"/>
  <c r="D16" i="5"/>
  <c r="D35" i="5"/>
  <c r="D31" i="5"/>
  <c r="D27" i="5"/>
  <c r="D23" i="5"/>
  <c r="D19" i="5"/>
  <c r="D15" i="5"/>
  <c r="D34" i="5"/>
  <c r="D30" i="5"/>
  <c r="D26" i="5"/>
  <c r="D22" i="5"/>
  <c r="D18" i="5"/>
  <c r="G15" i="7"/>
  <c r="G17" i="7"/>
  <c r="G19" i="7"/>
  <c r="G21" i="7"/>
  <c r="G23" i="7"/>
  <c r="G25" i="7"/>
  <c r="G27" i="7"/>
  <c r="G29" i="7"/>
  <c r="G31" i="7"/>
  <c r="G33" i="7"/>
  <c r="G35" i="7"/>
  <c r="G37" i="7"/>
  <c r="G39" i="7"/>
  <c r="G41" i="7"/>
  <c r="G43" i="7"/>
  <c r="G45" i="7"/>
  <c r="G47" i="7"/>
  <c r="G49" i="7"/>
  <c r="G51" i="7"/>
  <c r="G53" i="7"/>
  <c r="G55" i="7"/>
  <c r="G57" i="7"/>
  <c r="G59" i="7"/>
  <c r="G61" i="7"/>
  <c r="G63" i="7"/>
  <c r="G65" i="7"/>
  <c r="G67" i="7"/>
  <c r="G69" i="7"/>
  <c r="G71" i="7"/>
  <c r="G73" i="7"/>
  <c r="G16" i="7"/>
  <c r="G24" i="7"/>
  <c r="G32" i="7"/>
  <c r="G40" i="7"/>
  <c r="G48" i="7"/>
  <c r="G56" i="7"/>
  <c r="G64" i="7"/>
  <c r="G68" i="7"/>
  <c r="G72" i="7"/>
  <c r="G18" i="7"/>
  <c r="G26" i="7"/>
  <c r="G34" i="7"/>
  <c r="G42" i="7"/>
  <c r="G58" i="7"/>
  <c r="G20" i="7"/>
  <c r="G28" i="7"/>
  <c r="G36" i="7"/>
  <c r="G44" i="7"/>
  <c r="G52" i="7"/>
  <c r="G60" i="7"/>
  <c r="G66" i="7"/>
  <c r="G70" i="7"/>
  <c r="G74" i="7"/>
  <c r="G22" i="7"/>
  <c r="G30" i="7"/>
  <c r="G38" i="7"/>
  <c r="G46" i="7"/>
  <c r="G54" i="7"/>
  <c r="G62" i="7"/>
  <c r="G50" i="7"/>
  <c r="D55" i="7"/>
  <c r="E55" i="7" s="1"/>
  <c r="F55" i="7" s="1"/>
  <c r="D56" i="7"/>
  <c r="E56" i="7" s="1"/>
  <c r="F56" i="7" s="1"/>
  <c r="D57" i="7"/>
  <c r="E57" i="7" s="1"/>
  <c r="F57" i="7" s="1"/>
  <c r="D58" i="7"/>
  <c r="E58" i="7" s="1"/>
  <c r="F58" i="7" s="1"/>
  <c r="D59" i="7"/>
  <c r="E59" i="7" s="1"/>
  <c r="F59" i="7" s="1"/>
  <c r="D60" i="7"/>
  <c r="E60" i="7" s="1"/>
  <c r="F60" i="7" s="1"/>
  <c r="D61" i="7"/>
  <c r="E61" i="7" s="1"/>
  <c r="F61" i="7" s="1"/>
  <c r="D62" i="7"/>
  <c r="E62" i="7" s="1"/>
  <c r="F62" i="7" s="1"/>
  <c r="D63" i="7"/>
  <c r="E63" i="7" s="1"/>
  <c r="F63" i="7" s="1"/>
  <c r="D64" i="7"/>
  <c r="E64" i="7" s="1"/>
  <c r="F64" i="7" s="1"/>
  <c r="D65" i="7"/>
  <c r="E65" i="7" s="1"/>
  <c r="F65" i="7" s="1"/>
  <c r="D66" i="7"/>
  <c r="E66" i="7" s="1"/>
  <c r="F66" i="7" s="1"/>
  <c r="D67" i="7"/>
  <c r="E67" i="7" s="1"/>
  <c r="F67" i="7" s="1"/>
  <c r="D68" i="7"/>
  <c r="E68" i="7" s="1"/>
  <c r="F68" i="7" s="1"/>
  <c r="D69" i="7"/>
  <c r="E69" i="7" s="1"/>
  <c r="F69" i="7" s="1"/>
  <c r="D70" i="7"/>
  <c r="E70" i="7" s="1"/>
  <c r="F70" i="7" s="1"/>
  <c r="D71" i="7"/>
  <c r="E71" i="7" s="1"/>
  <c r="F71" i="7" s="1"/>
  <c r="D72" i="7"/>
  <c r="E72" i="7" s="1"/>
  <c r="F72" i="7" s="1"/>
  <c r="D73" i="7"/>
  <c r="E73" i="7" s="1"/>
  <c r="F73" i="7" s="1"/>
  <c r="D74" i="7"/>
  <c r="E74" i="7" s="1"/>
  <c r="F74" i="7" s="1"/>
  <c r="U14" i="3"/>
  <c r="D16" i="7"/>
  <c r="E16" i="7" s="1"/>
  <c r="F16" i="7" s="1"/>
  <c r="D20" i="7"/>
  <c r="E20" i="7" s="1"/>
  <c r="F20" i="7" s="1"/>
  <c r="D24" i="7"/>
  <c r="E24" i="7" s="1"/>
  <c r="F24" i="7" s="1"/>
  <c r="D28" i="7"/>
  <c r="E28" i="7" s="1"/>
  <c r="F28" i="7" s="1"/>
  <c r="D32" i="7"/>
  <c r="E32" i="7" s="1"/>
  <c r="F32" i="7" s="1"/>
  <c r="D36" i="7"/>
  <c r="E36" i="7" s="1"/>
  <c r="F36" i="7" s="1"/>
  <c r="D40" i="7"/>
  <c r="E40" i="7" s="1"/>
  <c r="F40" i="7" s="1"/>
  <c r="D44" i="7"/>
  <c r="E44" i="7" s="1"/>
  <c r="F44" i="7" s="1"/>
  <c r="D48" i="7"/>
  <c r="E48" i="7" s="1"/>
  <c r="F48" i="7" s="1"/>
  <c r="D52" i="7"/>
  <c r="E52" i="7" s="1"/>
  <c r="F52" i="7" s="1"/>
  <c r="F11" i="7"/>
  <c r="D17" i="7"/>
  <c r="E17" i="7" s="1"/>
  <c r="F17" i="7" s="1"/>
  <c r="D21" i="7"/>
  <c r="E21" i="7" s="1"/>
  <c r="F21" i="7" s="1"/>
  <c r="D25" i="7"/>
  <c r="E25" i="7" s="1"/>
  <c r="F25" i="7" s="1"/>
  <c r="D29" i="7"/>
  <c r="E29" i="7" s="1"/>
  <c r="F29" i="7" s="1"/>
  <c r="D33" i="7"/>
  <c r="E33" i="7" s="1"/>
  <c r="F33" i="7" s="1"/>
  <c r="D37" i="7"/>
  <c r="E37" i="7" s="1"/>
  <c r="F37" i="7" s="1"/>
  <c r="D41" i="7"/>
  <c r="E41" i="7" s="1"/>
  <c r="F41" i="7" s="1"/>
  <c r="D49" i="7"/>
  <c r="E49" i="7" s="1"/>
  <c r="F49" i="7" s="1"/>
  <c r="D18" i="7"/>
  <c r="E18" i="7" s="1"/>
  <c r="F18" i="7" s="1"/>
  <c r="D22" i="7"/>
  <c r="E22" i="7" s="1"/>
  <c r="F22" i="7" s="1"/>
  <c r="D26" i="7"/>
  <c r="E26" i="7" s="1"/>
  <c r="F26" i="7" s="1"/>
  <c r="D30" i="7"/>
  <c r="E30" i="7" s="1"/>
  <c r="F30" i="7" s="1"/>
  <c r="D34" i="7"/>
  <c r="E34" i="7" s="1"/>
  <c r="F34" i="7" s="1"/>
  <c r="D38" i="7"/>
  <c r="E38" i="7" s="1"/>
  <c r="F38" i="7" s="1"/>
  <c r="D42" i="7"/>
  <c r="E42" i="7" s="1"/>
  <c r="F42" i="7" s="1"/>
  <c r="D46" i="7"/>
  <c r="E46" i="7" s="1"/>
  <c r="F46" i="7" s="1"/>
  <c r="D50" i="7"/>
  <c r="E50" i="7" s="1"/>
  <c r="F50" i="7" s="1"/>
  <c r="D54" i="7"/>
  <c r="E54" i="7" s="1"/>
  <c r="F54" i="7" s="1"/>
  <c r="D19" i="7"/>
  <c r="E19" i="7" s="1"/>
  <c r="F19" i="7" s="1"/>
  <c r="D23" i="7"/>
  <c r="E23" i="7" s="1"/>
  <c r="F23" i="7" s="1"/>
  <c r="D27" i="7"/>
  <c r="E27" i="7" s="1"/>
  <c r="F27" i="7" s="1"/>
  <c r="D31" i="7"/>
  <c r="E31" i="7" s="1"/>
  <c r="F31" i="7" s="1"/>
  <c r="D35" i="7"/>
  <c r="E35" i="7" s="1"/>
  <c r="F35" i="7" s="1"/>
  <c r="D39" i="7"/>
  <c r="E39" i="7" s="1"/>
  <c r="F39" i="7" s="1"/>
  <c r="D43" i="7"/>
  <c r="E43" i="7" s="1"/>
  <c r="F43" i="7" s="1"/>
  <c r="D47" i="7"/>
  <c r="E47" i="7" s="1"/>
  <c r="F47" i="7" s="1"/>
  <c r="D51" i="7"/>
  <c r="E51" i="7" s="1"/>
  <c r="F51" i="7" s="1"/>
  <c r="D15" i="7"/>
  <c r="E15" i="7" s="1"/>
  <c r="F15" i="7" s="1"/>
  <c r="D45" i="7"/>
  <c r="E45" i="7" s="1"/>
  <c r="F45" i="7" s="1"/>
  <c r="D53" i="7"/>
  <c r="E53" i="7" s="1"/>
  <c r="F53" i="7" s="1"/>
  <c r="AA58" i="5"/>
  <c r="O25" i="5"/>
  <c r="B40" i="5"/>
  <c r="Z56" i="5"/>
  <c r="O27" i="5"/>
  <c r="B38" i="5"/>
  <c r="O38" i="5" s="1"/>
  <c r="Z57" i="5"/>
  <c r="Z58" i="5"/>
  <c r="O30" i="5"/>
  <c r="B39" i="5"/>
  <c r="D39" i="5" s="1"/>
  <c r="B57" i="5"/>
  <c r="O45" i="5"/>
  <c r="O24" i="5"/>
  <c r="B33" i="5"/>
  <c r="D33" i="5" s="1"/>
  <c r="O26" i="5"/>
  <c r="B35" i="5"/>
  <c r="AA56" i="5"/>
  <c r="AA57" i="5"/>
  <c r="O28" i="5"/>
  <c r="B37" i="5"/>
  <c r="O32" i="5"/>
  <c r="B41" i="5"/>
  <c r="D41" i="5" s="1"/>
  <c r="O34" i="5"/>
  <c r="B43" i="5"/>
  <c r="D43" i="5" s="1"/>
  <c r="O36" i="5"/>
  <c r="B47" i="5"/>
  <c r="D47" i="5" s="1"/>
  <c r="U83" i="10" l="1"/>
  <c r="E83" i="10"/>
  <c r="S83" i="10"/>
  <c r="M83" i="10"/>
  <c r="H83" i="10"/>
  <c r="L83" i="10"/>
  <c r="Q83" i="10"/>
  <c r="P83" i="10"/>
  <c r="J83" i="10"/>
  <c r="G83" i="10"/>
  <c r="N83" i="10"/>
  <c r="F83" i="10"/>
  <c r="T83" i="10"/>
  <c r="K83" i="10"/>
  <c r="D83" i="10"/>
  <c r="W83" i="10"/>
  <c r="I83" i="10"/>
  <c r="V83" i="10"/>
  <c r="O83" i="10"/>
  <c r="R83" i="10"/>
  <c r="W50" i="10"/>
  <c r="S50" i="10"/>
  <c r="O50" i="10"/>
  <c r="K50" i="10"/>
  <c r="G50" i="10"/>
  <c r="C51" i="10"/>
  <c r="T50" i="10"/>
  <c r="P50" i="10"/>
  <c r="L50" i="10"/>
  <c r="H50" i="10"/>
  <c r="D50" i="10"/>
  <c r="R50" i="10"/>
  <c r="J50" i="10"/>
  <c r="Q50" i="10"/>
  <c r="U50" i="10"/>
  <c r="M50" i="10"/>
  <c r="E50" i="10"/>
  <c r="I50" i="10"/>
  <c r="V50" i="10"/>
  <c r="F50" i="10"/>
  <c r="N50" i="10"/>
  <c r="U18" i="10"/>
  <c r="Q18" i="10"/>
  <c r="M18" i="10"/>
  <c r="I18" i="10"/>
  <c r="E18" i="10"/>
  <c r="C19" i="10"/>
  <c r="V18" i="10"/>
  <c r="R18" i="10"/>
  <c r="N18" i="10"/>
  <c r="J18" i="10"/>
  <c r="F18" i="10"/>
  <c r="S18" i="10"/>
  <c r="K18" i="10"/>
  <c r="P18" i="10"/>
  <c r="W18" i="10"/>
  <c r="G18" i="10"/>
  <c r="T18" i="10"/>
  <c r="L18" i="10"/>
  <c r="D18" i="10"/>
  <c r="H18" i="10"/>
  <c r="O18" i="10"/>
  <c r="C84" i="10"/>
  <c r="D38" i="5"/>
  <c r="G93" i="6"/>
  <c r="I92" i="6"/>
  <c r="E93" i="6"/>
  <c r="I93" i="6"/>
  <c r="K93" i="6"/>
  <c r="L93" i="6" s="1"/>
  <c r="H93" i="6"/>
  <c r="J93" i="6"/>
  <c r="B95" i="6"/>
  <c r="J94" i="6"/>
  <c r="C94" i="6"/>
  <c r="K94" i="6" s="1"/>
  <c r="L94" i="6" s="1"/>
  <c r="D94" i="6"/>
  <c r="U23" i="3"/>
  <c r="O40" i="5"/>
  <c r="B49" i="5"/>
  <c r="D49" i="5" s="1"/>
  <c r="B44" i="5"/>
  <c r="D44" i="5" s="1"/>
  <c r="O35" i="5"/>
  <c r="B53" i="5"/>
  <c r="D53" i="5" s="1"/>
  <c r="O43" i="5"/>
  <c r="B50" i="5"/>
  <c r="D50" i="5" s="1"/>
  <c r="O41" i="5"/>
  <c r="B48" i="5"/>
  <c r="D48" i="5" s="1"/>
  <c r="O39" i="5"/>
  <c r="B61" i="5"/>
  <c r="D61" i="5" s="1"/>
  <c r="O47" i="5"/>
  <c r="B42" i="5"/>
  <c r="D42" i="5" s="1"/>
  <c r="O33" i="5"/>
  <c r="B46" i="5"/>
  <c r="D46" i="5" s="1"/>
  <c r="O37" i="5"/>
  <c r="B71" i="5"/>
  <c r="D71" i="5" s="1"/>
  <c r="O57" i="5"/>
  <c r="O84" i="10" l="1"/>
  <c r="Q84" i="10"/>
  <c r="T84" i="10"/>
  <c r="W84" i="10"/>
  <c r="G84" i="10"/>
  <c r="I84" i="10"/>
  <c r="N84" i="10"/>
  <c r="V84" i="10"/>
  <c r="D84" i="10"/>
  <c r="P84" i="10"/>
  <c r="K84" i="10"/>
  <c r="M84" i="10"/>
  <c r="J84" i="10"/>
  <c r="L84" i="10"/>
  <c r="S84" i="10"/>
  <c r="U84" i="10"/>
  <c r="F84" i="10"/>
  <c r="E84" i="10"/>
  <c r="R84" i="10"/>
  <c r="H84" i="10"/>
  <c r="C85" i="10"/>
  <c r="V51" i="10"/>
  <c r="R51" i="10"/>
  <c r="N51" i="10"/>
  <c r="J51" i="10"/>
  <c r="F51" i="10"/>
  <c r="W51" i="10"/>
  <c r="S51" i="10"/>
  <c r="O51" i="10"/>
  <c r="K51" i="10"/>
  <c r="G51" i="10"/>
  <c r="U51" i="10"/>
  <c r="M51" i="10"/>
  <c r="E51" i="10"/>
  <c r="L51" i="10"/>
  <c r="C52" i="10"/>
  <c r="P51" i="10"/>
  <c r="H51" i="10"/>
  <c r="T51" i="10"/>
  <c r="D51" i="10"/>
  <c r="I51" i="10"/>
  <c r="Q51" i="10"/>
  <c r="C20" i="10"/>
  <c r="V19" i="10"/>
  <c r="R19" i="10"/>
  <c r="N19" i="10"/>
  <c r="J19" i="10"/>
  <c r="F19" i="10"/>
  <c r="W19" i="10"/>
  <c r="S19" i="10"/>
  <c r="O19" i="10"/>
  <c r="K19" i="10"/>
  <c r="G19" i="10"/>
  <c r="T19" i="10"/>
  <c r="L19" i="10"/>
  <c r="D19" i="10"/>
  <c r="I19" i="10"/>
  <c r="P19" i="10"/>
  <c r="U19" i="10"/>
  <c r="M19" i="10"/>
  <c r="E19" i="10"/>
  <c r="Q19" i="10"/>
  <c r="H19" i="10"/>
  <c r="E94" i="6"/>
  <c r="G94" i="6"/>
  <c r="H94" i="6"/>
  <c r="I94" i="6"/>
  <c r="B96" i="6"/>
  <c r="C95" i="6"/>
  <c r="G95" i="6" s="1"/>
  <c r="B65" i="5"/>
  <c r="D65" i="5" s="1"/>
  <c r="O49" i="5"/>
  <c r="B59" i="5"/>
  <c r="D59" i="5" s="1"/>
  <c r="O46" i="5"/>
  <c r="B69" i="5"/>
  <c r="D69" i="5" s="1"/>
  <c r="O53" i="5"/>
  <c r="O71" i="5"/>
  <c r="B51" i="5"/>
  <c r="D51" i="5" s="1"/>
  <c r="O42" i="5"/>
  <c r="B73" i="5"/>
  <c r="D73" i="5" s="1"/>
  <c r="O61" i="5"/>
  <c r="B55" i="5"/>
  <c r="D55" i="5" s="1"/>
  <c r="O44" i="5"/>
  <c r="B75" i="5"/>
  <c r="D75" i="5" s="1"/>
  <c r="B67" i="5"/>
  <c r="D67" i="5" s="1"/>
  <c r="O50" i="5"/>
  <c r="B63" i="5"/>
  <c r="D63" i="5" s="1"/>
  <c r="O48" i="5"/>
  <c r="U85" i="10" l="1"/>
  <c r="S85" i="10"/>
  <c r="L85" i="10"/>
  <c r="P85" i="10"/>
  <c r="J85" i="10"/>
  <c r="M85" i="10"/>
  <c r="K85" i="10"/>
  <c r="E85" i="10"/>
  <c r="Q85" i="10"/>
  <c r="G85" i="10"/>
  <c r="I85" i="10"/>
  <c r="F85" i="10"/>
  <c r="O85" i="10"/>
  <c r="N85" i="10"/>
  <c r="W85" i="10"/>
  <c r="R85" i="10"/>
  <c r="H85" i="10"/>
  <c r="T85" i="10"/>
  <c r="V85" i="10"/>
  <c r="D85" i="10"/>
  <c r="W20" i="10"/>
  <c r="S20" i="10"/>
  <c r="O20" i="10"/>
  <c r="K20" i="10"/>
  <c r="G20" i="10"/>
  <c r="T20" i="10"/>
  <c r="P20" i="10"/>
  <c r="L20" i="10"/>
  <c r="H20" i="10"/>
  <c r="D20" i="10"/>
  <c r="U20" i="10"/>
  <c r="M20" i="10"/>
  <c r="E20" i="10"/>
  <c r="Q20" i="10"/>
  <c r="V20" i="10"/>
  <c r="N20" i="10"/>
  <c r="F20" i="10"/>
  <c r="C21" i="10"/>
  <c r="R20" i="10"/>
  <c r="J20" i="10"/>
  <c r="I20" i="10"/>
  <c r="U52" i="10"/>
  <c r="Q52" i="10"/>
  <c r="M52" i="10"/>
  <c r="I52" i="10"/>
  <c r="E52" i="10"/>
  <c r="V52" i="10"/>
  <c r="R52" i="10"/>
  <c r="N52" i="10"/>
  <c r="J52" i="10"/>
  <c r="F52" i="10"/>
  <c r="C53" i="10"/>
  <c r="P52" i="10"/>
  <c r="H52" i="10"/>
  <c r="W52" i="10"/>
  <c r="G52" i="10"/>
  <c r="S52" i="10"/>
  <c r="K52" i="10"/>
  <c r="O52" i="10"/>
  <c r="L52" i="10"/>
  <c r="D52" i="10"/>
  <c r="T52" i="10"/>
  <c r="C86" i="10"/>
  <c r="K95" i="6"/>
  <c r="D95" i="6"/>
  <c r="J95" i="6"/>
  <c r="H95" i="6"/>
  <c r="I95" i="6" s="1"/>
  <c r="B97" i="6"/>
  <c r="C96" i="6"/>
  <c r="J96" i="6" s="1"/>
  <c r="G96" i="6"/>
  <c r="E95" i="6"/>
  <c r="O65" i="5"/>
  <c r="B52" i="5"/>
  <c r="D52" i="5" s="1"/>
  <c r="B76" i="5"/>
  <c r="D76" i="5" s="1"/>
  <c r="B66" i="5"/>
  <c r="D66" i="5" s="1"/>
  <c r="O67" i="5"/>
  <c r="B72" i="5"/>
  <c r="D72" i="5" s="1"/>
  <c r="B58" i="5"/>
  <c r="D58" i="5" s="1"/>
  <c r="O59" i="5"/>
  <c r="B74" i="5"/>
  <c r="D74" i="5" s="1"/>
  <c r="B62" i="5"/>
  <c r="D62" i="5" s="1"/>
  <c r="O63" i="5"/>
  <c r="O75" i="5"/>
  <c r="O73" i="5"/>
  <c r="B64" i="5"/>
  <c r="D64" i="5" s="1"/>
  <c r="B70" i="5"/>
  <c r="D70" i="5" s="1"/>
  <c r="B54" i="5"/>
  <c r="D54" i="5" s="1"/>
  <c r="O55" i="5"/>
  <c r="B56" i="5"/>
  <c r="D56" i="5" s="1"/>
  <c r="B60" i="5"/>
  <c r="D60" i="5" s="1"/>
  <c r="B68" i="5"/>
  <c r="D68" i="5" s="1"/>
  <c r="O51" i="5"/>
  <c r="O69" i="5"/>
  <c r="Q86" i="10" l="1"/>
  <c r="O86" i="10"/>
  <c r="I86" i="10"/>
  <c r="W86" i="10"/>
  <c r="G86" i="10"/>
  <c r="H86" i="10"/>
  <c r="L86" i="10"/>
  <c r="V86" i="10"/>
  <c r="K86" i="10"/>
  <c r="R86" i="10"/>
  <c r="U86" i="10"/>
  <c r="M86" i="10"/>
  <c r="P86" i="10"/>
  <c r="T86" i="10"/>
  <c r="N86" i="10"/>
  <c r="E86" i="10"/>
  <c r="J86" i="10"/>
  <c r="S86" i="10"/>
  <c r="D86" i="10"/>
  <c r="F86" i="10"/>
  <c r="T21" i="10"/>
  <c r="P21" i="10"/>
  <c r="L21" i="10"/>
  <c r="H21" i="10"/>
  <c r="D21" i="10"/>
  <c r="U21" i="10"/>
  <c r="Q21" i="10"/>
  <c r="M21" i="10"/>
  <c r="I21" i="10"/>
  <c r="E21" i="10"/>
  <c r="V21" i="10"/>
  <c r="N21" i="10"/>
  <c r="F21" i="10"/>
  <c r="C22" i="10"/>
  <c r="K21" i="10"/>
  <c r="J21" i="10"/>
  <c r="W21" i="10"/>
  <c r="O21" i="10"/>
  <c r="G21" i="10"/>
  <c r="S21" i="10"/>
  <c r="R21" i="10"/>
  <c r="C87" i="10"/>
  <c r="C54" i="10"/>
  <c r="T53" i="10"/>
  <c r="P53" i="10"/>
  <c r="L53" i="10"/>
  <c r="H53" i="10"/>
  <c r="D53" i="10"/>
  <c r="U53" i="10"/>
  <c r="Q53" i="10"/>
  <c r="M53" i="10"/>
  <c r="I53" i="10"/>
  <c r="E53" i="10"/>
  <c r="S53" i="10"/>
  <c r="K53" i="10"/>
  <c r="R53" i="10"/>
  <c r="V53" i="10"/>
  <c r="N53" i="10"/>
  <c r="F53" i="10"/>
  <c r="J53" i="10"/>
  <c r="W53" i="10"/>
  <c r="G53" i="10"/>
  <c r="O53" i="10"/>
  <c r="H96" i="6"/>
  <c r="I96" i="6" s="1"/>
  <c r="E96" i="6"/>
  <c r="K96" i="6"/>
  <c r="L96" i="6" s="1"/>
  <c r="L95" i="6"/>
  <c r="D96" i="6"/>
  <c r="B98" i="6"/>
  <c r="J97" i="6"/>
  <c r="C97" i="6"/>
  <c r="D97" i="6" s="1"/>
  <c r="G97" i="6"/>
  <c r="O52" i="5"/>
  <c r="B77" i="5"/>
  <c r="D77" i="5" s="1"/>
  <c r="O68" i="5"/>
  <c r="O74" i="5"/>
  <c r="O60" i="5"/>
  <c r="O54" i="5"/>
  <c r="O66" i="5"/>
  <c r="O56" i="5"/>
  <c r="O62" i="5"/>
  <c r="O72" i="5"/>
  <c r="O64" i="5"/>
  <c r="O58" i="5"/>
  <c r="O70" i="5"/>
  <c r="O76" i="5"/>
  <c r="M87" i="10" l="1"/>
  <c r="K87" i="10"/>
  <c r="D87" i="10"/>
  <c r="H87" i="10"/>
  <c r="U87" i="10"/>
  <c r="E87" i="10"/>
  <c r="S87" i="10"/>
  <c r="T87" i="10"/>
  <c r="N87" i="10"/>
  <c r="I87" i="10"/>
  <c r="W87" i="10"/>
  <c r="F87" i="10"/>
  <c r="G87" i="10"/>
  <c r="R87" i="10"/>
  <c r="Q87" i="10"/>
  <c r="J87" i="10"/>
  <c r="O87" i="10"/>
  <c r="L87" i="10"/>
  <c r="P87" i="10"/>
  <c r="V87" i="10"/>
  <c r="U54" i="10"/>
  <c r="Q54" i="10"/>
  <c r="M54" i="10"/>
  <c r="I54" i="10"/>
  <c r="E54" i="10"/>
  <c r="C55" i="10"/>
  <c r="S54" i="10"/>
  <c r="N54" i="10"/>
  <c r="H54" i="10"/>
  <c r="T54" i="10"/>
  <c r="O54" i="10"/>
  <c r="J54" i="10"/>
  <c r="D54" i="10"/>
  <c r="R54" i="10"/>
  <c r="G54" i="10"/>
  <c r="P54" i="10"/>
  <c r="V54" i="10"/>
  <c r="K54" i="10"/>
  <c r="F54" i="10"/>
  <c r="L54" i="10"/>
  <c r="W54" i="10"/>
  <c r="T22" i="10"/>
  <c r="P22" i="10"/>
  <c r="L22" i="10"/>
  <c r="H22" i="10"/>
  <c r="D22" i="10"/>
  <c r="U22" i="10"/>
  <c r="Q22" i="10"/>
  <c r="M22" i="10"/>
  <c r="I22" i="10"/>
  <c r="E22" i="10"/>
  <c r="V22" i="10"/>
  <c r="N22" i="10"/>
  <c r="F22" i="10"/>
  <c r="S22" i="10"/>
  <c r="R22" i="10"/>
  <c r="W22" i="10"/>
  <c r="O22" i="10"/>
  <c r="G22" i="10"/>
  <c r="C23" i="10"/>
  <c r="K22" i="10"/>
  <c r="J22" i="10"/>
  <c r="C88" i="10"/>
  <c r="E97" i="6"/>
  <c r="H97" i="6"/>
  <c r="I97" i="6" s="1"/>
  <c r="K97" i="6"/>
  <c r="L97" i="6" s="1"/>
  <c r="B99" i="6"/>
  <c r="C98" i="6"/>
  <c r="H98" i="6" s="1"/>
  <c r="D98" i="6"/>
  <c r="O77" i="5"/>
  <c r="I88" i="10" l="1"/>
  <c r="W88" i="10"/>
  <c r="G88" i="10"/>
  <c r="P88" i="10"/>
  <c r="T88" i="10"/>
  <c r="N88" i="10"/>
  <c r="Q88" i="10"/>
  <c r="O88" i="10"/>
  <c r="D88" i="10"/>
  <c r="U88" i="10"/>
  <c r="H88" i="10"/>
  <c r="L88" i="10"/>
  <c r="F88" i="10"/>
  <c r="M88" i="10"/>
  <c r="E88" i="10"/>
  <c r="S88" i="10"/>
  <c r="R88" i="10"/>
  <c r="K88" i="10"/>
  <c r="V88" i="10"/>
  <c r="J88" i="10"/>
  <c r="C89" i="10"/>
  <c r="C56" i="10"/>
  <c r="T55" i="10"/>
  <c r="P55" i="10"/>
  <c r="L55" i="10"/>
  <c r="H55" i="10"/>
  <c r="D55" i="10"/>
  <c r="S55" i="10"/>
  <c r="N55" i="10"/>
  <c r="I55" i="10"/>
  <c r="U55" i="10"/>
  <c r="O55" i="10"/>
  <c r="J55" i="10"/>
  <c r="E55" i="10"/>
  <c r="R55" i="10"/>
  <c r="G55" i="10"/>
  <c r="Q55" i="10"/>
  <c r="V55" i="10"/>
  <c r="K55" i="10"/>
  <c r="F55" i="10"/>
  <c r="W55" i="10"/>
  <c r="M55" i="10"/>
  <c r="T23" i="10"/>
  <c r="P23" i="10"/>
  <c r="L23" i="10"/>
  <c r="H23" i="10"/>
  <c r="D23" i="10"/>
  <c r="U23" i="10"/>
  <c r="Q23" i="10"/>
  <c r="M23" i="10"/>
  <c r="I23" i="10"/>
  <c r="E23" i="10"/>
  <c r="V23" i="10"/>
  <c r="N23" i="10"/>
  <c r="F23" i="10"/>
  <c r="K23" i="10"/>
  <c r="R23" i="10"/>
  <c r="W23" i="10"/>
  <c r="O23" i="10"/>
  <c r="G23" i="10"/>
  <c r="C24" i="10"/>
  <c r="S23" i="10"/>
  <c r="J23" i="10"/>
  <c r="E98" i="6"/>
  <c r="K98" i="6"/>
  <c r="G98" i="6"/>
  <c r="I98" i="6" s="1"/>
  <c r="J98" i="6"/>
  <c r="B100" i="6"/>
  <c r="J99" i="6"/>
  <c r="K99" i="6"/>
  <c r="D99" i="6"/>
  <c r="C99" i="6"/>
  <c r="G99" i="6"/>
  <c r="H99" i="6"/>
  <c r="I99" i="6" s="1"/>
  <c r="E99" i="6"/>
  <c r="D12" i="3"/>
  <c r="U89" i="10" l="1"/>
  <c r="E89" i="10"/>
  <c r="S89" i="10"/>
  <c r="M89" i="10"/>
  <c r="K89" i="10"/>
  <c r="L89" i="10"/>
  <c r="P89" i="10"/>
  <c r="O89" i="10"/>
  <c r="Q89" i="10"/>
  <c r="T89" i="10"/>
  <c r="F89" i="10"/>
  <c r="R89" i="10"/>
  <c r="V89" i="10"/>
  <c r="I89" i="10"/>
  <c r="G89" i="10"/>
  <c r="D89" i="10"/>
  <c r="H89" i="10"/>
  <c r="J89" i="10"/>
  <c r="N89" i="10"/>
  <c r="W89" i="10"/>
  <c r="L98" i="6"/>
  <c r="T24" i="10"/>
  <c r="P24" i="10"/>
  <c r="L24" i="10"/>
  <c r="H24" i="10"/>
  <c r="D24" i="10"/>
  <c r="U24" i="10"/>
  <c r="Q24" i="10"/>
  <c r="M24" i="10"/>
  <c r="I24" i="10"/>
  <c r="E24" i="10"/>
  <c r="V24" i="10"/>
  <c r="N24" i="10"/>
  <c r="F24" i="10"/>
  <c r="K24" i="10"/>
  <c r="R24" i="10"/>
  <c r="W24" i="10"/>
  <c r="O24" i="10"/>
  <c r="G24" i="10"/>
  <c r="C25" i="10"/>
  <c r="S24" i="10"/>
  <c r="J24" i="10"/>
  <c r="C90" i="10"/>
  <c r="W56" i="10"/>
  <c r="S56" i="10"/>
  <c r="O56" i="10"/>
  <c r="K56" i="10"/>
  <c r="G56" i="10"/>
  <c r="T56" i="10"/>
  <c r="N56" i="10"/>
  <c r="I56" i="10"/>
  <c r="D56" i="10"/>
  <c r="U56" i="10"/>
  <c r="P56" i="10"/>
  <c r="J56" i="10"/>
  <c r="E56" i="10"/>
  <c r="R56" i="10"/>
  <c r="H56" i="10"/>
  <c r="V56" i="10"/>
  <c r="L56" i="10"/>
  <c r="Q56" i="10"/>
  <c r="F56" i="10"/>
  <c r="C57" i="10"/>
  <c r="M56" i="10"/>
  <c r="B101" i="6"/>
  <c r="C100" i="6"/>
  <c r="K100" i="6" s="1"/>
  <c r="G100" i="6"/>
  <c r="L99" i="6"/>
  <c r="D22" i="3"/>
  <c r="Q90" i="10" l="1"/>
  <c r="O90" i="10"/>
  <c r="H90" i="10"/>
  <c r="L90" i="10"/>
  <c r="R90" i="10"/>
  <c r="I90" i="10"/>
  <c r="W90" i="10"/>
  <c r="G90" i="10"/>
  <c r="F90" i="10"/>
  <c r="M90" i="10"/>
  <c r="V90" i="10"/>
  <c r="J90" i="10"/>
  <c r="E90" i="10"/>
  <c r="K90" i="10"/>
  <c r="D90" i="10"/>
  <c r="U90" i="10"/>
  <c r="P90" i="10"/>
  <c r="T90" i="10"/>
  <c r="S90" i="10"/>
  <c r="N90" i="10"/>
  <c r="T15" i="3"/>
  <c r="T22" i="3"/>
  <c r="T25" i="10"/>
  <c r="P25" i="10"/>
  <c r="L25" i="10"/>
  <c r="H25" i="10"/>
  <c r="D25" i="10"/>
  <c r="U25" i="10"/>
  <c r="Q25" i="10"/>
  <c r="M25" i="10"/>
  <c r="I25" i="10"/>
  <c r="E25" i="10"/>
  <c r="V25" i="10"/>
  <c r="N25" i="10"/>
  <c r="F25" i="10"/>
  <c r="C26" i="10"/>
  <c r="S25" i="10"/>
  <c r="R25" i="10"/>
  <c r="W25" i="10"/>
  <c r="O25" i="10"/>
  <c r="G25" i="10"/>
  <c r="K25" i="10"/>
  <c r="J25" i="10"/>
  <c r="V57" i="10"/>
  <c r="R57" i="10"/>
  <c r="N57" i="10"/>
  <c r="J57" i="10"/>
  <c r="F57" i="10"/>
  <c r="T57" i="10"/>
  <c r="O57" i="10"/>
  <c r="I57" i="10"/>
  <c r="D57" i="10"/>
  <c r="U57" i="10"/>
  <c r="P57" i="10"/>
  <c r="K57" i="10"/>
  <c r="E57" i="10"/>
  <c r="S57" i="10"/>
  <c r="H57" i="10"/>
  <c r="Q57" i="10"/>
  <c r="G57" i="10"/>
  <c r="W57" i="10"/>
  <c r="L57" i="10"/>
  <c r="C58" i="10"/>
  <c r="M57" i="10"/>
  <c r="C91" i="10"/>
  <c r="L100" i="6"/>
  <c r="J100" i="6"/>
  <c r="C101" i="6"/>
  <c r="D101" i="6" s="1"/>
  <c r="B102" i="6"/>
  <c r="E100" i="6"/>
  <c r="D100" i="6"/>
  <c r="H100" i="6"/>
  <c r="I100" i="6" s="1"/>
  <c r="T10" i="3"/>
  <c r="T12" i="3"/>
  <c r="T24" i="3" s="1"/>
  <c r="E15" i="5"/>
  <c r="P16" i="5"/>
  <c r="Q16" i="5" s="1"/>
  <c r="P20" i="5"/>
  <c r="Q20" i="5" s="1"/>
  <c r="P24" i="5"/>
  <c r="Q24" i="5" s="1"/>
  <c r="P32" i="5"/>
  <c r="Q32" i="5" s="1"/>
  <c r="E19" i="5"/>
  <c r="E23" i="5"/>
  <c r="P18" i="5"/>
  <c r="Q18" i="5" s="1"/>
  <c r="P22" i="5"/>
  <c r="Q22" i="5" s="1"/>
  <c r="P28" i="5"/>
  <c r="Q28" i="5" s="1"/>
  <c r="P15" i="5"/>
  <c r="Q15" i="5" s="1"/>
  <c r="E17" i="5"/>
  <c r="E21" i="5"/>
  <c r="P23" i="5"/>
  <c r="Q23" i="5" s="1"/>
  <c r="E22" i="5"/>
  <c r="P17" i="5"/>
  <c r="Q17" i="5" s="1"/>
  <c r="P27" i="5"/>
  <c r="Q27" i="5" s="1"/>
  <c r="E16" i="5"/>
  <c r="P31" i="5"/>
  <c r="Q31" i="5" s="1"/>
  <c r="P21" i="5"/>
  <c r="Q21" i="5" s="1"/>
  <c r="P36" i="5"/>
  <c r="Q36" i="5" s="1"/>
  <c r="E20" i="5"/>
  <c r="P19" i="5"/>
  <c r="Q19" i="5" s="1"/>
  <c r="E18" i="5"/>
  <c r="E24" i="5"/>
  <c r="E45" i="5"/>
  <c r="P30" i="5"/>
  <c r="Q30" i="5" s="1"/>
  <c r="P25" i="5"/>
  <c r="Q25" i="5" s="1"/>
  <c r="E28" i="5"/>
  <c r="E26" i="5"/>
  <c r="P26" i="5"/>
  <c r="Q26" i="5" s="1"/>
  <c r="E27" i="5"/>
  <c r="E36" i="5"/>
  <c r="E32" i="5"/>
  <c r="E30" i="5"/>
  <c r="P45" i="5"/>
  <c r="Q45" i="5" s="1"/>
  <c r="E31" i="5"/>
  <c r="E29" i="5"/>
  <c r="E34" i="5"/>
  <c r="P34" i="5"/>
  <c r="Q34" i="5" s="1"/>
  <c r="P29" i="5"/>
  <c r="Q29" i="5" s="1"/>
  <c r="E25" i="5"/>
  <c r="P57" i="5"/>
  <c r="Q57" i="5" s="1"/>
  <c r="P43" i="5"/>
  <c r="Q43" i="5" s="1"/>
  <c r="E40" i="5"/>
  <c r="E47" i="5"/>
  <c r="E35" i="5"/>
  <c r="P38" i="5"/>
  <c r="Q38" i="5" s="1"/>
  <c r="E43" i="5"/>
  <c r="E37" i="5"/>
  <c r="P37" i="5"/>
  <c r="Q37" i="5" s="1"/>
  <c r="P40" i="5"/>
  <c r="Q40" i="5" s="1"/>
  <c r="P35" i="5"/>
  <c r="Q35" i="5" s="1"/>
  <c r="E33" i="5"/>
  <c r="E41" i="5"/>
  <c r="E39" i="5"/>
  <c r="P39" i="5"/>
  <c r="Q39" i="5" s="1"/>
  <c r="P41" i="5"/>
  <c r="Q41" i="5" s="1"/>
  <c r="E38" i="5"/>
  <c r="P33" i="5"/>
  <c r="Q33" i="5" s="1"/>
  <c r="P47" i="5"/>
  <c r="Q47" i="5" s="1"/>
  <c r="E57" i="5"/>
  <c r="E42" i="5"/>
  <c r="P71" i="5"/>
  <c r="Q71" i="5" s="1"/>
  <c r="P53" i="5"/>
  <c r="Q53" i="5" s="1"/>
  <c r="P61" i="5"/>
  <c r="Q61" i="5" s="1"/>
  <c r="E50" i="5"/>
  <c r="P42" i="5"/>
  <c r="Q42" i="5" s="1"/>
  <c r="E48" i="5"/>
  <c r="E46" i="5"/>
  <c r="P50" i="5"/>
  <c r="Q50" i="5" s="1"/>
  <c r="P49" i="5"/>
  <c r="Q49" i="5" s="1"/>
  <c r="P48" i="5"/>
  <c r="Q48" i="5" s="1"/>
  <c r="P46" i="5"/>
  <c r="Q46" i="5" s="1"/>
  <c r="E44" i="5"/>
  <c r="E71" i="5"/>
  <c r="E53" i="5"/>
  <c r="E61" i="5"/>
  <c r="P44" i="5"/>
  <c r="Q44" i="5" s="1"/>
  <c r="E49" i="5"/>
  <c r="P51" i="5"/>
  <c r="Q51" i="5" s="1"/>
  <c r="P63" i="5"/>
  <c r="Q63" i="5" s="1"/>
  <c r="P69" i="5"/>
  <c r="Q69" i="5" s="1"/>
  <c r="E65" i="5"/>
  <c r="P73" i="5"/>
  <c r="Q73" i="5" s="1"/>
  <c r="E55" i="5"/>
  <c r="E59" i="5"/>
  <c r="E75" i="5"/>
  <c r="P65" i="5"/>
  <c r="Q65" i="5" s="1"/>
  <c r="P59" i="5"/>
  <c r="Q59" i="5" s="1"/>
  <c r="P75" i="5"/>
  <c r="Q75" i="5" s="1"/>
  <c r="E63" i="5"/>
  <c r="E69" i="5"/>
  <c r="E73" i="5"/>
  <c r="E67" i="5"/>
  <c r="P55" i="5"/>
  <c r="Q55" i="5" s="1"/>
  <c r="E51" i="5"/>
  <c r="P67" i="5"/>
  <c r="Q67" i="5" s="1"/>
  <c r="E72" i="5"/>
  <c r="E54" i="5"/>
  <c r="E52" i="5"/>
  <c r="E66" i="5"/>
  <c r="P56" i="5"/>
  <c r="Q56" i="5" s="1"/>
  <c r="P68" i="5"/>
  <c r="Q68" i="5" s="1"/>
  <c r="P62" i="5"/>
  <c r="Q62" i="5" s="1"/>
  <c r="P54" i="5"/>
  <c r="Q54" i="5" s="1"/>
  <c r="P52" i="5"/>
  <c r="Q52" i="5" s="1"/>
  <c r="E70" i="5"/>
  <c r="E64" i="5"/>
  <c r="E60" i="5"/>
  <c r="E74" i="5"/>
  <c r="P70" i="5"/>
  <c r="Q70" i="5" s="1"/>
  <c r="P60" i="5"/>
  <c r="Q60" i="5" s="1"/>
  <c r="P76" i="5"/>
  <c r="Q76" i="5" s="1"/>
  <c r="P74" i="5"/>
  <c r="Q74" i="5" s="1"/>
  <c r="E56" i="5"/>
  <c r="E68" i="5"/>
  <c r="E62" i="5"/>
  <c r="P72" i="5"/>
  <c r="Q72" i="5" s="1"/>
  <c r="P66" i="5"/>
  <c r="Q66" i="5" s="1"/>
  <c r="E58" i="5"/>
  <c r="E76" i="5"/>
  <c r="P64" i="5"/>
  <c r="Q64" i="5" s="1"/>
  <c r="P58" i="5"/>
  <c r="Q58" i="5" s="1"/>
  <c r="P77" i="5"/>
  <c r="Q77" i="5" s="1"/>
  <c r="E77" i="5"/>
  <c r="M91" i="10" l="1"/>
  <c r="K91" i="10"/>
  <c r="T91" i="10"/>
  <c r="R91" i="10"/>
  <c r="U91" i="10"/>
  <c r="E91" i="10"/>
  <c r="S91" i="10"/>
  <c r="D91" i="10"/>
  <c r="H91" i="10"/>
  <c r="G91" i="10"/>
  <c r="L91" i="10"/>
  <c r="P91" i="10"/>
  <c r="J91" i="10"/>
  <c r="Q91" i="10"/>
  <c r="I91" i="10"/>
  <c r="W91" i="10"/>
  <c r="V91" i="10"/>
  <c r="N91" i="10"/>
  <c r="O91" i="10"/>
  <c r="F91" i="10"/>
  <c r="C92" i="10"/>
  <c r="U58" i="10"/>
  <c r="Q58" i="10"/>
  <c r="M58" i="10"/>
  <c r="I58" i="10"/>
  <c r="E58" i="10"/>
  <c r="T58" i="10"/>
  <c r="O58" i="10"/>
  <c r="J58" i="10"/>
  <c r="D58" i="10"/>
  <c r="V58" i="10"/>
  <c r="P58" i="10"/>
  <c r="K58" i="10"/>
  <c r="F58" i="10"/>
  <c r="S58" i="10"/>
  <c r="H58" i="10"/>
  <c r="R58" i="10"/>
  <c r="W58" i="10"/>
  <c r="L58" i="10"/>
  <c r="G58" i="10"/>
  <c r="N58" i="10"/>
  <c r="C59" i="10"/>
  <c r="T26" i="10"/>
  <c r="P26" i="10"/>
  <c r="L26" i="10"/>
  <c r="H26" i="10"/>
  <c r="D26" i="10"/>
  <c r="U26" i="10"/>
  <c r="Q26" i="10"/>
  <c r="M26" i="10"/>
  <c r="I26" i="10"/>
  <c r="E26" i="10"/>
  <c r="V26" i="10"/>
  <c r="N26" i="10"/>
  <c r="F26" i="10"/>
  <c r="S26" i="10"/>
  <c r="R26" i="10"/>
  <c r="J26" i="10"/>
  <c r="W26" i="10"/>
  <c r="O26" i="10"/>
  <c r="G26" i="10"/>
  <c r="C27" i="10"/>
  <c r="K26" i="10"/>
  <c r="K101" i="6"/>
  <c r="F100" i="6"/>
  <c r="H101" i="6"/>
  <c r="G101" i="6"/>
  <c r="I101" i="6" s="1"/>
  <c r="B103" i="6"/>
  <c r="C102" i="6"/>
  <c r="J102" i="6" s="1"/>
  <c r="J101" i="6"/>
  <c r="E101" i="6"/>
  <c r="F101" i="6" s="1"/>
  <c r="T14" i="3"/>
  <c r="T23" i="3" s="1"/>
  <c r="F56" i="5"/>
  <c r="F70" i="5"/>
  <c r="F54" i="5"/>
  <c r="F63" i="5"/>
  <c r="F75" i="5"/>
  <c r="F65" i="5"/>
  <c r="F49" i="5"/>
  <c r="F71" i="5"/>
  <c r="F39" i="5"/>
  <c r="F27" i="5"/>
  <c r="F18" i="5"/>
  <c r="F17" i="5"/>
  <c r="F74" i="5"/>
  <c r="F72" i="5"/>
  <c r="F67" i="5"/>
  <c r="F59" i="5"/>
  <c r="F44" i="5"/>
  <c r="F50" i="5"/>
  <c r="F42" i="5"/>
  <c r="F38" i="5"/>
  <c r="F41" i="5"/>
  <c r="F35" i="5"/>
  <c r="F34" i="5"/>
  <c r="F30" i="5"/>
  <c r="F22" i="5"/>
  <c r="F23" i="5"/>
  <c r="F77" i="5"/>
  <c r="F76" i="5"/>
  <c r="F62" i="5"/>
  <c r="F60" i="5"/>
  <c r="F66" i="5"/>
  <c r="F73" i="5"/>
  <c r="F55" i="5"/>
  <c r="F61" i="5"/>
  <c r="F46" i="5"/>
  <c r="F57" i="5"/>
  <c r="F33" i="5"/>
  <c r="F37" i="5"/>
  <c r="F47" i="5"/>
  <c r="F25" i="5"/>
  <c r="F29" i="5"/>
  <c r="F32" i="5"/>
  <c r="F26" i="5"/>
  <c r="F45" i="5"/>
  <c r="F20" i="5"/>
  <c r="F16" i="5"/>
  <c r="F19" i="5"/>
  <c r="F58" i="5"/>
  <c r="F68" i="5"/>
  <c r="F64" i="5"/>
  <c r="F52" i="5"/>
  <c r="F51" i="5"/>
  <c r="F69" i="5"/>
  <c r="F53" i="5"/>
  <c r="F48" i="5"/>
  <c r="F43" i="5"/>
  <c r="F40" i="5"/>
  <c r="F31" i="5"/>
  <c r="F36" i="5"/>
  <c r="F28" i="5"/>
  <c r="F24" i="5"/>
  <c r="F21" i="5"/>
  <c r="F15" i="5"/>
  <c r="I92" i="10" l="1"/>
  <c r="W92" i="10"/>
  <c r="G92" i="10"/>
  <c r="D92" i="10"/>
  <c r="Q92" i="10"/>
  <c r="O92" i="10"/>
  <c r="P92" i="10"/>
  <c r="T92" i="10"/>
  <c r="E92" i="10"/>
  <c r="S92" i="10"/>
  <c r="K92" i="10"/>
  <c r="U92" i="10"/>
  <c r="V92" i="10"/>
  <c r="M92" i="10"/>
  <c r="R92" i="10"/>
  <c r="N92" i="10"/>
  <c r="F92" i="10"/>
  <c r="J92" i="10"/>
  <c r="H92" i="10"/>
  <c r="L92" i="10"/>
  <c r="C60" i="10"/>
  <c r="T59" i="10"/>
  <c r="P59" i="10"/>
  <c r="L59" i="10"/>
  <c r="H59" i="10"/>
  <c r="D59" i="10"/>
  <c r="U59" i="10"/>
  <c r="O59" i="10"/>
  <c r="J59" i="10"/>
  <c r="E59" i="10"/>
  <c r="V59" i="10"/>
  <c r="Q59" i="10"/>
  <c r="K59" i="10"/>
  <c r="F59" i="10"/>
  <c r="S59" i="10"/>
  <c r="I59" i="10"/>
  <c r="R59" i="10"/>
  <c r="W59" i="10"/>
  <c r="M59" i="10"/>
  <c r="G59" i="10"/>
  <c r="N59" i="10"/>
  <c r="T27" i="10"/>
  <c r="P27" i="10"/>
  <c r="L27" i="10"/>
  <c r="H27" i="10"/>
  <c r="D27" i="10"/>
  <c r="U27" i="10"/>
  <c r="Q27" i="10"/>
  <c r="M27" i="10"/>
  <c r="I27" i="10"/>
  <c r="E27" i="10"/>
  <c r="V27" i="10"/>
  <c r="N27" i="10"/>
  <c r="F27" i="10"/>
  <c r="S27" i="10"/>
  <c r="J27" i="10"/>
  <c r="W27" i="10"/>
  <c r="O27" i="10"/>
  <c r="G27" i="10"/>
  <c r="C28" i="10"/>
  <c r="K27" i="10"/>
  <c r="R27" i="10"/>
  <c r="C93" i="10"/>
  <c r="L101" i="6"/>
  <c r="E102" i="6"/>
  <c r="D102" i="6"/>
  <c r="G102" i="6"/>
  <c r="K102" i="6"/>
  <c r="L102" i="6" s="1"/>
  <c r="H102" i="6"/>
  <c r="B104" i="6"/>
  <c r="C103" i="6"/>
  <c r="G103" i="6" s="1"/>
  <c r="I15" i="5"/>
  <c r="J15" i="5" s="1"/>
  <c r="G15" i="5"/>
  <c r="H15" i="5" s="1"/>
  <c r="G48" i="5"/>
  <c r="H48" i="5" s="1"/>
  <c r="I48" i="5"/>
  <c r="K48" i="5" s="1"/>
  <c r="L48" i="5" s="1"/>
  <c r="I19" i="5"/>
  <c r="K19" i="5" s="1"/>
  <c r="L19" i="5" s="1"/>
  <c r="G19" i="5"/>
  <c r="H19" i="5" s="1"/>
  <c r="G26" i="5"/>
  <c r="H26" i="5" s="1"/>
  <c r="I26" i="5"/>
  <c r="K26" i="5" s="1"/>
  <c r="L26" i="5" s="1"/>
  <c r="G46" i="5"/>
  <c r="H46" i="5" s="1"/>
  <c r="I46" i="5"/>
  <c r="K46" i="5" s="1"/>
  <c r="L46" i="5" s="1"/>
  <c r="G66" i="5"/>
  <c r="H66" i="5" s="1"/>
  <c r="I66" i="5"/>
  <c r="K66" i="5" s="1"/>
  <c r="L66" i="5" s="1"/>
  <c r="I77" i="5"/>
  <c r="K77" i="5" s="1"/>
  <c r="L77" i="5" s="1"/>
  <c r="G77" i="5"/>
  <c r="H77" i="5" s="1"/>
  <c r="G34" i="5"/>
  <c r="H34" i="5" s="1"/>
  <c r="I34" i="5"/>
  <c r="K34" i="5" s="1"/>
  <c r="L34" i="5" s="1"/>
  <c r="G42" i="5"/>
  <c r="H42" i="5" s="1"/>
  <c r="I42" i="5"/>
  <c r="K42" i="5" s="1"/>
  <c r="L42" i="5" s="1"/>
  <c r="I67" i="5"/>
  <c r="K67" i="5" s="1"/>
  <c r="L67" i="5" s="1"/>
  <c r="G67" i="5"/>
  <c r="H67" i="5" s="1"/>
  <c r="G18" i="5"/>
  <c r="H18" i="5" s="1"/>
  <c r="I18" i="5"/>
  <c r="K18" i="5" s="1"/>
  <c r="L18" i="5" s="1"/>
  <c r="I49" i="5"/>
  <c r="K49" i="5" s="1"/>
  <c r="L49" i="5" s="1"/>
  <c r="G49" i="5"/>
  <c r="H49" i="5" s="1"/>
  <c r="G54" i="5"/>
  <c r="H54" i="5" s="1"/>
  <c r="I54" i="5"/>
  <c r="K54" i="5" s="1"/>
  <c r="L54" i="5" s="1"/>
  <c r="I21" i="5"/>
  <c r="K21" i="5" s="1"/>
  <c r="L21" i="5" s="1"/>
  <c r="G21" i="5"/>
  <c r="H21" i="5" s="1"/>
  <c r="I31" i="5"/>
  <c r="K31" i="5" s="1"/>
  <c r="L31" i="5" s="1"/>
  <c r="G31" i="5"/>
  <c r="H31" i="5" s="1"/>
  <c r="I53" i="5"/>
  <c r="K53" i="5" s="1"/>
  <c r="G53" i="5"/>
  <c r="H53" i="5" s="1"/>
  <c r="G64" i="5"/>
  <c r="H64" i="5" s="1"/>
  <c r="I64" i="5"/>
  <c r="K64" i="5" s="1"/>
  <c r="L64" i="5" s="1"/>
  <c r="G16" i="5"/>
  <c r="H16" i="5" s="1"/>
  <c r="I16" i="5"/>
  <c r="K16" i="5" s="1"/>
  <c r="L16" i="5" s="1"/>
  <c r="G32" i="5"/>
  <c r="H32" i="5" s="1"/>
  <c r="I32" i="5"/>
  <c r="K32" i="5" s="1"/>
  <c r="L32" i="5" s="1"/>
  <c r="I37" i="5"/>
  <c r="K37" i="5" s="1"/>
  <c r="L37" i="5" s="1"/>
  <c r="G37" i="5"/>
  <c r="H37" i="5" s="1"/>
  <c r="I61" i="5"/>
  <c r="K61" i="5" s="1"/>
  <c r="L61" i="5" s="1"/>
  <c r="G61" i="5"/>
  <c r="H61" i="5" s="1"/>
  <c r="I23" i="5"/>
  <c r="K23" i="5" s="1"/>
  <c r="L23" i="5" s="1"/>
  <c r="G23" i="5"/>
  <c r="H23" i="5" s="1"/>
  <c r="I35" i="5"/>
  <c r="K35" i="5" s="1"/>
  <c r="L35" i="5" s="1"/>
  <c r="G35" i="5"/>
  <c r="H35" i="5" s="1"/>
  <c r="G50" i="5"/>
  <c r="H50" i="5" s="1"/>
  <c r="I50" i="5"/>
  <c r="K50" i="5" s="1"/>
  <c r="L50" i="5" s="1"/>
  <c r="G72" i="5"/>
  <c r="H72" i="5" s="1"/>
  <c r="I72" i="5"/>
  <c r="K72" i="5" s="1"/>
  <c r="L72" i="5" s="1"/>
  <c r="I27" i="5"/>
  <c r="K27" i="5" s="1"/>
  <c r="L27" i="5" s="1"/>
  <c r="G27" i="5"/>
  <c r="H27" i="5" s="1"/>
  <c r="I65" i="5"/>
  <c r="K65" i="5" s="1"/>
  <c r="L65" i="5" s="1"/>
  <c r="G65" i="5"/>
  <c r="H65" i="5" s="1"/>
  <c r="G70" i="5"/>
  <c r="H70" i="5" s="1"/>
  <c r="I70" i="5"/>
  <c r="K70" i="5" s="1"/>
  <c r="G24" i="5"/>
  <c r="H24" i="5" s="1"/>
  <c r="I24" i="5"/>
  <c r="K24" i="5" s="1"/>
  <c r="L24" i="5" s="1"/>
  <c r="G40" i="5"/>
  <c r="H40" i="5" s="1"/>
  <c r="I40" i="5"/>
  <c r="K40" i="5" s="1"/>
  <c r="L40" i="5" s="1"/>
  <c r="I69" i="5"/>
  <c r="K69" i="5" s="1"/>
  <c r="L69" i="5" s="1"/>
  <c r="G69" i="5"/>
  <c r="H69" i="5" s="1"/>
  <c r="G68" i="5"/>
  <c r="H68" i="5" s="1"/>
  <c r="I68" i="5"/>
  <c r="K68" i="5" s="1"/>
  <c r="L68" i="5" s="1"/>
  <c r="G20" i="5"/>
  <c r="H20" i="5" s="1"/>
  <c r="I20" i="5"/>
  <c r="K20" i="5" s="1"/>
  <c r="L20" i="5" s="1"/>
  <c r="I29" i="5"/>
  <c r="K29" i="5" s="1"/>
  <c r="L29" i="5" s="1"/>
  <c r="G29" i="5"/>
  <c r="H29" i="5" s="1"/>
  <c r="I33" i="5"/>
  <c r="K33" i="5" s="1"/>
  <c r="L33" i="5" s="1"/>
  <c r="G33" i="5"/>
  <c r="H33" i="5" s="1"/>
  <c r="I55" i="5"/>
  <c r="K55" i="5" s="1"/>
  <c r="L55" i="5" s="1"/>
  <c r="G55" i="5"/>
  <c r="H55" i="5" s="1"/>
  <c r="G62" i="5"/>
  <c r="H62" i="5" s="1"/>
  <c r="I62" i="5"/>
  <c r="K62" i="5" s="1"/>
  <c r="L62" i="5" s="1"/>
  <c r="G22" i="5"/>
  <c r="H22" i="5" s="1"/>
  <c r="I22" i="5"/>
  <c r="K22" i="5" s="1"/>
  <c r="L22" i="5" s="1"/>
  <c r="I41" i="5"/>
  <c r="K41" i="5" s="1"/>
  <c r="L41" i="5" s="1"/>
  <c r="G41" i="5"/>
  <c r="H41" i="5" s="1"/>
  <c r="G44" i="5"/>
  <c r="H44" i="5" s="1"/>
  <c r="I44" i="5"/>
  <c r="K44" i="5" s="1"/>
  <c r="L44" i="5" s="1"/>
  <c r="G74" i="5"/>
  <c r="H74" i="5" s="1"/>
  <c r="I74" i="5"/>
  <c r="K74" i="5" s="1"/>
  <c r="L74" i="5" s="1"/>
  <c r="I39" i="5"/>
  <c r="K39" i="5" s="1"/>
  <c r="L39" i="5" s="1"/>
  <c r="G39" i="5"/>
  <c r="H39" i="5" s="1"/>
  <c r="I75" i="5"/>
  <c r="K75" i="5" s="1"/>
  <c r="L75" i="5" s="1"/>
  <c r="G75" i="5"/>
  <c r="H75" i="5" s="1"/>
  <c r="G56" i="5"/>
  <c r="H56" i="5" s="1"/>
  <c r="I56" i="5"/>
  <c r="K56" i="5" s="1"/>
  <c r="L56" i="5" s="1"/>
  <c r="G28" i="5"/>
  <c r="H28" i="5" s="1"/>
  <c r="I28" i="5"/>
  <c r="K28" i="5" s="1"/>
  <c r="L28" i="5" s="1"/>
  <c r="I43" i="5"/>
  <c r="K43" i="5" s="1"/>
  <c r="L43" i="5" s="1"/>
  <c r="G43" i="5"/>
  <c r="H43" i="5" s="1"/>
  <c r="I51" i="5"/>
  <c r="K51" i="5" s="1"/>
  <c r="L51" i="5" s="1"/>
  <c r="G51" i="5"/>
  <c r="H51" i="5" s="1"/>
  <c r="G58" i="5"/>
  <c r="H58" i="5" s="1"/>
  <c r="I58" i="5"/>
  <c r="K58" i="5" s="1"/>
  <c r="L58" i="5" s="1"/>
  <c r="I45" i="5"/>
  <c r="K45" i="5" s="1"/>
  <c r="L45" i="5" s="1"/>
  <c r="G45" i="5"/>
  <c r="H45" i="5" s="1"/>
  <c r="I25" i="5"/>
  <c r="K25" i="5" s="1"/>
  <c r="L25" i="5" s="1"/>
  <c r="G25" i="5"/>
  <c r="H25" i="5" s="1"/>
  <c r="I57" i="5"/>
  <c r="K57" i="5" s="1"/>
  <c r="L57" i="5" s="1"/>
  <c r="G57" i="5"/>
  <c r="H57" i="5" s="1"/>
  <c r="I73" i="5"/>
  <c r="K73" i="5" s="1"/>
  <c r="L73" i="5" s="1"/>
  <c r="G73" i="5"/>
  <c r="H73" i="5" s="1"/>
  <c r="G76" i="5"/>
  <c r="H76" i="5" s="1"/>
  <c r="I76" i="5"/>
  <c r="K76" i="5" s="1"/>
  <c r="L76" i="5" s="1"/>
  <c r="G30" i="5"/>
  <c r="H30" i="5" s="1"/>
  <c r="I30" i="5"/>
  <c r="K30" i="5" s="1"/>
  <c r="L30" i="5" s="1"/>
  <c r="G38" i="5"/>
  <c r="H38" i="5" s="1"/>
  <c r="I38" i="5"/>
  <c r="K38" i="5" s="1"/>
  <c r="L38" i="5" s="1"/>
  <c r="I59" i="5"/>
  <c r="K59" i="5" s="1"/>
  <c r="L59" i="5" s="1"/>
  <c r="G59" i="5"/>
  <c r="H59" i="5" s="1"/>
  <c r="I17" i="5"/>
  <c r="K17" i="5" s="1"/>
  <c r="L17" i="5" s="1"/>
  <c r="G17" i="5"/>
  <c r="H17" i="5" s="1"/>
  <c r="I71" i="5"/>
  <c r="K71" i="5" s="1"/>
  <c r="L71" i="5" s="1"/>
  <c r="G71" i="5"/>
  <c r="H71" i="5" s="1"/>
  <c r="I63" i="5"/>
  <c r="K63" i="5" s="1"/>
  <c r="L63" i="5" s="1"/>
  <c r="G63" i="5"/>
  <c r="H63" i="5" s="1"/>
  <c r="G36" i="5"/>
  <c r="H36" i="5" s="1"/>
  <c r="I36" i="5"/>
  <c r="K36" i="5" s="1"/>
  <c r="L36" i="5" s="1"/>
  <c r="G52" i="5"/>
  <c r="H52" i="5" s="1"/>
  <c r="I52" i="5"/>
  <c r="K52" i="5" s="1"/>
  <c r="L52" i="5" s="1"/>
  <c r="I47" i="5"/>
  <c r="K47" i="5" s="1"/>
  <c r="L47" i="5" s="1"/>
  <c r="G47" i="5"/>
  <c r="H47" i="5" s="1"/>
  <c r="G60" i="5"/>
  <c r="H60" i="5" s="1"/>
  <c r="I60" i="5"/>
  <c r="K60" i="5" s="1"/>
  <c r="L60" i="5" s="1"/>
  <c r="L53" i="5"/>
  <c r="L70" i="5"/>
  <c r="U93" i="10" l="1"/>
  <c r="E93" i="10"/>
  <c r="S93" i="10"/>
  <c r="L93" i="10"/>
  <c r="P93" i="10"/>
  <c r="M93" i="10"/>
  <c r="K93" i="10"/>
  <c r="J93" i="10"/>
  <c r="V93" i="10"/>
  <c r="Q93" i="10"/>
  <c r="N93" i="10"/>
  <c r="F93" i="10"/>
  <c r="I93" i="10"/>
  <c r="W93" i="10"/>
  <c r="O93" i="10"/>
  <c r="D93" i="10"/>
  <c r="H93" i="10"/>
  <c r="G93" i="10"/>
  <c r="R93" i="10"/>
  <c r="T93" i="10"/>
  <c r="C94" i="10"/>
  <c r="T28" i="10"/>
  <c r="P28" i="10"/>
  <c r="L28" i="10"/>
  <c r="H28" i="10"/>
  <c r="D28" i="10"/>
  <c r="U28" i="10"/>
  <c r="Q28" i="10"/>
  <c r="M28" i="10"/>
  <c r="I28" i="10"/>
  <c r="E28" i="10"/>
  <c r="V28" i="10"/>
  <c r="N28" i="10"/>
  <c r="F28" i="10"/>
  <c r="C29" i="10"/>
  <c r="S28" i="10"/>
  <c r="R28" i="10"/>
  <c r="W28" i="10"/>
  <c r="O28" i="10"/>
  <c r="G28" i="10"/>
  <c r="K28" i="10"/>
  <c r="J28" i="10"/>
  <c r="W60" i="10"/>
  <c r="S60" i="10"/>
  <c r="O60" i="10"/>
  <c r="K60" i="10"/>
  <c r="G60" i="10"/>
  <c r="U60" i="10"/>
  <c r="P60" i="10"/>
  <c r="J60" i="10"/>
  <c r="E60" i="10"/>
  <c r="V60" i="10"/>
  <c r="Q60" i="10"/>
  <c r="L60" i="10"/>
  <c r="F60" i="10"/>
  <c r="T60" i="10"/>
  <c r="I60" i="10"/>
  <c r="C61" i="10"/>
  <c r="M60" i="10"/>
  <c r="R60" i="10"/>
  <c r="H60" i="10"/>
  <c r="D60" i="10"/>
  <c r="N60" i="10"/>
  <c r="F102" i="6"/>
  <c r="I102" i="6"/>
  <c r="K103" i="6"/>
  <c r="J103" i="6"/>
  <c r="E103" i="6"/>
  <c r="D103" i="6"/>
  <c r="H103" i="6"/>
  <c r="I103" i="6" s="1"/>
  <c r="C104" i="6"/>
  <c r="D104" i="6" s="1"/>
  <c r="G104" i="6"/>
  <c r="J46" i="5"/>
  <c r="J34" i="5"/>
  <c r="J32" i="5"/>
  <c r="J28" i="5"/>
  <c r="J54" i="5"/>
  <c r="J42" i="5"/>
  <c r="J72" i="5"/>
  <c r="J18" i="5"/>
  <c r="J52" i="5"/>
  <c r="J24" i="5"/>
  <c r="J64" i="5"/>
  <c r="J60" i="5"/>
  <c r="J77" i="5"/>
  <c r="J22" i="5"/>
  <c r="J66" i="5"/>
  <c r="J26" i="5"/>
  <c r="J48" i="5"/>
  <c r="J36" i="5"/>
  <c r="J30" i="5"/>
  <c r="J58" i="5"/>
  <c r="J50" i="5"/>
  <c r="J56" i="5"/>
  <c r="J44" i="5"/>
  <c r="J68" i="5"/>
  <c r="J40" i="5"/>
  <c r="J16" i="5"/>
  <c r="J70" i="5"/>
  <c r="J35" i="5"/>
  <c r="K15" i="5"/>
  <c r="L15" i="5" s="1"/>
  <c r="J19" i="5"/>
  <c r="J69" i="5"/>
  <c r="J75" i="5"/>
  <c r="J39" i="5"/>
  <c r="J74" i="5"/>
  <c r="J41" i="5"/>
  <c r="J62" i="5"/>
  <c r="J55" i="5"/>
  <c r="J47" i="5"/>
  <c r="J20" i="5"/>
  <c r="J63" i="5"/>
  <c r="J27" i="5"/>
  <c r="J38" i="5"/>
  <c r="J76" i="5"/>
  <c r="J61" i="5"/>
  <c r="J25" i="5"/>
  <c r="J45" i="5"/>
  <c r="J51" i="5"/>
  <c r="J31" i="5"/>
  <c r="J21" i="5"/>
  <c r="J65" i="5"/>
  <c r="J73" i="5"/>
  <c r="J53" i="5"/>
  <c r="J49" i="5"/>
  <c r="J67" i="5"/>
  <c r="J29" i="5"/>
  <c r="J33" i="5"/>
  <c r="J71" i="5"/>
  <c r="J17" i="5"/>
  <c r="J23" i="5"/>
  <c r="J37" i="5"/>
  <c r="J43" i="5"/>
  <c r="J59" i="5"/>
  <c r="J57" i="5"/>
  <c r="Q94" i="10" l="1"/>
  <c r="O94" i="10"/>
  <c r="V94" i="10"/>
  <c r="I94" i="10"/>
  <c r="W94" i="10"/>
  <c r="G94" i="10"/>
  <c r="H94" i="10"/>
  <c r="L94" i="10"/>
  <c r="K94" i="10"/>
  <c r="P94" i="10"/>
  <c r="T94" i="10"/>
  <c r="N94" i="10"/>
  <c r="U94" i="10"/>
  <c r="M94" i="10"/>
  <c r="F94" i="10"/>
  <c r="E94" i="10"/>
  <c r="S94" i="10"/>
  <c r="D94" i="10"/>
  <c r="J94" i="10"/>
  <c r="R94" i="10"/>
  <c r="T29" i="10"/>
  <c r="P29" i="10"/>
  <c r="L29" i="10"/>
  <c r="H29" i="10"/>
  <c r="D29" i="10"/>
  <c r="U29" i="10"/>
  <c r="Q29" i="10"/>
  <c r="M29" i="10"/>
  <c r="I29" i="10"/>
  <c r="E29" i="10"/>
  <c r="V29" i="10"/>
  <c r="N29" i="10"/>
  <c r="F29" i="10"/>
  <c r="S29" i="10"/>
  <c r="J29" i="10"/>
  <c r="W29" i="10"/>
  <c r="O29" i="10"/>
  <c r="G29" i="10"/>
  <c r="C30" i="10"/>
  <c r="K29" i="10"/>
  <c r="R29" i="10"/>
  <c r="V61" i="10"/>
  <c r="R61" i="10"/>
  <c r="N61" i="10"/>
  <c r="J61" i="10"/>
  <c r="F61" i="10"/>
  <c r="U61" i="10"/>
  <c r="P61" i="10"/>
  <c r="K61" i="10"/>
  <c r="E61" i="10"/>
  <c r="W61" i="10"/>
  <c r="Q61" i="10"/>
  <c r="L61" i="10"/>
  <c r="G61" i="10"/>
  <c r="T61" i="10"/>
  <c r="I61" i="10"/>
  <c r="H61" i="10"/>
  <c r="C62" i="10"/>
  <c r="M61" i="10"/>
  <c r="S61" i="10"/>
  <c r="D61" i="10"/>
  <c r="O61" i="10"/>
  <c r="C95" i="10"/>
  <c r="L103" i="6"/>
  <c r="H104" i="6"/>
  <c r="I104" i="6" s="1"/>
  <c r="J104" i="6"/>
  <c r="K104" i="6"/>
  <c r="E104" i="6"/>
  <c r="F104" i="6" s="1"/>
  <c r="F103" i="6"/>
  <c r="B106" i="6"/>
  <c r="K105" i="6"/>
  <c r="H105" i="6"/>
  <c r="C105" i="6"/>
  <c r="J105" i="6" s="1"/>
  <c r="G105" i="6"/>
  <c r="E105" i="6"/>
  <c r="M95" i="10" l="1"/>
  <c r="K95" i="10"/>
  <c r="D95" i="10"/>
  <c r="H95" i="10"/>
  <c r="U95" i="10"/>
  <c r="E95" i="10"/>
  <c r="S95" i="10"/>
  <c r="T95" i="10"/>
  <c r="I95" i="10"/>
  <c r="W95" i="10"/>
  <c r="N95" i="10"/>
  <c r="O95" i="10"/>
  <c r="G95" i="10"/>
  <c r="F95" i="10"/>
  <c r="Q95" i="10"/>
  <c r="R95" i="10"/>
  <c r="L95" i="10"/>
  <c r="P95" i="10"/>
  <c r="V95" i="10"/>
  <c r="J95" i="10"/>
  <c r="U62" i="10"/>
  <c r="Q62" i="10"/>
  <c r="M62" i="10"/>
  <c r="I62" i="10"/>
  <c r="E62" i="10"/>
  <c r="V62" i="10"/>
  <c r="P62" i="10"/>
  <c r="K62" i="10"/>
  <c r="F62" i="10"/>
  <c r="W62" i="10"/>
  <c r="R62" i="10"/>
  <c r="L62" i="10"/>
  <c r="G62" i="10"/>
  <c r="T62" i="10"/>
  <c r="J62" i="10"/>
  <c r="H62" i="10"/>
  <c r="C63" i="10"/>
  <c r="N62" i="10"/>
  <c r="S62" i="10"/>
  <c r="D62" i="10"/>
  <c r="O62" i="10"/>
  <c r="T30" i="10"/>
  <c r="P30" i="10"/>
  <c r="L30" i="10"/>
  <c r="H30" i="10"/>
  <c r="D30" i="10"/>
  <c r="U30" i="10"/>
  <c r="Q30" i="10"/>
  <c r="M30" i="10"/>
  <c r="I30" i="10"/>
  <c r="E30" i="10"/>
  <c r="V30" i="10"/>
  <c r="N30" i="10"/>
  <c r="F30" i="10"/>
  <c r="C31" i="10"/>
  <c r="K30" i="10"/>
  <c r="R30" i="10"/>
  <c r="W30" i="10"/>
  <c r="O30" i="10"/>
  <c r="G30" i="10"/>
  <c r="S30" i="10"/>
  <c r="J30" i="10"/>
  <c r="C96" i="10"/>
  <c r="D105" i="6"/>
  <c r="F105" i="6" s="1"/>
  <c r="L104" i="6"/>
  <c r="I105" i="6"/>
  <c r="L105" i="6"/>
  <c r="B107" i="6"/>
  <c r="C106" i="6"/>
  <c r="J106" i="6" s="1"/>
  <c r="I96" i="10" l="1"/>
  <c r="W96" i="10"/>
  <c r="G96" i="10"/>
  <c r="P96" i="10"/>
  <c r="T96" i="10"/>
  <c r="Q96" i="10"/>
  <c r="O96" i="10"/>
  <c r="D96" i="10"/>
  <c r="N96" i="10"/>
  <c r="U96" i="10"/>
  <c r="R96" i="10"/>
  <c r="M96" i="10"/>
  <c r="E96" i="10"/>
  <c r="S96" i="10"/>
  <c r="H96" i="10"/>
  <c r="L96" i="10"/>
  <c r="F96" i="10"/>
  <c r="J96" i="10"/>
  <c r="K96" i="10"/>
  <c r="V96" i="10"/>
  <c r="H106" i="6"/>
  <c r="E106" i="6"/>
  <c r="G106" i="6"/>
  <c r="I106" i="6" s="1"/>
  <c r="D106" i="6"/>
  <c r="K106" i="6"/>
  <c r="T31" i="10"/>
  <c r="P31" i="10"/>
  <c r="L31" i="10"/>
  <c r="H31" i="10"/>
  <c r="D31" i="10"/>
  <c r="U31" i="10"/>
  <c r="Q31" i="10"/>
  <c r="M31" i="10"/>
  <c r="I31" i="10"/>
  <c r="E31" i="10"/>
  <c r="V31" i="10"/>
  <c r="N31" i="10"/>
  <c r="F31" i="10"/>
  <c r="S31" i="10"/>
  <c r="R31" i="10"/>
  <c r="W31" i="10"/>
  <c r="O31" i="10"/>
  <c r="G31" i="10"/>
  <c r="C32" i="10"/>
  <c r="K31" i="10"/>
  <c r="J31" i="10"/>
  <c r="C97" i="10"/>
  <c r="C64" i="10"/>
  <c r="T63" i="10"/>
  <c r="P63" i="10"/>
  <c r="L63" i="10"/>
  <c r="H63" i="10"/>
  <c r="D63" i="10"/>
  <c r="V63" i="10"/>
  <c r="Q63" i="10"/>
  <c r="K63" i="10"/>
  <c r="F63" i="10"/>
  <c r="W63" i="10"/>
  <c r="R63" i="10"/>
  <c r="M63" i="10"/>
  <c r="G63" i="10"/>
  <c r="U63" i="10"/>
  <c r="J63" i="10"/>
  <c r="I63" i="10"/>
  <c r="N63" i="10"/>
  <c r="S63" i="10"/>
  <c r="O63" i="10"/>
  <c r="E63" i="10"/>
  <c r="L106" i="6"/>
  <c r="B108" i="6"/>
  <c r="C107" i="6"/>
  <c r="J107" i="6" s="1"/>
  <c r="U97" i="10" l="1"/>
  <c r="E97" i="10"/>
  <c r="S97" i="10"/>
  <c r="F97" i="10"/>
  <c r="M97" i="10"/>
  <c r="K97" i="10"/>
  <c r="L97" i="10"/>
  <c r="P97" i="10"/>
  <c r="O97" i="10"/>
  <c r="T97" i="10"/>
  <c r="J97" i="10"/>
  <c r="R97" i="10"/>
  <c r="G97" i="10"/>
  <c r="Q97" i="10"/>
  <c r="I97" i="10"/>
  <c r="W97" i="10"/>
  <c r="D97" i="10"/>
  <c r="H97" i="10"/>
  <c r="N97" i="10"/>
  <c r="V97" i="10"/>
  <c r="F106" i="6"/>
  <c r="C98" i="10"/>
  <c r="T32" i="10"/>
  <c r="P32" i="10"/>
  <c r="L32" i="10"/>
  <c r="H32" i="10"/>
  <c r="D32" i="10"/>
  <c r="U32" i="10"/>
  <c r="Q32" i="10"/>
  <c r="M32" i="10"/>
  <c r="I32" i="10"/>
  <c r="E32" i="10"/>
  <c r="V32" i="10"/>
  <c r="N32" i="10"/>
  <c r="F32" i="10"/>
  <c r="K32" i="10"/>
  <c r="J32" i="10"/>
  <c r="W32" i="10"/>
  <c r="O32" i="10"/>
  <c r="G32" i="10"/>
  <c r="C33" i="10"/>
  <c r="S32" i="10"/>
  <c r="R32" i="10"/>
  <c r="W64" i="10"/>
  <c r="S64" i="10"/>
  <c r="O64" i="10"/>
  <c r="K64" i="10"/>
  <c r="G64" i="10"/>
  <c r="V64" i="10"/>
  <c r="Q64" i="10"/>
  <c r="L64" i="10"/>
  <c r="F64" i="10"/>
  <c r="C65" i="10"/>
  <c r="R64" i="10"/>
  <c r="M64" i="10"/>
  <c r="H64" i="10"/>
  <c r="U64" i="10"/>
  <c r="J64" i="10"/>
  <c r="I64" i="10"/>
  <c r="N64" i="10"/>
  <c r="D64" i="10"/>
  <c r="T64" i="10"/>
  <c r="E64" i="10"/>
  <c r="P64" i="10"/>
  <c r="E107" i="6"/>
  <c r="G107" i="6"/>
  <c r="H107" i="6"/>
  <c r="K107" i="6"/>
  <c r="L107" i="6" s="1"/>
  <c r="D107" i="6"/>
  <c r="B109" i="6"/>
  <c r="C108" i="6"/>
  <c r="J108" i="6" s="1"/>
  <c r="Q98" i="10" l="1"/>
  <c r="O98" i="10"/>
  <c r="H98" i="10"/>
  <c r="L98" i="10"/>
  <c r="F98" i="10"/>
  <c r="I98" i="10"/>
  <c r="W98" i="10"/>
  <c r="G98" i="10"/>
  <c r="M98" i="10"/>
  <c r="D98" i="10"/>
  <c r="E98" i="10"/>
  <c r="S98" i="10"/>
  <c r="K98" i="10"/>
  <c r="J98" i="10"/>
  <c r="U98" i="10"/>
  <c r="R98" i="10"/>
  <c r="N98" i="10"/>
  <c r="P98" i="10"/>
  <c r="T98" i="10"/>
  <c r="V98" i="10"/>
  <c r="V65" i="10"/>
  <c r="R65" i="10"/>
  <c r="N65" i="10"/>
  <c r="J65" i="10"/>
  <c r="F65" i="10"/>
  <c r="W65" i="10"/>
  <c r="Q65" i="10"/>
  <c r="L65" i="10"/>
  <c r="G65" i="10"/>
  <c r="C66" i="10"/>
  <c r="S65" i="10"/>
  <c r="M65" i="10"/>
  <c r="H65" i="10"/>
  <c r="U65" i="10"/>
  <c r="K65" i="10"/>
  <c r="I65" i="10"/>
  <c r="O65" i="10"/>
  <c r="D65" i="10"/>
  <c r="T65" i="10"/>
  <c r="E65" i="10"/>
  <c r="P65" i="10"/>
  <c r="T33" i="10"/>
  <c r="P33" i="10"/>
  <c r="L33" i="10"/>
  <c r="H33" i="10"/>
  <c r="D33" i="10"/>
  <c r="U33" i="10"/>
  <c r="Q33" i="10"/>
  <c r="M33" i="10"/>
  <c r="I33" i="10"/>
  <c r="E33" i="10"/>
  <c r="V33" i="10"/>
  <c r="N33" i="10"/>
  <c r="F33" i="10"/>
  <c r="K33" i="10"/>
  <c r="J33" i="10"/>
  <c r="W33" i="10"/>
  <c r="O33" i="10"/>
  <c r="G33" i="10"/>
  <c r="C34" i="10"/>
  <c r="S33" i="10"/>
  <c r="R33" i="10"/>
  <c r="C99" i="10"/>
  <c r="F107" i="6"/>
  <c r="I107" i="6"/>
  <c r="G108" i="6"/>
  <c r="K108" i="6"/>
  <c r="L108" i="6" s="1"/>
  <c r="B110" i="6"/>
  <c r="H109" i="6"/>
  <c r="C109" i="6"/>
  <c r="K109" i="6" s="1"/>
  <c r="E109" i="6"/>
  <c r="E108" i="6"/>
  <c r="D108" i="6"/>
  <c r="H108" i="6"/>
  <c r="M99" i="10" l="1"/>
  <c r="K99" i="10"/>
  <c r="T99" i="10"/>
  <c r="U99" i="10"/>
  <c r="E99" i="10"/>
  <c r="S99" i="10"/>
  <c r="D99" i="10"/>
  <c r="H99" i="10"/>
  <c r="R99" i="10"/>
  <c r="N99" i="10"/>
  <c r="G99" i="10"/>
  <c r="V99" i="10"/>
  <c r="Q99" i="10"/>
  <c r="I99" i="10"/>
  <c r="W99" i="10"/>
  <c r="L99" i="10"/>
  <c r="P99" i="10"/>
  <c r="J99" i="10"/>
  <c r="O99" i="10"/>
  <c r="F99" i="10"/>
  <c r="D109" i="6"/>
  <c r="F109" i="6" s="1"/>
  <c r="G109" i="6"/>
  <c r="I109" i="6" s="1"/>
  <c r="C100" i="10"/>
  <c r="U66" i="10"/>
  <c r="Q66" i="10"/>
  <c r="M66" i="10"/>
  <c r="I66" i="10"/>
  <c r="E66" i="10"/>
  <c r="W66" i="10"/>
  <c r="R66" i="10"/>
  <c r="L66" i="10"/>
  <c r="G66" i="10"/>
  <c r="C67" i="10"/>
  <c r="S66" i="10"/>
  <c r="N66" i="10"/>
  <c r="H66" i="10"/>
  <c r="V66" i="10"/>
  <c r="K66" i="10"/>
  <c r="J66" i="10"/>
  <c r="O66" i="10"/>
  <c r="D66" i="10"/>
  <c r="T66" i="10"/>
  <c r="F66" i="10"/>
  <c r="P66" i="10"/>
  <c r="T34" i="10"/>
  <c r="P34" i="10"/>
  <c r="L34" i="10"/>
  <c r="H34" i="10"/>
  <c r="D34" i="10"/>
  <c r="U34" i="10"/>
  <c r="Q34" i="10"/>
  <c r="M34" i="10"/>
  <c r="I34" i="10"/>
  <c r="E34" i="10"/>
  <c r="V34" i="10"/>
  <c r="N34" i="10"/>
  <c r="F34" i="10"/>
  <c r="K34" i="10"/>
  <c r="R34" i="10"/>
  <c r="J34" i="10"/>
  <c r="W34" i="10"/>
  <c r="O34" i="10"/>
  <c r="G34" i="10"/>
  <c r="C35" i="10"/>
  <c r="S34" i="10"/>
  <c r="J109" i="6"/>
  <c r="L109" i="6" s="1"/>
  <c r="B111" i="6"/>
  <c r="C110" i="6"/>
  <c r="J110" i="6" s="1"/>
  <c r="I108" i="6"/>
  <c r="F108" i="6"/>
  <c r="I100" i="10" l="1"/>
  <c r="W100" i="10"/>
  <c r="G100" i="10"/>
  <c r="D100" i="10"/>
  <c r="Q100" i="10"/>
  <c r="O100" i="10"/>
  <c r="P100" i="10"/>
  <c r="T100" i="10"/>
  <c r="E100" i="10"/>
  <c r="S100" i="10"/>
  <c r="V100" i="10"/>
  <c r="K100" i="10"/>
  <c r="U100" i="10"/>
  <c r="N100" i="10"/>
  <c r="J100" i="10"/>
  <c r="M100" i="10"/>
  <c r="F100" i="10"/>
  <c r="H100" i="10"/>
  <c r="L100" i="10"/>
  <c r="R100" i="10"/>
  <c r="C68" i="10"/>
  <c r="T67" i="10"/>
  <c r="P67" i="10"/>
  <c r="L67" i="10"/>
  <c r="H67" i="10"/>
  <c r="D67" i="10"/>
  <c r="W67" i="10"/>
  <c r="R67" i="10"/>
  <c r="M67" i="10"/>
  <c r="G67" i="10"/>
  <c r="S67" i="10"/>
  <c r="N67" i="10"/>
  <c r="I67" i="10"/>
  <c r="V67" i="10"/>
  <c r="K67" i="10"/>
  <c r="J67" i="10"/>
  <c r="O67" i="10"/>
  <c r="E67" i="10"/>
  <c r="U67" i="10"/>
  <c r="Q67" i="10"/>
  <c r="F67" i="10"/>
  <c r="C101" i="10"/>
  <c r="T35" i="10"/>
  <c r="P35" i="10"/>
  <c r="L35" i="10"/>
  <c r="H35" i="10"/>
  <c r="D35" i="10"/>
  <c r="U35" i="10"/>
  <c r="Q35" i="10"/>
  <c r="M35" i="10"/>
  <c r="I35" i="10"/>
  <c r="E35" i="10"/>
  <c r="V35" i="10"/>
  <c r="N35" i="10"/>
  <c r="F35" i="10"/>
  <c r="J35" i="10"/>
  <c r="W35" i="10"/>
  <c r="O35" i="10"/>
  <c r="G35" i="10"/>
  <c r="S35" i="10"/>
  <c r="K35" i="10"/>
  <c r="R35" i="10"/>
  <c r="E110" i="6"/>
  <c r="F110" i="6" s="1"/>
  <c r="K110" i="6"/>
  <c r="L110" i="6" s="1"/>
  <c r="G110" i="6"/>
  <c r="D110" i="6"/>
  <c r="H110" i="6"/>
  <c r="B112" i="6"/>
  <c r="C111" i="6"/>
  <c r="J111" i="6" s="1"/>
  <c r="U101" i="10" l="1"/>
  <c r="E101" i="10"/>
  <c r="S101" i="10"/>
  <c r="L101" i="10"/>
  <c r="P101" i="10"/>
  <c r="J101" i="10"/>
  <c r="F101" i="10"/>
  <c r="M101" i="10"/>
  <c r="K101" i="10"/>
  <c r="Q101" i="10"/>
  <c r="D101" i="10"/>
  <c r="H101" i="10"/>
  <c r="I101" i="10"/>
  <c r="W101" i="10"/>
  <c r="O101" i="10"/>
  <c r="N101" i="10"/>
  <c r="G101" i="10"/>
  <c r="V101" i="10"/>
  <c r="T101" i="10"/>
  <c r="R101" i="10"/>
  <c r="G111" i="6"/>
  <c r="I110" i="6"/>
  <c r="E111" i="6"/>
  <c r="D111" i="6"/>
  <c r="H111" i="6"/>
  <c r="I111" i="6" s="1"/>
  <c r="K111" i="6"/>
  <c r="L111" i="6" s="1"/>
  <c r="W68" i="10"/>
  <c r="S68" i="10"/>
  <c r="O68" i="10"/>
  <c r="K68" i="10"/>
  <c r="G68" i="10"/>
  <c r="R68" i="10"/>
  <c r="M68" i="10"/>
  <c r="H68" i="10"/>
  <c r="T68" i="10"/>
  <c r="N68" i="10"/>
  <c r="I68" i="10"/>
  <c r="D68" i="10"/>
  <c r="V68" i="10"/>
  <c r="L68" i="10"/>
  <c r="J68" i="10"/>
  <c r="P68" i="10"/>
  <c r="E68" i="10"/>
  <c r="U68" i="10"/>
  <c r="F68" i="10"/>
  <c r="Q68" i="10"/>
  <c r="C112" i="6"/>
  <c r="E112" i="6" s="1"/>
  <c r="B113" i="6"/>
  <c r="F111" i="6" l="1"/>
  <c r="G112" i="6"/>
  <c r="D112" i="6"/>
  <c r="F112" i="6" s="1"/>
  <c r="K112" i="6"/>
  <c r="H112" i="6"/>
  <c r="J112" i="6"/>
  <c r="H113" i="6"/>
  <c r="C113" i="6"/>
  <c r="J113" i="6" s="1"/>
  <c r="E113" i="6" l="1"/>
  <c r="K113" i="6"/>
  <c r="L113" i="6" s="1"/>
  <c r="G113" i="6"/>
  <c r="I112" i="6"/>
  <c r="D113" i="6"/>
  <c r="I113" i="6"/>
  <c r="L112" i="6"/>
  <c r="F113" i="6" l="1"/>
</calcChain>
</file>

<file path=xl/comments1.xml><?xml version="1.0" encoding="utf-8"?>
<comments xmlns="http://schemas.openxmlformats.org/spreadsheetml/2006/main">
  <authors>
    <author>Schaffer, Viola</author>
  </authors>
  <commentList>
    <comment ref="D9" authorId="0">
      <text>
        <r>
          <rPr>
            <b/>
            <sz val="9"/>
            <color indexed="81"/>
            <rFont val="Tahoma"/>
            <family val="2"/>
          </rPr>
          <t>Schaffer, Viola:</t>
        </r>
        <r>
          <rPr>
            <sz val="9"/>
            <color indexed="81"/>
            <rFont val="Tahoma"/>
            <family val="2"/>
          </rPr>
          <t xml:space="preserve">
Filter corner frequency</t>
        </r>
      </text>
    </comment>
  </commentList>
</comments>
</file>

<file path=xl/sharedStrings.xml><?xml version="1.0" encoding="utf-8"?>
<sst xmlns="http://schemas.openxmlformats.org/spreadsheetml/2006/main" count="257" uniqueCount="184">
  <si>
    <t>Comp coil</t>
  </si>
  <si>
    <t>freq</t>
  </si>
  <si>
    <t>FE+filter</t>
  </si>
  <si>
    <t>Loopgain</t>
  </si>
  <si>
    <t>PHASE</t>
  </si>
  <si>
    <t>Filter2</t>
  </si>
  <si>
    <t>Filter1</t>
  </si>
  <si>
    <t>Phase</t>
  </si>
  <si>
    <t>H</t>
  </si>
  <si>
    <t>Ohm</t>
  </si>
  <si>
    <t>Notes:</t>
  </si>
  <si>
    <t>Value</t>
  </si>
  <si>
    <t>Unit</t>
  </si>
  <si>
    <t>V</t>
  </si>
  <si>
    <t>V/V</t>
  </si>
  <si>
    <t>mA</t>
  </si>
  <si>
    <t>System Gain:</t>
  </si>
  <si>
    <t>RS+RCOIL</t>
  </si>
  <si>
    <t>GAIN SET</t>
  </si>
  <si>
    <t>EXCEL</t>
  </si>
  <si>
    <t>MEAS</t>
  </si>
  <si>
    <t>SIM</t>
  </si>
  <si>
    <t>SIM_RS</t>
  </si>
  <si>
    <t>Theoretical scaling</t>
  </si>
  <si>
    <t>Corrected Sim</t>
  </si>
  <si>
    <t>L</t>
  </si>
  <si>
    <t>Gsens+fe</t>
  </si>
  <si>
    <t>Inductance[H]</t>
  </si>
  <si>
    <t>Cratio</t>
  </si>
  <si>
    <t>GSEL</t>
  </si>
  <si>
    <t>Gfilter</t>
  </si>
  <si>
    <t>00</t>
  </si>
  <si>
    <t>01</t>
  </si>
  <si>
    <t>10</t>
  </si>
  <si>
    <t>11</t>
  </si>
  <si>
    <t>FEGAIN</t>
  </si>
  <si>
    <t>TOTAL</t>
  </si>
  <si>
    <t>mT</t>
  </si>
  <si>
    <t>V/T</t>
  </si>
  <si>
    <t>CL</t>
  </si>
  <si>
    <t>Hz</t>
  </si>
  <si>
    <t>filter crossover</t>
  </si>
  <si>
    <t>filter sampling</t>
  </si>
  <si>
    <t>filter effective gain</t>
  </si>
  <si>
    <t>A/V</t>
  </si>
  <si>
    <t>AOL</t>
  </si>
  <si>
    <t>A/T</t>
  </si>
  <si>
    <t>dB</t>
  </si>
  <si>
    <t>T/T</t>
  </si>
  <si>
    <t>Total Gain</t>
  </si>
  <si>
    <t>dB(V/T)</t>
  </si>
  <si>
    <t>dB(A/T)</t>
  </si>
  <si>
    <t>DATA OVER TEMPERATURE AND SUPPLY - BWSEL = 0 ; SERVO LOOP</t>
  </si>
  <si>
    <t>Bandwidth:</t>
  </si>
  <si>
    <t>comp</t>
  </si>
  <si>
    <t>diffamp</t>
  </si>
  <si>
    <t>Typical value at room temperature</t>
  </si>
  <si>
    <t>VDD</t>
  </si>
  <si>
    <t>VREF</t>
  </si>
  <si>
    <t>THIS PAGE IS INTERNAL INFO ONLY</t>
  </si>
  <si>
    <t>Problems detected (see Troubleshooting tab)</t>
  </si>
  <si>
    <t>Fluxgate Offset Error Contribution:</t>
  </si>
  <si>
    <t>Typical</t>
  </si>
  <si>
    <t>Max</t>
  </si>
  <si>
    <t>Sensor Offset (no demagnetization):</t>
  </si>
  <si>
    <t>Sensor Offset over Temperature:</t>
  </si>
  <si>
    <t>Noise:</t>
  </si>
  <si>
    <t>Shunt Sense Amp. Offset Error Contribution:</t>
  </si>
  <si>
    <t>Shunt Sense Amplifier Offset:</t>
  </si>
  <si>
    <t>Shunt Sense Amplifier Offset over Temperature:</t>
  </si>
  <si>
    <t>Shunt Sense Amplifier Input Impedance:</t>
  </si>
  <si>
    <t>Shunt Sense Amp. Gain Error Contribution:</t>
  </si>
  <si>
    <t>Shunt Sense Amplifier Gain Error:</t>
  </si>
  <si>
    <t>%</t>
  </si>
  <si>
    <t>Shunt Sense Amp. Gain Error over Temperature:</t>
  </si>
  <si>
    <t>Legend</t>
  </si>
  <si>
    <t>xx</t>
  </si>
  <si>
    <t>Input Field</t>
  </si>
  <si>
    <t>Results / Output Field</t>
  </si>
  <si>
    <t>Error Contributors (input referred):</t>
  </si>
  <si>
    <t>uT</t>
  </si>
  <si>
    <t>Conditions:</t>
  </si>
  <si>
    <t>Maximum temperature deviation from room temperature:</t>
  </si>
  <si>
    <t>uTpp</t>
  </si>
  <si>
    <t>uV</t>
  </si>
  <si>
    <t>uV/C</t>
  </si>
  <si>
    <t>Worksheets</t>
  </si>
  <si>
    <t>Description</t>
  </si>
  <si>
    <t>Troubeshooting</t>
  </si>
  <si>
    <t>About</t>
  </si>
  <si>
    <t>Help</t>
  </si>
  <si>
    <t>Range Calculator</t>
  </si>
  <si>
    <t>B-Field Sweep</t>
  </si>
  <si>
    <t>Error Calculator</t>
  </si>
  <si>
    <t>Sensor Parameter Input</t>
  </si>
  <si>
    <t>System Parameters</t>
  </si>
  <si>
    <t>Internal Parameters</t>
  </si>
  <si>
    <t>BSEL pin setting: 0,1</t>
  </si>
  <si>
    <t>°C</t>
  </si>
  <si>
    <t>RSEL[1,0] pin setting: 0,1,2,3</t>
  </si>
  <si>
    <t>Shunt Sense Amplifier Reference Voltage:</t>
  </si>
  <si>
    <t>Maximum Operation Temperature:</t>
  </si>
  <si>
    <t>Chosen Bandwidth setting:</t>
  </si>
  <si>
    <t>Chosen Shunt Resistor</t>
  </si>
  <si>
    <t>Reference Voltage Setting:</t>
  </si>
  <si>
    <t>Reference Output Voltage Selected:</t>
  </si>
  <si>
    <t>Supply Voltage:</t>
  </si>
  <si>
    <t>Will be used for drift calculations</t>
  </si>
  <si>
    <t>Maximum field: 2mT</t>
  </si>
  <si>
    <t>Compensation Coil Inductance:</t>
  </si>
  <si>
    <t>Worst case over process spread and temperature</t>
  </si>
  <si>
    <t>Compensation Coil Resistance (max):</t>
  </si>
  <si>
    <t>Compensation Coil Resistance (typ):</t>
  </si>
  <si>
    <t>Resistance of Shunt + Compensation Coil:</t>
  </si>
  <si>
    <t>Resistance of Shunt + Compensation Coil (typ):</t>
  </si>
  <si>
    <t>Defaults to reference output or enter voltage applied to REFIN</t>
  </si>
  <si>
    <t>Calculated System Parameters</t>
  </si>
  <si>
    <t>Units</t>
  </si>
  <si>
    <t>Room Temp.</t>
  </si>
  <si>
    <t>Over Temp.</t>
  </si>
  <si>
    <t>Magnetic Field Range:</t>
  </si>
  <si>
    <t>Maximum Compensatable Field:</t>
  </si>
  <si>
    <t>Compensation current at desired max. field:</t>
  </si>
  <si>
    <t>Compensation current during overloads:</t>
  </si>
  <si>
    <t>Maximum Shunt Resistor:</t>
  </si>
  <si>
    <t>Maximum Shunt Resistance Value vs. Magnetic Field and Supply Voltage</t>
  </si>
  <si>
    <t>VREF:</t>
  </si>
  <si>
    <t>Compensation Current and Shunt Sense Amplifier Output Voltage versus Input Field</t>
  </si>
  <si>
    <t>Conditions: Maximum specified temperature and maximum coil resistance</t>
  </si>
  <si>
    <t>Error Flag</t>
  </si>
  <si>
    <t>Vout-Vref
(V)</t>
  </si>
  <si>
    <t>Icomp
 (mA)</t>
  </si>
  <si>
    <t>magnetic Field (mT)</t>
  </si>
  <si>
    <t xml:space="preserve">max. Compensation Current (Icomp):    </t>
  </si>
  <si>
    <t xml:space="preserve">Shunt Sense Amplifier Voltage Swing:    </t>
  </si>
  <si>
    <t>Measurement Bandwidth:</t>
  </si>
  <si>
    <t>Datasheet Limits</t>
  </si>
  <si>
    <t>nTrms</t>
  </si>
  <si>
    <t>+/- 2</t>
  </si>
  <si>
    <t>+/- 8</t>
  </si>
  <si>
    <t>+/- 5</t>
  </si>
  <si>
    <t>nT/°C</t>
  </si>
  <si>
    <t>ppm/°C</t>
  </si>
  <si>
    <r>
      <t>k</t>
    </r>
    <r>
      <rPr>
        <sz val="12"/>
        <rFont val="Calibri"/>
        <family val="2"/>
      </rPr>
      <t>Ω</t>
    </r>
  </si>
  <si>
    <t>Troubleshooting</t>
  </si>
  <si>
    <t>Version Number</t>
  </si>
  <si>
    <t>1.0</t>
  </si>
  <si>
    <t>Version History</t>
  </si>
  <si>
    <t>Version</t>
  </si>
  <si>
    <t>Change List Description</t>
  </si>
  <si>
    <t>Initial Release</t>
  </si>
  <si>
    <t>How to get started?</t>
  </si>
  <si>
    <t>1) Scope</t>
  </si>
  <si>
    <t>1) Review the product datasheet:</t>
  </si>
  <si>
    <t>3) For further information please consult the product page under</t>
  </si>
  <si>
    <t>DRV425 Product Page</t>
  </si>
  <si>
    <t xml:space="preserve">2) There are application notes available providing further background information about system and device specific parameters
</t>
  </si>
  <si>
    <t>DRV425 - Technical Documents</t>
  </si>
  <si>
    <t>Product Datasheet DRV425</t>
  </si>
  <si>
    <t>Compensation Coil Driver Voltage Overload:</t>
  </si>
  <si>
    <t>Error Flag triggered:</t>
  </si>
  <si>
    <t>Shunt Sense Amplifier Voltage Overload:</t>
  </si>
  <si>
    <t>Over-Range Flag will never trigger:</t>
  </si>
  <si>
    <t>Desired Magnetic Field Measurement Range:</t>
  </si>
  <si>
    <t>Saturation Error Flag trigger level (DC field):</t>
  </si>
  <si>
    <t>Gain vs Frequency</t>
  </si>
  <si>
    <t>Open-loop and closed-loop gain and phase of the sensor are displayed over frequency.</t>
  </si>
  <si>
    <t>A solution is offered for each item.</t>
  </si>
  <si>
    <t>Provides a detailed description of the problems flagged in the "DRV425 System Parameters" tab.</t>
  </si>
  <si>
    <t>Lists the Magnetic Sensor Parameters and allows to change them according to the design requiremets.</t>
  </si>
  <si>
    <t>Based on the inputs system parameters will be calculated.</t>
  </si>
  <si>
    <t>Problems (e.g. over-load or over-range conditions) will be indicated in case of conflicting inputs.</t>
  </si>
  <si>
    <t>Error and Over-range flag behavior is displayed to simulate the device behavior during the conditions under consideration.</t>
  </si>
  <si>
    <t>Different error components referred to the input magnetic field are calculated and listed based on the system parameters.</t>
  </si>
  <si>
    <t>General information about the calculator.</t>
  </si>
  <si>
    <t>How to use the calculator and where to get further support.</t>
  </si>
  <si>
    <t>The tool provides an easy way to design a system using a DRV425 properly. This includes parameters like shunt resistance value, reference voltage and bandwidth settings as well as frequency response of the magentic current sensor IC.
The tool helps to understand the dependency on settings of the DRV425 and given parameters like the compensation coil inductance and the shunt resistor value under various operating conditions. The behaviour of the built-in diagnostic signals (ERROR and Over-Range) will be shown as well.
It also helps to evaluate error contributors and provides warnings in case of conflicting settings or requirements.
Parameters can be entered in light blue fields              and the calculated results will be provided in dark blue fields
For further guidance and details about designing with the DRV425 and the capability of the calculator please refer to the application notes below.</t>
  </si>
  <si>
    <t xml:space="preserve">Helps to determine the maximum shunt resistance value. For 3 different reference voltage settings a matrix of 
resistance values is provided depending on the magnetic field and the applied power supply voltage.  </t>
  </si>
  <si>
    <t>Compensation coil drive current and analog output voltage are shown over the magnetic field range.</t>
  </si>
  <si>
    <t>This supply voltage and field range combination cannot be supported</t>
  </si>
  <si>
    <t>The given max. resistance value can be chosen without restrictions.</t>
  </si>
  <si>
    <t>Over-Range Flag</t>
  </si>
  <si>
    <t>Input field. Enter reference voltage.</t>
  </si>
  <si>
    <t xml:space="preserve">The resistance value given here is marginal. The maximum resistance meets the requirements of the magnetic field compensation loop. Hence, the field will still be fully compensated, but the voltage drop across the shunt resistor is not high enough to trigger the Over-Range  (OR) flag of the shunt sense amplifier when the max. field is reached.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</si>
</sst>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
  </numFmts>
  <fonts count="52" x14ac:knownFonts="1">
    <font>
      <sz val="11"/>
      <color theme="1"/>
      <name val="Calibri"/>
      <family val="2"/>
      <scheme val="minor"/>
    </font>
    <font>
      <b/>
      <sz val="11"/>
      <color rgb="FFFFFF00"/>
      <name val="Calibri"/>
      <family val="2"/>
      <scheme val="minor"/>
    </font>
    <font>
      <sz val="10"/>
      <name val="Arial"/>
      <family val="2"/>
    </font>
    <font>
      <sz val="9"/>
      <color indexed="81"/>
      <name val="Tahoma"/>
      <family val="2"/>
    </font>
    <font>
      <b/>
      <sz val="9"/>
      <color indexed="81"/>
      <name val="Tahoma"/>
      <family val="2"/>
    </font>
    <font>
      <sz val="11"/>
      <color theme="0"/>
      <name val="Calibri"/>
      <family val="2"/>
      <scheme val="minor"/>
    </font>
    <font>
      <sz val="11"/>
      <color rgb="FF006100"/>
      <name val="Calibri"/>
      <family val="2"/>
      <scheme val="minor"/>
    </font>
    <font>
      <sz val="12"/>
      <color theme="1"/>
      <name val="Calibri"/>
      <family val="2"/>
      <scheme val="minor"/>
    </font>
    <font>
      <b/>
      <sz val="11"/>
      <color theme="1"/>
      <name val="Calibri"/>
      <family val="2"/>
      <scheme val="minor"/>
    </font>
    <font>
      <b/>
      <sz val="20"/>
      <color theme="0"/>
      <name val="Calibri"/>
      <family val="2"/>
      <scheme val="minor"/>
    </font>
    <font>
      <b/>
      <u/>
      <sz val="11"/>
      <color theme="1"/>
      <name val="Calibri"/>
      <family val="2"/>
      <scheme val="minor"/>
    </font>
    <font>
      <sz val="11"/>
      <color rgb="FFFF0000"/>
      <name val="Calibri"/>
      <family val="2"/>
      <scheme val="minor"/>
    </font>
    <font>
      <sz val="24"/>
      <color theme="1"/>
      <name val="Calibri"/>
      <family val="2"/>
      <scheme val="minor"/>
    </font>
    <font>
      <b/>
      <sz val="14"/>
      <color theme="0"/>
      <name val="Arial"/>
      <family val="2"/>
    </font>
    <font>
      <i/>
      <sz val="11"/>
      <color theme="0"/>
      <name val="Calibri"/>
      <family val="2"/>
      <scheme val="minor"/>
    </font>
    <font>
      <sz val="11"/>
      <name val="Calibri"/>
      <family val="2"/>
      <scheme val="minor"/>
    </font>
    <font>
      <u/>
      <sz val="11"/>
      <name val="Calibri"/>
      <family val="2"/>
      <scheme val="minor"/>
    </font>
    <font>
      <i/>
      <sz val="11"/>
      <name val="Calibri"/>
      <family val="2"/>
      <scheme val="minor"/>
    </font>
    <font>
      <sz val="11"/>
      <name val="Arial"/>
      <family val="2"/>
    </font>
    <font>
      <b/>
      <i/>
      <sz val="12"/>
      <name val="Arial"/>
      <family val="2"/>
    </font>
    <font>
      <sz val="12"/>
      <name val="Arial"/>
      <family val="2"/>
    </font>
    <font>
      <sz val="12"/>
      <name val="Calibri"/>
      <family val="2"/>
      <scheme val="minor"/>
    </font>
    <font>
      <sz val="14"/>
      <name val="Calibri"/>
      <family val="2"/>
      <scheme val="minor"/>
    </font>
    <font>
      <b/>
      <sz val="12"/>
      <color theme="0"/>
      <name val="Arial"/>
      <family val="2"/>
    </font>
    <font>
      <sz val="11"/>
      <color theme="0"/>
      <name val="Arial"/>
      <family val="2"/>
    </font>
    <font>
      <b/>
      <sz val="12"/>
      <name val="Arial"/>
      <family val="2"/>
    </font>
    <font>
      <b/>
      <sz val="12"/>
      <color theme="0"/>
      <name val="Calibri"/>
      <family val="2"/>
      <scheme val="minor"/>
    </font>
    <font>
      <b/>
      <sz val="12"/>
      <name val="Calibri"/>
      <family val="2"/>
      <scheme val="minor"/>
    </font>
    <font>
      <b/>
      <i/>
      <sz val="11"/>
      <name val="Calibri"/>
      <family val="2"/>
      <scheme val="minor"/>
    </font>
    <font>
      <sz val="11"/>
      <color theme="1"/>
      <name val="Arial"/>
      <family val="2"/>
    </font>
    <font>
      <b/>
      <sz val="12"/>
      <color theme="1"/>
      <name val="Arial"/>
      <family val="2"/>
    </font>
    <font>
      <b/>
      <sz val="14"/>
      <color theme="1"/>
      <name val="Arial"/>
      <family val="2"/>
    </font>
    <font>
      <b/>
      <sz val="14"/>
      <color theme="0"/>
      <name val="Calibri"/>
      <family val="2"/>
      <scheme val="minor"/>
    </font>
    <font>
      <b/>
      <sz val="20"/>
      <name val="Calibri"/>
      <family val="2"/>
      <scheme val="minor"/>
    </font>
    <font>
      <i/>
      <sz val="14"/>
      <name val="Calibri"/>
      <family val="2"/>
      <scheme val="minor"/>
    </font>
    <font>
      <b/>
      <sz val="11"/>
      <color theme="0"/>
      <name val="Arial"/>
      <family val="2"/>
    </font>
    <font>
      <sz val="12"/>
      <color theme="0"/>
      <name val="Arial"/>
      <family val="2"/>
    </font>
    <font>
      <i/>
      <sz val="12"/>
      <name val="Arial"/>
      <family val="2"/>
    </font>
    <font>
      <sz val="12"/>
      <color theme="1"/>
      <name val="Arial"/>
      <family val="2"/>
    </font>
    <font>
      <b/>
      <sz val="18"/>
      <color theme="0"/>
      <name val="Arial"/>
      <family val="2"/>
    </font>
    <font>
      <b/>
      <sz val="16"/>
      <color theme="0"/>
      <name val="Arial"/>
      <family val="2"/>
    </font>
    <font>
      <sz val="12"/>
      <name val="Calibri"/>
      <family val="2"/>
    </font>
    <font>
      <i/>
      <sz val="11"/>
      <color theme="1"/>
      <name val="Arial"/>
      <family val="2"/>
    </font>
    <font>
      <sz val="18"/>
      <color theme="0"/>
      <name val="Arial"/>
      <family val="2"/>
    </font>
    <font>
      <b/>
      <sz val="12"/>
      <color rgb="FF000000"/>
      <name val="Arial"/>
      <family val="2"/>
    </font>
    <font>
      <u/>
      <sz val="11"/>
      <color theme="10"/>
      <name val="Calibri"/>
      <family val="2"/>
      <scheme val="minor"/>
    </font>
    <font>
      <u/>
      <sz val="11"/>
      <color theme="10"/>
      <name val="Arial"/>
      <family val="2"/>
    </font>
    <font>
      <u/>
      <sz val="12"/>
      <color theme="10"/>
      <name val="Arial"/>
      <family val="2"/>
    </font>
    <font>
      <b/>
      <sz val="13"/>
      <color theme="1"/>
      <name val="Arial"/>
      <family val="2"/>
    </font>
    <font>
      <u/>
      <sz val="13"/>
      <color theme="10"/>
      <name val="Arial"/>
      <family val="2"/>
    </font>
    <font>
      <b/>
      <sz val="14"/>
      <name val="Arial"/>
      <family val="2"/>
    </font>
    <font>
      <b/>
      <u/>
      <sz val="12"/>
      <color theme="10"/>
      <name val="Arial"/>
      <family val="2"/>
    </font>
  </fonts>
  <fills count="22">
    <fill>
      <patternFill patternType="none"/>
    </fill>
    <fill>
      <patternFill patternType="gray125"/>
    </fill>
    <fill>
      <patternFill patternType="solid">
        <fgColor theme="3" tint="-0.499984740745262"/>
        <bgColor indexed="64"/>
      </patternFill>
    </fill>
    <fill>
      <patternFill patternType="solid">
        <fgColor theme="8" tint="0.59999389629810485"/>
        <bgColor indexed="64"/>
      </patternFill>
    </fill>
    <fill>
      <patternFill patternType="solid">
        <fgColor theme="0"/>
        <bgColor indexed="64"/>
      </patternFill>
    </fill>
    <fill>
      <patternFill patternType="solid">
        <fgColor theme="4" tint="-0.249977111117893"/>
        <bgColor indexed="64"/>
      </patternFill>
    </fill>
    <fill>
      <patternFill patternType="solid">
        <fgColor rgb="FFC6EFCE"/>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rgb="FFE0E0E0"/>
        <bgColor indexed="64"/>
      </patternFill>
    </fill>
    <fill>
      <patternFill patternType="solid">
        <fgColor rgb="FF115566"/>
        <bgColor indexed="64"/>
      </patternFill>
    </fill>
    <fill>
      <patternFill patternType="solid">
        <fgColor rgb="FFAAAAAA"/>
        <bgColor indexed="64"/>
      </patternFill>
    </fill>
    <fill>
      <patternFill patternType="solid">
        <fgColor rgb="FF118899"/>
        <bgColor indexed="64"/>
      </patternFill>
    </fill>
    <fill>
      <patternFill patternType="solid">
        <fgColor rgb="FFDE0000"/>
        <bgColor indexed="64"/>
      </patternFill>
    </fill>
    <fill>
      <patternFill patternType="solid">
        <fgColor rgb="FF404040"/>
        <bgColor indexed="64"/>
      </patternFill>
    </fill>
    <fill>
      <patternFill patternType="solid">
        <fgColor theme="1"/>
        <bgColor indexed="64"/>
      </patternFill>
    </fill>
    <fill>
      <patternFill patternType="solid">
        <fgColor rgb="FF92D050"/>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0" fontId="2" fillId="0" borderId="0"/>
    <xf numFmtId="0" fontId="6" fillId="6" borderId="0" applyNumberFormat="0" applyBorder="0" applyAlignment="0" applyProtection="0"/>
    <xf numFmtId="0" fontId="45" fillId="0" borderId="0" applyNumberFormat="0" applyFill="0" applyBorder="0" applyAlignment="0" applyProtection="0"/>
  </cellStyleXfs>
  <cellXfs count="177">
    <xf numFmtId="0" fontId="0" fillId="0" borderId="0" xfId="0"/>
    <xf numFmtId="164" fontId="0" fillId="0" borderId="0" xfId="0" applyNumberFormat="1"/>
    <xf numFmtId="0" fontId="0" fillId="0" borderId="0" xfId="0" quotePrefix="1"/>
    <xf numFmtId="0" fontId="1" fillId="2" borderId="0" xfId="0" applyFont="1" applyFill="1"/>
    <xf numFmtId="0" fontId="0" fillId="3" borderId="0" xfId="0" applyFill="1"/>
    <xf numFmtId="0" fontId="0" fillId="0" borderId="0" xfId="0" applyFill="1"/>
    <xf numFmtId="11" fontId="0" fillId="0" borderId="0" xfId="0" applyNumberFormat="1" applyFill="1"/>
    <xf numFmtId="11" fontId="0" fillId="0" borderId="0" xfId="0" applyNumberFormat="1"/>
    <xf numFmtId="165" fontId="0" fillId="0" borderId="0" xfId="0" applyNumberFormat="1"/>
    <xf numFmtId="0" fontId="0" fillId="0" borderId="0" xfId="0" applyNumberFormat="1"/>
    <xf numFmtId="0" fontId="1" fillId="0" borderId="0" xfId="0" applyFont="1" applyFill="1"/>
    <xf numFmtId="0" fontId="0" fillId="4" borderId="0" xfId="0" applyFill="1"/>
    <xf numFmtId="0" fontId="5" fillId="5" borderId="0" xfId="0" applyFont="1" applyFill="1"/>
    <xf numFmtId="2" fontId="0" fillId="0" borderId="0" xfId="0" applyNumberFormat="1"/>
    <xf numFmtId="0" fontId="5" fillId="4" borderId="0" xfId="0" applyFont="1" applyFill="1"/>
    <xf numFmtId="0" fontId="0" fillId="4" borderId="0" xfId="0" applyFill="1" applyBorder="1"/>
    <xf numFmtId="0" fontId="0" fillId="7" borderId="0" xfId="0" applyFill="1"/>
    <xf numFmtId="0" fontId="0" fillId="8" borderId="0" xfId="0" applyFill="1" applyAlignment="1">
      <alignment horizontal="center"/>
    </xf>
    <xf numFmtId="0" fontId="0" fillId="8" borderId="0" xfId="0" applyFill="1"/>
    <xf numFmtId="0" fontId="0" fillId="8" borderId="0" xfId="0" applyFill="1" applyAlignment="1">
      <alignment horizontal="right"/>
    </xf>
    <xf numFmtId="1" fontId="0" fillId="8" borderId="0" xfId="0" applyNumberFormat="1" applyFill="1"/>
    <xf numFmtId="166" fontId="0" fillId="0" borderId="0" xfId="0" applyNumberFormat="1"/>
    <xf numFmtId="0" fontId="1" fillId="2" borderId="0" xfId="0" applyFont="1" applyFill="1" applyAlignment="1">
      <alignment horizontal="center"/>
    </xf>
    <xf numFmtId="1" fontId="0" fillId="0" borderId="0" xfId="0" applyNumberFormat="1"/>
    <xf numFmtId="0" fontId="0" fillId="9" borderId="0" xfId="0" applyFill="1"/>
    <xf numFmtId="0" fontId="12" fillId="4" borderId="0" xfId="0" applyFont="1" applyFill="1" applyBorder="1"/>
    <xf numFmtId="0" fontId="0" fillId="4" borderId="2" xfId="0" applyFill="1" applyBorder="1"/>
    <xf numFmtId="0" fontId="0" fillId="10" borderId="0" xfId="0" applyFill="1"/>
    <xf numFmtId="0" fontId="9" fillId="12" borderId="0" xfId="0" applyFont="1" applyFill="1"/>
    <xf numFmtId="0" fontId="5" fillId="12" borderId="0" xfId="0" applyFont="1" applyFill="1"/>
    <xf numFmtId="0" fontId="11" fillId="12" borderId="0" xfId="0" applyFont="1" applyFill="1"/>
    <xf numFmtId="0" fontId="13" fillId="12" borderId="0" xfId="0" applyFont="1" applyFill="1"/>
    <xf numFmtId="0" fontId="14" fillId="12" borderId="0" xfId="0" applyFont="1" applyFill="1"/>
    <xf numFmtId="0" fontId="15" fillId="13" borderId="0" xfId="0" applyFont="1" applyFill="1"/>
    <xf numFmtId="0" fontId="16" fillId="13" borderId="0" xfId="0" applyFont="1" applyFill="1"/>
    <xf numFmtId="0" fontId="17" fillId="13" borderId="0" xfId="0" applyFont="1" applyFill="1"/>
    <xf numFmtId="0" fontId="18" fillId="13" borderId="0" xfId="0" applyFont="1" applyFill="1"/>
    <xf numFmtId="0" fontId="21" fillId="15" borderId="5" xfId="0" applyFont="1" applyFill="1" applyBorder="1" applyAlignment="1">
      <alignment horizontal="center"/>
    </xf>
    <xf numFmtId="0" fontId="18" fillId="13" borderId="0" xfId="0" applyFont="1" applyFill="1" applyAlignment="1">
      <alignment horizontal="right"/>
    </xf>
    <xf numFmtId="0" fontId="20" fillId="13" borderId="0" xfId="0" applyFont="1" applyFill="1" applyAlignment="1">
      <alignment horizontal="right"/>
    </xf>
    <xf numFmtId="0" fontId="19" fillId="13" borderId="0" xfId="0" applyFont="1" applyFill="1" applyAlignment="1">
      <alignment horizontal="right"/>
    </xf>
    <xf numFmtId="0" fontId="20" fillId="13" borderId="0" xfId="0" applyFont="1" applyFill="1"/>
    <xf numFmtId="0" fontId="22" fillId="13" borderId="0" xfId="0" applyFont="1" applyFill="1"/>
    <xf numFmtId="0" fontId="24" fillId="16" borderId="5" xfId="0" applyFont="1" applyFill="1" applyBorder="1" applyAlignment="1">
      <alignment horizontal="center"/>
    </xf>
    <xf numFmtId="0" fontId="24" fillId="14" borderId="1" xfId="0" applyFont="1" applyFill="1" applyBorder="1" applyAlignment="1">
      <alignment horizontal="center"/>
    </xf>
    <xf numFmtId="0" fontId="25" fillId="4" borderId="0" xfId="0" applyFont="1" applyFill="1" applyAlignment="1">
      <alignment horizontal="right"/>
    </xf>
    <xf numFmtId="0" fontId="25" fillId="4" borderId="0" xfId="0" applyFont="1" applyFill="1" applyBorder="1" applyAlignment="1">
      <alignment horizontal="right"/>
    </xf>
    <xf numFmtId="166" fontId="26" fillId="4" borderId="0" xfId="0" applyNumberFormat="1" applyFont="1" applyFill="1" applyBorder="1" applyAlignment="1" applyProtection="1">
      <alignment horizontal="center"/>
      <protection hidden="1"/>
    </xf>
    <xf numFmtId="0" fontId="27" fillId="4" borderId="0" xfId="0" applyFont="1" applyFill="1" applyBorder="1" applyAlignment="1">
      <alignment horizontal="center"/>
    </xf>
    <xf numFmtId="0" fontId="28" fillId="4" borderId="0" xfId="0" applyFont="1" applyFill="1"/>
    <xf numFmtId="0" fontId="29" fillId="4" borderId="0" xfId="0" applyFont="1" applyFill="1"/>
    <xf numFmtId="0" fontId="23" fillId="12" borderId="0" xfId="0" applyFont="1" applyFill="1" applyBorder="1"/>
    <xf numFmtId="0" fontId="24" fillId="12" borderId="0" xfId="0" applyFont="1" applyFill="1" applyBorder="1"/>
    <xf numFmtId="0" fontId="29" fillId="4" borderId="0" xfId="0" applyFont="1" applyFill="1" applyBorder="1"/>
    <xf numFmtId="0" fontId="29" fillId="13" borderId="0" xfId="0" applyFont="1" applyFill="1"/>
    <xf numFmtId="0" fontId="30" fillId="13" borderId="0" xfId="0" applyFont="1" applyFill="1"/>
    <xf numFmtId="0" fontId="31" fillId="13" borderId="0" xfId="0" applyFont="1" applyFill="1"/>
    <xf numFmtId="0" fontId="0" fillId="13" borderId="0" xfId="0" applyFill="1"/>
    <xf numFmtId="0" fontId="20" fillId="15" borderId="1" xfId="0" applyFont="1" applyFill="1" applyBorder="1" applyAlignment="1">
      <alignment horizontal="center"/>
    </xf>
    <xf numFmtId="0" fontId="23" fillId="12" borderId="1" xfId="0" applyFont="1" applyFill="1" applyBorder="1" applyAlignment="1">
      <alignment horizontal="center" vertical="center"/>
    </xf>
    <xf numFmtId="0" fontId="15" fillId="13" borderId="0" xfId="0" applyFont="1" applyFill="1" applyAlignment="1">
      <alignment vertical="center"/>
    </xf>
    <xf numFmtId="0" fontId="20" fillId="15" borderId="1" xfId="0" applyFont="1" applyFill="1" applyBorder="1" applyAlignment="1">
      <alignment horizontal="center" vertical="center"/>
    </xf>
    <xf numFmtId="0" fontId="34" fillId="13" borderId="0" xfId="0" applyFont="1" applyFill="1" applyAlignment="1">
      <alignment vertical="center"/>
    </xf>
    <xf numFmtId="0" fontId="22" fillId="13" borderId="0" xfId="0" applyFont="1" applyFill="1" applyAlignment="1">
      <alignment horizontal="center" vertical="center"/>
    </xf>
    <xf numFmtId="0" fontId="22" fillId="13" borderId="0" xfId="0" applyFont="1" applyFill="1" applyAlignment="1">
      <alignment vertical="center"/>
    </xf>
    <xf numFmtId="0" fontId="33" fillId="13" borderId="0" xfId="0" applyFont="1" applyFill="1" applyAlignment="1">
      <alignment vertical="center"/>
    </xf>
    <xf numFmtId="0" fontId="25" fillId="13" borderId="0" xfId="0" applyFont="1" applyFill="1" applyAlignment="1">
      <alignment horizontal="right" vertical="center"/>
    </xf>
    <xf numFmtId="0" fontId="20" fillId="13" borderId="0" xfId="0" applyFont="1" applyFill="1" applyAlignment="1">
      <alignment horizontal="right" vertical="center"/>
    </xf>
    <xf numFmtId="0" fontId="19" fillId="13" borderId="0" xfId="0" applyFont="1" applyFill="1" applyAlignment="1">
      <alignment vertical="center"/>
    </xf>
    <xf numFmtId="0" fontId="20" fillId="13" borderId="0" xfId="0" applyFont="1" applyFill="1" applyAlignment="1">
      <alignment vertical="center"/>
    </xf>
    <xf numFmtId="0" fontId="37" fillId="13" borderId="0" xfId="0" applyFont="1" applyFill="1" applyAlignment="1">
      <alignment vertical="center"/>
    </xf>
    <xf numFmtId="0" fontId="13" fillId="18" borderId="0" xfId="0" applyFont="1" applyFill="1"/>
    <xf numFmtId="0" fontId="13" fillId="18" borderId="0" xfId="0" applyFont="1" applyFill="1" applyBorder="1"/>
    <xf numFmtId="0" fontId="32" fillId="18" borderId="0" xfId="0" applyFont="1" applyFill="1" applyBorder="1"/>
    <xf numFmtId="0" fontId="18" fillId="13" borderId="0" xfId="0" applyFont="1" applyFill="1" applyAlignment="1">
      <alignment horizontal="right" vertical="center"/>
    </xf>
    <xf numFmtId="0" fontId="20" fillId="13" borderId="0" xfId="0" applyFont="1" applyFill="1" applyAlignment="1">
      <alignment horizontal="left" vertical="center"/>
    </xf>
    <xf numFmtId="0" fontId="18" fillId="13" borderId="0" xfId="0" applyFont="1" applyFill="1" applyAlignment="1">
      <alignment horizontal="left" vertical="center"/>
    </xf>
    <xf numFmtId="0" fontId="35" fillId="12" borderId="1" xfId="0" applyFont="1" applyFill="1" applyBorder="1" applyAlignment="1">
      <alignment horizontal="center" vertical="center"/>
    </xf>
    <xf numFmtId="0" fontId="18" fillId="15" borderId="1" xfId="0" applyFont="1" applyFill="1" applyBorder="1" applyAlignment="1">
      <alignment horizontal="center" vertical="center"/>
    </xf>
    <xf numFmtId="0" fontId="30" fillId="0" borderId="0" xfId="0" applyFont="1"/>
    <xf numFmtId="0" fontId="40" fillId="12" borderId="0" xfId="0" applyFont="1" applyFill="1" applyAlignment="1">
      <alignment vertical="center"/>
    </xf>
    <xf numFmtId="0" fontId="29" fillId="0" borderId="0" xfId="0" applyFont="1"/>
    <xf numFmtId="0" fontId="35" fillId="12" borderId="1" xfId="0" applyFont="1" applyFill="1" applyBorder="1" applyAlignment="1">
      <alignment horizontal="center" vertical="top"/>
    </xf>
    <xf numFmtId="0" fontId="35" fillId="12" borderId="1" xfId="0" applyFont="1" applyFill="1" applyBorder="1" applyAlignment="1">
      <alignment horizontal="center" vertical="top" wrapText="1"/>
    </xf>
    <xf numFmtId="0" fontId="23" fillId="12" borderId="4" xfId="0" applyFont="1" applyFill="1" applyBorder="1" applyAlignment="1">
      <alignment horizontal="center"/>
    </xf>
    <xf numFmtId="0" fontId="23" fillId="12" borderId="4" xfId="0" applyFont="1" applyFill="1" applyBorder="1"/>
    <xf numFmtId="166" fontId="36" fillId="14" borderId="5" xfId="0" applyNumberFormat="1" applyFont="1" applyFill="1" applyBorder="1" applyAlignment="1" applyProtection="1">
      <alignment horizontal="center"/>
      <protection hidden="1"/>
    </xf>
    <xf numFmtId="166" fontId="36" fillId="14" borderId="6" xfId="0" applyNumberFormat="1" applyFont="1" applyFill="1" applyBorder="1" applyAlignment="1" applyProtection="1">
      <alignment horizontal="center"/>
      <protection hidden="1"/>
    </xf>
    <xf numFmtId="0" fontId="20" fillId="15" borderId="5" xfId="0" applyFont="1" applyFill="1" applyBorder="1" applyAlignment="1">
      <alignment horizontal="center"/>
    </xf>
    <xf numFmtId="166" fontId="36" fillId="14" borderId="1" xfId="0" applyNumberFormat="1" applyFont="1" applyFill="1" applyBorder="1" applyAlignment="1" applyProtection="1">
      <alignment horizontal="center"/>
      <protection hidden="1"/>
    </xf>
    <xf numFmtId="2" fontId="36" fillId="14" borderId="1" xfId="0" applyNumberFormat="1" applyFont="1" applyFill="1" applyBorder="1" applyAlignment="1" applyProtection="1">
      <alignment horizontal="center"/>
      <protection hidden="1"/>
    </xf>
    <xf numFmtId="0" fontId="20" fillId="13" borderId="0" xfId="0" applyFont="1" applyFill="1" applyProtection="1">
      <protection hidden="1"/>
    </xf>
    <xf numFmtId="0" fontId="20" fillId="13" borderId="0" xfId="0" applyFont="1" applyFill="1" applyAlignment="1">
      <alignment horizontal="center"/>
    </xf>
    <xf numFmtId="2" fontId="20" fillId="13" borderId="0" xfId="0" applyNumberFormat="1" applyFont="1" applyFill="1" applyBorder="1" applyAlignment="1" applyProtection="1">
      <alignment horizontal="center"/>
      <protection hidden="1"/>
    </xf>
    <xf numFmtId="165" fontId="36" fillId="14" borderId="1" xfId="0" applyNumberFormat="1" applyFont="1" applyFill="1" applyBorder="1" applyAlignment="1" applyProtection="1">
      <alignment horizontal="center"/>
      <protection hidden="1"/>
    </xf>
    <xf numFmtId="2" fontId="36" fillId="14" borderId="1" xfId="0" quotePrefix="1" applyNumberFormat="1" applyFont="1" applyFill="1" applyBorder="1" applyAlignment="1" applyProtection="1">
      <alignment horizontal="center"/>
      <protection hidden="1"/>
    </xf>
    <xf numFmtId="0" fontId="8" fillId="4" borderId="0" xfId="0" applyFont="1" applyFill="1"/>
    <xf numFmtId="0" fontId="10" fillId="4" borderId="0" xfId="0" applyFont="1" applyFill="1"/>
    <xf numFmtId="0" fontId="30" fillId="0" borderId="0" xfId="0" applyFont="1" applyAlignment="1">
      <alignment horizontal="center"/>
    </xf>
    <xf numFmtId="49" fontId="30" fillId="0" borderId="0" xfId="0" applyNumberFormat="1" applyFont="1"/>
    <xf numFmtId="0" fontId="42" fillId="0" borderId="0" xfId="0" applyFont="1" applyAlignment="1">
      <alignment horizontal="left"/>
    </xf>
    <xf numFmtId="0" fontId="29" fillId="0" borderId="0" xfId="0" applyFont="1" applyAlignment="1">
      <alignment horizontal="center"/>
    </xf>
    <xf numFmtId="0" fontId="24" fillId="19" borderId="0" xfId="0" applyFont="1" applyFill="1" applyAlignment="1">
      <alignment horizontal="center"/>
    </xf>
    <xf numFmtId="0" fontId="29" fillId="0" borderId="0" xfId="0" quotePrefix="1" applyFont="1" applyAlignment="1">
      <alignment horizontal="center"/>
    </xf>
    <xf numFmtId="0" fontId="18" fillId="0" borderId="0" xfId="0" applyFont="1" applyFill="1" applyAlignment="1"/>
    <xf numFmtId="0" fontId="43" fillId="12" borderId="0" xfId="0" applyFont="1" applyFill="1" applyAlignment="1">
      <alignment vertical="center"/>
    </xf>
    <xf numFmtId="0" fontId="44" fillId="0" borderId="0" xfId="0" applyFont="1"/>
    <xf numFmtId="0" fontId="46" fillId="0" borderId="0" xfId="3" applyFont="1"/>
    <xf numFmtId="0" fontId="38" fillId="0" borderId="0" xfId="0" applyFont="1"/>
    <xf numFmtId="0" fontId="30" fillId="0" borderId="0" xfId="0" applyFont="1" applyAlignment="1"/>
    <xf numFmtId="0" fontId="48" fillId="0" borderId="0" xfId="0" applyFont="1"/>
    <xf numFmtId="0" fontId="30" fillId="13" borderId="0" xfId="0" applyFont="1" applyFill="1" applyAlignment="1">
      <alignment vertical="top"/>
    </xf>
    <xf numFmtId="2" fontId="36" fillId="16" borderId="1" xfId="0" applyNumberFormat="1" applyFont="1" applyFill="1" applyBorder="1" applyAlignment="1" applyProtection="1">
      <alignment horizontal="center" vertical="center"/>
      <protection locked="0" hidden="1"/>
    </xf>
    <xf numFmtId="1" fontId="36" fillId="16" borderId="1" xfId="0" applyNumberFormat="1" applyFont="1" applyFill="1" applyBorder="1" applyAlignment="1" applyProtection="1">
      <alignment horizontal="center" vertical="center"/>
      <protection locked="0" hidden="1"/>
    </xf>
    <xf numFmtId="0" fontId="36" fillId="14" borderId="1" xfId="0" applyNumberFormat="1" applyFont="1" applyFill="1" applyBorder="1" applyAlignment="1" applyProtection="1">
      <alignment horizontal="center" vertical="center"/>
      <protection hidden="1"/>
    </xf>
    <xf numFmtId="0" fontId="36" fillId="16" borderId="1" xfId="0" applyNumberFormat="1" applyFont="1" applyFill="1" applyBorder="1" applyAlignment="1" applyProtection="1">
      <alignment horizontal="center" vertical="center"/>
      <protection locked="0" hidden="1"/>
    </xf>
    <xf numFmtId="11" fontId="36" fillId="14" borderId="1" xfId="0" applyNumberFormat="1" applyFont="1" applyFill="1" applyBorder="1" applyAlignment="1" applyProtection="1">
      <alignment horizontal="center" vertical="center"/>
      <protection hidden="1"/>
    </xf>
    <xf numFmtId="2" fontId="36" fillId="14" borderId="1" xfId="0" applyNumberFormat="1" applyFont="1" applyFill="1" applyBorder="1" applyAlignment="1" applyProtection="1">
      <alignment horizontal="center" vertical="center"/>
      <protection hidden="1"/>
    </xf>
    <xf numFmtId="1" fontId="29" fillId="0" borderId="0" xfId="0" applyNumberFormat="1" applyFont="1" applyProtection="1">
      <protection hidden="1"/>
    </xf>
    <xf numFmtId="2" fontId="24" fillId="14" borderId="1" xfId="0" applyNumberFormat="1" applyFont="1" applyFill="1" applyBorder="1" applyAlignment="1" applyProtection="1">
      <alignment horizontal="center" vertical="center"/>
      <protection hidden="1"/>
    </xf>
    <xf numFmtId="166" fontId="18" fillId="13" borderId="1" xfId="0" applyNumberFormat="1" applyFont="1" applyFill="1" applyBorder="1" applyAlignment="1" applyProtection="1">
      <alignment horizontal="center" vertical="center"/>
      <protection hidden="1"/>
    </xf>
    <xf numFmtId="2" fontId="18" fillId="13" borderId="1" xfId="0" applyNumberFormat="1" applyFont="1" applyFill="1" applyBorder="1" applyAlignment="1" applyProtection="1">
      <alignment horizontal="center" vertical="center"/>
      <protection hidden="1"/>
    </xf>
    <xf numFmtId="0" fontId="18" fillId="13" borderId="1" xfId="0" applyFont="1" applyFill="1" applyBorder="1" applyAlignment="1" applyProtection="1">
      <alignment horizontal="center" vertical="center"/>
      <protection hidden="1"/>
    </xf>
    <xf numFmtId="0" fontId="24" fillId="16" borderId="5" xfId="0" applyFont="1" applyFill="1" applyBorder="1" applyAlignment="1" applyProtection="1">
      <alignment horizontal="center"/>
      <protection locked="0" hidden="1"/>
    </xf>
    <xf numFmtId="0" fontId="17" fillId="13" borderId="0" xfId="0" applyFont="1" applyFill="1" applyProtection="1">
      <protection hidden="1"/>
    </xf>
    <xf numFmtId="0" fontId="20" fillId="13" borderId="0" xfId="0" applyFont="1" applyFill="1" applyAlignment="1">
      <alignment horizontal="right" vertical="center"/>
    </xf>
    <xf numFmtId="0" fontId="7" fillId="11" borderId="1" xfId="2" applyFont="1" applyFill="1" applyBorder="1" applyAlignment="1">
      <alignment horizontal="center" vertical="center"/>
    </xf>
    <xf numFmtId="0" fontId="24" fillId="16" borderId="1" xfId="0" applyFont="1" applyFill="1" applyBorder="1" applyAlignment="1">
      <alignment horizontal="center"/>
    </xf>
    <xf numFmtId="1" fontId="29" fillId="20" borderId="1" xfId="0" applyNumberFormat="1" applyFont="1" applyFill="1" applyBorder="1" applyAlignment="1" applyProtection="1">
      <alignment horizontal="center" vertical="center"/>
      <protection hidden="1"/>
    </xf>
    <xf numFmtId="0" fontId="29" fillId="10" borderId="1" xfId="0" applyFont="1" applyFill="1" applyBorder="1" applyAlignment="1">
      <alignment horizontal="center" vertical="center"/>
    </xf>
    <xf numFmtId="0" fontId="20" fillId="13" borderId="1" xfId="0" applyFont="1" applyFill="1" applyBorder="1" applyProtection="1">
      <protection hidden="1"/>
    </xf>
    <xf numFmtId="0" fontId="50" fillId="13" borderId="0" xfId="0" applyFont="1" applyFill="1" applyAlignment="1">
      <alignment horizontal="left" vertical="center"/>
    </xf>
    <xf numFmtId="0" fontId="51" fillId="0" borderId="0" xfId="3" applyFont="1"/>
    <xf numFmtId="0" fontId="0" fillId="0" borderId="0" xfId="0" applyAlignment="1">
      <alignment horizontal="center"/>
    </xf>
    <xf numFmtId="0" fontId="0" fillId="17" borderId="0" xfId="0" applyFill="1" applyAlignment="1">
      <alignment horizontal="center"/>
    </xf>
    <xf numFmtId="0" fontId="23" fillId="12" borderId="0" xfId="0" applyFont="1" applyFill="1" applyBorder="1"/>
    <xf numFmtId="0" fontId="29" fillId="13" borderId="0" xfId="0" applyFont="1" applyFill="1" applyAlignment="1">
      <alignment vertical="top" wrapText="1"/>
    </xf>
    <xf numFmtId="0" fontId="29" fillId="13" borderId="0" xfId="0" applyFont="1" applyFill="1" applyAlignment="1">
      <alignment vertical="top"/>
    </xf>
    <xf numFmtId="0" fontId="20" fillId="13" borderId="0" xfId="0" applyFont="1" applyFill="1" applyAlignment="1">
      <alignment horizontal="right" vertical="center"/>
    </xf>
    <xf numFmtId="0" fontId="23" fillId="12" borderId="7" xfId="0" applyFont="1" applyFill="1" applyBorder="1" applyAlignment="1">
      <alignment vertical="center"/>
    </xf>
    <xf numFmtId="0" fontId="23" fillId="12" borderId="8" xfId="0" applyFont="1" applyFill="1" applyBorder="1" applyAlignment="1">
      <alignment vertical="center"/>
    </xf>
    <xf numFmtId="0" fontId="23" fillId="12" borderId="9" xfId="0" applyFont="1" applyFill="1" applyBorder="1" applyAlignment="1">
      <alignment vertical="center"/>
    </xf>
    <xf numFmtId="0" fontId="18" fillId="9" borderId="5" xfId="0" applyFont="1" applyFill="1" applyBorder="1"/>
    <xf numFmtId="0" fontId="18" fillId="9" borderId="10" xfId="0" applyFont="1" applyFill="1" applyBorder="1"/>
    <xf numFmtId="0" fontId="18" fillId="9" borderId="11" xfId="0" applyFont="1" applyFill="1" applyBorder="1"/>
    <xf numFmtId="0" fontId="0" fillId="4" borderId="0" xfId="0" applyFill="1" applyAlignment="1">
      <alignment horizontal="center"/>
    </xf>
    <xf numFmtId="0" fontId="0" fillId="10" borderId="0" xfId="0" applyFill="1" applyAlignment="1">
      <alignment horizontal="center"/>
    </xf>
    <xf numFmtId="0" fontId="18" fillId="13" borderId="1" xfId="0" applyFont="1" applyFill="1" applyBorder="1" applyAlignment="1">
      <alignment horizontal="left" vertical="center"/>
    </xf>
    <xf numFmtId="0" fontId="29" fillId="13" borderId="14" xfId="0" applyFont="1" applyFill="1" applyBorder="1" applyAlignment="1">
      <alignment horizontal="left" vertical="top" wrapText="1"/>
    </xf>
    <xf numFmtId="0" fontId="29" fillId="13" borderId="15" xfId="0" applyFont="1" applyFill="1" applyBorder="1" applyAlignment="1">
      <alignment horizontal="left" vertical="top" wrapText="1"/>
    </xf>
    <xf numFmtId="0" fontId="29" fillId="13" borderId="16" xfId="0" applyFont="1" applyFill="1" applyBorder="1" applyAlignment="1">
      <alignment horizontal="left" vertical="top" wrapText="1"/>
    </xf>
    <xf numFmtId="0" fontId="29" fillId="13" borderId="12" xfId="0" applyFont="1" applyFill="1" applyBorder="1" applyAlignment="1">
      <alignment horizontal="left" vertical="top" wrapText="1"/>
    </xf>
    <xf numFmtId="0" fontId="29" fillId="13" borderId="0" xfId="0" applyFont="1" applyFill="1" applyBorder="1" applyAlignment="1">
      <alignment horizontal="left" vertical="top" wrapText="1"/>
    </xf>
    <xf numFmtId="0" fontId="29" fillId="13" borderId="3" xfId="0" applyFont="1" applyFill="1" applyBorder="1" applyAlignment="1">
      <alignment horizontal="left" vertical="top" wrapText="1"/>
    </xf>
    <xf numFmtId="0" fontId="29" fillId="13" borderId="6" xfId="0" applyFont="1" applyFill="1" applyBorder="1" applyAlignment="1">
      <alignment horizontal="left" vertical="top" wrapText="1"/>
    </xf>
    <xf numFmtId="0" fontId="29" fillId="13" borderId="2" xfId="0" applyFont="1" applyFill="1" applyBorder="1" applyAlignment="1">
      <alignment horizontal="left" vertical="top" wrapText="1"/>
    </xf>
    <xf numFmtId="0" fontId="29" fillId="13" borderId="17" xfId="0" applyFont="1" applyFill="1" applyBorder="1" applyAlignment="1">
      <alignment horizontal="left" vertical="top" wrapText="1"/>
    </xf>
    <xf numFmtId="0" fontId="29" fillId="21" borderId="18" xfId="0" applyFont="1" applyFill="1" applyBorder="1" applyAlignment="1">
      <alignment horizontal="center" vertical="center"/>
    </xf>
    <xf numFmtId="0" fontId="29" fillId="21" borderId="19" xfId="0" applyFont="1" applyFill="1" applyBorder="1" applyAlignment="1">
      <alignment horizontal="center" vertical="center"/>
    </xf>
    <xf numFmtId="0" fontId="29" fillId="21" borderId="5" xfId="0" applyFont="1" applyFill="1" applyBorder="1" applyAlignment="1">
      <alignment horizontal="center" vertical="center"/>
    </xf>
    <xf numFmtId="0" fontId="18" fillId="13" borderId="10" xfId="0" applyFont="1" applyFill="1" applyBorder="1" applyAlignment="1">
      <alignment horizontal="left" vertical="center"/>
    </xf>
    <xf numFmtId="0" fontId="18" fillId="13" borderId="13" xfId="0" applyFont="1" applyFill="1" applyBorder="1" applyAlignment="1">
      <alignment horizontal="left" vertical="center"/>
    </xf>
    <xf numFmtId="0" fontId="18" fillId="13" borderId="11" xfId="0" applyFont="1" applyFill="1" applyBorder="1" applyAlignment="1">
      <alignment horizontal="left" vertical="center"/>
    </xf>
    <xf numFmtId="0" fontId="23" fillId="12" borderId="1" xfId="0" applyFont="1" applyFill="1" applyBorder="1" applyAlignment="1">
      <alignment vertical="center"/>
    </xf>
    <xf numFmtId="0" fontId="18" fillId="13" borderId="0" xfId="0" applyFont="1" applyFill="1" applyAlignment="1">
      <alignment horizontal="right" vertical="center"/>
    </xf>
    <xf numFmtId="0" fontId="18" fillId="13" borderId="3" xfId="0" applyFont="1" applyFill="1" applyBorder="1" applyAlignment="1">
      <alignment horizontal="right" vertical="center"/>
    </xf>
    <xf numFmtId="0" fontId="20" fillId="13" borderId="0" xfId="0" applyFont="1" applyFill="1" applyAlignment="1">
      <alignment horizontal="right"/>
    </xf>
    <xf numFmtId="0" fontId="20" fillId="13" borderId="3" xfId="0" applyFont="1" applyFill="1" applyBorder="1" applyAlignment="1">
      <alignment horizontal="right"/>
    </xf>
    <xf numFmtId="0" fontId="19" fillId="13" borderId="0" xfId="0" applyFont="1" applyFill="1" applyAlignment="1">
      <alignment horizontal="right"/>
    </xf>
    <xf numFmtId="0" fontId="19" fillId="13" borderId="3" xfId="0" applyFont="1" applyFill="1" applyBorder="1" applyAlignment="1">
      <alignment horizontal="right"/>
    </xf>
    <xf numFmtId="0" fontId="39" fillId="12" borderId="0" xfId="0" applyFont="1" applyFill="1" applyAlignment="1">
      <alignment vertical="center"/>
    </xf>
    <xf numFmtId="0" fontId="24" fillId="19" borderId="0" xfId="0" applyFont="1" applyFill="1" applyAlignment="1">
      <alignment horizontal="left"/>
    </xf>
    <xf numFmtId="0" fontId="29" fillId="0" borderId="0" xfId="0" applyFont="1" applyAlignment="1">
      <alignment horizontal="left"/>
    </xf>
    <xf numFmtId="0" fontId="49" fillId="0" borderId="0" xfId="3" applyFont="1"/>
    <xf numFmtId="0" fontId="38" fillId="0" borderId="0" xfId="0" applyFont="1" applyAlignment="1">
      <alignment vertical="top" wrapText="1"/>
    </xf>
    <xf numFmtId="0" fontId="38" fillId="0" borderId="0" xfId="0" applyFont="1" applyAlignment="1">
      <alignment vertical="top"/>
    </xf>
    <xf numFmtId="0" fontId="47" fillId="0" borderId="0" xfId="3" applyFont="1" applyProtection="1"/>
  </cellXfs>
  <cellStyles count="4">
    <cellStyle name="Good" xfId="2" builtinId="26"/>
    <cellStyle name="Hyperlink" xfId="3" builtinId="8"/>
    <cellStyle name="Normal" xfId="0" builtinId="0"/>
    <cellStyle name="Normal 2" xfId="1"/>
  </cellStyles>
  <dxfs count="32">
    <dxf>
      <font>
        <color rgb="FF9C0006"/>
      </font>
      <fill>
        <patternFill>
          <bgColor rgb="FFFFC7CE"/>
        </patternFill>
      </fill>
    </dxf>
    <dxf>
      <font>
        <color rgb="FF9C0006"/>
      </font>
      <fill>
        <patternFill>
          <bgColor rgb="FFFFC7CE"/>
        </patternFill>
      </fill>
    </dxf>
    <dxf>
      <fill>
        <patternFill>
          <bgColor rgb="FF92D050"/>
        </patternFill>
      </fill>
    </dxf>
    <dxf>
      <fill>
        <patternFill>
          <bgColor rgb="FFFFFF00"/>
        </patternFill>
      </fill>
    </dxf>
    <dxf>
      <font>
        <color rgb="FFFF0000"/>
      </font>
      <fill>
        <patternFill>
          <bgColor rgb="FFFF0000"/>
        </patternFill>
      </fill>
    </dxf>
    <dxf>
      <fill>
        <patternFill>
          <bgColor rgb="FF92D050"/>
        </patternFill>
      </fill>
    </dxf>
    <dxf>
      <fill>
        <patternFill>
          <bgColor rgb="FFFFFF00"/>
        </patternFill>
      </fill>
    </dxf>
    <dxf>
      <font>
        <color rgb="FFFF0000"/>
      </font>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ont>
        <color rgb="FFFF0000"/>
      </font>
      <fill>
        <patternFill>
          <bgColor rgb="FFFF0000"/>
        </patternFill>
      </fill>
    </dxf>
    <dxf>
      <fill>
        <patternFill>
          <bgColor rgb="FF92D050"/>
        </patternFill>
      </fill>
    </dxf>
    <dxf>
      <fill>
        <patternFill>
          <bgColor rgb="FFFFFF00"/>
        </patternFill>
      </fill>
    </dxf>
    <dxf>
      <fill>
        <patternFill>
          <bgColor rgb="FFFFFF00"/>
        </patternFill>
      </fill>
    </dxf>
    <dxf>
      <fill>
        <patternFill>
          <bgColor rgb="FFFF0000"/>
        </patternFill>
      </fill>
    </dxf>
    <dxf>
      <font>
        <color rgb="FFFF0000"/>
      </font>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s>
  <tableStyles count="0" defaultTableStyle="TableStyleMedium2" defaultPivotStyle="PivotStyleLight16"/>
  <colors>
    <mruColors>
      <color rgb="FFE0E0E0"/>
      <color rgb="FF404040"/>
      <color rgb="FF115566"/>
      <color rgb="FF118899"/>
      <color rgb="FFAAAAAA"/>
      <color rgb="FFDDDDDD"/>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1"/>
          <a:lstStyle/>
          <a:p>
            <a:pPr>
              <a:defRPr/>
            </a:pPr>
            <a:r>
              <a:rPr lang="en-US"/>
              <a:t>Compensation</a:t>
            </a:r>
            <a:r>
              <a:rPr lang="en-US" baseline="0"/>
              <a:t> Current and Output Voltage </a:t>
            </a:r>
          </a:p>
          <a:p>
            <a:pPr>
              <a:defRPr/>
            </a:pPr>
            <a:r>
              <a:rPr lang="en-US" baseline="0"/>
              <a:t>vs. Magnetic Field</a:t>
            </a:r>
            <a:endParaRPr lang="en-US"/>
          </a:p>
        </c:rich>
      </c:tx>
      <c:layout>
        <c:manualLayout>
          <c:xMode val="edge"/>
          <c:yMode val="edge"/>
          <c:x val="0.23678759913075381"/>
          <c:y val="2.0764921113485348E-2"/>
        </c:manualLayout>
      </c:layout>
      <c:overlay val="0"/>
    </c:title>
    <c:autoTitleDeleted val="0"/>
    <c:plotArea>
      <c:layout/>
      <c:scatterChart>
        <c:scatterStyle val="lineMarker"/>
        <c:varyColors val="0"/>
        <c:ser>
          <c:idx val="1"/>
          <c:order val="1"/>
          <c:marker>
            <c:symbol val="none"/>
          </c:marker>
          <c:xVal>
            <c:numRef>
              <c:f>'B-Field sweep'!$C$15:$C$74</c:f>
              <c:numCache>
                <c:formatCode>0.0</c:formatCode>
                <c:ptCount val="6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numCache>
            </c:numRef>
          </c:xVal>
          <c:yVal>
            <c:numRef>
              <c:f>'B-Field sweep'!$E$15:$E$74</c:f>
              <c:numCache>
                <c:formatCode>0.00</c:formatCode>
                <c:ptCount val="60"/>
                <c:pt idx="0">
                  <c:v>0.122</c:v>
                </c:pt>
                <c:pt idx="1">
                  <c:v>0.24399999999999999</c:v>
                </c:pt>
                <c:pt idx="2">
                  <c:v>0.36599999999999994</c:v>
                </c:pt>
                <c:pt idx="3">
                  <c:v>0.48799999999999999</c:v>
                </c:pt>
                <c:pt idx="4">
                  <c:v>0.61</c:v>
                </c:pt>
                <c:pt idx="5">
                  <c:v>0.73199999999999987</c:v>
                </c:pt>
                <c:pt idx="6">
                  <c:v>0.85399999999999987</c:v>
                </c:pt>
                <c:pt idx="7">
                  <c:v>0.97599999999999998</c:v>
                </c:pt>
                <c:pt idx="8">
                  <c:v>1.0980000000000001</c:v>
                </c:pt>
                <c:pt idx="9">
                  <c:v>1.22</c:v>
                </c:pt>
                <c:pt idx="10">
                  <c:v>1.3419999999999999</c:v>
                </c:pt>
                <c:pt idx="11">
                  <c:v>1.4639999999999997</c:v>
                </c:pt>
                <c:pt idx="12">
                  <c:v>1.5859999999999999</c:v>
                </c:pt>
                <c:pt idx="13">
                  <c:v>1.7079999999999997</c:v>
                </c:pt>
                <c:pt idx="14">
                  <c:v>1.8299999999999996</c:v>
                </c:pt>
                <c:pt idx="15">
                  <c:v>1.952</c:v>
                </c:pt>
                <c:pt idx="16">
                  <c:v>2.0739999999999998</c:v>
                </c:pt>
                <c:pt idx="17">
                  <c:v>2.1960000000000002</c:v>
                </c:pt>
                <c:pt idx="18">
                  <c:v>2.3179999999999996</c:v>
                </c:pt>
                <c:pt idx="19">
                  <c:v>2.44</c:v>
                </c:pt>
                <c:pt idx="20">
                  <c:v>2.5</c:v>
                </c:pt>
                <c:pt idx="21">
                  <c:v>2.5</c:v>
                </c:pt>
                <c:pt idx="22">
                  <c:v>2.5</c:v>
                </c:pt>
                <c:pt idx="23">
                  <c:v>2.5</c:v>
                </c:pt>
                <c:pt idx="24">
                  <c:v>2.5</c:v>
                </c:pt>
                <c:pt idx="25">
                  <c:v>2.5</c:v>
                </c:pt>
                <c:pt idx="26">
                  <c:v>2.5</c:v>
                </c:pt>
                <c:pt idx="27">
                  <c:v>2.5</c:v>
                </c:pt>
                <c:pt idx="28">
                  <c:v>2.5</c:v>
                </c:pt>
                <c:pt idx="29">
                  <c:v>2.5</c:v>
                </c:pt>
                <c:pt idx="30">
                  <c:v>2.5</c:v>
                </c:pt>
                <c:pt idx="31">
                  <c:v>2.5</c:v>
                </c:pt>
                <c:pt idx="32">
                  <c:v>2.5</c:v>
                </c:pt>
                <c:pt idx="33">
                  <c:v>2.5</c:v>
                </c:pt>
                <c:pt idx="34">
                  <c:v>2.5</c:v>
                </c:pt>
                <c:pt idx="35">
                  <c:v>2.5</c:v>
                </c:pt>
                <c:pt idx="36">
                  <c:v>2.5</c:v>
                </c:pt>
                <c:pt idx="37">
                  <c:v>2.5</c:v>
                </c:pt>
                <c:pt idx="38">
                  <c:v>2.5</c:v>
                </c:pt>
                <c:pt idx="39">
                  <c:v>2.5</c:v>
                </c:pt>
                <c:pt idx="40">
                  <c:v>2.5</c:v>
                </c:pt>
                <c:pt idx="41">
                  <c:v>2.5</c:v>
                </c:pt>
                <c:pt idx="42">
                  <c:v>2.5</c:v>
                </c:pt>
                <c:pt idx="43">
                  <c:v>2.5</c:v>
                </c:pt>
                <c:pt idx="44">
                  <c:v>2.5</c:v>
                </c:pt>
                <c:pt idx="45">
                  <c:v>2.5</c:v>
                </c:pt>
                <c:pt idx="46">
                  <c:v>2.5</c:v>
                </c:pt>
                <c:pt idx="47">
                  <c:v>2.5</c:v>
                </c:pt>
                <c:pt idx="48">
                  <c:v>2.5</c:v>
                </c:pt>
                <c:pt idx="49">
                  <c:v>2.5</c:v>
                </c:pt>
                <c:pt idx="50">
                  <c:v>2.5</c:v>
                </c:pt>
                <c:pt idx="51">
                  <c:v>2.5</c:v>
                </c:pt>
                <c:pt idx="52">
                  <c:v>2.5</c:v>
                </c:pt>
                <c:pt idx="53">
                  <c:v>2.5</c:v>
                </c:pt>
                <c:pt idx="54">
                  <c:v>2.5</c:v>
                </c:pt>
                <c:pt idx="55">
                  <c:v>2.5</c:v>
                </c:pt>
                <c:pt idx="56">
                  <c:v>2.5</c:v>
                </c:pt>
                <c:pt idx="57">
                  <c:v>2.5</c:v>
                </c:pt>
                <c:pt idx="58">
                  <c:v>2.5</c:v>
                </c:pt>
                <c:pt idx="59">
                  <c:v>2.5</c:v>
                </c:pt>
              </c:numCache>
            </c:numRef>
          </c:yVal>
          <c:smooth val="0"/>
        </c:ser>
        <c:dLbls>
          <c:showLegendKey val="0"/>
          <c:showVal val="0"/>
          <c:showCatName val="0"/>
          <c:showSerName val="0"/>
          <c:showPercent val="0"/>
          <c:showBubbleSize val="0"/>
        </c:dLbls>
        <c:axId val="40724736"/>
        <c:axId val="40735104"/>
      </c:scatterChart>
      <c:scatterChart>
        <c:scatterStyle val="lineMarker"/>
        <c:varyColors val="0"/>
        <c:ser>
          <c:idx val="0"/>
          <c:order val="0"/>
          <c:marker>
            <c:symbol val="none"/>
          </c:marker>
          <c:xVal>
            <c:numRef>
              <c:f>'B-Field sweep'!$C$15:$C$74</c:f>
              <c:numCache>
                <c:formatCode>0.0</c:formatCode>
                <c:ptCount val="6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numCache>
            </c:numRef>
          </c:xVal>
          <c:yVal>
            <c:numRef>
              <c:f>'B-Field sweep'!$D$15:$D$74</c:f>
              <c:numCache>
                <c:formatCode>0.00</c:formatCode>
                <c:ptCount val="60"/>
                <c:pt idx="0">
                  <c:v>1.22</c:v>
                </c:pt>
                <c:pt idx="1">
                  <c:v>2.44</c:v>
                </c:pt>
                <c:pt idx="2">
                  <c:v>3.6599999999999997</c:v>
                </c:pt>
                <c:pt idx="3">
                  <c:v>4.88</c:v>
                </c:pt>
                <c:pt idx="4">
                  <c:v>6.1</c:v>
                </c:pt>
                <c:pt idx="5">
                  <c:v>7.3199999999999994</c:v>
                </c:pt>
                <c:pt idx="6">
                  <c:v>8.5399999999999991</c:v>
                </c:pt>
                <c:pt idx="7">
                  <c:v>9.76</c:v>
                </c:pt>
                <c:pt idx="8">
                  <c:v>10.98</c:v>
                </c:pt>
                <c:pt idx="9">
                  <c:v>12.2</c:v>
                </c:pt>
                <c:pt idx="10">
                  <c:v>13.42</c:v>
                </c:pt>
                <c:pt idx="11">
                  <c:v>14.639999999999999</c:v>
                </c:pt>
                <c:pt idx="12">
                  <c:v>15.86</c:v>
                </c:pt>
                <c:pt idx="13">
                  <c:v>17.079999999999998</c:v>
                </c:pt>
                <c:pt idx="14">
                  <c:v>18.299999999999997</c:v>
                </c:pt>
                <c:pt idx="15">
                  <c:v>19.52</c:v>
                </c:pt>
                <c:pt idx="16">
                  <c:v>20.74</c:v>
                </c:pt>
                <c:pt idx="17">
                  <c:v>21.96</c:v>
                </c:pt>
                <c:pt idx="18">
                  <c:v>23.179999999999996</c:v>
                </c:pt>
                <c:pt idx="19">
                  <c:v>24.4</c:v>
                </c:pt>
                <c:pt idx="20">
                  <c:v>25.62</c:v>
                </c:pt>
                <c:pt idx="21">
                  <c:v>26.690011530084981</c:v>
                </c:pt>
                <c:pt idx="22">
                  <c:v>26.690011530084981</c:v>
                </c:pt>
                <c:pt idx="23">
                  <c:v>26.690011530084981</c:v>
                </c:pt>
                <c:pt idx="24">
                  <c:v>26.690011530084981</c:v>
                </c:pt>
                <c:pt idx="25">
                  <c:v>26.690011530084981</c:v>
                </c:pt>
                <c:pt idx="26">
                  <c:v>26.690011530084981</c:v>
                </c:pt>
                <c:pt idx="27">
                  <c:v>26.690011530084981</c:v>
                </c:pt>
                <c:pt idx="28">
                  <c:v>26.690011530084981</c:v>
                </c:pt>
                <c:pt idx="29">
                  <c:v>26.690011530084981</c:v>
                </c:pt>
                <c:pt idx="30">
                  <c:v>26.690011530084981</c:v>
                </c:pt>
                <c:pt idx="31">
                  <c:v>26.690011530084981</c:v>
                </c:pt>
                <c:pt idx="32">
                  <c:v>26.690011530084981</c:v>
                </c:pt>
                <c:pt idx="33">
                  <c:v>26.690011530084981</c:v>
                </c:pt>
                <c:pt idx="34">
                  <c:v>26.690011530084981</c:v>
                </c:pt>
                <c:pt idx="35">
                  <c:v>26.690011530084981</c:v>
                </c:pt>
                <c:pt idx="36">
                  <c:v>26.690011530084981</c:v>
                </c:pt>
                <c:pt idx="37">
                  <c:v>26.690011530084981</c:v>
                </c:pt>
                <c:pt idx="38">
                  <c:v>26.690011530084981</c:v>
                </c:pt>
                <c:pt idx="39">
                  <c:v>26.690011530084981</c:v>
                </c:pt>
                <c:pt idx="40">
                  <c:v>26.690011530084981</c:v>
                </c:pt>
                <c:pt idx="41">
                  <c:v>26.690011530084981</c:v>
                </c:pt>
                <c:pt idx="42">
                  <c:v>26.690011530084981</c:v>
                </c:pt>
                <c:pt idx="43">
                  <c:v>26.690011530084981</c:v>
                </c:pt>
                <c:pt idx="44">
                  <c:v>26.690011530084981</c:v>
                </c:pt>
                <c:pt idx="45">
                  <c:v>26.690011530084981</c:v>
                </c:pt>
                <c:pt idx="46">
                  <c:v>26.690011530084981</c:v>
                </c:pt>
                <c:pt idx="47">
                  <c:v>26.690011530084981</c:v>
                </c:pt>
                <c:pt idx="48">
                  <c:v>26.690011530084981</c:v>
                </c:pt>
                <c:pt idx="49">
                  <c:v>26.690011530084981</c:v>
                </c:pt>
                <c:pt idx="50">
                  <c:v>26.690011530084981</c:v>
                </c:pt>
                <c:pt idx="51">
                  <c:v>26.690011530084981</c:v>
                </c:pt>
                <c:pt idx="52">
                  <c:v>26.690011530084981</c:v>
                </c:pt>
                <c:pt idx="53">
                  <c:v>26.690011530084981</c:v>
                </c:pt>
                <c:pt idx="54">
                  <c:v>26.690011530084981</c:v>
                </c:pt>
                <c:pt idx="55">
                  <c:v>26.690011530084981</c:v>
                </c:pt>
                <c:pt idx="56">
                  <c:v>26.690011530084981</c:v>
                </c:pt>
                <c:pt idx="57">
                  <c:v>26.690011530084981</c:v>
                </c:pt>
                <c:pt idx="58">
                  <c:v>26.690011530084981</c:v>
                </c:pt>
                <c:pt idx="59">
                  <c:v>26.690011530084981</c:v>
                </c:pt>
              </c:numCache>
            </c:numRef>
          </c:yVal>
          <c:smooth val="0"/>
        </c:ser>
        <c:dLbls>
          <c:showLegendKey val="0"/>
          <c:showVal val="0"/>
          <c:showCatName val="0"/>
          <c:showSerName val="0"/>
          <c:showPercent val="0"/>
          <c:showBubbleSize val="0"/>
        </c:dLbls>
        <c:axId val="40743296"/>
        <c:axId val="40737024"/>
      </c:scatterChart>
      <c:valAx>
        <c:axId val="40724736"/>
        <c:scaling>
          <c:orientation val="minMax"/>
          <c:max val="6"/>
        </c:scaling>
        <c:delete val="0"/>
        <c:axPos val="b"/>
        <c:title>
          <c:tx>
            <c:rich>
              <a:bodyPr/>
              <a:lstStyle/>
              <a:p>
                <a:pPr>
                  <a:defRPr sz="1200"/>
                </a:pPr>
                <a:r>
                  <a:rPr lang="en-US" sz="1200"/>
                  <a:t>Magnetic Field (mT)</a:t>
                </a:r>
              </a:p>
            </c:rich>
          </c:tx>
          <c:layout/>
          <c:overlay val="0"/>
        </c:title>
        <c:numFmt formatCode="0.0" sourceLinked="1"/>
        <c:majorTickMark val="out"/>
        <c:minorTickMark val="none"/>
        <c:tickLblPos val="nextTo"/>
        <c:txPr>
          <a:bodyPr/>
          <a:lstStyle/>
          <a:p>
            <a:pPr>
              <a:defRPr sz="1200" b="1"/>
            </a:pPr>
            <a:endParaRPr lang="en-US"/>
          </a:p>
        </c:txPr>
        <c:crossAx val="40735104"/>
        <c:crosses val="autoZero"/>
        <c:crossBetween val="midCat"/>
      </c:valAx>
      <c:valAx>
        <c:axId val="40735104"/>
        <c:scaling>
          <c:orientation val="minMax"/>
          <c:max val="3"/>
        </c:scaling>
        <c:delete val="0"/>
        <c:axPos val="l"/>
        <c:majorGridlines/>
        <c:title>
          <c:tx>
            <c:rich>
              <a:bodyPr rot="-5400000" vert="horz"/>
              <a:lstStyle/>
              <a:p>
                <a:pPr>
                  <a:defRPr>
                    <a:solidFill>
                      <a:srgbClr val="C00000"/>
                    </a:solidFill>
                  </a:defRPr>
                </a:pPr>
                <a:r>
                  <a:rPr lang="en-US" sz="1200">
                    <a:solidFill>
                      <a:srgbClr val="C00000"/>
                    </a:solidFill>
                  </a:rPr>
                  <a:t>Output Voltage Vout-Vref (V)</a:t>
                </a:r>
              </a:p>
            </c:rich>
          </c:tx>
          <c:layout>
            <c:manualLayout>
              <c:xMode val="edge"/>
              <c:yMode val="edge"/>
              <c:x val="1.4336917562724014E-2"/>
              <c:y val="0.31291280039809144"/>
            </c:manualLayout>
          </c:layout>
          <c:overlay val="0"/>
        </c:title>
        <c:numFmt formatCode="0.00" sourceLinked="1"/>
        <c:majorTickMark val="out"/>
        <c:minorTickMark val="none"/>
        <c:tickLblPos val="nextTo"/>
        <c:txPr>
          <a:bodyPr/>
          <a:lstStyle/>
          <a:p>
            <a:pPr>
              <a:defRPr sz="1200" b="1">
                <a:solidFill>
                  <a:srgbClr val="C00000"/>
                </a:solidFill>
              </a:defRPr>
            </a:pPr>
            <a:endParaRPr lang="en-US"/>
          </a:p>
        </c:txPr>
        <c:crossAx val="40724736"/>
        <c:crosses val="autoZero"/>
        <c:crossBetween val="midCat"/>
      </c:valAx>
      <c:valAx>
        <c:axId val="40737024"/>
        <c:scaling>
          <c:orientation val="minMax"/>
          <c:max val="30"/>
        </c:scaling>
        <c:delete val="0"/>
        <c:axPos val="r"/>
        <c:title>
          <c:tx>
            <c:rich>
              <a:bodyPr rot="-5400000" vert="horz"/>
              <a:lstStyle/>
              <a:p>
                <a:pPr>
                  <a:defRPr>
                    <a:solidFill>
                      <a:schemeClr val="accent1"/>
                    </a:solidFill>
                  </a:defRPr>
                </a:pPr>
                <a:r>
                  <a:rPr lang="en-US" sz="1200">
                    <a:solidFill>
                      <a:schemeClr val="accent1"/>
                    </a:solidFill>
                  </a:rPr>
                  <a:t>Compensation Coil Current (mA)</a:t>
                </a:r>
              </a:p>
            </c:rich>
          </c:tx>
          <c:layout>
            <c:manualLayout>
              <c:xMode val="edge"/>
              <c:yMode val="edge"/>
              <c:x val="0.95761645596471734"/>
              <c:y val="0.29096868951987065"/>
            </c:manualLayout>
          </c:layout>
          <c:overlay val="0"/>
        </c:title>
        <c:numFmt formatCode="0.00" sourceLinked="1"/>
        <c:majorTickMark val="out"/>
        <c:minorTickMark val="none"/>
        <c:tickLblPos val="nextTo"/>
        <c:txPr>
          <a:bodyPr/>
          <a:lstStyle/>
          <a:p>
            <a:pPr>
              <a:defRPr sz="1200" b="1">
                <a:solidFill>
                  <a:schemeClr val="accent1"/>
                </a:solidFill>
              </a:defRPr>
            </a:pPr>
            <a:endParaRPr lang="en-US"/>
          </a:p>
        </c:txPr>
        <c:crossAx val="40743296"/>
        <c:crosses val="max"/>
        <c:crossBetween val="midCat"/>
      </c:valAx>
      <c:valAx>
        <c:axId val="40743296"/>
        <c:scaling>
          <c:orientation val="minMax"/>
        </c:scaling>
        <c:delete val="1"/>
        <c:axPos val="b"/>
        <c:numFmt formatCode="0.0" sourceLinked="1"/>
        <c:majorTickMark val="out"/>
        <c:minorTickMark val="none"/>
        <c:tickLblPos val="nextTo"/>
        <c:crossAx val="40737024"/>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Error/Over-Range</a:t>
            </a:r>
            <a:r>
              <a:rPr lang="en-US" baseline="0"/>
              <a:t> flag behavior vs. Magnetic Field</a:t>
            </a:r>
            <a:endParaRPr lang="en-US"/>
          </a:p>
        </c:rich>
      </c:tx>
      <c:layout/>
      <c:overlay val="0"/>
    </c:title>
    <c:autoTitleDeleted val="0"/>
    <c:plotArea>
      <c:layout>
        <c:manualLayout>
          <c:layoutTarget val="inner"/>
          <c:xMode val="edge"/>
          <c:yMode val="edge"/>
          <c:x val="9.9122353800263158E-2"/>
          <c:y val="0.13457677930118875"/>
          <c:w val="0.79073704369630959"/>
          <c:h val="0.70251173148810941"/>
        </c:manualLayout>
      </c:layout>
      <c:scatterChart>
        <c:scatterStyle val="lineMarker"/>
        <c:varyColors val="0"/>
        <c:ser>
          <c:idx val="0"/>
          <c:order val="0"/>
          <c:tx>
            <c:strRef>
              <c:f>'B-Field sweep'!$F$14</c:f>
              <c:strCache>
                <c:ptCount val="1"/>
                <c:pt idx="0">
                  <c:v>Over-Range Flag</c:v>
                </c:pt>
              </c:strCache>
            </c:strRef>
          </c:tx>
          <c:spPr>
            <a:ln>
              <a:solidFill>
                <a:srgbClr val="C00000"/>
              </a:solidFill>
            </a:ln>
          </c:spPr>
          <c:marker>
            <c:symbol val="none"/>
          </c:marker>
          <c:xVal>
            <c:numRef>
              <c:f>'B-Field sweep'!$C$15:$C$74</c:f>
              <c:numCache>
                <c:formatCode>0.0</c:formatCode>
                <c:ptCount val="6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numCache>
            </c:numRef>
          </c:xVal>
          <c:yVal>
            <c:numRef>
              <c:f>'B-Field sweep'!$F$15:$F$74</c:f>
              <c:numCache>
                <c:formatCode>General</c:formatCode>
                <c:ptCount val="60"/>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yVal>
          <c:smooth val="0"/>
        </c:ser>
        <c:ser>
          <c:idx val="1"/>
          <c:order val="1"/>
          <c:tx>
            <c:strRef>
              <c:f>'B-Field sweep'!$G$14</c:f>
              <c:strCache>
                <c:ptCount val="1"/>
                <c:pt idx="0">
                  <c:v>Error Flag</c:v>
                </c:pt>
              </c:strCache>
            </c:strRef>
          </c:tx>
          <c:spPr>
            <a:ln>
              <a:solidFill>
                <a:schemeClr val="accent1"/>
              </a:solidFill>
            </a:ln>
          </c:spPr>
          <c:marker>
            <c:symbol val="none"/>
          </c:marker>
          <c:xVal>
            <c:numRef>
              <c:f>'B-Field sweep'!$C$15:$C$74</c:f>
              <c:numCache>
                <c:formatCode>0.0</c:formatCode>
                <c:ptCount val="6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numCache>
            </c:numRef>
          </c:xVal>
          <c:yVal>
            <c:numRef>
              <c:f>'B-Field sweep'!$G$15:$G$74</c:f>
              <c:numCache>
                <c:formatCode>General</c:formatCode>
                <c:ptCount val="60"/>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yVal>
          <c:smooth val="0"/>
        </c:ser>
        <c:dLbls>
          <c:showLegendKey val="0"/>
          <c:showVal val="0"/>
          <c:showCatName val="0"/>
          <c:showSerName val="0"/>
          <c:showPercent val="0"/>
          <c:showBubbleSize val="0"/>
        </c:dLbls>
        <c:axId val="40866560"/>
        <c:axId val="40868480"/>
      </c:scatterChart>
      <c:valAx>
        <c:axId val="40866560"/>
        <c:scaling>
          <c:orientation val="minMax"/>
          <c:max val="6"/>
        </c:scaling>
        <c:delete val="0"/>
        <c:axPos val="b"/>
        <c:title>
          <c:tx>
            <c:rich>
              <a:bodyPr/>
              <a:lstStyle/>
              <a:p>
                <a:pPr>
                  <a:defRPr/>
                </a:pPr>
                <a:r>
                  <a:rPr lang="en-US" sz="1200"/>
                  <a:t>Magnetic Field (mT</a:t>
                </a:r>
                <a:r>
                  <a:rPr lang="en-US"/>
                  <a:t>)</a:t>
                </a:r>
              </a:p>
            </c:rich>
          </c:tx>
          <c:layout/>
          <c:overlay val="0"/>
        </c:title>
        <c:numFmt formatCode="0.0" sourceLinked="1"/>
        <c:majorTickMark val="out"/>
        <c:minorTickMark val="none"/>
        <c:tickLblPos val="nextTo"/>
        <c:txPr>
          <a:bodyPr/>
          <a:lstStyle/>
          <a:p>
            <a:pPr>
              <a:defRPr sz="1200" b="1"/>
            </a:pPr>
            <a:endParaRPr lang="en-US"/>
          </a:p>
        </c:txPr>
        <c:crossAx val="40868480"/>
        <c:crossesAt val="-0.2"/>
        <c:crossBetween val="midCat"/>
      </c:valAx>
      <c:valAx>
        <c:axId val="40868480"/>
        <c:scaling>
          <c:orientation val="minMax"/>
        </c:scaling>
        <c:delete val="0"/>
        <c:axPos val="l"/>
        <c:majorGridlines/>
        <c:title>
          <c:tx>
            <c:rich>
              <a:bodyPr rot="-5400000" vert="horz"/>
              <a:lstStyle/>
              <a:p>
                <a:pPr>
                  <a:defRPr/>
                </a:pPr>
                <a:r>
                  <a:rPr lang="en-US" sz="1200"/>
                  <a:t>voltage</a:t>
                </a:r>
                <a:r>
                  <a:rPr lang="en-US" sz="1200" baseline="0"/>
                  <a:t> on error/overrange pin (V</a:t>
                </a:r>
                <a:r>
                  <a:rPr lang="en-US" baseline="0"/>
                  <a:t>)</a:t>
                </a:r>
                <a:endParaRPr lang="en-US"/>
              </a:p>
            </c:rich>
          </c:tx>
          <c:layout>
            <c:manualLayout>
              <c:xMode val="edge"/>
              <c:yMode val="edge"/>
              <c:x val="2.0095835505258286E-2"/>
              <c:y val="0.20646430812977931"/>
            </c:manualLayout>
          </c:layout>
          <c:overlay val="0"/>
        </c:title>
        <c:numFmt formatCode="General" sourceLinked="1"/>
        <c:majorTickMark val="out"/>
        <c:minorTickMark val="none"/>
        <c:tickLblPos val="nextTo"/>
        <c:txPr>
          <a:bodyPr/>
          <a:lstStyle/>
          <a:p>
            <a:pPr>
              <a:defRPr sz="1200" b="1"/>
            </a:pPr>
            <a:endParaRPr lang="en-US"/>
          </a:p>
        </c:txPr>
        <c:crossAx val="40866560"/>
        <c:crosses val="autoZero"/>
        <c:crossBetween val="midCat"/>
      </c:valAx>
    </c:plotArea>
    <c:legend>
      <c:legendPos val="r"/>
      <c:layout>
        <c:manualLayout>
          <c:xMode val="edge"/>
          <c:yMode val="edge"/>
          <c:x val="0.65720847886140221"/>
          <c:y val="0.35518137155932428"/>
          <c:w val="0.21505748789275356"/>
          <c:h val="0.16523955484585406"/>
        </c:manualLayout>
      </c:layout>
      <c:overlay val="0"/>
      <c:spPr>
        <a:solidFill>
          <a:schemeClr val="bg1"/>
        </a:solidFill>
        <a:ln>
          <a:solidFill>
            <a:schemeClr val="tx1"/>
          </a:solidFill>
        </a:ln>
      </c:spPr>
      <c:txPr>
        <a:bodyPr/>
        <a:lstStyle/>
        <a:p>
          <a:pPr>
            <a:defRPr sz="1100" b="1"/>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Magnitude</a:t>
            </a:r>
            <a:r>
              <a:rPr lang="de-DE" baseline="0"/>
              <a:t> of Open </a:t>
            </a:r>
            <a:r>
              <a:rPr lang="de-DE"/>
              <a:t>Loop Gain</a:t>
            </a:r>
          </a:p>
        </c:rich>
      </c:tx>
      <c:layout>
        <c:manualLayout>
          <c:xMode val="edge"/>
          <c:yMode val="edge"/>
          <c:x val="0.37051224534635968"/>
          <c:y val="0"/>
        </c:manualLayout>
      </c:layout>
      <c:overlay val="1"/>
    </c:title>
    <c:autoTitleDeleted val="0"/>
    <c:plotArea>
      <c:layout>
        <c:manualLayout>
          <c:layoutTarget val="inner"/>
          <c:xMode val="edge"/>
          <c:yMode val="edge"/>
          <c:x val="0.11232614469185417"/>
          <c:y val="0.10232648002333042"/>
          <c:w val="0.82241111552450608"/>
          <c:h val="0.73539734616506269"/>
        </c:manualLayout>
      </c:layout>
      <c:scatterChart>
        <c:scatterStyle val="lineMarker"/>
        <c:varyColors val="0"/>
        <c:ser>
          <c:idx val="3"/>
          <c:order val="0"/>
          <c:tx>
            <c:v>TotalLoopGain</c:v>
          </c:tx>
          <c:spPr>
            <a:ln>
              <a:solidFill>
                <a:srgbClr val="C00000"/>
              </a:solidFill>
            </a:ln>
          </c:spPr>
          <c:marker>
            <c:symbol val="x"/>
            <c:size val="2"/>
            <c:spPr>
              <a:solidFill>
                <a:srgbClr val="C00000"/>
              </a:solidFill>
              <a:ln>
                <a:solidFill>
                  <a:srgbClr val="C00000"/>
                </a:solidFill>
              </a:ln>
            </c:spPr>
          </c:marker>
          <c:xVal>
            <c:numRef>
              <c:f>Calculations!$B$15:$B$77</c:f>
              <c:numCache>
                <c:formatCode>General</c:formatCode>
                <c:ptCount val="63"/>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15000</c:v>
                </c:pt>
                <c:pt idx="38">
                  <c:v>20000</c:v>
                </c:pt>
                <c:pt idx="39">
                  <c:v>25000</c:v>
                </c:pt>
                <c:pt idx="40">
                  <c:v>30000</c:v>
                </c:pt>
                <c:pt idx="41">
                  <c:v>35000</c:v>
                </c:pt>
                <c:pt idx="42">
                  <c:v>40000</c:v>
                </c:pt>
                <c:pt idx="43">
                  <c:v>45000</c:v>
                </c:pt>
                <c:pt idx="44">
                  <c:v>50000</c:v>
                </c:pt>
                <c:pt idx="45">
                  <c:v>55000</c:v>
                </c:pt>
                <c:pt idx="46">
                  <c:v>60000</c:v>
                </c:pt>
                <c:pt idx="47">
                  <c:v>65000</c:v>
                </c:pt>
                <c:pt idx="48">
                  <c:v>70000</c:v>
                </c:pt>
                <c:pt idx="49">
                  <c:v>75000</c:v>
                </c:pt>
                <c:pt idx="50">
                  <c:v>80000</c:v>
                </c:pt>
                <c:pt idx="51">
                  <c:v>85000</c:v>
                </c:pt>
                <c:pt idx="52">
                  <c:v>90000</c:v>
                </c:pt>
                <c:pt idx="53">
                  <c:v>100000</c:v>
                </c:pt>
                <c:pt idx="54">
                  <c:v>200000</c:v>
                </c:pt>
                <c:pt idx="55">
                  <c:v>300000</c:v>
                </c:pt>
                <c:pt idx="56">
                  <c:v>400000</c:v>
                </c:pt>
                <c:pt idx="57">
                  <c:v>500000</c:v>
                </c:pt>
                <c:pt idx="58">
                  <c:v>600000</c:v>
                </c:pt>
                <c:pt idx="59">
                  <c:v>700000</c:v>
                </c:pt>
                <c:pt idx="60">
                  <c:v>800000</c:v>
                </c:pt>
                <c:pt idx="61">
                  <c:v>900000</c:v>
                </c:pt>
                <c:pt idx="62">
                  <c:v>1000000</c:v>
                </c:pt>
              </c:numCache>
            </c:numRef>
          </c:xVal>
          <c:yVal>
            <c:numRef>
              <c:f>Calculations!$H$15:$H$77</c:f>
              <c:numCache>
                <c:formatCode>0.0</c:formatCode>
                <c:ptCount val="63"/>
                <c:pt idx="0">
                  <c:v>89.398853401850687</c:v>
                </c:pt>
                <c:pt idx="1">
                  <c:v>83.378253488570749</c:v>
                </c:pt>
                <c:pt idx="2">
                  <c:v>79.856428307456639</c:v>
                </c:pt>
                <c:pt idx="3">
                  <c:v>77.357653575289959</c:v>
                </c:pt>
                <c:pt idx="4">
                  <c:v>75.419453315127939</c:v>
                </c:pt>
                <c:pt idx="5">
                  <c:v>73.835828394174357</c:v>
                </c:pt>
                <c:pt idx="6">
                  <c:v>72.496892601560802</c:v>
                </c:pt>
                <c:pt idx="7">
                  <c:v>71.337053662005587</c:v>
                </c:pt>
                <c:pt idx="8">
                  <c:v>70.314003213056282</c:v>
                </c:pt>
                <c:pt idx="9">
                  <c:v>69.39885340184091</c:v>
                </c:pt>
                <c:pt idx="10">
                  <c:v>63.378253488531655</c:v>
                </c:pt>
                <c:pt idx="11">
                  <c:v>59.856428307368652</c:v>
                </c:pt>
                <c:pt idx="12">
                  <c:v>57.357653575133519</c:v>
                </c:pt>
                <c:pt idx="13">
                  <c:v>55.419453314883512</c:v>
                </c:pt>
                <c:pt idx="14">
                  <c:v>53.835828393822382</c:v>
                </c:pt>
                <c:pt idx="15">
                  <c:v>52.496892601081733</c:v>
                </c:pt>
                <c:pt idx="16">
                  <c:v>51.337053661379869</c:v>
                </c:pt>
                <c:pt idx="17">
                  <c:v>50.314003212264353</c:v>
                </c:pt>
                <c:pt idx="18">
                  <c:v>49.39885340086321</c:v>
                </c:pt>
                <c:pt idx="19">
                  <c:v>43.378253484620892</c:v>
                </c:pt>
                <c:pt idx="20">
                  <c:v>39.856428298569433</c:v>
                </c:pt>
                <c:pt idx="21">
                  <c:v>37.357653559490458</c:v>
                </c:pt>
                <c:pt idx="22">
                  <c:v>35.419453290441233</c:v>
                </c:pt>
                <c:pt idx="23">
                  <c:v>33.835828358625498</c:v>
                </c:pt>
                <c:pt idx="24">
                  <c:v>32.496892553174867</c:v>
                </c:pt>
                <c:pt idx="25">
                  <c:v>31.337053598807628</c:v>
                </c:pt>
                <c:pt idx="26">
                  <c:v>30.314003133071363</c:v>
                </c:pt>
                <c:pt idx="27">
                  <c:v>29.398853303094089</c:v>
                </c:pt>
                <c:pt idx="28">
                  <c:v>23.378253093544412</c:v>
                </c:pt>
                <c:pt idx="29">
                  <c:v>19.856427418647403</c:v>
                </c:pt>
                <c:pt idx="30">
                  <c:v>17.35765199518476</c:v>
                </c:pt>
                <c:pt idx="31">
                  <c:v>15.419450846213822</c:v>
                </c:pt>
                <c:pt idx="32">
                  <c:v>13.835824838938475</c:v>
                </c:pt>
                <c:pt idx="33">
                  <c:v>12.496887762490465</c:v>
                </c:pt>
                <c:pt idx="34">
                  <c:v>11.33704734158826</c:v>
                </c:pt>
                <c:pt idx="35">
                  <c:v>10.313995213779648</c:v>
                </c:pt>
                <c:pt idx="36">
                  <c:v>9.3988435261928753</c:v>
                </c:pt>
                <c:pt idx="37">
                  <c:v>5.8770060005384401</c:v>
                </c:pt>
                <c:pt idx="38">
                  <c:v>3.3782139860742588</c:v>
                </c:pt>
                <c:pt idx="39">
                  <c:v>1.4399915059165236</c:v>
                </c:pt>
                <c:pt idx="40">
                  <c:v>-0.14366057265521728</c:v>
                </c:pt>
                <c:pt idx="41">
                  <c:v>-1.4826284604167355</c:v>
                </c:pt>
                <c:pt idx="42">
                  <c:v>-2.6425044325402656</c:v>
                </c:pt>
                <c:pt idx="43">
                  <c:v>-3.6655968513519182</c:v>
                </c:pt>
                <c:pt idx="44">
                  <c:v>-4.5807935695805417</c:v>
                </c:pt>
                <c:pt idx="45">
                  <c:v>-5.4086991167512792</c:v>
                </c:pt>
                <c:pt idx="46">
                  <c:v>-6.1645271153598111</c:v>
                </c:pt>
                <c:pt idx="47">
                  <c:v>-6.8598309579852499</c:v>
                </c:pt>
                <c:pt idx="48">
                  <c:v>-7.5035912792646675</c:v>
                </c:pt>
                <c:pt idx="49">
                  <c:v>-8.1029273368478201</c:v>
                </c:pt>
                <c:pt idx="50">
                  <c:v>-8.663578334825754</c:v>
                </c:pt>
                <c:pt idx="51">
                  <c:v>-9.1902385709236327</c:v>
                </c:pt>
                <c:pt idx="52">
                  <c:v>-9.6867966424752439</c:v>
                </c:pt>
                <c:pt idx="53">
                  <c:v>-10.602134052795794</c:v>
                </c:pt>
                <c:pt idx="54">
                  <c:v>-16.625694983624996</c:v>
                </c:pt>
                <c:pt idx="55">
                  <c:v>-20.152450712134073</c:v>
                </c:pt>
                <c:pt idx="56">
                  <c:v>-22.658118820098995</c:v>
                </c:pt>
                <c:pt idx="57">
                  <c:v>-24.605165944911256</c:v>
                </c:pt>
                <c:pt idx="58">
                  <c:v>-26.19957928369185</c:v>
                </c:pt>
                <c:pt idx="59">
                  <c:v>-27.55123056880883</c:v>
                </c:pt>
                <c:pt idx="60">
                  <c:v>-28.725695118335427</c:v>
                </c:pt>
                <c:pt idx="61">
                  <c:v>-29.765261933152512</c:v>
                </c:pt>
                <c:pt idx="62">
                  <c:v>-30.69879718409609</c:v>
                </c:pt>
              </c:numCache>
            </c:numRef>
          </c:yVal>
          <c:smooth val="0"/>
        </c:ser>
        <c:dLbls>
          <c:showLegendKey val="0"/>
          <c:showVal val="0"/>
          <c:showCatName val="0"/>
          <c:showSerName val="0"/>
          <c:showPercent val="0"/>
          <c:showBubbleSize val="0"/>
        </c:dLbls>
        <c:axId val="41148800"/>
        <c:axId val="41151104"/>
      </c:scatterChart>
      <c:valAx>
        <c:axId val="41148800"/>
        <c:scaling>
          <c:logBase val="10"/>
          <c:orientation val="minMax"/>
        </c:scaling>
        <c:delete val="0"/>
        <c:axPos val="b"/>
        <c:minorGridlines/>
        <c:title>
          <c:tx>
            <c:rich>
              <a:bodyPr/>
              <a:lstStyle/>
              <a:p>
                <a:pPr>
                  <a:defRPr sz="1200">
                    <a:latin typeface="Arial" panose="020B0604020202020204" pitchFamily="34" charset="0"/>
                    <a:cs typeface="Arial" panose="020B0604020202020204" pitchFamily="34" charset="0"/>
                  </a:defRPr>
                </a:pPr>
                <a:r>
                  <a:rPr lang="de-DE" sz="1200">
                    <a:latin typeface="Arial" panose="020B0604020202020204" pitchFamily="34" charset="0"/>
                    <a:cs typeface="Arial" panose="020B0604020202020204" pitchFamily="34" charset="0"/>
                  </a:rPr>
                  <a:t>Frequency (Hz)</a:t>
                </a:r>
              </a:p>
            </c:rich>
          </c:tx>
          <c:layout/>
          <c:overlay val="0"/>
        </c:title>
        <c:numFmt formatCode="General" sourceLinked="1"/>
        <c:majorTickMark val="out"/>
        <c:minorTickMark val="none"/>
        <c:tickLblPos val="nextTo"/>
        <c:txPr>
          <a:bodyPr/>
          <a:lstStyle/>
          <a:p>
            <a:pPr>
              <a:defRPr sz="1200">
                <a:latin typeface="Arial" panose="020B0604020202020204" pitchFamily="34" charset="0"/>
                <a:cs typeface="Arial" panose="020B0604020202020204" pitchFamily="34" charset="0"/>
              </a:defRPr>
            </a:pPr>
            <a:endParaRPr lang="en-US"/>
          </a:p>
        </c:txPr>
        <c:crossAx val="41151104"/>
        <c:crossesAt val="-150"/>
        <c:crossBetween val="midCat"/>
      </c:valAx>
      <c:valAx>
        <c:axId val="41151104"/>
        <c:scaling>
          <c:orientation val="minMax"/>
        </c:scaling>
        <c:delete val="0"/>
        <c:axPos val="l"/>
        <c:majorGridlines/>
        <c:title>
          <c:tx>
            <c:rich>
              <a:bodyPr rot="-5400000" vert="horz"/>
              <a:lstStyle/>
              <a:p>
                <a:pPr>
                  <a:defRPr sz="1100">
                    <a:latin typeface="Arial" panose="020B0604020202020204" pitchFamily="34" charset="0"/>
                    <a:cs typeface="Arial" panose="020B0604020202020204" pitchFamily="34" charset="0"/>
                  </a:defRPr>
                </a:pPr>
                <a:r>
                  <a:rPr lang="de-DE" sz="1100">
                    <a:latin typeface="Arial" panose="020B0604020202020204" pitchFamily="34" charset="0"/>
                    <a:cs typeface="Arial" panose="020B0604020202020204" pitchFamily="34" charset="0"/>
                  </a:rPr>
                  <a:t>Magnitude [dB]</a:t>
                </a:r>
              </a:p>
            </c:rich>
          </c:tx>
          <c:layout>
            <c:manualLayout>
              <c:xMode val="edge"/>
              <c:yMode val="edge"/>
              <c:x val="4.8348724962532036E-2"/>
              <c:y val="0.29531277340332457"/>
            </c:manualLayout>
          </c:layout>
          <c:overlay val="0"/>
        </c:title>
        <c:numFmt formatCode="General" sourceLinked="0"/>
        <c:majorTickMark val="out"/>
        <c:minorTickMark val="none"/>
        <c:tickLblPos val="nextTo"/>
        <c:txPr>
          <a:bodyPr/>
          <a:lstStyle/>
          <a:p>
            <a:pPr>
              <a:defRPr sz="1050">
                <a:latin typeface="Arial" panose="020B0604020202020204" pitchFamily="34" charset="0"/>
                <a:cs typeface="Arial" panose="020B0604020202020204" pitchFamily="34" charset="0"/>
              </a:defRPr>
            </a:pPr>
            <a:endParaRPr lang="en-US"/>
          </a:p>
        </c:txPr>
        <c:crossAx val="41148800"/>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Phase</a:t>
            </a:r>
            <a:r>
              <a:rPr lang="de-DE" baseline="0"/>
              <a:t> of Open </a:t>
            </a:r>
            <a:r>
              <a:rPr lang="de-DE"/>
              <a:t>Loop</a:t>
            </a:r>
            <a:r>
              <a:rPr lang="de-DE" baseline="0"/>
              <a:t> Gain</a:t>
            </a:r>
            <a:endParaRPr lang="de-DE"/>
          </a:p>
        </c:rich>
      </c:tx>
      <c:layout>
        <c:manualLayout>
          <c:xMode val="edge"/>
          <c:yMode val="edge"/>
          <c:x val="0.39654391513844678"/>
          <c:y val="0"/>
        </c:manualLayout>
      </c:layout>
      <c:overlay val="1"/>
    </c:title>
    <c:autoTitleDeleted val="0"/>
    <c:plotArea>
      <c:layout>
        <c:manualLayout>
          <c:layoutTarget val="inner"/>
          <c:xMode val="edge"/>
          <c:yMode val="edge"/>
          <c:x val="0.11232614469185417"/>
          <c:y val="0.10232648002333042"/>
          <c:w val="0.82636759425843287"/>
          <c:h val="0.73539734616506269"/>
        </c:manualLayout>
      </c:layout>
      <c:scatterChart>
        <c:scatterStyle val="lineMarker"/>
        <c:varyColors val="0"/>
        <c:ser>
          <c:idx val="3"/>
          <c:order val="0"/>
          <c:tx>
            <c:v>TotalLoop</c:v>
          </c:tx>
          <c:spPr>
            <a:ln>
              <a:solidFill>
                <a:srgbClr val="C00000"/>
              </a:solidFill>
            </a:ln>
          </c:spPr>
          <c:marker>
            <c:symbol val="x"/>
            <c:size val="2"/>
            <c:spPr>
              <a:solidFill>
                <a:srgbClr val="C00000"/>
              </a:solidFill>
              <a:ln>
                <a:solidFill>
                  <a:srgbClr val="C00000"/>
                </a:solidFill>
              </a:ln>
            </c:spPr>
          </c:marker>
          <c:xVal>
            <c:numRef>
              <c:f>Calculations!$B$15:$B$77</c:f>
              <c:numCache>
                <c:formatCode>General</c:formatCode>
                <c:ptCount val="63"/>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15000</c:v>
                </c:pt>
                <c:pt idx="38">
                  <c:v>20000</c:v>
                </c:pt>
                <c:pt idx="39">
                  <c:v>25000</c:v>
                </c:pt>
                <c:pt idx="40">
                  <c:v>30000</c:v>
                </c:pt>
                <c:pt idx="41">
                  <c:v>35000</c:v>
                </c:pt>
                <c:pt idx="42">
                  <c:v>40000</c:v>
                </c:pt>
                <c:pt idx="43">
                  <c:v>45000</c:v>
                </c:pt>
                <c:pt idx="44">
                  <c:v>50000</c:v>
                </c:pt>
                <c:pt idx="45">
                  <c:v>55000</c:v>
                </c:pt>
                <c:pt idx="46">
                  <c:v>60000</c:v>
                </c:pt>
                <c:pt idx="47">
                  <c:v>65000</c:v>
                </c:pt>
                <c:pt idx="48">
                  <c:v>70000</c:v>
                </c:pt>
                <c:pt idx="49">
                  <c:v>75000</c:v>
                </c:pt>
                <c:pt idx="50">
                  <c:v>80000</c:v>
                </c:pt>
                <c:pt idx="51">
                  <c:v>85000</c:v>
                </c:pt>
                <c:pt idx="52">
                  <c:v>90000</c:v>
                </c:pt>
                <c:pt idx="53">
                  <c:v>100000</c:v>
                </c:pt>
                <c:pt idx="54">
                  <c:v>200000</c:v>
                </c:pt>
                <c:pt idx="55">
                  <c:v>300000</c:v>
                </c:pt>
                <c:pt idx="56">
                  <c:v>400000</c:v>
                </c:pt>
                <c:pt idx="57">
                  <c:v>500000</c:v>
                </c:pt>
                <c:pt idx="58">
                  <c:v>600000</c:v>
                </c:pt>
                <c:pt idx="59">
                  <c:v>700000</c:v>
                </c:pt>
                <c:pt idx="60">
                  <c:v>800000</c:v>
                </c:pt>
                <c:pt idx="61">
                  <c:v>900000</c:v>
                </c:pt>
                <c:pt idx="62">
                  <c:v>1000000</c:v>
                </c:pt>
              </c:numCache>
            </c:numRef>
          </c:xVal>
          <c:yVal>
            <c:numRef>
              <c:f>Calculations!$Q$15:$Q$77</c:f>
              <c:numCache>
                <c:formatCode>0.00</c:formatCode>
                <c:ptCount val="63"/>
                <c:pt idx="0">
                  <c:v>-90.000728640000005</c:v>
                </c:pt>
                <c:pt idx="1">
                  <c:v>-90.001457279999997</c:v>
                </c:pt>
                <c:pt idx="2">
                  <c:v>-90.002185920000002</c:v>
                </c:pt>
                <c:pt idx="3">
                  <c:v>-90.002914560000008</c:v>
                </c:pt>
                <c:pt idx="4">
                  <c:v>-90.003643199999999</c:v>
                </c:pt>
                <c:pt idx="5">
                  <c:v>-90.004371840000005</c:v>
                </c:pt>
                <c:pt idx="6">
                  <c:v>-90.005100479999996</c:v>
                </c:pt>
                <c:pt idx="7">
                  <c:v>-90.005829120000001</c:v>
                </c:pt>
                <c:pt idx="8">
                  <c:v>-90.006557759999993</c:v>
                </c:pt>
                <c:pt idx="9">
                  <c:v>-90.007286399999998</c:v>
                </c:pt>
                <c:pt idx="10">
                  <c:v>-90.014572799999996</c:v>
                </c:pt>
                <c:pt idx="11">
                  <c:v>-90.021859200000009</c:v>
                </c:pt>
                <c:pt idx="12">
                  <c:v>-90.029145600000007</c:v>
                </c:pt>
                <c:pt idx="13">
                  <c:v>-90.036431999999991</c:v>
                </c:pt>
                <c:pt idx="14">
                  <c:v>-90.043718399999989</c:v>
                </c:pt>
                <c:pt idx="15">
                  <c:v>-90.051004799999973</c:v>
                </c:pt>
                <c:pt idx="16">
                  <c:v>-90.058291199999957</c:v>
                </c:pt>
                <c:pt idx="17">
                  <c:v>-90.065577599999955</c:v>
                </c:pt>
                <c:pt idx="18">
                  <c:v>-90.072863999999939</c:v>
                </c:pt>
                <c:pt idx="19">
                  <c:v>-90.14572799999948</c:v>
                </c:pt>
                <c:pt idx="20">
                  <c:v>-90.218591999998225</c:v>
                </c:pt>
                <c:pt idx="21">
                  <c:v>-90.291455999995804</c:v>
                </c:pt>
                <c:pt idx="22">
                  <c:v>-90.364319999991807</c:v>
                </c:pt>
                <c:pt idx="23">
                  <c:v>-90.437183999985862</c:v>
                </c:pt>
                <c:pt idx="24">
                  <c:v>-90.510047999977544</c:v>
                </c:pt>
                <c:pt idx="25">
                  <c:v>-90.582911999966456</c:v>
                </c:pt>
                <c:pt idx="26">
                  <c:v>-90.655775999952255</c:v>
                </c:pt>
                <c:pt idx="27">
                  <c:v>-90.728639999934515</c:v>
                </c:pt>
                <c:pt idx="28">
                  <c:v>-91.457279999476071</c:v>
                </c:pt>
                <c:pt idx="29">
                  <c:v>-92.185919998231768</c:v>
                </c:pt>
                <c:pt idx="30">
                  <c:v>-92.914559995808645</c:v>
                </c:pt>
                <c:pt idx="31">
                  <c:v>-93.643199991813759</c:v>
                </c:pt>
                <c:pt idx="32">
                  <c:v>-94.371839985854166</c:v>
                </c:pt>
                <c:pt idx="33">
                  <c:v>-95.100479977536963</c:v>
                </c:pt>
                <c:pt idx="34">
                  <c:v>-95.829119966469179</c:v>
                </c:pt>
                <c:pt idx="35">
                  <c:v>-96.557759952257882</c:v>
                </c:pt>
                <c:pt idx="36">
                  <c:v>-97.286399934510129</c:v>
                </c:pt>
                <c:pt idx="37">
                  <c:v>-100.92959977897208</c:v>
                </c:pt>
                <c:pt idx="38">
                  <c:v>-104.5727994760832</c:v>
                </c:pt>
                <c:pt idx="39">
                  <c:v>-108.21599897672814</c:v>
                </c:pt>
                <c:pt idx="40">
                  <c:v>-111.85919823179286</c:v>
                </c:pt>
                <c:pt idx="41">
                  <c:v>-115.50239719216501</c:v>
                </c:pt>
                <c:pt idx="42">
                  <c:v>-119.14559580873421</c:v>
                </c:pt>
                <c:pt idx="43">
                  <c:v>-122.78879403239252</c:v>
                </c:pt>
                <c:pt idx="44">
                  <c:v>-126.43199181403455</c:v>
                </c:pt>
                <c:pt idx="45">
                  <c:v>-130.07518910455801</c:v>
                </c:pt>
                <c:pt idx="46">
                  <c:v>-133.71838585486395</c:v>
                </c:pt>
                <c:pt idx="47">
                  <c:v>-137.36158201585715</c:v>
                </c:pt>
                <c:pt idx="48">
                  <c:v>-141.00477753844626</c:v>
                </c:pt>
                <c:pt idx="49">
                  <c:v>-144.64797237354441</c:v>
                </c:pt>
                <c:pt idx="50">
                  <c:v>-148.29116647206942</c:v>
                </c:pt>
                <c:pt idx="51">
                  <c:v>-151.93435978494406</c:v>
                </c:pt>
                <c:pt idx="52">
                  <c:v>-155.57755226309658</c:v>
                </c:pt>
                <c:pt idx="53">
                  <c:v>-162.86393451897644</c:v>
                </c:pt>
                <c:pt idx="54">
                  <c:v>-235.72747636608418</c:v>
                </c:pt>
                <c:pt idx="55">
                  <c:v>-308.59023393925446</c:v>
                </c:pt>
                <c:pt idx="56">
                  <c:v>-381.45181776874239</c:v>
                </c:pt>
                <c:pt idx="57">
                  <c:v>-454.31184156519117</c:v>
                </c:pt>
                <c:pt idx="58">
                  <c:v>-527.16992324623538</c:v>
                </c:pt>
                <c:pt idx="59">
                  <c:v>-600.02568593491094</c:v>
                </c:pt>
                <c:pt idx="60">
                  <c:v>-672.87875892349018</c:v>
                </c:pt>
                <c:pt idx="61">
                  <c:v>-745.7287785967859</c:v>
                </c:pt>
                <c:pt idx="62">
                  <c:v>-818.575389309456</c:v>
                </c:pt>
              </c:numCache>
            </c:numRef>
          </c:yVal>
          <c:smooth val="0"/>
        </c:ser>
        <c:dLbls>
          <c:showLegendKey val="0"/>
          <c:showVal val="0"/>
          <c:showCatName val="0"/>
          <c:showSerName val="0"/>
          <c:showPercent val="0"/>
          <c:showBubbleSize val="0"/>
        </c:dLbls>
        <c:axId val="40909824"/>
        <c:axId val="40289024"/>
      </c:scatterChart>
      <c:valAx>
        <c:axId val="40909824"/>
        <c:scaling>
          <c:logBase val="10"/>
          <c:orientation val="minMax"/>
        </c:scaling>
        <c:delete val="0"/>
        <c:axPos val="b"/>
        <c:minorGridlines/>
        <c:title>
          <c:tx>
            <c:rich>
              <a:bodyPr/>
              <a:lstStyle/>
              <a:p>
                <a:pPr>
                  <a:defRPr sz="1100">
                    <a:latin typeface="Arial" panose="020B0604020202020204" pitchFamily="34" charset="0"/>
                    <a:cs typeface="Arial" panose="020B0604020202020204" pitchFamily="34" charset="0"/>
                  </a:defRPr>
                </a:pPr>
                <a:r>
                  <a:rPr lang="de-DE" sz="1100">
                    <a:latin typeface="Arial" panose="020B0604020202020204" pitchFamily="34" charset="0"/>
                    <a:cs typeface="Arial" panose="020B0604020202020204" pitchFamily="34" charset="0"/>
                  </a:rPr>
                  <a:t>Frequency (Hz)</a:t>
                </a:r>
              </a:p>
            </c:rich>
          </c:tx>
          <c:layout>
            <c:manualLayout>
              <c:xMode val="edge"/>
              <c:yMode val="edge"/>
              <c:x val="0.47045083362947543"/>
              <c:y val="0.92746856269831945"/>
            </c:manualLayout>
          </c:layout>
          <c:overlay val="0"/>
        </c:title>
        <c:numFmt formatCode="General" sourceLinked="1"/>
        <c:majorTickMark val="out"/>
        <c:minorTickMark val="none"/>
        <c:tickLblPos val="nextTo"/>
        <c:txPr>
          <a:bodyPr/>
          <a:lstStyle/>
          <a:p>
            <a:pPr>
              <a:defRPr sz="1100">
                <a:latin typeface="Arial" panose="020B0604020202020204" pitchFamily="34" charset="0"/>
                <a:cs typeface="Arial" panose="020B0604020202020204" pitchFamily="34" charset="0"/>
              </a:defRPr>
            </a:pPr>
            <a:endParaRPr lang="en-US"/>
          </a:p>
        </c:txPr>
        <c:crossAx val="40289024"/>
        <c:crossesAt val="-360"/>
        <c:crossBetween val="midCat"/>
      </c:valAx>
      <c:valAx>
        <c:axId val="40289024"/>
        <c:scaling>
          <c:orientation val="minMax"/>
          <c:max val="90"/>
          <c:min val="-270"/>
        </c:scaling>
        <c:delete val="0"/>
        <c:axPos val="l"/>
        <c:majorGridlines/>
        <c:title>
          <c:tx>
            <c:rich>
              <a:bodyPr rot="-5400000" vert="horz"/>
              <a:lstStyle/>
              <a:p>
                <a:pPr>
                  <a:defRPr sz="1200">
                    <a:latin typeface="Arial" panose="020B0604020202020204" pitchFamily="34" charset="0"/>
                    <a:cs typeface="Arial" panose="020B0604020202020204" pitchFamily="34" charset="0"/>
                  </a:defRPr>
                </a:pPr>
                <a:r>
                  <a:rPr lang="de-DE" sz="1200">
                    <a:latin typeface="Arial" panose="020B0604020202020204" pitchFamily="34" charset="0"/>
                    <a:cs typeface="Arial" panose="020B0604020202020204" pitchFamily="34" charset="0"/>
                  </a:rPr>
                  <a:t>Phase (deg)</a:t>
                </a:r>
              </a:p>
            </c:rich>
          </c:tx>
          <c:layout>
            <c:manualLayout>
              <c:xMode val="edge"/>
              <c:yMode val="edge"/>
              <c:x val="4.383910956703533E-2"/>
              <c:y val="0.31020448936420258"/>
            </c:manualLayout>
          </c:layout>
          <c:overlay val="0"/>
        </c:title>
        <c:numFmt formatCode="0" sourceLinked="0"/>
        <c:majorTickMark val="out"/>
        <c:minorTickMark val="none"/>
        <c:tickLblPos val="nextTo"/>
        <c:txPr>
          <a:bodyPr/>
          <a:lstStyle/>
          <a:p>
            <a:pPr>
              <a:defRPr sz="1100">
                <a:latin typeface="Arial" panose="020B0604020202020204" pitchFamily="34" charset="0"/>
                <a:cs typeface="Arial" panose="020B0604020202020204" pitchFamily="34" charset="0"/>
              </a:defRPr>
            </a:pPr>
            <a:endParaRPr lang="en-US"/>
          </a:p>
        </c:txPr>
        <c:crossAx val="40909824"/>
        <c:crosses val="autoZero"/>
        <c:crossBetween val="midCat"/>
        <c:majorUnit val="45"/>
        <c:minorUnit val="45"/>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1"/>
          <a:lstStyle/>
          <a:p>
            <a:pPr>
              <a:defRPr/>
            </a:pPr>
            <a:r>
              <a:rPr lang="en-US"/>
              <a:t>Gain versus Frequency</a:t>
            </a:r>
          </a:p>
        </c:rich>
      </c:tx>
      <c:layout>
        <c:manualLayout>
          <c:xMode val="edge"/>
          <c:yMode val="edge"/>
          <c:x val="0.41560648793192223"/>
          <c:y val="2.78444630076056E-2"/>
        </c:manualLayout>
      </c:layout>
      <c:overlay val="0"/>
    </c:title>
    <c:autoTitleDeleted val="0"/>
    <c:plotArea>
      <c:layout/>
      <c:scatterChart>
        <c:scatterStyle val="lineMarker"/>
        <c:varyColors val="0"/>
        <c:ser>
          <c:idx val="1"/>
          <c:order val="1"/>
          <c:marker>
            <c:symbol val="none"/>
          </c:marker>
          <c:xVal>
            <c:numRef>
              <c:f>Calculations!$B$15:$B$77</c:f>
              <c:numCache>
                <c:formatCode>General</c:formatCode>
                <c:ptCount val="63"/>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15000</c:v>
                </c:pt>
                <c:pt idx="38">
                  <c:v>20000</c:v>
                </c:pt>
                <c:pt idx="39">
                  <c:v>25000</c:v>
                </c:pt>
                <c:pt idx="40">
                  <c:v>30000</c:v>
                </c:pt>
                <c:pt idx="41">
                  <c:v>35000</c:v>
                </c:pt>
                <c:pt idx="42">
                  <c:v>40000</c:v>
                </c:pt>
                <c:pt idx="43">
                  <c:v>45000</c:v>
                </c:pt>
                <c:pt idx="44">
                  <c:v>50000</c:v>
                </c:pt>
                <c:pt idx="45">
                  <c:v>55000</c:v>
                </c:pt>
                <c:pt idx="46">
                  <c:v>60000</c:v>
                </c:pt>
                <c:pt idx="47">
                  <c:v>65000</c:v>
                </c:pt>
                <c:pt idx="48">
                  <c:v>70000</c:v>
                </c:pt>
                <c:pt idx="49">
                  <c:v>75000</c:v>
                </c:pt>
                <c:pt idx="50">
                  <c:v>80000</c:v>
                </c:pt>
                <c:pt idx="51">
                  <c:v>85000</c:v>
                </c:pt>
                <c:pt idx="52">
                  <c:v>90000</c:v>
                </c:pt>
                <c:pt idx="53">
                  <c:v>100000</c:v>
                </c:pt>
                <c:pt idx="54">
                  <c:v>200000</c:v>
                </c:pt>
                <c:pt idx="55">
                  <c:v>300000</c:v>
                </c:pt>
                <c:pt idx="56">
                  <c:v>400000</c:v>
                </c:pt>
                <c:pt idx="57">
                  <c:v>500000</c:v>
                </c:pt>
                <c:pt idx="58">
                  <c:v>600000</c:v>
                </c:pt>
                <c:pt idx="59">
                  <c:v>700000</c:v>
                </c:pt>
                <c:pt idx="60">
                  <c:v>800000</c:v>
                </c:pt>
                <c:pt idx="61">
                  <c:v>900000</c:v>
                </c:pt>
                <c:pt idx="62">
                  <c:v>1000000</c:v>
                </c:pt>
              </c:numCache>
            </c:numRef>
          </c:xVal>
          <c:yVal>
            <c:numRef>
              <c:f>Calculations!$K$15:$K$77</c:f>
              <c:numCache>
                <c:formatCode>0.0</c:formatCode>
                <c:ptCount val="63"/>
                <c:pt idx="0">
                  <c:v>1219.9999992994412</c:v>
                </c:pt>
                <c:pt idx="1">
                  <c:v>1219.9999971977654</c:v>
                </c:pt>
                <c:pt idx="2">
                  <c:v>1219.9999936949721</c:v>
                </c:pt>
                <c:pt idx="3">
                  <c:v>1219.9999887910619</c:v>
                </c:pt>
                <c:pt idx="4">
                  <c:v>1219.9999824860345</c:v>
                </c:pt>
                <c:pt idx="5">
                  <c:v>1219.9999747798895</c:v>
                </c:pt>
                <c:pt idx="6">
                  <c:v>1219.9999656726279</c:v>
                </c:pt>
                <c:pt idx="7">
                  <c:v>1219.9999551642493</c:v>
                </c:pt>
                <c:pt idx="8">
                  <c:v>1219.9999432547538</c:v>
                </c:pt>
                <c:pt idx="9">
                  <c:v>1219.9999299441417</c:v>
                </c:pt>
                <c:pt idx="10">
                  <c:v>1219.9997197766395</c:v>
                </c:pt>
                <c:pt idx="11">
                  <c:v>1219.9993694977111</c:v>
                </c:pt>
                <c:pt idx="12">
                  <c:v>1219.9988791077176</c:v>
                </c:pt>
                <c:pt idx="13">
                  <c:v>1219.9982486071663</c:v>
                </c:pt>
                <c:pt idx="14">
                  <c:v>1219.9974779967088</c:v>
                </c:pt>
                <c:pt idx="15">
                  <c:v>1219.9965672771418</c:v>
                </c:pt>
                <c:pt idx="16">
                  <c:v>1219.9955164494065</c:v>
                </c:pt>
                <c:pt idx="17">
                  <c:v>1219.994325514589</c:v>
                </c:pt>
                <c:pt idx="18">
                  <c:v>1219.9929944739201</c:v>
                </c:pt>
                <c:pt idx="19">
                  <c:v>1219.971978619732</c:v>
                </c:pt>
                <c:pt idx="20">
                  <c:v>1219.9369546093822</c:v>
                </c:pt>
                <c:pt idx="21">
                  <c:v>1219.8879260620884</c:v>
                </c:pt>
                <c:pt idx="22">
                  <c:v>1219.824898043302</c:v>
                </c:pt>
                <c:pt idx="23">
                  <c:v>1219.7478770632526</c:v>
                </c:pt>
                <c:pt idx="24">
                  <c:v>1219.6568710750826</c:v>
                </c:pt>
                <c:pt idx="25">
                  <c:v>1219.5518894725665</c:v>
                </c:pt>
                <c:pt idx="26">
                  <c:v>1219.4329430874197</c:v>
                </c:pt>
                <c:pt idx="27">
                  <c:v>1219.3000441861959</c:v>
                </c:pt>
                <c:pt idx="28">
                  <c:v>1217.2073831027062</c:v>
                </c:pt>
                <c:pt idx="29">
                  <c:v>1213.743430825547</c:v>
                </c:pt>
                <c:pt idx="30">
                  <c:v>1208.9432054993506</c:v>
                </c:pt>
                <c:pt idx="31">
                  <c:v>1202.854360039895</c:v>
                </c:pt>
                <c:pt idx="32">
                  <c:v>1195.5358989069073</c:v>
                </c:pt>
                <c:pt idx="33">
                  <c:v>1187.0566469037283</c:v>
                </c:pt>
                <c:pt idx="34">
                  <c:v>1177.4935447582482</c:v>
                </c:pt>
                <c:pt idx="35">
                  <c:v>1166.9298492811988</c:v>
                </c:pt>
                <c:pt idx="36">
                  <c:v>1155.4533134939354</c:v>
                </c:pt>
                <c:pt idx="37">
                  <c:v>1087.5513414179002</c:v>
                </c:pt>
                <c:pt idx="38">
                  <c:v>1009.8912508350667</c:v>
                </c:pt>
                <c:pt idx="39">
                  <c:v>930.83793844559875</c:v>
                </c:pt>
                <c:pt idx="40">
                  <c:v>855.50710141100694</c:v>
                </c:pt>
                <c:pt idx="41">
                  <c:v>786.37721110045766</c:v>
                </c:pt>
                <c:pt idx="42">
                  <c:v>724.24318530934238</c:v>
                </c:pt>
                <c:pt idx="43">
                  <c:v>668.9847229002296</c:v>
                </c:pt>
                <c:pt idx="44">
                  <c:v>620.0563013716428</c:v>
                </c:pt>
                <c:pt idx="45">
                  <c:v>576.76151379383498</c:v>
                </c:pt>
                <c:pt idx="46">
                  <c:v>538.3922349153047</c:v>
                </c:pt>
                <c:pt idx="47">
                  <c:v>504.29172649897271</c:v>
                </c:pt>
                <c:pt idx="48">
                  <c:v>473.87788489448326</c:v>
                </c:pt>
                <c:pt idx="49">
                  <c:v>446.64692127526121</c:v>
                </c:pt>
                <c:pt idx="50">
                  <c:v>422.1682484749939</c:v>
                </c:pt>
                <c:pt idx="51">
                  <c:v>400.0760539461603</c:v>
                </c:pt>
                <c:pt idx="52">
                  <c:v>380.06021336469195</c:v>
                </c:pt>
                <c:pt idx="53">
                  <c:v>345.24520408045197</c:v>
                </c:pt>
                <c:pt idx="54">
                  <c:v>177.993057959602</c:v>
                </c:pt>
                <c:pt idx="55">
                  <c:v>119.30284002008769</c:v>
                </c:pt>
                <c:pt idx="56">
                  <c:v>89.594143190313218</c:v>
                </c:pt>
                <c:pt idx="57">
                  <c:v>71.672210359066142</c:v>
                </c:pt>
                <c:pt idx="58">
                  <c:v>59.684359824371903</c:v>
                </c:pt>
                <c:pt idx="59">
                  <c:v>51.099543111420388</c:v>
                </c:pt>
                <c:pt idx="60">
                  <c:v>44.646156187487477</c:v>
                </c:pt>
                <c:pt idx="61">
                  <c:v>39.615728602515993</c:v>
                </c:pt>
                <c:pt idx="62">
                  <c:v>35.582395014822154</c:v>
                </c:pt>
              </c:numCache>
            </c:numRef>
          </c:yVal>
          <c:smooth val="0"/>
        </c:ser>
        <c:dLbls>
          <c:showLegendKey val="0"/>
          <c:showVal val="0"/>
          <c:showCatName val="0"/>
          <c:showSerName val="0"/>
          <c:showPercent val="0"/>
          <c:showBubbleSize val="0"/>
        </c:dLbls>
        <c:axId val="40958592"/>
        <c:axId val="41116416"/>
      </c:scatterChart>
      <c:scatterChart>
        <c:scatterStyle val="lineMarker"/>
        <c:varyColors val="0"/>
        <c:ser>
          <c:idx val="0"/>
          <c:order val="0"/>
          <c:marker>
            <c:symbol val="none"/>
          </c:marker>
          <c:xVal>
            <c:numRef>
              <c:f>Calculations!$B$15:$B$77</c:f>
              <c:numCache>
                <c:formatCode>General</c:formatCode>
                <c:ptCount val="63"/>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15000</c:v>
                </c:pt>
                <c:pt idx="38">
                  <c:v>20000</c:v>
                </c:pt>
                <c:pt idx="39">
                  <c:v>25000</c:v>
                </c:pt>
                <c:pt idx="40">
                  <c:v>30000</c:v>
                </c:pt>
                <c:pt idx="41">
                  <c:v>35000</c:v>
                </c:pt>
                <c:pt idx="42">
                  <c:v>40000</c:v>
                </c:pt>
                <c:pt idx="43">
                  <c:v>45000</c:v>
                </c:pt>
                <c:pt idx="44">
                  <c:v>50000</c:v>
                </c:pt>
                <c:pt idx="45">
                  <c:v>55000</c:v>
                </c:pt>
                <c:pt idx="46">
                  <c:v>60000</c:v>
                </c:pt>
                <c:pt idx="47">
                  <c:v>65000</c:v>
                </c:pt>
                <c:pt idx="48">
                  <c:v>70000</c:v>
                </c:pt>
                <c:pt idx="49">
                  <c:v>75000</c:v>
                </c:pt>
                <c:pt idx="50">
                  <c:v>80000</c:v>
                </c:pt>
                <c:pt idx="51">
                  <c:v>85000</c:v>
                </c:pt>
                <c:pt idx="52">
                  <c:v>90000</c:v>
                </c:pt>
                <c:pt idx="53">
                  <c:v>100000</c:v>
                </c:pt>
                <c:pt idx="54">
                  <c:v>200000</c:v>
                </c:pt>
                <c:pt idx="55">
                  <c:v>300000</c:v>
                </c:pt>
                <c:pt idx="56">
                  <c:v>400000</c:v>
                </c:pt>
                <c:pt idx="57">
                  <c:v>500000</c:v>
                </c:pt>
                <c:pt idx="58">
                  <c:v>600000</c:v>
                </c:pt>
                <c:pt idx="59">
                  <c:v>700000</c:v>
                </c:pt>
                <c:pt idx="60">
                  <c:v>800000</c:v>
                </c:pt>
                <c:pt idx="61">
                  <c:v>900000</c:v>
                </c:pt>
                <c:pt idx="62">
                  <c:v>1000000</c:v>
                </c:pt>
              </c:numCache>
            </c:numRef>
          </c:xVal>
          <c:yVal>
            <c:numRef>
              <c:f>Calculations!$I$15:$I$77</c:f>
              <c:numCache>
                <c:formatCode>0.00</c:formatCode>
                <c:ptCount val="63"/>
                <c:pt idx="0">
                  <c:v>12.199999992994412</c:v>
                </c:pt>
                <c:pt idx="1">
                  <c:v>12.199999971977654</c:v>
                </c:pt>
                <c:pt idx="2">
                  <c:v>12.199999936949721</c:v>
                </c:pt>
                <c:pt idx="3">
                  <c:v>12.19999988791062</c:v>
                </c:pt>
                <c:pt idx="4">
                  <c:v>12.199999824860344</c:v>
                </c:pt>
                <c:pt idx="5">
                  <c:v>12.199999747798895</c:v>
                </c:pt>
                <c:pt idx="6">
                  <c:v>12.199999656726279</c:v>
                </c:pt>
                <c:pt idx="7">
                  <c:v>12.199999551642494</c:v>
                </c:pt>
                <c:pt idx="8">
                  <c:v>12.199999432547539</c:v>
                </c:pt>
                <c:pt idx="9">
                  <c:v>12.199999299441417</c:v>
                </c:pt>
                <c:pt idx="10">
                  <c:v>12.199997197766395</c:v>
                </c:pt>
                <c:pt idx="11">
                  <c:v>12.19999369497711</c:v>
                </c:pt>
                <c:pt idx="12">
                  <c:v>12.199988791077175</c:v>
                </c:pt>
                <c:pt idx="13">
                  <c:v>12.199982486071661</c:v>
                </c:pt>
                <c:pt idx="14">
                  <c:v>12.199974779967087</c:v>
                </c:pt>
                <c:pt idx="15">
                  <c:v>12.199965672771418</c:v>
                </c:pt>
                <c:pt idx="16">
                  <c:v>12.199955164494066</c:v>
                </c:pt>
                <c:pt idx="17">
                  <c:v>12.199943255145891</c:v>
                </c:pt>
                <c:pt idx="18">
                  <c:v>12.199929944739202</c:v>
                </c:pt>
                <c:pt idx="19">
                  <c:v>12.199719786197321</c:v>
                </c:pt>
                <c:pt idx="20">
                  <c:v>12.199369546093822</c:v>
                </c:pt>
                <c:pt idx="21">
                  <c:v>12.198879260620885</c:v>
                </c:pt>
                <c:pt idx="22">
                  <c:v>12.19824898043302</c:v>
                </c:pt>
                <c:pt idx="23">
                  <c:v>12.197478770632527</c:v>
                </c:pt>
                <c:pt idx="24">
                  <c:v>12.196568710750824</c:v>
                </c:pt>
                <c:pt idx="25">
                  <c:v>12.195518894725666</c:v>
                </c:pt>
                <c:pt idx="26">
                  <c:v>12.194329430874197</c:v>
                </c:pt>
                <c:pt idx="27">
                  <c:v>12.19300044186196</c:v>
                </c:pt>
                <c:pt idx="28">
                  <c:v>12.172073831027062</c:v>
                </c:pt>
                <c:pt idx="29">
                  <c:v>12.13743430825547</c:v>
                </c:pt>
                <c:pt idx="30">
                  <c:v>12.089432054993507</c:v>
                </c:pt>
                <c:pt idx="31">
                  <c:v>12.028543600398951</c:v>
                </c:pt>
                <c:pt idx="32">
                  <c:v>11.955358989069072</c:v>
                </c:pt>
                <c:pt idx="33">
                  <c:v>11.870566469037284</c:v>
                </c:pt>
                <c:pt idx="34">
                  <c:v>11.774935447582481</c:v>
                </c:pt>
                <c:pt idx="35">
                  <c:v>11.669298492811988</c:v>
                </c:pt>
                <c:pt idx="36">
                  <c:v>11.554533134939353</c:v>
                </c:pt>
                <c:pt idx="37">
                  <c:v>10.875513414179002</c:v>
                </c:pt>
                <c:pt idx="38">
                  <c:v>10.098912508350667</c:v>
                </c:pt>
                <c:pt idx="39">
                  <c:v>9.3083793844559874</c:v>
                </c:pt>
                <c:pt idx="40">
                  <c:v>8.5550710141100694</c:v>
                </c:pt>
                <c:pt idx="41">
                  <c:v>7.8637721110045771</c:v>
                </c:pt>
                <c:pt idx="42">
                  <c:v>7.2424318530934233</c:v>
                </c:pt>
                <c:pt idx="43">
                  <c:v>6.6898472290022957</c:v>
                </c:pt>
                <c:pt idx="44">
                  <c:v>6.2005630137164278</c:v>
                </c:pt>
                <c:pt idx="45">
                  <c:v>5.7676151379383498</c:v>
                </c:pt>
                <c:pt idx="46">
                  <c:v>5.383922349153047</c:v>
                </c:pt>
                <c:pt idx="47">
                  <c:v>5.0429172649897271</c:v>
                </c:pt>
                <c:pt idx="48">
                  <c:v>4.7387788489448326</c:v>
                </c:pt>
                <c:pt idx="49">
                  <c:v>4.466469212752612</c:v>
                </c:pt>
                <c:pt idx="50">
                  <c:v>4.2216824847499392</c:v>
                </c:pt>
                <c:pt idx="51">
                  <c:v>4.000760539461603</c:v>
                </c:pt>
                <c:pt idx="52">
                  <c:v>3.8006021336469193</c:v>
                </c:pt>
                <c:pt idx="53">
                  <c:v>3.4524520408045198</c:v>
                </c:pt>
                <c:pt idx="54">
                  <c:v>1.7799305795960199</c:v>
                </c:pt>
                <c:pt idx="55">
                  <c:v>1.1930284002008769</c:v>
                </c:pt>
                <c:pt idx="56">
                  <c:v>0.89594143190313225</c:v>
                </c:pt>
                <c:pt idx="57">
                  <c:v>0.71672210359066135</c:v>
                </c:pt>
                <c:pt idx="58">
                  <c:v>0.59684359824371902</c:v>
                </c:pt>
                <c:pt idx="59">
                  <c:v>0.51099543111420387</c:v>
                </c:pt>
                <c:pt idx="60">
                  <c:v>0.44646156187487479</c:v>
                </c:pt>
                <c:pt idx="61">
                  <c:v>0.39615728602515993</c:v>
                </c:pt>
                <c:pt idx="62">
                  <c:v>0.35582395014822155</c:v>
                </c:pt>
              </c:numCache>
            </c:numRef>
          </c:yVal>
          <c:smooth val="0"/>
        </c:ser>
        <c:dLbls>
          <c:showLegendKey val="0"/>
          <c:showVal val="0"/>
          <c:showCatName val="0"/>
          <c:showSerName val="0"/>
          <c:showPercent val="0"/>
          <c:showBubbleSize val="0"/>
        </c:dLbls>
        <c:axId val="43582208"/>
        <c:axId val="41118336"/>
      </c:scatterChart>
      <c:valAx>
        <c:axId val="40958592"/>
        <c:scaling>
          <c:logBase val="10"/>
          <c:orientation val="minMax"/>
        </c:scaling>
        <c:delete val="0"/>
        <c:axPos val="b"/>
        <c:majorGridlines/>
        <c:minorGridlines/>
        <c:title>
          <c:tx>
            <c:rich>
              <a:bodyPr/>
              <a:lstStyle/>
              <a:p>
                <a:pPr>
                  <a:defRPr sz="1200"/>
                </a:pPr>
                <a:r>
                  <a:rPr lang="en-US" sz="1200"/>
                  <a:t>Frequency (H)</a:t>
                </a:r>
              </a:p>
            </c:rich>
          </c:tx>
          <c:layout/>
          <c:overlay val="0"/>
        </c:title>
        <c:numFmt formatCode="General" sourceLinked="1"/>
        <c:majorTickMark val="out"/>
        <c:minorTickMark val="none"/>
        <c:tickLblPos val="nextTo"/>
        <c:txPr>
          <a:bodyPr/>
          <a:lstStyle/>
          <a:p>
            <a:pPr>
              <a:defRPr sz="1200" b="0">
                <a:latin typeface="Arial" panose="020B0604020202020204" pitchFamily="34" charset="0"/>
                <a:cs typeface="Arial" panose="020B0604020202020204" pitchFamily="34" charset="0"/>
              </a:defRPr>
            </a:pPr>
            <a:endParaRPr lang="en-US"/>
          </a:p>
        </c:txPr>
        <c:crossAx val="41116416"/>
        <c:crosses val="autoZero"/>
        <c:crossBetween val="midCat"/>
      </c:valAx>
      <c:valAx>
        <c:axId val="41116416"/>
        <c:scaling>
          <c:logBase val="10"/>
          <c:orientation val="minMax"/>
        </c:scaling>
        <c:delete val="0"/>
        <c:axPos val="l"/>
        <c:majorGridlines/>
        <c:title>
          <c:tx>
            <c:rich>
              <a:bodyPr rot="-5400000" vert="horz"/>
              <a:lstStyle/>
              <a:p>
                <a:pPr>
                  <a:defRPr>
                    <a:solidFill>
                      <a:srgbClr val="C00000"/>
                    </a:solidFill>
                  </a:defRPr>
                </a:pPr>
                <a:r>
                  <a:rPr lang="en-US" sz="1200">
                    <a:solidFill>
                      <a:srgbClr val="C00000"/>
                    </a:solidFill>
                  </a:rPr>
                  <a:t>Total</a:t>
                </a:r>
                <a:r>
                  <a:rPr lang="en-US" sz="1200" baseline="0">
                    <a:solidFill>
                      <a:srgbClr val="C00000"/>
                    </a:solidFill>
                  </a:rPr>
                  <a:t> Gain </a:t>
                </a:r>
                <a:r>
                  <a:rPr lang="en-US" sz="1200">
                    <a:solidFill>
                      <a:srgbClr val="C00000"/>
                    </a:solidFill>
                  </a:rPr>
                  <a:t>(V/T)</a:t>
                </a:r>
              </a:p>
            </c:rich>
          </c:tx>
          <c:layout>
            <c:manualLayout>
              <c:xMode val="edge"/>
              <c:yMode val="edge"/>
              <c:x val="1.4336917562724014E-2"/>
              <c:y val="0.31291280039809144"/>
            </c:manualLayout>
          </c:layout>
          <c:overlay val="0"/>
        </c:title>
        <c:numFmt formatCode="0.0" sourceLinked="1"/>
        <c:majorTickMark val="out"/>
        <c:minorTickMark val="none"/>
        <c:tickLblPos val="nextTo"/>
        <c:txPr>
          <a:bodyPr/>
          <a:lstStyle/>
          <a:p>
            <a:pPr>
              <a:defRPr sz="1200" b="1">
                <a:solidFill>
                  <a:srgbClr val="C00000"/>
                </a:solidFill>
              </a:defRPr>
            </a:pPr>
            <a:endParaRPr lang="en-US"/>
          </a:p>
        </c:txPr>
        <c:crossAx val="40958592"/>
        <c:crosses val="autoZero"/>
        <c:crossBetween val="midCat"/>
      </c:valAx>
      <c:valAx>
        <c:axId val="41118336"/>
        <c:scaling>
          <c:logBase val="10"/>
          <c:orientation val="minMax"/>
        </c:scaling>
        <c:delete val="0"/>
        <c:axPos val="r"/>
        <c:title>
          <c:tx>
            <c:rich>
              <a:bodyPr rot="-5400000" vert="horz"/>
              <a:lstStyle/>
              <a:p>
                <a:pPr>
                  <a:defRPr>
                    <a:solidFill>
                      <a:schemeClr val="accent1"/>
                    </a:solidFill>
                  </a:defRPr>
                </a:pPr>
                <a:r>
                  <a:rPr lang="en-US" sz="1200">
                    <a:solidFill>
                      <a:schemeClr val="accent1"/>
                    </a:solidFill>
                  </a:rPr>
                  <a:t>Sensor Frontend Gain (A/T)</a:t>
                </a:r>
              </a:p>
            </c:rich>
          </c:tx>
          <c:layout>
            <c:manualLayout>
              <c:xMode val="edge"/>
              <c:yMode val="edge"/>
              <c:x val="0.96405424067945522"/>
              <c:y val="0.23017177056044302"/>
            </c:manualLayout>
          </c:layout>
          <c:overlay val="0"/>
        </c:title>
        <c:numFmt formatCode="0.00" sourceLinked="1"/>
        <c:majorTickMark val="out"/>
        <c:minorTickMark val="none"/>
        <c:tickLblPos val="nextTo"/>
        <c:txPr>
          <a:bodyPr/>
          <a:lstStyle/>
          <a:p>
            <a:pPr>
              <a:defRPr sz="1200" b="1">
                <a:solidFill>
                  <a:schemeClr val="accent1"/>
                </a:solidFill>
              </a:defRPr>
            </a:pPr>
            <a:endParaRPr lang="en-US"/>
          </a:p>
        </c:txPr>
        <c:crossAx val="43582208"/>
        <c:crosses val="max"/>
        <c:crossBetween val="midCat"/>
      </c:valAx>
      <c:valAx>
        <c:axId val="43582208"/>
        <c:scaling>
          <c:logBase val="10"/>
          <c:orientation val="minMax"/>
        </c:scaling>
        <c:delete val="1"/>
        <c:axPos val="b"/>
        <c:numFmt formatCode="General" sourceLinked="1"/>
        <c:majorTickMark val="out"/>
        <c:minorTickMark val="none"/>
        <c:tickLblPos val="nextTo"/>
        <c:crossAx val="41118336"/>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Maximum</a:t>
            </a:r>
            <a:r>
              <a:rPr lang="en-US" sz="1600" baseline="0"/>
              <a:t> shunt resistor for measuring a magnetic field range of </a:t>
            </a:r>
            <a:r>
              <a:rPr lang="en-US" sz="1600"/>
              <a:t>+/-2mT</a:t>
            </a:r>
          </a:p>
        </c:rich>
      </c:tx>
      <c:overlay val="0"/>
    </c:title>
    <c:autoTitleDeleted val="0"/>
    <c:plotArea>
      <c:layout/>
      <c:scatterChart>
        <c:scatterStyle val="lineMarker"/>
        <c:varyColors val="0"/>
        <c:ser>
          <c:idx val="0"/>
          <c:order val="0"/>
          <c:tx>
            <c:v>Brange=+/-2mT</c:v>
          </c:tx>
          <c:marker>
            <c:symbol val="none"/>
          </c:marker>
          <c:xVal>
            <c:numRef>
              <c:f>OverTempSupply!$B$88:$B$113</c:f>
              <c:numCache>
                <c:formatCode>General</c:formatCode>
                <c:ptCount val="26"/>
                <c:pt idx="0">
                  <c:v>3</c:v>
                </c:pt>
                <c:pt idx="1">
                  <c:v>3.1</c:v>
                </c:pt>
                <c:pt idx="2">
                  <c:v>3.2</c:v>
                </c:pt>
                <c:pt idx="3">
                  <c:v>3.3000000000000003</c:v>
                </c:pt>
                <c:pt idx="4">
                  <c:v>3.4000000000000004</c:v>
                </c:pt>
                <c:pt idx="5">
                  <c:v>3.5000000000000004</c:v>
                </c:pt>
                <c:pt idx="6">
                  <c:v>3.6000000000000005</c:v>
                </c:pt>
                <c:pt idx="7">
                  <c:v>3.7000000000000006</c:v>
                </c:pt>
                <c:pt idx="8">
                  <c:v>3.8000000000000007</c:v>
                </c:pt>
                <c:pt idx="9">
                  <c:v>3.9000000000000008</c:v>
                </c:pt>
                <c:pt idx="10">
                  <c:v>4.0000000000000009</c:v>
                </c:pt>
                <c:pt idx="11">
                  <c:v>4.1000000000000005</c:v>
                </c:pt>
                <c:pt idx="12">
                  <c:v>4.2</c:v>
                </c:pt>
                <c:pt idx="13">
                  <c:v>4.3</c:v>
                </c:pt>
                <c:pt idx="14">
                  <c:v>4.3999999999999995</c:v>
                </c:pt>
                <c:pt idx="15">
                  <c:v>4.4999999999999991</c:v>
                </c:pt>
                <c:pt idx="16">
                  <c:v>4.5999999999999988</c:v>
                </c:pt>
                <c:pt idx="17">
                  <c:v>4.7</c:v>
                </c:pt>
                <c:pt idx="18">
                  <c:v>4.8</c:v>
                </c:pt>
                <c:pt idx="19">
                  <c:v>4.8999999999999995</c:v>
                </c:pt>
                <c:pt idx="20">
                  <c:v>4.9999999999999991</c:v>
                </c:pt>
                <c:pt idx="21">
                  <c:v>5.0999999999999988</c:v>
                </c:pt>
                <c:pt idx="22">
                  <c:v>5.1999999999999984</c:v>
                </c:pt>
                <c:pt idx="23">
                  <c:v>5.299999999999998</c:v>
                </c:pt>
                <c:pt idx="24">
                  <c:v>5.3999999999999977</c:v>
                </c:pt>
                <c:pt idx="25">
                  <c:v>5.4999999999999973</c:v>
                </c:pt>
              </c:numCache>
            </c:numRef>
          </c:xVal>
          <c:yVal>
            <c:numRef>
              <c:f>OverTempSupply!$F$88:$F$113</c:f>
              <c:numCache>
                <c:formatCode>General</c:formatCode>
                <c:ptCount val="26"/>
                <c:pt idx="12">
                  <c:v>1.5984262295081919</c:v>
                </c:pt>
                <c:pt idx="13">
                  <c:v>5.6967868852458992</c:v>
                </c:pt>
                <c:pt idx="14">
                  <c:v>9.795147540983578</c:v>
                </c:pt>
                <c:pt idx="15">
                  <c:v>13.893508196721257</c:v>
                </c:pt>
                <c:pt idx="16">
                  <c:v>17.991868852458964</c:v>
                </c:pt>
                <c:pt idx="17">
                  <c:v>22.090229508196728</c:v>
                </c:pt>
                <c:pt idx="18">
                  <c:v>23.565573770491802</c:v>
                </c:pt>
                <c:pt idx="19">
                  <c:v>24.077868852459016</c:v>
                </c:pt>
                <c:pt idx="20">
                  <c:v>24.590163934426226</c:v>
                </c:pt>
                <c:pt idx="21">
                  <c:v>25.102459016393436</c:v>
                </c:pt>
                <c:pt idx="22">
                  <c:v>25.614754098360649</c:v>
                </c:pt>
                <c:pt idx="23">
                  <c:v>26.127049180327859</c:v>
                </c:pt>
                <c:pt idx="24">
                  <c:v>26.639344262295072</c:v>
                </c:pt>
                <c:pt idx="25">
                  <c:v>27.151639344262282</c:v>
                </c:pt>
              </c:numCache>
            </c:numRef>
          </c:yVal>
          <c:smooth val="0"/>
        </c:ser>
        <c:ser>
          <c:idx val="1"/>
          <c:order val="1"/>
          <c:spPr>
            <a:ln w="19050">
              <a:prstDash val="dash"/>
            </a:ln>
          </c:spPr>
          <c:marker>
            <c:symbol val="none"/>
          </c:marker>
          <c:xVal>
            <c:numRef>
              <c:f>OverTempSupply!$B$88:$B$113</c:f>
              <c:numCache>
                <c:formatCode>General</c:formatCode>
                <c:ptCount val="26"/>
                <c:pt idx="0">
                  <c:v>3</c:v>
                </c:pt>
                <c:pt idx="1">
                  <c:v>3.1</c:v>
                </c:pt>
                <c:pt idx="2">
                  <c:v>3.2</c:v>
                </c:pt>
                <c:pt idx="3">
                  <c:v>3.3000000000000003</c:v>
                </c:pt>
                <c:pt idx="4">
                  <c:v>3.4000000000000004</c:v>
                </c:pt>
                <c:pt idx="5">
                  <c:v>3.5000000000000004</c:v>
                </c:pt>
                <c:pt idx="6">
                  <c:v>3.6000000000000005</c:v>
                </c:pt>
                <c:pt idx="7">
                  <c:v>3.7000000000000006</c:v>
                </c:pt>
                <c:pt idx="8">
                  <c:v>3.8000000000000007</c:v>
                </c:pt>
                <c:pt idx="9">
                  <c:v>3.9000000000000008</c:v>
                </c:pt>
                <c:pt idx="10">
                  <c:v>4.0000000000000009</c:v>
                </c:pt>
                <c:pt idx="11">
                  <c:v>4.1000000000000005</c:v>
                </c:pt>
                <c:pt idx="12">
                  <c:v>4.2</c:v>
                </c:pt>
                <c:pt idx="13">
                  <c:v>4.3</c:v>
                </c:pt>
                <c:pt idx="14">
                  <c:v>4.3999999999999995</c:v>
                </c:pt>
                <c:pt idx="15">
                  <c:v>4.4999999999999991</c:v>
                </c:pt>
                <c:pt idx="16">
                  <c:v>4.5999999999999988</c:v>
                </c:pt>
                <c:pt idx="17">
                  <c:v>4.7</c:v>
                </c:pt>
                <c:pt idx="18">
                  <c:v>4.8</c:v>
                </c:pt>
                <c:pt idx="19">
                  <c:v>4.8999999999999995</c:v>
                </c:pt>
                <c:pt idx="20">
                  <c:v>4.9999999999999991</c:v>
                </c:pt>
                <c:pt idx="21">
                  <c:v>5.0999999999999988</c:v>
                </c:pt>
                <c:pt idx="22">
                  <c:v>5.1999999999999984</c:v>
                </c:pt>
                <c:pt idx="23">
                  <c:v>5.299999999999998</c:v>
                </c:pt>
                <c:pt idx="24">
                  <c:v>5.3999999999999977</c:v>
                </c:pt>
                <c:pt idx="25">
                  <c:v>5.4999999999999973</c:v>
                </c:pt>
              </c:numCache>
            </c:numRef>
          </c:xVal>
          <c:yVal>
            <c:numRef>
              <c:f>OverTempSupply!$D$88:$D$113</c:f>
              <c:numCache>
                <c:formatCode>General</c:formatCode>
                <c:ptCount val="26"/>
                <c:pt idx="0">
                  <c:v>14.344262295081968</c:v>
                </c:pt>
                <c:pt idx="1">
                  <c:v>14.856557377049182</c:v>
                </c:pt>
                <c:pt idx="2">
                  <c:v>15.368852459016395</c:v>
                </c:pt>
                <c:pt idx="3">
                  <c:v>15.881147540983608</c:v>
                </c:pt>
                <c:pt idx="4">
                  <c:v>16.393442622950822</c:v>
                </c:pt>
                <c:pt idx="5">
                  <c:v>16.905737704918035</c:v>
                </c:pt>
                <c:pt idx="6">
                  <c:v>17.418032786885249</c:v>
                </c:pt>
                <c:pt idx="7">
                  <c:v>17.930327868852462</c:v>
                </c:pt>
                <c:pt idx="8">
                  <c:v>18.442622950819676</c:v>
                </c:pt>
                <c:pt idx="9">
                  <c:v>18.954918032786889</c:v>
                </c:pt>
                <c:pt idx="10">
                  <c:v>19.467213114754102</c:v>
                </c:pt>
                <c:pt idx="11">
                  <c:v>19.979508196721316</c:v>
                </c:pt>
                <c:pt idx="12">
                  <c:v>20.491803278688526</c:v>
                </c:pt>
                <c:pt idx="13">
                  <c:v>21.004098360655739</c:v>
                </c:pt>
                <c:pt idx="14">
                  <c:v>21.516393442622949</c:v>
                </c:pt>
                <c:pt idx="15">
                  <c:v>22.028688524590159</c:v>
                </c:pt>
                <c:pt idx="16">
                  <c:v>22.540983606557372</c:v>
                </c:pt>
                <c:pt idx="17">
                  <c:v>23.053278688524593</c:v>
                </c:pt>
                <c:pt idx="18">
                  <c:v>23.565573770491802</c:v>
                </c:pt>
                <c:pt idx="19">
                  <c:v>24.077868852459016</c:v>
                </c:pt>
                <c:pt idx="20">
                  <c:v>24.590163934426226</c:v>
                </c:pt>
                <c:pt idx="21">
                  <c:v>25.102459016393436</c:v>
                </c:pt>
                <c:pt idx="22">
                  <c:v>25.614754098360649</c:v>
                </c:pt>
                <c:pt idx="23">
                  <c:v>26.127049180327859</c:v>
                </c:pt>
                <c:pt idx="24">
                  <c:v>26.639344262295072</c:v>
                </c:pt>
                <c:pt idx="25">
                  <c:v>27.151639344262282</c:v>
                </c:pt>
              </c:numCache>
            </c:numRef>
          </c:yVal>
          <c:smooth val="0"/>
        </c:ser>
        <c:dLbls>
          <c:showLegendKey val="0"/>
          <c:showVal val="0"/>
          <c:showCatName val="0"/>
          <c:showSerName val="0"/>
          <c:showPercent val="0"/>
          <c:showBubbleSize val="0"/>
        </c:dLbls>
        <c:axId val="43833216"/>
        <c:axId val="43834752"/>
      </c:scatterChart>
      <c:valAx>
        <c:axId val="43833216"/>
        <c:scaling>
          <c:orientation val="minMax"/>
          <c:max val="5.5"/>
          <c:min val="3"/>
        </c:scaling>
        <c:delete val="0"/>
        <c:axPos val="b"/>
        <c:numFmt formatCode="General" sourceLinked="1"/>
        <c:majorTickMark val="out"/>
        <c:minorTickMark val="none"/>
        <c:tickLblPos val="nextTo"/>
        <c:crossAx val="43834752"/>
        <c:crosses val="autoZero"/>
        <c:crossBetween val="midCat"/>
      </c:valAx>
      <c:valAx>
        <c:axId val="43834752"/>
        <c:scaling>
          <c:orientation val="minMax"/>
        </c:scaling>
        <c:delete val="0"/>
        <c:axPos val="l"/>
        <c:majorGridlines/>
        <c:numFmt formatCode="General" sourceLinked="1"/>
        <c:majorTickMark val="out"/>
        <c:minorTickMark val="none"/>
        <c:tickLblPos val="nextTo"/>
        <c:crossAx val="43833216"/>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Maximum shunt resistor for measuring a magnetic field range of +/-1mT</a:t>
            </a:r>
            <a:endParaRPr lang="en-US" sz="1600">
              <a:effectLst/>
            </a:endParaRPr>
          </a:p>
        </c:rich>
      </c:tx>
      <c:overlay val="0"/>
    </c:title>
    <c:autoTitleDeleted val="0"/>
    <c:plotArea>
      <c:layout/>
      <c:scatterChart>
        <c:scatterStyle val="lineMarker"/>
        <c:varyColors val="0"/>
        <c:ser>
          <c:idx val="0"/>
          <c:order val="0"/>
          <c:marker>
            <c:symbol val="none"/>
          </c:marker>
          <c:xVal>
            <c:numRef>
              <c:f>OverTempSupply!$B$88:$B$113</c:f>
              <c:numCache>
                <c:formatCode>General</c:formatCode>
                <c:ptCount val="26"/>
                <c:pt idx="0">
                  <c:v>3</c:v>
                </c:pt>
                <c:pt idx="1">
                  <c:v>3.1</c:v>
                </c:pt>
                <c:pt idx="2">
                  <c:v>3.2</c:v>
                </c:pt>
                <c:pt idx="3">
                  <c:v>3.3000000000000003</c:v>
                </c:pt>
                <c:pt idx="4">
                  <c:v>3.4000000000000004</c:v>
                </c:pt>
                <c:pt idx="5">
                  <c:v>3.5000000000000004</c:v>
                </c:pt>
                <c:pt idx="6">
                  <c:v>3.6000000000000005</c:v>
                </c:pt>
                <c:pt idx="7">
                  <c:v>3.7000000000000006</c:v>
                </c:pt>
                <c:pt idx="8">
                  <c:v>3.8000000000000007</c:v>
                </c:pt>
                <c:pt idx="9">
                  <c:v>3.9000000000000008</c:v>
                </c:pt>
                <c:pt idx="10">
                  <c:v>4.0000000000000009</c:v>
                </c:pt>
                <c:pt idx="11">
                  <c:v>4.1000000000000005</c:v>
                </c:pt>
                <c:pt idx="12">
                  <c:v>4.2</c:v>
                </c:pt>
                <c:pt idx="13">
                  <c:v>4.3</c:v>
                </c:pt>
                <c:pt idx="14">
                  <c:v>4.3999999999999995</c:v>
                </c:pt>
                <c:pt idx="15">
                  <c:v>4.4999999999999991</c:v>
                </c:pt>
                <c:pt idx="16">
                  <c:v>4.5999999999999988</c:v>
                </c:pt>
                <c:pt idx="17">
                  <c:v>4.7</c:v>
                </c:pt>
                <c:pt idx="18">
                  <c:v>4.8</c:v>
                </c:pt>
                <c:pt idx="19">
                  <c:v>4.8999999999999995</c:v>
                </c:pt>
                <c:pt idx="20">
                  <c:v>4.9999999999999991</c:v>
                </c:pt>
                <c:pt idx="21">
                  <c:v>5.0999999999999988</c:v>
                </c:pt>
                <c:pt idx="22">
                  <c:v>5.1999999999999984</c:v>
                </c:pt>
                <c:pt idx="23">
                  <c:v>5.299999999999998</c:v>
                </c:pt>
                <c:pt idx="24">
                  <c:v>5.3999999999999977</c:v>
                </c:pt>
                <c:pt idx="25">
                  <c:v>5.4999999999999973</c:v>
                </c:pt>
              </c:numCache>
            </c:numRef>
          </c:xVal>
          <c:yVal>
            <c:numRef>
              <c:f>OverTempSupply!$L$88:$L$113</c:f>
              <c:numCache>
                <c:formatCode>General</c:formatCode>
                <c:ptCount val="26"/>
                <c:pt idx="0">
                  <c:v>28.688524590163937</c:v>
                </c:pt>
                <c:pt idx="1">
                  <c:v>29.713114754098363</c:v>
                </c:pt>
                <c:pt idx="2">
                  <c:v>30.73770491803279</c:v>
                </c:pt>
                <c:pt idx="3">
                  <c:v>31.762295081967217</c:v>
                </c:pt>
                <c:pt idx="4">
                  <c:v>32.786885245901644</c:v>
                </c:pt>
                <c:pt idx="5">
                  <c:v>33.811475409836071</c:v>
                </c:pt>
                <c:pt idx="6">
                  <c:v>34.836065573770497</c:v>
                </c:pt>
                <c:pt idx="7">
                  <c:v>35.860655737704924</c:v>
                </c:pt>
                <c:pt idx="8">
                  <c:v>36.885245901639351</c:v>
                </c:pt>
                <c:pt idx="9">
                  <c:v>37.909836065573778</c:v>
                </c:pt>
                <c:pt idx="10">
                  <c:v>38.934426229508205</c:v>
                </c:pt>
                <c:pt idx="11">
                  <c:v>39.959016393442631</c:v>
                </c:pt>
                <c:pt idx="12">
                  <c:v>40.983606557377051</c:v>
                </c:pt>
                <c:pt idx="13">
                  <c:v>42.008196721311478</c:v>
                </c:pt>
                <c:pt idx="14">
                  <c:v>43.032786885245898</c:v>
                </c:pt>
                <c:pt idx="15">
                  <c:v>44.057377049180317</c:v>
                </c:pt>
                <c:pt idx="16">
                  <c:v>45.081967213114744</c:v>
                </c:pt>
                <c:pt idx="17">
                  <c:v>46.106557377049185</c:v>
                </c:pt>
                <c:pt idx="18">
                  <c:v>47.131147540983605</c:v>
                </c:pt>
                <c:pt idx="19">
                  <c:v>48.155737704918032</c:v>
                </c:pt>
                <c:pt idx="20">
                  <c:v>49.180327868852451</c:v>
                </c:pt>
                <c:pt idx="21">
                  <c:v>50.204918032786871</c:v>
                </c:pt>
                <c:pt idx="22">
                  <c:v>51.229508196721298</c:v>
                </c:pt>
                <c:pt idx="23">
                  <c:v>52.254098360655718</c:v>
                </c:pt>
                <c:pt idx="24">
                  <c:v>53.278688524590144</c:v>
                </c:pt>
                <c:pt idx="25">
                  <c:v>54.303278688524564</c:v>
                </c:pt>
              </c:numCache>
            </c:numRef>
          </c:yVal>
          <c:smooth val="0"/>
        </c:ser>
        <c:dLbls>
          <c:showLegendKey val="0"/>
          <c:showVal val="0"/>
          <c:showCatName val="0"/>
          <c:showSerName val="0"/>
          <c:showPercent val="0"/>
          <c:showBubbleSize val="0"/>
        </c:dLbls>
        <c:axId val="41032704"/>
        <c:axId val="41046784"/>
      </c:scatterChart>
      <c:valAx>
        <c:axId val="41032704"/>
        <c:scaling>
          <c:orientation val="minMax"/>
          <c:max val="5.5"/>
          <c:min val="3"/>
        </c:scaling>
        <c:delete val="0"/>
        <c:axPos val="b"/>
        <c:numFmt formatCode="General" sourceLinked="1"/>
        <c:majorTickMark val="out"/>
        <c:minorTickMark val="none"/>
        <c:tickLblPos val="nextTo"/>
        <c:crossAx val="41046784"/>
        <c:crosses val="autoZero"/>
        <c:crossBetween val="midCat"/>
      </c:valAx>
      <c:valAx>
        <c:axId val="41046784"/>
        <c:scaling>
          <c:orientation val="minMax"/>
        </c:scaling>
        <c:delete val="0"/>
        <c:axPos val="l"/>
        <c:majorGridlines/>
        <c:numFmt formatCode="General" sourceLinked="1"/>
        <c:majorTickMark val="out"/>
        <c:minorTickMark val="none"/>
        <c:tickLblPos val="nextTo"/>
        <c:crossAx val="41032704"/>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Maximum shunt resistor for measuring a magnetic field range of +/-500uT</a:t>
            </a:r>
            <a:endParaRPr lang="en-US" sz="1600">
              <a:effectLst/>
            </a:endParaRPr>
          </a:p>
        </c:rich>
      </c:tx>
      <c:overlay val="0"/>
    </c:title>
    <c:autoTitleDeleted val="0"/>
    <c:plotArea>
      <c:layout/>
      <c:scatterChart>
        <c:scatterStyle val="lineMarker"/>
        <c:varyColors val="0"/>
        <c:ser>
          <c:idx val="0"/>
          <c:order val="0"/>
          <c:marker>
            <c:symbol val="none"/>
          </c:marker>
          <c:xVal>
            <c:numRef>
              <c:f>OverTempSupply!$B$88:$B$113</c:f>
              <c:numCache>
                <c:formatCode>General</c:formatCode>
                <c:ptCount val="26"/>
                <c:pt idx="0">
                  <c:v>3</c:v>
                </c:pt>
                <c:pt idx="1">
                  <c:v>3.1</c:v>
                </c:pt>
                <c:pt idx="2">
                  <c:v>3.2</c:v>
                </c:pt>
                <c:pt idx="3">
                  <c:v>3.3000000000000003</c:v>
                </c:pt>
                <c:pt idx="4">
                  <c:v>3.4000000000000004</c:v>
                </c:pt>
                <c:pt idx="5">
                  <c:v>3.5000000000000004</c:v>
                </c:pt>
                <c:pt idx="6">
                  <c:v>3.6000000000000005</c:v>
                </c:pt>
                <c:pt idx="7">
                  <c:v>3.7000000000000006</c:v>
                </c:pt>
                <c:pt idx="8">
                  <c:v>3.8000000000000007</c:v>
                </c:pt>
                <c:pt idx="9">
                  <c:v>3.9000000000000008</c:v>
                </c:pt>
                <c:pt idx="10">
                  <c:v>4.0000000000000009</c:v>
                </c:pt>
                <c:pt idx="11">
                  <c:v>4.1000000000000005</c:v>
                </c:pt>
                <c:pt idx="12">
                  <c:v>4.2</c:v>
                </c:pt>
                <c:pt idx="13">
                  <c:v>4.3</c:v>
                </c:pt>
                <c:pt idx="14">
                  <c:v>4.3999999999999995</c:v>
                </c:pt>
                <c:pt idx="15">
                  <c:v>4.4999999999999991</c:v>
                </c:pt>
                <c:pt idx="16">
                  <c:v>4.5999999999999988</c:v>
                </c:pt>
                <c:pt idx="17">
                  <c:v>4.7</c:v>
                </c:pt>
                <c:pt idx="18">
                  <c:v>4.8</c:v>
                </c:pt>
                <c:pt idx="19">
                  <c:v>4.8999999999999995</c:v>
                </c:pt>
                <c:pt idx="20">
                  <c:v>4.9999999999999991</c:v>
                </c:pt>
                <c:pt idx="21">
                  <c:v>5.0999999999999988</c:v>
                </c:pt>
                <c:pt idx="22">
                  <c:v>5.1999999999999984</c:v>
                </c:pt>
                <c:pt idx="23">
                  <c:v>5.299999999999998</c:v>
                </c:pt>
                <c:pt idx="24">
                  <c:v>5.3999999999999977</c:v>
                </c:pt>
                <c:pt idx="25">
                  <c:v>5.4999999999999973</c:v>
                </c:pt>
              </c:numCache>
            </c:numRef>
          </c:xVal>
          <c:yVal>
            <c:numRef>
              <c:f>OverTempSupply!$I$88:$I$113</c:f>
              <c:numCache>
                <c:formatCode>General</c:formatCode>
                <c:ptCount val="26"/>
                <c:pt idx="0">
                  <c:v>57.377049180327873</c:v>
                </c:pt>
                <c:pt idx="1">
                  <c:v>59.426229508196727</c:v>
                </c:pt>
                <c:pt idx="2">
                  <c:v>61.47540983606558</c:v>
                </c:pt>
                <c:pt idx="3">
                  <c:v>63.524590163934434</c:v>
                </c:pt>
                <c:pt idx="4">
                  <c:v>65.573770491803288</c:v>
                </c:pt>
                <c:pt idx="5">
                  <c:v>67.622950819672141</c:v>
                </c:pt>
                <c:pt idx="6">
                  <c:v>69.672131147540995</c:v>
                </c:pt>
                <c:pt idx="7">
                  <c:v>71.721311475409848</c:v>
                </c:pt>
                <c:pt idx="8">
                  <c:v>73.770491803278702</c:v>
                </c:pt>
                <c:pt idx="9">
                  <c:v>75.819672131147556</c:v>
                </c:pt>
                <c:pt idx="10">
                  <c:v>77.868852459016409</c:v>
                </c:pt>
                <c:pt idx="11">
                  <c:v>79.918032786885263</c:v>
                </c:pt>
                <c:pt idx="12">
                  <c:v>81.967213114754102</c:v>
                </c:pt>
                <c:pt idx="13">
                  <c:v>84.016393442622956</c:v>
                </c:pt>
                <c:pt idx="14">
                  <c:v>86.065573770491795</c:v>
                </c:pt>
                <c:pt idx="15">
                  <c:v>88.114754098360635</c:v>
                </c:pt>
                <c:pt idx="16">
                  <c:v>90.163934426229488</c:v>
                </c:pt>
                <c:pt idx="17">
                  <c:v>92.21311475409837</c:v>
                </c:pt>
                <c:pt idx="18">
                  <c:v>94.26229508196721</c:v>
                </c:pt>
                <c:pt idx="19">
                  <c:v>96.311475409836063</c:v>
                </c:pt>
                <c:pt idx="20">
                  <c:v>98.360655737704903</c:v>
                </c:pt>
                <c:pt idx="21">
                  <c:v>100.40983606557374</c:v>
                </c:pt>
                <c:pt idx="22">
                  <c:v>102.4590163934426</c:v>
                </c:pt>
                <c:pt idx="23">
                  <c:v>104.50819672131144</c:v>
                </c:pt>
                <c:pt idx="24">
                  <c:v>106.55737704918029</c:v>
                </c:pt>
                <c:pt idx="25">
                  <c:v>108.60655737704913</c:v>
                </c:pt>
              </c:numCache>
            </c:numRef>
          </c:yVal>
          <c:smooth val="0"/>
        </c:ser>
        <c:dLbls>
          <c:showLegendKey val="0"/>
          <c:showVal val="0"/>
          <c:showCatName val="0"/>
          <c:showSerName val="0"/>
          <c:showPercent val="0"/>
          <c:showBubbleSize val="0"/>
        </c:dLbls>
        <c:axId val="41087360"/>
        <c:axId val="41088896"/>
      </c:scatterChart>
      <c:valAx>
        <c:axId val="41087360"/>
        <c:scaling>
          <c:orientation val="minMax"/>
          <c:max val="5.5"/>
          <c:min val="3"/>
        </c:scaling>
        <c:delete val="0"/>
        <c:axPos val="b"/>
        <c:numFmt formatCode="General" sourceLinked="1"/>
        <c:majorTickMark val="out"/>
        <c:minorTickMark val="none"/>
        <c:tickLblPos val="nextTo"/>
        <c:crossAx val="41088896"/>
        <c:crosses val="autoZero"/>
        <c:crossBetween val="midCat"/>
      </c:valAx>
      <c:valAx>
        <c:axId val="41088896"/>
        <c:scaling>
          <c:orientation val="minMax"/>
        </c:scaling>
        <c:delete val="0"/>
        <c:axPos val="l"/>
        <c:majorGridlines/>
        <c:numFmt formatCode="General" sourceLinked="1"/>
        <c:majorTickMark val="out"/>
        <c:minorTickMark val="none"/>
        <c:tickLblPos val="nextTo"/>
        <c:crossAx val="4108736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www.ti.com" TargetMode="External"/></Relationships>
</file>

<file path=xl/drawings/_rels/drawing11.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5.png"/><Relationship Id="rId5" Type="http://schemas.openxmlformats.org/officeDocument/2006/relationships/chart" Target="../charts/chart8.xml"/><Relationship Id="rId4" Type="http://schemas.openxmlformats.org/officeDocument/2006/relationships/chart" Target="../charts/chart7.xml"/></Relationships>
</file>

<file path=xl/drawings/_rels/drawing2.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www.ti.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www.ti.com" TargetMode="External"/></Relationships>
</file>

<file path=xl/drawings/_rels/drawing4.xml.rels><?xml version="1.0" encoding="UTF-8" standalone="yes"?>
<Relationships xmlns="http://schemas.openxmlformats.org/package/2006/relationships"><Relationship Id="rId3" Type="http://schemas.openxmlformats.org/officeDocument/2006/relationships/hyperlink" Target="http://www.ti.com" TargetMode="Externa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www.ti.com" TargetMode="External"/></Relationships>
</file>

<file path=xl/drawings/_rels/drawing6.xml.rels><?xml version="1.0" encoding="UTF-8" standalone="yes"?>
<Relationships xmlns="http://schemas.openxmlformats.org/package/2006/relationships"><Relationship Id="rId3" Type="http://schemas.openxmlformats.org/officeDocument/2006/relationships/hyperlink" Target="http://www.ti.com" TargetMode="Externa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5.xml"/><Relationship Id="rId4"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www.ti.com" TargetMode="External"/></Relationships>
</file>

<file path=xl/drawings/_rels/drawing8.xml.rels><?xml version="1.0" encoding="UTF-8" standalone="yes"?>
<Relationships xmlns="http://schemas.openxmlformats.org/package/2006/relationships"><Relationship Id="rId3" Type="http://schemas.openxmlformats.org/officeDocument/2006/relationships/hyperlink" Target="http://www.ti.com/corp/docs/legal/copyright.shtml" TargetMode="External"/><Relationship Id="rId2" Type="http://schemas.openxmlformats.org/officeDocument/2006/relationships/image" Target="../media/image1.gif"/><Relationship Id="rId1" Type="http://schemas.openxmlformats.org/officeDocument/2006/relationships/hyperlink" Target="http://www.ti.com" TargetMode="External"/></Relationships>
</file>

<file path=xl/drawings/_rels/drawing9.xml.rels><?xml version="1.0" encoding="UTF-8" standalone="yes"?>
<Relationships xmlns="http://schemas.openxmlformats.org/package/2006/relationships"><Relationship Id="rId3" Type="http://schemas.openxmlformats.org/officeDocument/2006/relationships/hyperlink" Target="http://e2e.ti.com/" TargetMode="External"/><Relationship Id="rId2" Type="http://schemas.openxmlformats.org/officeDocument/2006/relationships/image" Target="../media/image1.gif"/><Relationship Id="rId1" Type="http://schemas.openxmlformats.org/officeDocument/2006/relationships/hyperlink" Target="http://www.ti.com"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oneCellAnchor>
    <xdr:from>
      <xdr:col>7</xdr:col>
      <xdr:colOff>609599</xdr:colOff>
      <xdr:row>0</xdr:row>
      <xdr:rowOff>95250</xdr:rowOff>
    </xdr:from>
    <xdr:ext cx="5562601" cy="357790"/>
    <xdr:sp macro="" textlink="">
      <xdr:nvSpPr>
        <xdr:cNvPr id="2" name="TextBox 1"/>
        <xdr:cNvSpPr txBox="1"/>
      </xdr:nvSpPr>
      <xdr:spPr>
        <a:xfrm>
          <a:off x="5076824" y="95250"/>
          <a:ext cx="5562601"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b="1">
              <a:latin typeface="Arial" panose="020B0604020202020204" pitchFamily="34" charset="0"/>
              <a:cs typeface="Arial" panose="020B0604020202020204" pitchFamily="34" charset="0"/>
            </a:rPr>
            <a:t>DRV425</a:t>
          </a:r>
          <a:r>
            <a:rPr lang="en-US" sz="1800" b="1" baseline="0">
              <a:latin typeface="Arial" panose="020B0604020202020204" pitchFamily="34" charset="0"/>
              <a:cs typeface="Arial" panose="020B0604020202020204" pitchFamily="34" charset="0"/>
            </a:rPr>
            <a:t> - System Parameter Calculator</a:t>
          </a:r>
          <a:endParaRPr lang="en-US" sz="1800" b="1">
            <a:latin typeface="Arial" panose="020B0604020202020204" pitchFamily="34" charset="0"/>
            <a:cs typeface="Arial" panose="020B0604020202020204" pitchFamily="34" charset="0"/>
          </a:endParaRPr>
        </a:p>
      </xdr:txBody>
    </xdr:sp>
    <xdr:clientData/>
  </xdr:oneCellAnchor>
  <xdr:twoCellAnchor editAs="oneCell">
    <xdr:from>
      <xdr:col>0</xdr:col>
      <xdr:colOff>85725</xdr:colOff>
      <xdr:row>0</xdr:row>
      <xdr:rowOff>95250</xdr:rowOff>
    </xdr:from>
    <xdr:to>
      <xdr:col>4</xdr:col>
      <xdr:colOff>4195</xdr:colOff>
      <xdr:row>2</xdr:row>
      <xdr:rowOff>104775</xdr:rowOff>
    </xdr:to>
    <xdr:pic>
      <xdr:nvPicPr>
        <xdr:cNvPr id="3" name="Picture 2" descr="ti logo">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 y="95250"/>
          <a:ext cx="306172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18</xdr:col>
          <xdr:colOff>447675</xdr:colOff>
          <xdr:row>12</xdr:row>
          <xdr:rowOff>114300</xdr:rowOff>
        </xdr:from>
        <xdr:to>
          <xdr:col>29</xdr:col>
          <xdr:colOff>533400</xdr:colOff>
          <xdr:row>25</xdr:row>
          <xdr:rowOff>38100</xdr:rowOff>
        </xdr:to>
        <xdr:sp macro="" textlink="">
          <xdr:nvSpPr>
            <xdr:cNvPr id="5129" name="Object 9" hidden="1">
              <a:extLst>
                <a:ext uri="{63B3BB69-23CF-44E3-9099-C40C66FF867C}">
                  <a14:compatExt spid="_x0000_s5129"/>
                </a:ext>
              </a:extLst>
            </xdr:cNvPr>
            <xdr:cNvSpPr/>
          </xdr:nvSpPr>
          <xdr:spPr>
            <a:xfrm>
              <a:off x="0" y="0"/>
              <a:ext cx="0" cy="0"/>
            </a:xfrm>
            <a:prstGeom prst="rect">
              <a:avLst/>
            </a:prstGeom>
          </xdr:spPr>
        </xdr:sp>
        <xdr:clientData/>
      </xdr:twoCellAnchor>
    </mc:Choice>
    <mc:Fallback/>
  </mc:AlternateContent>
  <xdr:oneCellAnchor>
    <xdr:from>
      <xdr:col>18</xdr:col>
      <xdr:colOff>596900</xdr:colOff>
      <xdr:row>26</xdr:row>
      <xdr:rowOff>3176</xdr:rowOff>
    </xdr:from>
    <xdr:ext cx="6578600" cy="641586"/>
    <mc:AlternateContent xmlns:mc="http://schemas.openxmlformats.org/markup-compatibility/2006" xmlns:a14="http://schemas.microsoft.com/office/drawing/2010/main">
      <mc:Choice Requires="a14">
        <xdr:sp macro="" textlink="">
          <xdr:nvSpPr>
            <xdr:cNvPr id="5" name="TextBox 4"/>
            <xdr:cNvSpPr txBox="1"/>
          </xdr:nvSpPr>
          <xdr:spPr>
            <a:xfrm>
              <a:off x="12255500" y="8385176"/>
              <a:ext cx="6578600" cy="641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US" sz="1600" b="0" i="1">
                        <a:latin typeface="Cambria Math"/>
                      </a:rPr>
                      <m:t>100</m:t>
                    </m:r>
                    <m:r>
                      <a:rPr lang="en-US" sz="1600" b="0" i="1">
                        <a:latin typeface="Cambria Math"/>
                      </a:rPr>
                      <m:t>𝐾𝐻𝑧</m:t>
                    </m:r>
                    <m:r>
                      <a:rPr lang="en-US" sz="1600" i="1">
                        <a:latin typeface="Cambria Math"/>
                        <a:ea typeface="Cambria Math"/>
                      </a:rPr>
                      <m:t>&gt;</m:t>
                    </m:r>
                    <m:r>
                      <a:rPr lang="en-US" sz="1600" b="0" i="1">
                        <a:latin typeface="Cambria Math"/>
                      </a:rPr>
                      <m:t>180</m:t>
                    </m:r>
                    <m:d>
                      <m:dPr>
                        <m:begChr m:val="["/>
                        <m:endChr m:val="]"/>
                        <m:ctrlPr>
                          <a:rPr lang="en-US" sz="1600" b="0" i="1">
                            <a:latin typeface="Cambria Math"/>
                          </a:rPr>
                        </m:ctrlPr>
                      </m:dPr>
                      <m:e>
                        <m:f>
                          <m:fPr>
                            <m:ctrlPr>
                              <a:rPr lang="en-US" sz="1600" b="0" i="1">
                                <a:solidFill>
                                  <a:schemeClr val="tx1"/>
                                </a:solidFill>
                                <a:effectLst/>
                                <a:latin typeface="Cambria Math"/>
                                <a:ea typeface="+mn-ea"/>
                                <a:cs typeface="+mn-cs"/>
                              </a:rPr>
                            </m:ctrlPr>
                          </m:fPr>
                          <m:num>
                            <m:r>
                              <a:rPr lang="en-US" sz="1600" b="0" i="1">
                                <a:solidFill>
                                  <a:schemeClr val="tx1"/>
                                </a:solidFill>
                                <a:effectLst/>
                                <a:latin typeface="Cambria Math"/>
                                <a:ea typeface="+mn-ea"/>
                                <a:cs typeface="+mn-cs"/>
                              </a:rPr>
                              <m:t>𝑉</m:t>
                            </m:r>
                          </m:num>
                          <m:den>
                            <m:r>
                              <a:rPr lang="en-US" sz="1600" b="0" i="1">
                                <a:solidFill>
                                  <a:schemeClr val="tx1"/>
                                </a:solidFill>
                                <a:effectLst/>
                                <a:latin typeface="Cambria Math"/>
                                <a:ea typeface="+mn-ea"/>
                                <a:cs typeface="+mn-cs"/>
                              </a:rPr>
                              <m:t>𝑇</m:t>
                            </m:r>
                          </m:den>
                        </m:f>
                      </m:e>
                    </m:d>
                    <m:r>
                      <a:rPr lang="en-US" sz="1600" b="0" i="1">
                        <a:latin typeface="Cambria Math"/>
                        <a:ea typeface="Cambria Math"/>
                      </a:rPr>
                      <m:t>∙</m:t>
                    </m:r>
                    <m:r>
                      <a:rPr lang="en-US" sz="1600" b="0" i="1">
                        <a:latin typeface="Cambria Math"/>
                      </a:rPr>
                      <m:t>20</m:t>
                    </m:r>
                    <m:d>
                      <m:dPr>
                        <m:begChr m:val="["/>
                        <m:endChr m:val="]"/>
                        <m:ctrlPr>
                          <a:rPr lang="en-US" sz="1600" b="0" i="1">
                            <a:latin typeface="Cambria Math"/>
                          </a:rPr>
                        </m:ctrlPr>
                      </m:dPr>
                      <m:e>
                        <m:f>
                          <m:fPr>
                            <m:ctrlPr>
                              <a:rPr lang="en-US" sz="1600" b="0" i="1">
                                <a:solidFill>
                                  <a:schemeClr val="tx1"/>
                                </a:solidFill>
                                <a:effectLst/>
                                <a:latin typeface="Cambria Math"/>
                                <a:ea typeface="+mn-ea"/>
                                <a:cs typeface="+mn-cs"/>
                              </a:rPr>
                            </m:ctrlPr>
                          </m:fPr>
                          <m:num>
                            <m:r>
                              <a:rPr lang="en-US" sz="1600" b="0" i="1">
                                <a:solidFill>
                                  <a:schemeClr val="tx1"/>
                                </a:solidFill>
                                <a:effectLst/>
                                <a:latin typeface="Cambria Math"/>
                                <a:ea typeface="+mn-ea"/>
                                <a:cs typeface="+mn-cs"/>
                              </a:rPr>
                              <m:t>𝑉</m:t>
                            </m:r>
                          </m:num>
                          <m:den>
                            <m:r>
                              <a:rPr lang="en-US" sz="1600" b="0" i="1">
                                <a:solidFill>
                                  <a:schemeClr val="tx1"/>
                                </a:solidFill>
                                <a:effectLst/>
                                <a:latin typeface="Cambria Math"/>
                                <a:ea typeface="+mn-ea"/>
                                <a:cs typeface="+mn-cs"/>
                              </a:rPr>
                              <m:t>𝑉</m:t>
                            </m:r>
                          </m:den>
                        </m:f>
                      </m:e>
                    </m:d>
                    <m:r>
                      <a:rPr lang="en-US" sz="1600" b="0" i="0">
                        <a:latin typeface="Cambria Math"/>
                        <a:ea typeface="Cambria Math"/>
                      </a:rPr>
                      <m:t>∙</m:t>
                    </m:r>
                    <m:d>
                      <m:dPr>
                        <m:begChr m:val="{"/>
                        <m:endChr m:val="}"/>
                        <m:ctrlPr>
                          <a:rPr lang="en-US" sz="1600" b="0" i="1">
                            <a:latin typeface="Cambria Math"/>
                            <a:ea typeface="Cambria Math"/>
                          </a:rPr>
                        </m:ctrlPr>
                      </m:dPr>
                      <m:e>
                        <m:f>
                          <m:fPr>
                            <m:ctrlPr>
                              <a:rPr lang="en-US" sz="1600" b="0" i="1">
                                <a:solidFill>
                                  <a:schemeClr val="tx1"/>
                                </a:solidFill>
                                <a:effectLst/>
                                <a:latin typeface="Cambria Math"/>
                                <a:ea typeface="+mn-ea"/>
                                <a:cs typeface="+mn-cs"/>
                              </a:rPr>
                            </m:ctrlPr>
                          </m:fPr>
                          <m:num>
                            <m:r>
                              <a:rPr lang="en-US" sz="1600" b="0" i="1">
                                <a:solidFill>
                                  <a:schemeClr val="tx1"/>
                                </a:solidFill>
                                <a:effectLst/>
                                <a:latin typeface="Cambria Math"/>
                                <a:ea typeface="+mn-ea"/>
                                <a:cs typeface="+mn-cs"/>
                              </a:rPr>
                              <m:t>75</m:t>
                            </m:r>
                            <m:r>
                              <a:rPr lang="en-US" sz="1600" b="0" i="1">
                                <a:solidFill>
                                  <a:schemeClr val="tx1"/>
                                </a:solidFill>
                                <a:effectLst/>
                                <a:latin typeface="Cambria Math"/>
                                <a:ea typeface="+mn-ea"/>
                                <a:cs typeface="+mn-cs"/>
                              </a:rPr>
                              <m:t>𝐾𝐻𝑧</m:t>
                            </m:r>
                          </m:num>
                          <m:den>
                            <m:r>
                              <a:rPr lang="en-US" sz="1600" b="0" i="1">
                                <a:solidFill>
                                  <a:schemeClr val="tx1"/>
                                </a:solidFill>
                                <a:effectLst/>
                                <a:latin typeface="Cambria Math"/>
                                <a:ea typeface="+mn-ea"/>
                                <a:cs typeface="+mn-cs"/>
                              </a:rPr>
                              <m:t>(5</m:t>
                            </m:r>
                            <m:r>
                              <a:rPr lang="en-US" sz="1600" b="0" i="1">
                                <a:solidFill>
                                  <a:schemeClr val="tx1"/>
                                </a:solidFill>
                                <a:effectLst/>
                                <a:latin typeface="Cambria Math"/>
                                <a:ea typeface="+mn-ea"/>
                                <a:cs typeface="+mn-cs"/>
                              </a:rPr>
                              <m:t>𝑜𝑟</m:t>
                            </m:r>
                            <m:r>
                              <a:rPr lang="en-US" sz="1600" b="0" i="1">
                                <a:solidFill>
                                  <a:schemeClr val="tx1"/>
                                </a:solidFill>
                                <a:effectLst/>
                                <a:latin typeface="Cambria Math"/>
                                <a:ea typeface="+mn-ea"/>
                                <a:cs typeface="+mn-cs"/>
                              </a:rPr>
                              <m:t>7)</m:t>
                            </m:r>
                          </m:den>
                        </m:f>
                      </m:e>
                    </m:d>
                    <m:r>
                      <a:rPr lang="en-US" sz="1600" b="0" i="1">
                        <a:latin typeface="Cambria Math"/>
                        <a:ea typeface="Cambria Math"/>
                      </a:rPr>
                      <m:t>∙</m:t>
                    </m:r>
                    <m:f>
                      <m:fPr>
                        <m:ctrlPr>
                          <a:rPr lang="en-US" sz="1600" b="0" i="1">
                            <a:latin typeface="Cambria Math"/>
                            <a:ea typeface="Cambria Math"/>
                          </a:rPr>
                        </m:ctrlPr>
                      </m:fPr>
                      <m:num>
                        <m:r>
                          <a:rPr lang="en-US" sz="1600" b="0" i="1">
                            <a:latin typeface="Cambria Math"/>
                            <a:ea typeface="Cambria Math"/>
                          </a:rPr>
                          <m:t>1</m:t>
                        </m:r>
                      </m:num>
                      <m:den>
                        <m:sSub>
                          <m:sSubPr>
                            <m:ctrlPr>
                              <a:rPr lang="en-US" sz="1600" b="0" i="1">
                                <a:latin typeface="Cambria Math"/>
                                <a:ea typeface="Cambria Math"/>
                              </a:rPr>
                            </m:ctrlPr>
                          </m:sSubPr>
                          <m:e>
                            <m:r>
                              <a:rPr lang="en-US" sz="1600" b="0" i="1">
                                <a:latin typeface="Cambria Math"/>
                                <a:ea typeface="Cambria Math"/>
                              </a:rPr>
                              <m:t>𝑅</m:t>
                            </m:r>
                          </m:e>
                          <m:sub>
                            <m:r>
                              <a:rPr lang="en-US" sz="1600" b="0" i="1">
                                <a:latin typeface="Cambria Math"/>
                                <a:ea typeface="Cambria Math"/>
                              </a:rPr>
                              <m:t>𝐶𝑂𝐼𝐿</m:t>
                            </m:r>
                          </m:sub>
                        </m:sSub>
                        <m:r>
                          <a:rPr lang="en-US" sz="1600" b="0" i="1">
                            <a:latin typeface="Cambria Math"/>
                            <a:ea typeface="Cambria Math"/>
                          </a:rPr>
                          <m:t>+</m:t>
                        </m:r>
                        <m:sSub>
                          <m:sSubPr>
                            <m:ctrlPr>
                              <a:rPr lang="en-US" sz="1600" b="0" i="1">
                                <a:latin typeface="Cambria Math"/>
                                <a:ea typeface="Cambria Math"/>
                              </a:rPr>
                            </m:ctrlPr>
                          </m:sSubPr>
                          <m:e>
                            <m:r>
                              <a:rPr lang="en-US" sz="1600" b="0" i="1">
                                <a:latin typeface="Cambria Math"/>
                                <a:ea typeface="Cambria Math"/>
                              </a:rPr>
                              <m:t>𝑅</m:t>
                            </m:r>
                          </m:e>
                          <m:sub>
                            <m:r>
                              <a:rPr lang="en-US" sz="1600" b="0" i="1">
                                <a:latin typeface="Cambria Math"/>
                                <a:ea typeface="Cambria Math"/>
                              </a:rPr>
                              <m:t>𝑆𝐻𝑈𝑁𝑇</m:t>
                            </m:r>
                          </m:sub>
                        </m:sSub>
                      </m:den>
                    </m:f>
                    <m:d>
                      <m:dPr>
                        <m:begChr m:val="["/>
                        <m:endChr m:val="]"/>
                        <m:ctrlPr>
                          <a:rPr lang="en-US" sz="1600" b="0" i="1">
                            <a:latin typeface="Cambria Math"/>
                            <a:ea typeface="Cambria Math"/>
                          </a:rPr>
                        </m:ctrlPr>
                      </m:dPr>
                      <m:e>
                        <m:f>
                          <m:fPr>
                            <m:ctrlPr>
                              <a:rPr lang="en-US" sz="1600" b="0" i="1">
                                <a:solidFill>
                                  <a:schemeClr val="tx1"/>
                                </a:solidFill>
                                <a:effectLst/>
                                <a:latin typeface="Cambria Math"/>
                                <a:ea typeface="+mn-ea"/>
                                <a:cs typeface="+mn-cs"/>
                              </a:rPr>
                            </m:ctrlPr>
                          </m:fPr>
                          <m:num>
                            <m:r>
                              <a:rPr lang="en-US" sz="1600" b="0" i="1">
                                <a:solidFill>
                                  <a:schemeClr val="tx1"/>
                                </a:solidFill>
                                <a:effectLst/>
                                <a:latin typeface="Cambria Math"/>
                                <a:ea typeface="+mn-ea"/>
                                <a:cs typeface="+mn-cs"/>
                              </a:rPr>
                              <m:t>𝐴</m:t>
                            </m:r>
                          </m:num>
                          <m:den>
                            <m:r>
                              <a:rPr lang="en-US" sz="1600" b="0" i="1">
                                <a:solidFill>
                                  <a:schemeClr val="tx1"/>
                                </a:solidFill>
                                <a:effectLst/>
                                <a:latin typeface="Cambria Math"/>
                                <a:ea typeface="+mn-ea"/>
                                <a:cs typeface="+mn-cs"/>
                              </a:rPr>
                              <m:t>𝑉</m:t>
                            </m:r>
                          </m:den>
                        </m:f>
                      </m:e>
                    </m:d>
                    <m:f>
                      <m:fPr>
                        <m:ctrlPr>
                          <a:rPr lang="en-US" sz="1600" b="0" i="1">
                            <a:latin typeface="Cambria Math"/>
                            <a:ea typeface="Cambria Math"/>
                          </a:rPr>
                        </m:ctrlPr>
                      </m:fPr>
                      <m:num>
                        <m:r>
                          <a:rPr lang="en-US" sz="1600" b="0" i="1">
                            <a:latin typeface="Cambria Math"/>
                            <a:ea typeface="Cambria Math"/>
                          </a:rPr>
                          <m:t>1</m:t>
                        </m:r>
                      </m:num>
                      <m:den>
                        <m:r>
                          <a:rPr lang="en-US" sz="1600" b="0" i="1">
                            <a:latin typeface="Cambria Math"/>
                            <a:ea typeface="Cambria Math"/>
                          </a:rPr>
                          <m:t>12.3</m:t>
                        </m:r>
                      </m:den>
                    </m:f>
                    <m:d>
                      <m:dPr>
                        <m:begChr m:val="["/>
                        <m:endChr m:val="]"/>
                        <m:ctrlPr>
                          <a:rPr lang="en-US" sz="1600" b="0" i="1">
                            <a:latin typeface="Cambria Math"/>
                            <a:ea typeface="Cambria Math"/>
                          </a:rPr>
                        </m:ctrlPr>
                      </m:dPr>
                      <m:e>
                        <m:f>
                          <m:fPr>
                            <m:ctrlPr>
                              <a:rPr lang="en-US" sz="1600" b="0" i="1">
                                <a:latin typeface="Cambria Math"/>
                                <a:ea typeface="Cambria Math"/>
                              </a:rPr>
                            </m:ctrlPr>
                          </m:fPr>
                          <m:num>
                            <m:r>
                              <a:rPr lang="en-US" sz="1600" b="0" i="1">
                                <a:latin typeface="Cambria Math"/>
                                <a:ea typeface="Cambria Math"/>
                              </a:rPr>
                              <m:t>𝑇</m:t>
                            </m:r>
                          </m:num>
                          <m:den>
                            <m:r>
                              <a:rPr lang="en-US" sz="1600" b="0" i="1">
                                <a:latin typeface="Cambria Math"/>
                                <a:ea typeface="Cambria Math"/>
                              </a:rPr>
                              <m:t>𝐴</m:t>
                            </m:r>
                          </m:den>
                        </m:f>
                      </m:e>
                    </m:d>
                  </m:oMath>
                </m:oMathPara>
              </a14:m>
              <a:endParaRPr lang="en-US" sz="1600"/>
            </a:p>
          </xdr:txBody>
        </xdr:sp>
      </mc:Choice>
      <mc:Fallback xmlns="">
        <xdr:sp macro="" textlink="">
          <xdr:nvSpPr>
            <xdr:cNvPr id="5" name="TextBox 4"/>
            <xdr:cNvSpPr txBox="1"/>
          </xdr:nvSpPr>
          <xdr:spPr>
            <a:xfrm>
              <a:off x="12255500" y="8385176"/>
              <a:ext cx="6578600" cy="641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US" sz="1600" b="0" i="0">
                  <a:latin typeface="Cambria Math"/>
                </a:rPr>
                <a:t>100𝐾𝐻𝑧</a:t>
              </a:r>
              <a:r>
                <a:rPr lang="en-US" sz="1600" i="0">
                  <a:latin typeface="Cambria Math"/>
                  <a:ea typeface="Cambria Math"/>
                </a:rPr>
                <a:t>&gt;</a:t>
              </a:r>
              <a:r>
                <a:rPr lang="en-US" sz="1600" b="0" i="0">
                  <a:latin typeface="Cambria Math"/>
                </a:rPr>
                <a:t>180[</a:t>
              </a:r>
              <a:r>
                <a:rPr lang="en-US" sz="1600" b="0" i="0">
                  <a:solidFill>
                    <a:schemeClr val="tx1"/>
                  </a:solidFill>
                  <a:effectLst/>
                  <a:latin typeface="Cambria Math"/>
                  <a:ea typeface="+mn-ea"/>
                  <a:cs typeface="+mn-cs"/>
                </a:rPr>
                <a:t>𝑉/𝑇]</a:t>
              </a:r>
              <a:r>
                <a:rPr lang="en-US" sz="1600" b="0" i="0">
                  <a:latin typeface="Cambria Math"/>
                  <a:ea typeface="Cambria Math"/>
                </a:rPr>
                <a:t>∙</a:t>
              </a:r>
              <a:r>
                <a:rPr lang="en-US" sz="1600" b="0" i="0">
                  <a:latin typeface="Cambria Math"/>
                </a:rPr>
                <a:t>20[</a:t>
              </a:r>
              <a:r>
                <a:rPr lang="en-US" sz="1600" b="0" i="0">
                  <a:solidFill>
                    <a:schemeClr val="tx1"/>
                  </a:solidFill>
                  <a:effectLst/>
                  <a:latin typeface="Cambria Math"/>
                  <a:ea typeface="+mn-ea"/>
                  <a:cs typeface="+mn-cs"/>
                </a:rPr>
                <a:t>𝑉/𝑉]</a:t>
              </a:r>
              <a:r>
                <a:rPr lang="en-US" sz="1600" b="0" i="0">
                  <a:latin typeface="Cambria Math"/>
                  <a:ea typeface="Cambria Math"/>
                </a:rPr>
                <a:t>∙{</a:t>
              </a:r>
              <a:r>
                <a:rPr lang="en-US" sz="1600" b="0" i="0">
                  <a:solidFill>
                    <a:schemeClr val="tx1"/>
                  </a:solidFill>
                  <a:effectLst/>
                  <a:latin typeface="Cambria Math"/>
                  <a:ea typeface="+mn-ea"/>
                  <a:cs typeface="+mn-cs"/>
                </a:rPr>
                <a:t>75𝐾𝐻𝑧/((5𝑜𝑟7))}</a:t>
              </a:r>
              <a:r>
                <a:rPr lang="en-US" sz="1600" b="0" i="0">
                  <a:latin typeface="Cambria Math"/>
                  <a:ea typeface="Cambria Math"/>
                </a:rPr>
                <a:t>∙1/(𝑅_𝐶𝑂𝐼𝐿+𝑅_𝑆𝐻𝑈𝑁𝑇 ) [</a:t>
              </a:r>
              <a:r>
                <a:rPr lang="en-US" sz="1600" b="0" i="0">
                  <a:solidFill>
                    <a:schemeClr val="tx1"/>
                  </a:solidFill>
                  <a:effectLst/>
                  <a:latin typeface="Cambria Math"/>
                  <a:ea typeface="+mn-ea"/>
                  <a:cs typeface="+mn-cs"/>
                </a:rPr>
                <a:t>𝐴/𝑉]</a:t>
              </a:r>
              <a:r>
                <a:rPr lang="en-US" sz="1600" b="0" i="0">
                  <a:solidFill>
                    <a:schemeClr val="tx1"/>
                  </a:solidFill>
                  <a:effectLst/>
                  <a:latin typeface="Cambria Math"/>
                  <a:ea typeface="Cambria Math"/>
                  <a:cs typeface="+mn-cs"/>
                </a:rPr>
                <a:t> </a:t>
              </a:r>
              <a:r>
                <a:rPr lang="en-US" sz="1600" b="0" i="0">
                  <a:latin typeface="Cambria Math"/>
                  <a:ea typeface="Cambria Math"/>
                </a:rPr>
                <a:t> 1/12.3 [𝑇/𝐴]</a:t>
              </a:r>
              <a:endParaRPr lang="en-US" sz="1600"/>
            </a:p>
          </xdr:txBody>
        </xdr:sp>
      </mc:Fallback>
    </mc:AlternateContent>
    <xdr:clientData/>
  </xdr:one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16</xdr:col>
      <xdr:colOff>265553</xdr:colOff>
      <xdr:row>51</xdr:row>
      <xdr:rowOff>65596</xdr:rowOff>
    </xdr:to>
    <xdr:pic>
      <xdr:nvPicPr>
        <xdr:cNvPr id="3" name="Picture 2"/>
        <xdr:cNvPicPr>
          <a:picLocks noChangeAspect="1"/>
        </xdr:cNvPicPr>
      </xdr:nvPicPr>
      <xdr:blipFill>
        <a:blip xmlns:r="http://schemas.openxmlformats.org/officeDocument/2006/relationships" r:embed="rId1"/>
        <a:stretch>
          <a:fillRect/>
        </a:stretch>
      </xdr:blipFill>
      <xdr:spPr>
        <a:xfrm>
          <a:off x="609600" y="762000"/>
          <a:ext cx="9180953" cy="8638096"/>
        </a:xfrm>
        <a:prstGeom prst="rect">
          <a:avLst/>
        </a:prstGeom>
      </xdr:spPr>
    </xdr:pic>
    <xdr:clientData/>
  </xdr:twoCellAnchor>
  <xdr:oneCellAnchor>
    <xdr:from>
      <xdr:col>10</xdr:col>
      <xdr:colOff>581026</xdr:colOff>
      <xdr:row>35</xdr:row>
      <xdr:rowOff>28575</xdr:rowOff>
    </xdr:from>
    <xdr:ext cx="1485900" cy="609013"/>
    <xdr:sp macro="" textlink="">
      <xdr:nvSpPr>
        <xdr:cNvPr id="4" name="TextBox 3"/>
        <xdr:cNvSpPr txBox="1"/>
      </xdr:nvSpPr>
      <xdr:spPr>
        <a:xfrm>
          <a:off x="6677026" y="6315075"/>
          <a:ext cx="148590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20dB 15-22KHz -&gt; 0dB 150-220KHz</a:t>
          </a:r>
          <a:r>
            <a:rPr lang="en-US" sz="1100" baseline="0"/>
            <a:t> (w/o sensor)</a:t>
          </a:r>
          <a:endParaRPr lang="en-US" sz="1100"/>
        </a:p>
      </xdr:txBody>
    </xdr:sp>
    <xdr:clientData/>
  </xdr:oneCellAnchor>
  <xdr:twoCellAnchor editAs="oneCell">
    <xdr:from>
      <xdr:col>1</xdr:col>
      <xdr:colOff>0</xdr:colOff>
      <xdr:row>56</xdr:row>
      <xdr:rowOff>28575</xdr:rowOff>
    </xdr:from>
    <xdr:to>
      <xdr:col>16</xdr:col>
      <xdr:colOff>235809</xdr:colOff>
      <xdr:row>76</xdr:row>
      <xdr:rowOff>85167</xdr:rowOff>
    </xdr:to>
    <xdr:pic>
      <xdr:nvPicPr>
        <xdr:cNvPr id="5" name="Picture 4"/>
        <xdr:cNvPicPr>
          <a:picLocks noChangeAspect="1"/>
        </xdr:cNvPicPr>
      </xdr:nvPicPr>
      <xdr:blipFill>
        <a:blip xmlns:r="http://schemas.openxmlformats.org/officeDocument/2006/relationships" r:embed="rId2"/>
        <a:stretch>
          <a:fillRect/>
        </a:stretch>
      </xdr:blipFill>
      <xdr:spPr>
        <a:xfrm>
          <a:off x="609600" y="10315575"/>
          <a:ext cx="9151209" cy="3866592"/>
        </a:xfrm>
        <a:prstGeom prst="rect">
          <a:avLst/>
        </a:prstGeom>
      </xdr:spPr>
    </xdr:pic>
    <xdr:clientData/>
  </xdr:twoCellAnchor>
  <xdr:twoCellAnchor>
    <xdr:from>
      <xdr:col>16</xdr:col>
      <xdr:colOff>377825</xdr:colOff>
      <xdr:row>69</xdr:row>
      <xdr:rowOff>188912</xdr:rowOff>
    </xdr:from>
    <xdr:to>
      <xdr:col>27</xdr:col>
      <xdr:colOff>73025</xdr:colOff>
      <xdr:row>84</xdr:row>
      <xdr:rowOff>74612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244475</xdr:colOff>
      <xdr:row>69</xdr:row>
      <xdr:rowOff>188912</xdr:rowOff>
    </xdr:from>
    <xdr:to>
      <xdr:col>34</xdr:col>
      <xdr:colOff>549275</xdr:colOff>
      <xdr:row>84</xdr:row>
      <xdr:rowOff>74612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111125</xdr:colOff>
      <xdr:row>69</xdr:row>
      <xdr:rowOff>188912</xdr:rowOff>
    </xdr:from>
    <xdr:to>
      <xdr:col>42</xdr:col>
      <xdr:colOff>415925</xdr:colOff>
      <xdr:row>84</xdr:row>
      <xdr:rowOff>74612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609599</xdr:colOff>
      <xdr:row>5</xdr:row>
      <xdr:rowOff>174869</xdr:rowOff>
    </xdr:from>
    <xdr:to>
      <xdr:col>35</xdr:col>
      <xdr:colOff>284572</xdr:colOff>
      <xdr:row>40</xdr:row>
      <xdr:rowOff>122735</xdr:rowOff>
    </xdr:to>
    <xdr:pic>
      <xdr:nvPicPr>
        <xdr:cNvPr id="6" name="Picture 5"/>
        <xdr:cNvPicPr>
          <a:picLocks noChangeAspect="1"/>
        </xdr:cNvPicPr>
      </xdr:nvPicPr>
      <xdr:blipFill>
        <a:blip xmlns:r="http://schemas.openxmlformats.org/officeDocument/2006/relationships" r:embed="rId6"/>
        <a:stretch>
          <a:fillRect/>
        </a:stretch>
      </xdr:blipFill>
      <xdr:spPr>
        <a:xfrm>
          <a:off x="10363199" y="746369"/>
          <a:ext cx="7142573" cy="66153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573180</xdr:colOff>
      <xdr:row>0</xdr:row>
      <xdr:rowOff>130549</xdr:rowOff>
    </xdr:from>
    <xdr:ext cx="5172075" cy="357790"/>
    <xdr:sp macro="" textlink="">
      <xdr:nvSpPr>
        <xdr:cNvPr id="3" name="TextBox 2"/>
        <xdr:cNvSpPr txBox="1"/>
      </xdr:nvSpPr>
      <xdr:spPr>
        <a:xfrm>
          <a:off x="6501092" y="130549"/>
          <a:ext cx="517207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b="1">
              <a:latin typeface="Arial" panose="020B0604020202020204" pitchFamily="34" charset="0"/>
              <a:cs typeface="Arial" panose="020B0604020202020204" pitchFamily="34" charset="0"/>
            </a:rPr>
            <a:t>DRV425</a:t>
          </a:r>
          <a:r>
            <a:rPr lang="en-US" sz="1800" b="1" baseline="0">
              <a:latin typeface="Arial" panose="020B0604020202020204" pitchFamily="34" charset="0"/>
              <a:cs typeface="Arial" panose="020B0604020202020204" pitchFamily="34" charset="0"/>
            </a:rPr>
            <a:t> - System Parameter Calculator</a:t>
          </a:r>
          <a:endParaRPr lang="en-US" sz="1800" b="1">
            <a:latin typeface="Arial" panose="020B0604020202020204" pitchFamily="34" charset="0"/>
            <a:cs typeface="Arial" panose="020B0604020202020204" pitchFamily="34" charset="0"/>
          </a:endParaRPr>
        </a:p>
      </xdr:txBody>
    </xdr:sp>
    <xdr:clientData/>
  </xdr:oneCellAnchor>
  <xdr:twoCellAnchor editAs="oneCell">
    <xdr:from>
      <xdr:col>0</xdr:col>
      <xdr:colOff>212912</xdr:colOff>
      <xdr:row>0</xdr:row>
      <xdr:rowOff>100853</xdr:rowOff>
    </xdr:from>
    <xdr:to>
      <xdr:col>1</xdr:col>
      <xdr:colOff>3050514</xdr:colOff>
      <xdr:row>2</xdr:row>
      <xdr:rowOff>110378</xdr:rowOff>
    </xdr:to>
    <xdr:pic>
      <xdr:nvPicPr>
        <xdr:cNvPr id="4" name="Picture 3" descr="ti logo">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2912" y="100853"/>
          <a:ext cx="306172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35186</xdr:colOff>
      <xdr:row>16</xdr:row>
      <xdr:rowOff>71378</xdr:rowOff>
    </xdr:from>
    <xdr:ext cx="269369" cy="1544205"/>
    <xdr:sp macro="" textlink="">
      <xdr:nvSpPr>
        <xdr:cNvPr id="11" name="TextBox 10"/>
        <xdr:cNvSpPr txBox="1"/>
      </xdr:nvSpPr>
      <xdr:spPr>
        <a:xfrm rot="16200000">
          <a:off x="625435" y="3809713"/>
          <a:ext cx="154420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Arial" panose="020B0604020202020204" pitchFamily="34" charset="0"/>
              <a:cs typeface="Arial" panose="020B0604020202020204" pitchFamily="34" charset="0"/>
            </a:rPr>
            <a:t>Supply Voltage (V)</a:t>
          </a:r>
        </a:p>
      </xdr:txBody>
    </xdr:sp>
    <xdr:clientData/>
  </xdr:oneCellAnchor>
  <xdr:oneCellAnchor>
    <xdr:from>
      <xdr:col>9</xdr:col>
      <xdr:colOff>146326</xdr:colOff>
      <xdr:row>6</xdr:row>
      <xdr:rowOff>75924</xdr:rowOff>
    </xdr:from>
    <xdr:ext cx="2382191" cy="269369"/>
    <xdr:sp macro="" textlink="">
      <xdr:nvSpPr>
        <xdr:cNvPr id="14" name="TextBox 13"/>
        <xdr:cNvSpPr txBox="1"/>
      </xdr:nvSpPr>
      <xdr:spPr>
        <a:xfrm>
          <a:off x="4273826" y="1271841"/>
          <a:ext cx="238219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Arial" panose="020B0604020202020204" pitchFamily="34" charset="0"/>
              <a:cs typeface="Arial" panose="020B0604020202020204" pitchFamily="34" charset="0"/>
            </a:rPr>
            <a:t>Maximum Magnetic</a:t>
          </a:r>
          <a:r>
            <a:rPr lang="en-US" sz="1200" b="1" baseline="0">
              <a:latin typeface="Arial" panose="020B0604020202020204" pitchFamily="34" charset="0"/>
              <a:cs typeface="Arial" panose="020B0604020202020204" pitchFamily="34" charset="0"/>
            </a:rPr>
            <a:t> Field (mT)</a:t>
          </a:r>
          <a:endParaRPr lang="en-US" sz="1200" b="1">
            <a:latin typeface="Arial" panose="020B0604020202020204" pitchFamily="34" charset="0"/>
            <a:cs typeface="Arial" panose="020B0604020202020204" pitchFamily="34" charset="0"/>
          </a:endParaRPr>
        </a:p>
      </xdr:txBody>
    </xdr:sp>
    <xdr:clientData/>
  </xdr:oneCellAnchor>
  <xdr:oneCellAnchor>
    <xdr:from>
      <xdr:col>14</xdr:col>
      <xdr:colOff>253999</xdr:colOff>
      <xdr:row>0</xdr:row>
      <xdr:rowOff>96308</xdr:rowOff>
    </xdr:from>
    <xdr:ext cx="5172075" cy="357790"/>
    <xdr:sp macro="" textlink="">
      <xdr:nvSpPr>
        <xdr:cNvPr id="9" name="TextBox 8"/>
        <xdr:cNvSpPr txBox="1"/>
      </xdr:nvSpPr>
      <xdr:spPr>
        <a:xfrm>
          <a:off x="6286499" y="96308"/>
          <a:ext cx="517207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b="1">
              <a:latin typeface="Arial" panose="020B0604020202020204" pitchFamily="34" charset="0"/>
              <a:cs typeface="Arial" panose="020B0604020202020204" pitchFamily="34" charset="0"/>
            </a:rPr>
            <a:t>DRV425</a:t>
          </a:r>
          <a:r>
            <a:rPr lang="en-US" sz="1800" b="1" baseline="0">
              <a:latin typeface="Arial" panose="020B0604020202020204" pitchFamily="34" charset="0"/>
              <a:cs typeface="Arial" panose="020B0604020202020204" pitchFamily="34" charset="0"/>
            </a:rPr>
            <a:t> - System Parameter Calculator</a:t>
          </a:r>
          <a:endParaRPr lang="en-US" sz="1800" b="1">
            <a:latin typeface="Arial" panose="020B0604020202020204" pitchFamily="34" charset="0"/>
            <a:cs typeface="Arial" panose="020B0604020202020204" pitchFamily="34" charset="0"/>
          </a:endParaRPr>
        </a:p>
      </xdr:txBody>
    </xdr:sp>
    <xdr:clientData/>
  </xdr:oneCellAnchor>
  <xdr:twoCellAnchor editAs="oneCell">
    <xdr:from>
      <xdr:col>0</xdr:col>
      <xdr:colOff>74083</xdr:colOff>
      <xdr:row>0</xdr:row>
      <xdr:rowOff>84666</xdr:rowOff>
    </xdr:from>
    <xdr:to>
      <xdr:col>6</xdr:col>
      <xdr:colOff>151303</xdr:colOff>
      <xdr:row>2</xdr:row>
      <xdr:rowOff>94191</xdr:rowOff>
    </xdr:to>
    <xdr:pic>
      <xdr:nvPicPr>
        <xdr:cNvPr id="10" name="Picture 9" descr="ti logo">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083" y="84666"/>
          <a:ext cx="306172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12976</xdr:colOff>
      <xdr:row>6</xdr:row>
      <xdr:rowOff>48408</xdr:rowOff>
    </xdr:from>
    <xdr:ext cx="2074799" cy="269369"/>
    <xdr:sp macro="" textlink="">
      <xdr:nvSpPr>
        <xdr:cNvPr id="17" name="TextBox 16"/>
        <xdr:cNvSpPr txBox="1"/>
      </xdr:nvSpPr>
      <xdr:spPr>
        <a:xfrm>
          <a:off x="626809" y="1244325"/>
          <a:ext cx="207479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Arial" panose="020B0604020202020204" pitchFamily="34" charset="0"/>
              <a:cs typeface="Arial" panose="020B0604020202020204" pitchFamily="34" charset="0"/>
            </a:rPr>
            <a:t>Reference</a:t>
          </a:r>
          <a:r>
            <a:rPr lang="en-US" sz="1200" b="1" baseline="0">
              <a:latin typeface="Arial" panose="020B0604020202020204" pitchFamily="34" charset="0"/>
              <a:cs typeface="Arial" panose="020B0604020202020204" pitchFamily="34" charset="0"/>
            </a:rPr>
            <a:t> Voltage: VDD/2</a:t>
          </a:r>
          <a:endParaRPr lang="en-US" sz="1200" b="1">
            <a:latin typeface="Arial" panose="020B0604020202020204" pitchFamily="34" charset="0"/>
            <a:cs typeface="Arial" panose="020B0604020202020204" pitchFamily="34" charset="0"/>
          </a:endParaRPr>
        </a:p>
      </xdr:txBody>
    </xdr:sp>
    <xdr:clientData/>
  </xdr:oneCellAnchor>
  <xdr:oneCellAnchor>
    <xdr:from>
      <xdr:col>9</xdr:col>
      <xdr:colOff>179915</xdr:colOff>
      <xdr:row>39</xdr:row>
      <xdr:rowOff>21167</xdr:rowOff>
    </xdr:from>
    <xdr:ext cx="2382191" cy="269369"/>
    <xdr:sp macro="" textlink="">
      <xdr:nvSpPr>
        <xdr:cNvPr id="18" name="TextBox 17"/>
        <xdr:cNvSpPr txBox="1"/>
      </xdr:nvSpPr>
      <xdr:spPr>
        <a:xfrm>
          <a:off x="4307415" y="7440084"/>
          <a:ext cx="238219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Arial" panose="020B0604020202020204" pitchFamily="34" charset="0"/>
              <a:cs typeface="Arial" panose="020B0604020202020204" pitchFamily="34" charset="0"/>
            </a:rPr>
            <a:t>Maximum Magnetic</a:t>
          </a:r>
          <a:r>
            <a:rPr lang="en-US" sz="1200" b="1" baseline="0">
              <a:latin typeface="Arial" panose="020B0604020202020204" pitchFamily="34" charset="0"/>
              <a:cs typeface="Arial" panose="020B0604020202020204" pitchFamily="34" charset="0"/>
            </a:rPr>
            <a:t> Field (mT)</a:t>
          </a:r>
          <a:endParaRPr lang="en-US" sz="1200" b="1">
            <a:latin typeface="Arial" panose="020B0604020202020204" pitchFamily="34" charset="0"/>
            <a:cs typeface="Arial" panose="020B0604020202020204" pitchFamily="34" charset="0"/>
          </a:endParaRPr>
        </a:p>
      </xdr:txBody>
    </xdr:sp>
    <xdr:clientData/>
  </xdr:oneCellAnchor>
  <xdr:oneCellAnchor>
    <xdr:from>
      <xdr:col>2</xdr:col>
      <xdr:colOff>18252</xdr:colOff>
      <xdr:row>50</xdr:row>
      <xdr:rowOff>22694</xdr:rowOff>
    </xdr:from>
    <xdr:ext cx="269369" cy="1544205"/>
    <xdr:sp macro="" textlink="">
      <xdr:nvSpPr>
        <xdr:cNvPr id="20" name="TextBox 19"/>
        <xdr:cNvSpPr txBox="1"/>
      </xdr:nvSpPr>
      <xdr:spPr>
        <a:xfrm rot="16200000">
          <a:off x="608501" y="10047529"/>
          <a:ext cx="154420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Arial" panose="020B0604020202020204" pitchFamily="34" charset="0"/>
              <a:cs typeface="Arial" panose="020B0604020202020204" pitchFamily="34" charset="0"/>
            </a:rPr>
            <a:t>Supply Voltage (V)</a:t>
          </a:r>
        </a:p>
      </xdr:txBody>
    </xdr:sp>
    <xdr:clientData/>
  </xdr:oneCellAnchor>
  <xdr:oneCellAnchor>
    <xdr:from>
      <xdr:col>9</xdr:col>
      <xdr:colOff>306917</xdr:colOff>
      <xdr:row>72</xdr:row>
      <xdr:rowOff>21168</xdr:rowOff>
    </xdr:from>
    <xdr:ext cx="2382191" cy="269369"/>
    <xdr:sp macro="" textlink="">
      <xdr:nvSpPr>
        <xdr:cNvPr id="21" name="TextBox 20"/>
        <xdr:cNvSpPr txBox="1"/>
      </xdr:nvSpPr>
      <xdr:spPr>
        <a:xfrm>
          <a:off x="4434417" y="13726585"/>
          <a:ext cx="238219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Arial" panose="020B0604020202020204" pitchFamily="34" charset="0"/>
              <a:cs typeface="Arial" panose="020B0604020202020204" pitchFamily="34" charset="0"/>
            </a:rPr>
            <a:t>Maximum Magnetic</a:t>
          </a:r>
          <a:r>
            <a:rPr lang="en-US" sz="1200" b="1" baseline="0">
              <a:latin typeface="Arial" panose="020B0604020202020204" pitchFamily="34" charset="0"/>
              <a:cs typeface="Arial" panose="020B0604020202020204" pitchFamily="34" charset="0"/>
            </a:rPr>
            <a:t> Field (mT)</a:t>
          </a:r>
          <a:endParaRPr lang="en-US" sz="1200" b="1">
            <a:latin typeface="Arial" panose="020B0604020202020204" pitchFamily="34" charset="0"/>
            <a:cs typeface="Arial" panose="020B0604020202020204" pitchFamily="34" charset="0"/>
          </a:endParaRPr>
        </a:p>
      </xdr:txBody>
    </xdr:sp>
    <xdr:clientData/>
  </xdr:oneCellAnchor>
  <xdr:oneCellAnchor>
    <xdr:from>
      <xdr:col>1</xdr:col>
      <xdr:colOff>582084</xdr:colOff>
      <xdr:row>84</xdr:row>
      <xdr:rowOff>21167</xdr:rowOff>
    </xdr:from>
    <xdr:ext cx="269369" cy="1544205"/>
    <xdr:sp macro="" textlink="">
      <xdr:nvSpPr>
        <xdr:cNvPr id="22" name="TextBox 21"/>
        <xdr:cNvSpPr txBox="1"/>
      </xdr:nvSpPr>
      <xdr:spPr>
        <a:xfrm rot="16200000">
          <a:off x="558499" y="16650002"/>
          <a:ext cx="154420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Arial" panose="020B0604020202020204" pitchFamily="34" charset="0"/>
              <a:cs typeface="Arial" panose="020B0604020202020204" pitchFamily="34" charset="0"/>
            </a:rPr>
            <a:t>Supply Voltage (V)</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8</xdr:col>
      <xdr:colOff>444499</xdr:colOff>
      <xdr:row>36</xdr:row>
      <xdr:rowOff>101600</xdr:rowOff>
    </xdr:from>
    <xdr:to>
      <xdr:col>14</xdr:col>
      <xdr:colOff>994834</xdr:colOff>
      <xdr:row>61</xdr:row>
      <xdr:rowOff>84667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432858</xdr:colOff>
      <xdr:row>13</xdr:row>
      <xdr:rowOff>31750</xdr:rowOff>
    </xdr:from>
    <xdr:to>
      <xdr:col>14</xdr:col>
      <xdr:colOff>993774</xdr:colOff>
      <xdr:row>35</xdr:row>
      <xdr:rowOff>22226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66675</xdr:colOff>
      <xdr:row>0</xdr:row>
      <xdr:rowOff>95250</xdr:rowOff>
    </xdr:from>
    <xdr:to>
      <xdr:col>5</xdr:col>
      <xdr:colOff>413770</xdr:colOff>
      <xdr:row>2</xdr:row>
      <xdr:rowOff>104775</xdr:rowOff>
    </xdr:to>
    <xdr:pic>
      <xdr:nvPicPr>
        <xdr:cNvPr id="6" name="Picture 5" descr="ti logo">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6675" y="95250"/>
          <a:ext cx="306172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1209675</xdr:colOff>
      <xdr:row>0</xdr:row>
      <xdr:rowOff>117475</xdr:rowOff>
    </xdr:from>
    <xdr:ext cx="5172075" cy="357790"/>
    <xdr:sp macro="" textlink="">
      <xdr:nvSpPr>
        <xdr:cNvPr id="7" name="TextBox 6"/>
        <xdr:cNvSpPr txBox="1"/>
      </xdr:nvSpPr>
      <xdr:spPr>
        <a:xfrm>
          <a:off x="6120342" y="117475"/>
          <a:ext cx="517207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b="1">
              <a:latin typeface="Arial" panose="020B0604020202020204" pitchFamily="34" charset="0"/>
              <a:cs typeface="Arial" panose="020B0604020202020204" pitchFamily="34" charset="0"/>
            </a:rPr>
            <a:t>DRV425</a:t>
          </a:r>
          <a:r>
            <a:rPr lang="en-US" sz="1800" b="1" baseline="0">
              <a:latin typeface="Arial" panose="020B0604020202020204" pitchFamily="34" charset="0"/>
              <a:cs typeface="Arial" panose="020B0604020202020204" pitchFamily="34" charset="0"/>
            </a:rPr>
            <a:t> - System Parameter Calculator</a:t>
          </a:r>
          <a:endParaRPr lang="en-US" sz="1800" b="1">
            <a:latin typeface="Arial" panose="020B0604020202020204" pitchFamily="34" charset="0"/>
            <a:cs typeface="Arial" panose="020B0604020202020204" pitchFamily="34" charset="0"/>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6</xdr:col>
      <xdr:colOff>561974</xdr:colOff>
      <xdr:row>0</xdr:row>
      <xdr:rowOff>85725</xdr:rowOff>
    </xdr:from>
    <xdr:ext cx="5172075" cy="357790"/>
    <xdr:sp macro="" textlink="">
      <xdr:nvSpPr>
        <xdr:cNvPr id="3" name="TextBox 2"/>
        <xdr:cNvSpPr txBox="1"/>
      </xdr:nvSpPr>
      <xdr:spPr>
        <a:xfrm>
          <a:off x="6219824" y="85725"/>
          <a:ext cx="517207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b="1">
              <a:latin typeface="Arial" panose="020B0604020202020204" pitchFamily="34" charset="0"/>
              <a:cs typeface="Arial" panose="020B0604020202020204" pitchFamily="34" charset="0"/>
            </a:rPr>
            <a:t>DRV425</a:t>
          </a:r>
          <a:r>
            <a:rPr lang="en-US" sz="1800" b="1" baseline="0">
              <a:latin typeface="Arial" panose="020B0604020202020204" pitchFamily="34" charset="0"/>
              <a:cs typeface="Arial" panose="020B0604020202020204" pitchFamily="34" charset="0"/>
            </a:rPr>
            <a:t> - System Parameter Calculator</a:t>
          </a:r>
          <a:endParaRPr lang="en-US" sz="1800" b="1">
            <a:latin typeface="Arial" panose="020B0604020202020204" pitchFamily="34" charset="0"/>
            <a:cs typeface="Arial" panose="020B0604020202020204" pitchFamily="34" charset="0"/>
          </a:endParaRPr>
        </a:p>
      </xdr:txBody>
    </xdr:sp>
    <xdr:clientData/>
  </xdr:oneCellAnchor>
  <xdr:twoCellAnchor editAs="oneCell">
    <xdr:from>
      <xdr:col>0</xdr:col>
      <xdr:colOff>127000</xdr:colOff>
      <xdr:row>0</xdr:row>
      <xdr:rowOff>95250</xdr:rowOff>
    </xdr:from>
    <xdr:to>
      <xdr:col>2</xdr:col>
      <xdr:colOff>1569470</xdr:colOff>
      <xdr:row>2</xdr:row>
      <xdr:rowOff>104775</xdr:rowOff>
    </xdr:to>
    <xdr:pic>
      <xdr:nvPicPr>
        <xdr:cNvPr id="4" name="Picture 3" descr="ti logo">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0" y="95250"/>
          <a:ext cx="306172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606426</xdr:colOff>
      <xdr:row>25</xdr:row>
      <xdr:rowOff>146050</xdr:rowOff>
    </xdr:from>
    <xdr:to>
      <xdr:col>18</xdr:col>
      <xdr:colOff>24342</xdr:colOff>
      <xdr:row>42</xdr:row>
      <xdr:rowOff>107950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610658</xdr:colOff>
      <xdr:row>44</xdr:row>
      <xdr:rowOff>31751</xdr:rowOff>
    </xdr:from>
    <xdr:to>
      <xdr:col>18</xdr:col>
      <xdr:colOff>32808</xdr:colOff>
      <xdr:row>62</xdr:row>
      <xdr:rowOff>6351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477307</xdr:colOff>
      <xdr:row>0</xdr:row>
      <xdr:rowOff>106892</xdr:rowOff>
    </xdr:from>
    <xdr:ext cx="5172075" cy="357790"/>
    <xdr:sp macro="" textlink="">
      <xdr:nvSpPr>
        <xdr:cNvPr id="6" name="TextBox 5"/>
        <xdr:cNvSpPr txBox="1"/>
      </xdr:nvSpPr>
      <xdr:spPr>
        <a:xfrm>
          <a:off x="4774140" y="106892"/>
          <a:ext cx="517207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b="1">
              <a:latin typeface="Arial" panose="020B0604020202020204" pitchFamily="34" charset="0"/>
              <a:cs typeface="Arial" panose="020B0604020202020204" pitchFamily="34" charset="0"/>
            </a:rPr>
            <a:t>DRV425</a:t>
          </a:r>
          <a:r>
            <a:rPr lang="en-US" sz="1800" b="1" baseline="0">
              <a:latin typeface="Arial" panose="020B0604020202020204" pitchFamily="34" charset="0"/>
              <a:cs typeface="Arial" panose="020B0604020202020204" pitchFamily="34" charset="0"/>
            </a:rPr>
            <a:t> - System Parameter Calculator</a:t>
          </a:r>
          <a:endParaRPr lang="en-US" sz="1800" b="1">
            <a:latin typeface="Arial" panose="020B0604020202020204" pitchFamily="34" charset="0"/>
            <a:cs typeface="Arial" panose="020B0604020202020204" pitchFamily="34" charset="0"/>
          </a:endParaRPr>
        </a:p>
      </xdr:txBody>
    </xdr:sp>
    <xdr:clientData/>
  </xdr:oneCellAnchor>
  <xdr:twoCellAnchor editAs="oneCell">
    <xdr:from>
      <xdr:col>0</xdr:col>
      <xdr:colOff>116416</xdr:colOff>
      <xdr:row>0</xdr:row>
      <xdr:rowOff>63500</xdr:rowOff>
    </xdr:from>
    <xdr:to>
      <xdr:col>5</xdr:col>
      <xdr:colOff>108969</xdr:colOff>
      <xdr:row>2</xdr:row>
      <xdr:rowOff>73025</xdr:rowOff>
    </xdr:to>
    <xdr:pic>
      <xdr:nvPicPr>
        <xdr:cNvPr id="7" name="Picture 6" descr="ti logo">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6416" y="63500"/>
          <a:ext cx="306172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592667</xdr:colOff>
      <xdr:row>5</xdr:row>
      <xdr:rowOff>116416</xdr:rowOff>
    </xdr:from>
    <xdr:to>
      <xdr:col>18</xdr:col>
      <xdr:colOff>21167</xdr:colOff>
      <xdr:row>24</xdr:row>
      <xdr:rowOff>84667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609599</xdr:colOff>
      <xdr:row>7</xdr:row>
      <xdr:rowOff>0</xdr:rowOff>
    </xdr:from>
    <xdr:to>
      <xdr:col>16</xdr:col>
      <xdr:colOff>590550</xdr:colOff>
      <xdr:row>33</xdr:row>
      <xdr:rowOff>95250</xdr:rowOff>
    </xdr:to>
    <xdr:sp macro="" textlink="">
      <xdr:nvSpPr>
        <xdr:cNvPr id="2" name="TextBox 1"/>
        <xdr:cNvSpPr txBox="1"/>
      </xdr:nvSpPr>
      <xdr:spPr>
        <a:xfrm>
          <a:off x="609599" y="1409700"/>
          <a:ext cx="10287001" cy="5048250"/>
        </a:xfrm>
        <a:prstGeom prst="rect">
          <a:avLst/>
        </a:prstGeom>
        <a:solidFill>
          <a:srgbClr val="E0E0E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1" u="none" strike="noStrike">
              <a:solidFill>
                <a:schemeClr val="dk1"/>
              </a:solidFill>
              <a:effectLst/>
              <a:latin typeface="Arial" panose="020B0604020202020204" pitchFamily="34" charset="0"/>
              <a:ea typeface="+mn-ea"/>
              <a:cs typeface="Arial" panose="020B0604020202020204" pitchFamily="34" charset="0"/>
            </a:rPr>
            <a:t>Shunt</a:t>
          </a:r>
          <a:r>
            <a:rPr lang="en-US" sz="1400" b="1" i="1" u="none" strike="noStrike" baseline="0">
              <a:solidFill>
                <a:schemeClr val="dk1"/>
              </a:solidFill>
              <a:effectLst/>
              <a:latin typeface="Arial" panose="020B0604020202020204" pitchFamily="34" charset="0"/>
              <a:ea typeface="+mn-ea"/>
              <a:cs typeface="Arial" panose="020B0604020202020204" pitchFamily="34" charset="0"/>
            </a:rPr>
            <a:t> Sense Amplifier V</a:t>
          </a:r>
          <a:r>
            <a:rPr lang="en-US" sz="1400" b="1" i="1" u="none" strike="noStrike">
              <a:solidFill>
                <a:schemeClr val="dk1"/>
              </a:solidFill>
              <a:effectLst/>
              <a:latin typeface="Arial" panose="020B0604020202020204" pitchFamily="34" charset="0"/>
              <a:ea typeface="+mn-ea"/>
              <a:cs typeface="Arial" panose="020B0604020202020204" pitchFamily="34" charset="0"/>
            </a:rPr>
            <a:t>oltage Overload:</a:t>
          </a:r>
          <a:r>
            <a:rPr lang="en-US" sz="1400" i="1" u="none">
              <a:latin typeface="Arial" panose="020B0604020202020204" pitchFamily="34" charset="0"/>
              <a:cs typeface="Arial" panose="020B0604020202020204" pitchFamily="34" charset="0"/>
            </a:rPr>
            <a:t> </a:t>
          </a:r>
        </a:p>
        <a:p>
          <a:pPr lvl="0"/>
          <a:r>
            <a:rPr lang="en-US" sz="1100" b="1" i="0" u="none" strike="noStrike">
              <a:solidFill>
                <a:schemeClr val="dk1"/>
              </a:solidFill>
              <a:effectLst/>
              <a:latin typeface="Arial" panose="020B0604020202020204" pitchFamily="34" charset="0"/>
              <a:ea typeface="+mn-ea"/>
              <a:cs typeface="Arial" panose="020B0604020202020204" pitchFamily="34" charset="0"/>
            </a:rPr>
            <a:t>Description:</a:t>
          </a:r>
          <a:r>
            <a:rPr lang="en-US" sz="1100" b="0" i="0" u="none" strike="noStrike">
              <a:solidFill>
                <a:schemeClr val="dk1"/>
              </a:solidFill>
              <a:effectLst/>
              <a:latin typeface="Arial" panose="020B0604020202020204" pitchFamily="34" charset="0"/>
              <a:ea typeface="+mn-ea"/>
              <a:cs typeface="Arial" panose="020B0604020202020204" pitchFamily="34" charset="0"/>
            </a:rPr>
            <a:t> 	This condition will be indicated by the Over-Range flag (OR pin). If this warning occurs t</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he voltage drop across the shunt resistor leads to railing 	outputs of the shunt sense  amplifier before the desired maximum field is reached. With a properly selected shunt resistor the output of the amplifier 	only rails when the field exceeds the desired sensor range.</a:t>
          </a:r>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1">
              <a:latin typeface="Arial" panose="020B0604020202020204" pitchFamily="34" charset="0"/>
              <a:cs typeface="Arial" panose="020B0604020202020204" pitchFamily="34" charset="0"/>
            </a:rPr>
            <a:t>Solution: 	</a:t>
          </a:r>
          <a:r>
            <a:rPr lang="en-US" sz="1100" b="0">
              <a:latin typeface="Arial" panose="020B0604020202020204" pitchFamily="34" charset="0"/>
              <a:cs typeface="Arial" panose="020B0604020202020204" pitchFamily="34" charset="0"/>
            </a:rPr>
            <a:t>R</a:t>
          </a:r>
          <a:r>
            <a:rPr lang="en-US" sz="1100" b="0" baseline="0">
              <a:latin typeface="Arial" panose="020B0604020202020204" pitchFamily="34" charset="0"/>
              <a:cs typeface="Arial" panose="020B0604020202020204" pitchFamily="34" charset="0"/>
            </a:rPr>
            <a:t>educe the shunt resistor according to the values provided in the "Range Calculator" tab. </a:t>
          </a:r>
        </a:p>
        <a:p>
          <a:endParaRPr lang="en-US" sz="1100" b="0" baseline="0">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400" b="1" i="1" u="none">
              <a:solidFill>
                <a:schemeClr val="dk1"/>
              </a:solidFill>
              <a:effectLst/>
              <a:latin typeface="Arial" panose="020B0604020202020204" pitchFamily="34" charset="0"/>
              <a:ea typeface="+mn-ea"/>
              <a:cs typeface="Arial" panose="020B0604020202020204" pitchFamily="34" charset="0"/>
            </a:rPr>
            <a:t>Compensation</a:t>
          </a:r>
          <a:r>
            <a:rPr lang="en-US" sz="1400" b="1" i="1" u="none" baseline="0">
              <a:solidFill>
                <a:schemeClr val="dk1"/>
              </a:solidFill>
              <a:effectLst/>
              <a:latin typeface="Arial" panose="020B0604020202020204" pitchFamily="34" charset="0"/>
              <a:ea typeface="+mn-ea"/>
              <a:cs typeface="Arial" panose="020B0604020202020204" pitchFamily="34" charset="0"/>
            </a:rPr>
            <a:t> Coil Driver </a:t>
          </a:r>
          <a:r>
            <a:rPr lang="en-US" sz="1400" b="1" i="1" u="none">
              <a:solidFill>
                <a:schemeClr val="dk1"/>
              </a:solidFill>
              <a:effectLst/>
              <a:latin typeface="Arial" panose="020B0604020202020204" pitchFamily="34" charset="0"/>
              <a:ea typeface="+mn-ea"/>
              <a:cs typeface="Arial" panose="020B0604020202020204" pitchFamily="34" charset="0"/>
            </a:rPr>
            <a:t> Voltage</a:t>
          </a:r>
          <a:r>
            <a:rPr lang="en-US" sz="1400" b="1" i="1" u="none" baseline="0">
              <a:solidFill>
                <a:schemeClr val="dk1"/>
              </a:solidFill>
              <a:effectLst/>
              <a:latin typeface="Arial" panose="020B0604020202020204" pitchFamily="34" charset="0"/>
              <a:ea typeface="+mn-ea"/>
              <a:cs typeface="Arial" panose="020B0604020202020204" pitchFamily="34" charset="0"/>
            </a:rPr>
            <a:t> </a:t>
          </a:r>
          <a:r>
            <a:rPr lang="en-US" sz="1400" b="1" i="1" u="none">
              <a:solidFill>
                <a:schemeClr val="dk1"/>
              </a:solidFill>
              <a:effectLst/>
              <a:latin typeface="Arial" panose="020B0604020202020204" pitchFamily="34" charset="0"/>
              <a:ea typeface="+mn-ea"/>
              <a:cs typeface="Arial" panose="020B0604020202020204" pitchFamily="34" charset="0"/>
            </a:rPr>
            <a:t>Overload:</a:t>
          </a:r>
        </a:p>
        <a:p>
          <a:pPr marL="0" marR="0" indent="0" defTabSz="914400" eaLnBrk="1" fontAlgn="auto" latinLnBrk="0" hangingPunct="1">
            <a:lnSpc>
              <a:spcPct val="100000"/>
            </a:lnSpc>
            <a:spcBef>
              <a:spcPts val="0"/>
            </a:spcBef>
            <a:spcAft>
              <a:spcPts val="0"/>
            </a:spcAft>
            <a:buClrTx/>
            <a:buSzTx/>
            <a:buFontTx/>
            <a:buNone/>
            <a:tabLst/>
            <a:defRPr/>
          </a:pPr>
          <a:r>
            <a:rPr lang="en-US" sz="1100" b="1" i="0" u="none">
              <a:solidFill>
                <a:schemeClr val="dk1"/>
              </a:solidFill>
              <a:effectLst/>
              <a:latin typeface="Arial" panose="020B0604020202020204" pitchFamily="34" charset="0"/>
              <a:ea typeface="+mn-ea"/>
              <a:cs typeface="Arial" panose="020B0604020202020204" pitchFamily="34" charset="0"/>
            </a:rPr>
            <a:t>Description: 	</a:t>
          </a:r>
          <a:r>
            <a:rPr lang="en-US" sz="1100" b="0" i="0" u="none">
              <a:solidFill>
                <a:schemeClr val="dk1"/>
              </a:solidFill>
              <a:effectLst/>
              <a:latin typeface="Arial" panose="020B0604020202020204" pitchFamily="34" charset="0"/>
              <a:ea typeface="+mn-ea"/>
              <a:cs typeface="Arial" panose="020B0604020202020204" pitchFamily="34" charset="0"/>
            </a:rPr>
            <a:t>The DRV425 has a built in compensation coil to compensate</a:t>
          </a:r>
          <a:r>
            <a:rPr lang="en-US" sz="1100" b="0" i="0" u="none" baseline="0">
              <a:solidFill>
                <a:schemeClr val="dk1"/>
              </a:solidFill>
              <a:effectLst/>
              <a:latin typeface="Arial" panose="020B0604020202020204" pitchFamily="34" charset="0"/>
              <a:ea typeface="+mn-ea"/>
              <a:cs typeface="Arial" panose="020B0604020202020204" pitchFamily="34" charset="0"/>
            </a:rPr>
            <a:t> for external fields to be measured (closed-loop architecture). </a:t>
          </a:r>
          <a:r>
            <a:rPr lang="en-US" sz="1100" b="0" i="0" u="none">
              <a:solidFill>
                <a:schemeClr val="dk1"/>
              </a:solidFill>
              <a:effectLst/>
              <a:latin typeface="Arial" panose="020B0604020202020204" pitchFamily="34" charset="0"/>
              <a:ea typeface="+mn-ea"/>
              <a:cs typeface="Arial" panose="020B0604020202020204" pitchFamily="34" charset="0"/>
            </a:rPr>
            <a:t>For the desired</a:t>
          </a:r>
          <a:r>
            <a:rPr lang="en-US" sz="1100" b="0" i="0" u="none" baseline="0">
              <a:solidFill>
                <a:schemeClr val="dk1"/>
              </a:solidFill>
              <a:effectLst/>
              <a:latin typeface="Arial" panose="020B0604020202020204" pitchFamily="34" charset="0"/>
              <a:ea typeface="+mn-ea"/>
              <a:cs typeface="Arial" panose="020B0604020202020204" pitchFamily="34" charset="0"/>
            </a:rPr>
            <a:t> magnetic  	field measurement range the DRV425 driver stage has to drive a compensation current according to the field. Depending on the series resistance in 	the feedback loop (compensation coil resistance + shunt resistor) and the selected power supply voltage the driver output saturates before the 	maximum desired field is reached if you see this warning. Hence, the pins DRV1 and DRV2 are reaching the supply rails. </a:t>
          </a:r>
        </a:p>
        <a:p>
          <a:pPr marL="0" marR="0" indent="0" defTabSz="914400" eaLnBrk="1" fontAlgn="auto" latinLnBrk="0" hangingPunct="1">
            <a:lnSpc>
              <a:spcPct val="100000"/>
            </a:lnSpc>
            <a:spcBef>
              <a:spcPts val="0"/>
            </a:spcBef>
            <a:spcAft>
              <a:spcPts val="0"/>
            </a:spcAft>
            <a:buClrTx/>
            <a:buSzTx/>
            <a:buFontTx/>
            <a:buNone/>
            <a:tabLst/>
            <a:defRPr/>
          </a:pPr>
          <a:r>
            <a:rPr lang="en-US" sz="1100" b="1">
              <a:effectLst/>
              <a:latin typeface="Arial" panose="020B0604020202020204" pitchFamily="34" charset="0"/>
              <a:cs typeface="Arial" panose="020B0604020202020204" pitchFamily="34" charset="0"/>
            </a:rPr>
            <a:t>Solution: </a:t>
          </a:r>
          <a:r>
            <a:rPr lang="en-US" sz="1100" b="0">
              <a:effectLst/>
              <a:latin typeface="Arial" panose="020B0604020202020204" pitchFamily="34" charset="0"/>
              <a:cs typeface="Arial" panose="020B0604020202020204" pitchFamily="34" charset="0"/>
            </a:rPr>
            <a:t> 	I</a:t>
          </a:r>
          <a:r>
            <a:rPr lang="en-US" sz="1100" b="0" baseline="0">
              <a:effectLst/>
              <a:latin typeface="Arial" panose="020B0604020202020204" pitchFamily="34" charset="0"/>
              <a:cs typeface="Arial" panose="020B0604020202020204" pitchFamily="34" charset="0"/>
            </a:rPr>
            <a:t>ncrease the supply voltage if possible or reduce the shunt resistor size according to </a:t>
          </a:r>
          <a:r>
            <a:rPr lang="en-US" sz="1100" b="0" i="0" u="none" baseline="0">
              <a:solidFill>
                <a:schemeClr val="dk1"/>
              </a:solidFill>
              <a:effectLst/>
              <a:latin typeface="Arial" panose="020B0604020202020204" pitchFamily="34" charset="0"/>
              <a:ea typeface="+mn-ea"/>
              <a:cs typeface="Arial" panose="020B0604020202020204" pitchFamily="34" charset="0"/>
            </a:rPr>
            <a:t>the "Range Calculator" tab.</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baseline="0">
            <a:solidFill>
              <a:schemeClr val="dk1"/>
            </a:solidFill>
            <a:effectLst/>
            <a:latin typeface="Arial" panose="020B0604020202020204" pitchFamily="34" charset="0"/>
            <a:ea typeface="+mn-ea"/>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400" b="1" i="1" u="none">
              <a:effectLst/>
              <a:latin typeface="Arial" panose="020B0604020202020204" pitchFamily="34" charset="0"/>
              <a:cs typeface="Arial" panose="020B0604020202020204" pitchFamily="34" charset="0"/>
            </a:rPr>
            <a:t>Error</a:t>
          </a:r>
          <a:r>
            <a:rPr lang="en-US" sz="1400" b="1" i="1" u="none" baseline="0">
              <a:effectLst/>
              <a:latin typeface="Arial" panose="020B0604020202020204" pitchFamily="34" charset="0"/>
              <a:cs typeface="Arial" panose="020B0604020202020204" pitchFamily="34" charset="0"/>
            </a:rPr>
            <a:t> Flag Triggered</a:t>
          </a:r>
          <a:r>
            <a:rPr lang="en-US" sz="1400" b="1" i="1" u="none">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r>
            <a:rPr lang="en-US" sz="1100" b="1" u="none">
              <a:effectLst/>
              <a:latin typeface="Arial" panose="020B0604020202020204" pitchFamily="34" charset="0"/>
              <a:cs typeface="Arial" panose="020B0604020202020204" pitchFamily="34" charset="0"/>
            </a:rPr>
            <a:t>Description:</a:t>
          </a:r>
          <a:r>
            <a:rPr lang="en-US" sz="1100" b="1" u="none" baseline="0">
              <a:effectLst/>
              <a:latin typeface="Arial" panose="020B0604020202020204" pitchFamily="34" charset="0"/>
              <a:cs typeface="Arial" panose="020B0604020202020204" pitchFamily="34" charset="0"/>
            </a:rPr>
            <a:t> </a:t>
          </a:r>
          <a:r>
            <a:rPr lang="en-US" sz="1100" b="0" u="none" baseline="0">
              <a:effectLst/>
              <a:latin typeface="Arial" panose="020B0604020202020204" pitchFamily="34" charset="0"/>
              <a:cs typeface="Arial" panose="020B0604020202020204" pitchFamily="34" charset="0"/>
            </a:rPr>
            <a:t> 	The Error flag indicates saturation of the integrated magnetic sensor. It will trigger, when the max. magnetic field of +/- 2 mT is typically exceeded by 	more than 1.6 mT. This flag indicates saturation of the internal magnetic sensor. In this condition the sensor doesn't provide a valid output signal 	anymore. Hence, the output voltage VOUT will be also invalid.</a:t>
          </a:r>
        </a:p>
        <a:p>
          <a:pPr marL="0" marR="0" indent="0" defTabSz="914400" eaLnBrk="1" fontAlgn="auto" latinLnBrk="0" hangingPunct="1">
            <a:lnSpc>
              <a:spcPct val="100000"/>
            </a:lnSpc>
            <a:spcBef>
              <a:spcPts val="0"/>
            </a:spcBef>
            <a:spcAft>
              <a:spcPts val="0"/>
            </a:spcAft>
            <a:buClrTx/>
            <a:buSzTx/>
            <a:buFontTx/>
            <a:buNone/>
            <a:tabLst/>
            <a:defRPr/>
          </a:pPr>
          <a:r>
            <a:rPr lang="en-US" sz="1100" b="1" u="none" baseline="0">
              <a:effectLst/>
              <a:latin typeface="Arial" panose="020B0604020202020204" pitchFamily="34" charset="0"/>
              <a:cs typeface="Arial" panose="020B0604020202020204" pitchFamily="34" charset="0"/>
            </a:rPr>
            <a:t>Solution: </a:t>
          </a:r>
          <a:r>
            <a:rPr lang="en-US" sz="1100" b="0" u="none" baseline="0">
              <a:effectLst/>
              <a:latin typeface="Arial" panose="020B0604020202020204" pitchFamily="34" charset="0"/>
              <a:cs typeface="Arial" panose="020B0604020202020204" pitchFamily="34" charset="0"/>
            </a:rPr>
            <a:t> 	Make sure the magnetic field stays within the designated operating </a:t>
          </a:r>
          <a:r>
            <a:rPr lang="en-US" sz="1100" b="0" u="none" baseline="0">
              <a:solidFill>
                <a:schemeClr val="dk1"/>
              </a:solidFill>
              <a:effectLst/>
              <a:latin typeface="Arial" panose="020B0604020202020204" pitchFamily="34" charset="0"/>
              <a:ea typeface="+mn-ea"/>
              <a:cs typeface="Arial" panose="020B0604020202020204" pitchFamily="34" charset="0"/>
            </a:rPr>
            <a:t>range of +/-2 mT as defined </a:t>
          </a:r>
          <a:r>
            <a:rPr lang="en-US" sz="1100" b="0" u="none" baseline="0">
              <a:effectLst/>
              <a:latin typeface="Arial" panose="020B0604020202020204" pitchFamily="34" charset="0"/>
              <a:cs typeface="Arial" panose="020B0604020202020204" pitchFamily="34" charset="0"/>
            </a:rPr>
            <a:t>in the datasheet . If the system is designed properly, 	the Over-Range flag will indicate that the maximum field range has been exceeded, before you reach sensor saturation.</a:t>
          </a:r>
        </a:p>
        <a:p>
          <a:pPr marL="0" marR="0" indent="0" defTabSz="914400" eaLnBrk="1" fontAlgn="auto" latinLnBrk="0" hangingPunct="1">
            <a:lnSpc>
              <a:spcPct val="100000"/>
            </a:lnSpc>
            <a:spcBef>
              <a:spcPts val="0"/>
            </a:spcBef>
            <a:spcAft>
              <a:spcPts val="0"/>
            </a:spcAft>
            <a:buClrTx/>
            <a:buSzTx/>
            <a:buFontTx/>
            <a:buNone/>
            <a:tabLst/>
            <a:defRPr/>
          </a:pPr>
          <a:endParaRPr lang="en-US" sz="1100" b="0" u="none" baseline="0">
            <a:effectLst/>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400" b="1" i="1" u="none">
              <a:effectLst/>
              <a:latin typeface="Arial" panose="020B0604020202020204" pitchFamily="34" charset="0"/>
              <a:cs typeface="Arial" panose="020B0604020202020204" pitchFamily="34" charset="0"/>
            </a:rPr>
            <a:t>Over-Range</a:t>
          </a:r>
          <a:r>
            <a:rPr lang="en-US" sz="1400" b="1" i="1" u="none" baseline="0">
              <a:effectLst/>
              <a:latin typeface="Arial" panose="020B0604020202020204" pitchFamily="34" charset="0"/>
              <a:cs typeface="Arial" panose="020B0604020202020204" pitchFamily="34" charset="0"/>
            </a:rPr>
            <a:t> Flag will never trigger</a:t>
          </a:r>
          <a:r>
            <a:rPr lang="en-US" sz="1400" b="1" i="1" u="none">
              <a:effectLst/>
              <a:latin typeface="Arial" panose="020B0604020202020204" pitchFamily="34" charset="0"/>
              <a:cs typeface="Arial" panose="020B0604020202020204" pitchFamily="34" charset="0"/>
            </a:rPr>
            <a:t>:</a:t>
          </a:r>
        </a:p>
        <a:p>
          <a:pPr marL="0" marR="0" indent="0" defTabSz="914400" eaLnBrk="1" fontAlgn="auto" latinLnBrk="0" hangingPunct="1">
            <a:lnSpc>
              <a:spcPct val="100000"/>
            </a:lnSpc>
            <a:spcBef>
              <a:spcPts val="0"/>
            </a:spcBef>
            <a:spcAft>
              <a:spcPts val="0"/>
            </a:spcAft>
            <a:buClrTx/>
            <a:buSzTx/>
            <a:buFontTx/>
            <a:buNone/>
            <a:tabLst/>
            <a:defRPr/>
          </a:pPr>
          <a:r>
            <a:rPr lang="en-US" sz="1100" b="1" u="none">
              <a:effectLst/>
              <a:latin typeface="Arial" panose="020B0604020202020204" pitchFamily="34" charset="0"/>
              <a:cs typeface="Arial" panose="020B0604020202020204" pitchFamily="34" charset="0"/>
            </a:rPr>
            <a:t>Description: 	</a:t>
          </a:r>
          <a:r>
            <a:rPr lang="en-US" sz="1100" b="0" u="none">
              <a:effectLst/>
              <a:latin typeface="Arial" panose="020B0604020202020204" pitchFamily="34" charset="0"/>
              <a:cs typeface="Arial" panose="020B0604020202020204" pitchFamily="34" charset="0"/>
            </a:rPr>
            <a:t>The system</a:t>
          </a:r>
          <a:r>
            <a:rPr lang="en-US" sz="1100" b="0" u="none" baseline="0">
              <a:effectLst/>
              <a:latin typeface="Arial" panose="020B0604020202020204" pitchFamily="34" charset="0"/>
              <a:cs typeface="Arial" panose="020B0604020202020204" pitchFamily="34" charset="0"/>
            </a:rPr>
            <a:t> is dimensioned such that even when the magnetic field exceeds the desired measurement range, the analog output voltage won't 	rail. While this is not a problem for the measurement itself, a corresponding output helps to judge if the sensor is working properly, as the output 	voltage reaches the supply rails at the max. applied field.</a:t>
          </a:r>
        </a:p>
        <a:p>
          <a:pPr marL="0" marR="0" indent="0" defTabSz="914400" eaLnBrk="1" fontAlgn="auto" latinLnBrk="0" hangingPunct="1">
            <a:lnSpc>
              <a:spcPct val="100000"/>
            </a:lnSpc>
            <a:spcBef>
              <a:spcPts val="0"/>
            </a:spcBef>
            <a:spcAft>
              <a:spcPts val="0"/>
            </a:spcAft>
            <a:buClrTx/>
            <a:buSzTx/>
            <a:buFontTx/>
            <a:buNone/>
            <a:tabLst/>
            <a:defRPr/>
          </a:pPr>
          <a:r>
            <a:rPr lang="en-US" sz="1100" b="1" u="none" baseline="0">
              <a:effectLst/>
              <a:latin typeface="Arial" panose="020B0604020202020204" pitchFamily="34" charset="0"/>
              <a:cs typeface="Arial" panose="020B0604020202020204" pitchFamily="34" charset="0"/>
            </a:rPr>
            <a:t>Solution: 	</a:t>
          </a:r>
          <a:r>
            <a:rPr lang="en-US" sz="1100" b="0" u="none" baseline="0">
              <a:effectLst/>
              <a:latin typeface="Arial" panose="020B0604020202020204" pitchFamily="34" charset="0"/>
              <a:cs typeface="Arial" panose="020B0604020202020204" pitchFamily="34" charset="0"/>
            </a:rPr>
            <a:t>1) Increase the value of the shunt resistor to ensure that an overload current causes the differential amplifier to rail</a:t>
          </a:r>
        </a:p>
        <a:p>
          <a:pPr marL="0" marR="0" indent="0" defTabSz="914400" eaLnBrk="1" fontAlgn="auto" latinLnBrk="0" hangingPunct="1">
            <a:lnSpc>
              <a:spcPct val="100000"/>
            </a:lnSpc>
            <a:spcBef>
              <a:spcPts val="0"/>
            </a:spcBef>
            <a:spcAft>
              <a:spcPts val="0"/>
            </a:spcAft>
            <a:buClrTx/>
            <a:buSzTx/>
            <a:buFontTx/>
            <a:buNone/>
            <a:tabLst/>
            <a:defRPr/>
          </a:pPr>
          <a:r>
            <a:rPr lang="en-US" sz="1100" b="0" u="none" baseline="0">
              <a:effectLst/>
              <a:latin typeface="Arial" panose="020B0604020202020204" pitchFamily="34" charset="0"/>
              <a:cs typeface="Arial" panose="020B0604020202020204" pitchFamily="34" charset="0"/>
            </a:rPr>
            <a:t>	2) </a:t>
          </a:r>
          <a:r>
            <a:rPr lang="en-US" sz="1100" b="0" u="none" baseline="0">
              <a:solidFill>
                <a:schemeClr val="dk1"/>
              </a:solidFill>
              <a:effectLst/>
              <a:latin typeface="Arial" panose="020B0604020202020204" pitchFamily="34" charset="0"/>
              <a:ea typeface="+mn-ea"/>
              <a:cs typeface="Arial" panose="020B0604020202020204" pitchFamily="34" charset="0"/>
            </a:rPr>
            <a:t>Ensure that in the end application, an analog output that does not rail, but that does correspond to a magnetic field beyond the designed 	measurement range is considered invalid.</a:t>
          </a:r>
        </a:p>
        <a:p>
          <a:pPr marL="0" marR="0" indent="0" defTabSz="914400" eaLnBrk="1" fontAlgn="auto" latinLnBrk="0" hangingPunct="1">
            <a:lnSpc>
              <a:spcPct val="100000"/>
            </a:lnSpc>
            <a:spcBef>
              <a:spcPts val="0"/>
            </a:spcBef>
            <a:spcAft>
              <a:spcPts val="0"/>
            </a:spcAft>
            <a:buClrTx/>
            <a:buSzTx/>
            <a:buFontTx/>
            <a:buNone/>
            <a:tabLst/>
            <a:defRPr/>
          </a:pPr>
          <a:endParaRPr lang="en-US" sz="1100" b="1"/>
        </a:p>
        <a:p>
          <a:r>
            <a:rPr lang="en-US" sz="1200" b="1">
              <a:latin typeface="Arial" panose="020B0604020202020204" pitchFamily="34" charset="0"/>
              <a:cs typeface="Arial" panose="020B0604020202020204" pitchFamily="34" charset="0"/>
            </a:rPr>
            <a:t>Further information</a:t>
          </a:r>
          <a:r>
            <a:rPr lang="en-US" sz="1200" b="1" baseline="0">
              <a:latin typeface="Arial" panose="020B0604020202020204" pitchFamily="34" charset="0"/>
              <a:cs typeface="Arial" panose="020B0604020202020204" pitchFamily="34" charset="0"/>
            </a:rPr>
            <a:t> about the operation of the DRV425 and diagnostic features can be found in the product datasheet.</a:t>
          </a:r>
          <a:endParaRPr lang="en-US" sz="1200" b="1">
            <a:latin typeface="Arial" panose="020B0604020202020204" pitchFamily="34" charset="0"/>
            <a:cs typeface="Arial" panose="020B0604020202020204" pitchFamily="34" charset="0"/>
          </a:endParaRPr>
        </a:p>
      </xdr:txBody>
    </xdr:sp>
    <xdr:clientData/>
  </xdr:twoCellAnchor>
  <xdr:oneCellAnchor>
    <xdr:from>
      <xdr:col>7</xdr:col>
      <xdr:colOff>476249</xdr:colOff>
      <xdr:row>0</xdr:row>
      <xdr:rowOff>95250</xdr:rowOff>
    </xdr:from>
    <xdr:ext cx="4810125" cy="357790"/>
    <xdr:sp macro="" textlink="">
      <xdr:nvSpPr>
        <xdr:cNvPr id="3" name="TextBox 2"/>
        <xdr:cNvSpPr txBox="1"/>
      </xdr:nvSpPr>
      <xdr:spPr>
        <a:xfrm>
          <a:off x="4743449" y="95250"/>
          <a:ext cx="481012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b="1">
              <a:latin typeface="Arial" panose="020B0604020202020204" pitchFamily="34" charset="0"/>
              <a:cs typeface="Arial" panose="020B0604020202020204" pitchFamily="34" charset="0"/>
            </a:rPr>
            <a:t>DRV425</a:t>
          </a:r>
          <a:r>
            <a:rPr lang="en-US" sz="1800" b="1" baseline="0">
              <a:latin typeface="Arial" panose="020B0604020202020204" pitchFamily="34" charset="0"/>
              <a:cs typeface="Arial" panose="020B0604020202020204" pitchFamily="34" charset="0"/>
            </a:rPr>
            <a:t> - System Parameter Calculator</a:t>
          </a:r>
          <a:endParaRPr lang="en-US" sz="1800" b="1">
            <a:latin typeface="Arial" panose="020B0604020202020204" pitchFamily="34" charset="0"/>
            <a:cs typeface="Arial" panose="020B0604020202020204" pitchFamily="34" charset="0"/>
          </a:endParaRPr>
        </a:p>
      </xdr:txBody>
    </xdr:sp>
    <xdr:clientData/>
  </xdr:oneCellAnchor>
  <xdr:twoCellAnchor editAs="oneCell">
    <xdr:from>
      <xdr:col>0</xdr:col>
      <xdr:colOff>85725</xdr:colOff>
      <xdr:row>0</xdr:row>
      <xdr:rowOff>104775</xdr:rowOff>
    </xdr:from>
    <xdr:to>
      <xdr:col>5</xdr:col>
      <xdr:colOff>99445</xdr:colOff>
      <xdr:row>2</xdr:row>
      <xdr:rowOff>114300</xdr:rowOff>
    </xdr:to>
    <xdr:pic>
      <xdr:nvPicPr>
        <xdr:cNvPr id="4" name="Picture 3" descr="ti logo">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 y="104775"/>
          <a:ext cx="306172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47625</xdr:colOff>
      <xdr:row>0</xdr:row>
      <xdr:rowOff>85724</xdr:rowOff>
    </xdr:from>
    <xdr:to>
      <xdr:col>2</xdr:col>
      <xdr:colOff>2014352</xdr:colOff>
      <xdr:row>2</xdr:row>
      <xdr:rowOff>152399</xdr:rowOff>
    </xdr:to>
    <xdr:pic>
      <xdr:nvPicPr>
        <xdr:cNvPr id="2" name="Picture 1" descr="ti logo">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 y="85724"/>
          <a:ext cx="3509777"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2876550</xdr:colOff>
      <xdr:row>0</xdr:row>
      <xdr:rowOff>114300</xdr:rowOff>
    </xdr:from>
    <xdr:ext cx="5086350" cy="357790"/>
    <xdr:sp macro="" textlink="">
      <xdr:nvSpPr>
        <xdr:cNvPr id="3" name="TextBox 2"/>
        <xdr:cNvSpPr txBox="1"/>
      </xdr:nvSpPr>
      <xdr:spPr>
        <a:xfrm>
          <a:off x="4419600" y="114300"/>
          <a:ext cx="5086350"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800" b="1">
              <a:latin typeface="Arial" panose="020B0604020202020204" pitchFamily="34" charset="0"/>
              <a:cs typeface="Arial" panose="020B0604020202020204" pitchFamily="34" charset="0"/>
            </a:rPr>
            <a:t>DRV425</a:t>
          </a:r>
          <a:r>
            <a:rPr lang="en-US" sz="1800" b="1" baseline="0">
              <a:latin typeface="Arial" panose="020B0604020202020204" pitchFamily="34" charset="0"/>
              <a:cs typeface="Arial" panose="020B0604020202020204" pitchFamily="34" charset="0"/>
            </a:rPr>
            <a:t> - System Parameter Calculator</a:t>
          </a:r>
          <a:endParaRPr lang="en-US" sz="1800" b="1">
            <a:latin typeface="Arial" panose="020B0604020202020204" pitchFamily="34" charset="0"/>
            <a:cs typeface="Arial" panose="020B0604020202020204" pitchFamily="34" charset="0"/>
          </a:endParaRPr>
        </a:p>
      </xdr:txBody>
    </xdr:sp>
    <xdr:clientData/>
  </xdr:oneCellAnchor>
  <xdr:oneCellAnchor>
    <xdr:from>
      <xdr:col>9</xdr:col>
      <xdr:colOff>400050</xdr:colOff>
      <xdr:row>0</xdr:row>
      <xdr:rowOff>180975</xdr:rowOff>
    </xdr:from>
    <xdr:ext cx="4326249" cy="264560"/>
    <xdr:sp macro="" textlink="">
      <xdr:nvSpPr>
        <xdr:cNvPr id="4" name="TextBox 3">
          <a:hlinkClick xmlns:r="http://schemas.openxmlformats.org/officeDocument/2006/relationships" r:id="rId3"/>
        </xdr:cNvPr>
        <xdr:cNvSpPr txBox="1"/>
      </xdr:nvSpPr>
      <xdr:spPr>
        <a:xfrm>
          <a:off x="9839325" y="180975"/>
          <a:ext cx="4326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mn-lt"/>
              <a:ea typeface="+mn-ea"/>
              <a:cs typeface="+mn-cs"/>
              <a:hlinkClick xmlns:r="http://schemas.openxmlformats.org/officeDocument/2006/relationships" r:id=""/>
            </a:rPr>
            <a:t>© Copyright 2015</a:t>
          </a:r>
          <a:r>
            <a:rPr lang="en-US" sz="1100" b="0" i="0">
              <a:solidFill>
                <a:schemeClr val="tx1"/>
              </a:solidFill>
              <a:effectLst/>
              <a:latin typeface="+mn-lt"/>
              <a:ea typeface="+mn-ea"/>
              <a:cs typeface="+mn-cs"/>
            </a:rPr>
            <a:t> Texas Instruments Incorporated. All rights reserved.</a:t>
          </a:r>
          <a:endParaRPr lang="en-US" sz="1100"/>
        </a:p>
      </xdr:txBody>
    </xdr:sp>
    <xdr:clientData/>
  </xdr:oneCellAnchor>
  <xdr:oneCellAnchor>
    <xdr:from>
      <xdr:col>0</xdr:col>
      <xdr:colOff>228600</xdr:colOff>
      <xdr:row>5</xdr:row>
      <xdr:rowOff>57150</xdr:rowOff>
    </xdr:from>
    <xdr:ext cx="6819900" cy="8896350"/>
    <xdr:sp macro="" textlink="">
      <xdr:nvSpPr>
        <xdr:cNvPr id="5" name="TextBox 4"/>
        <xdr:cNvSpPr txBox="1"/>
      </xdr:nvSpPr>
      <xdr:spPr>
        <a:xfrm>
          <a:off x="228600" y="990600"/>
          <a:ext cx="6819900" cy="8896350"/>
        </a:xfrm>
        <a:prstGeom prst="rect">
          <a:avLst/>
        </a:prstGeom>
        <a:solidFill>
          <a:srgbClr val="E0E0E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algn="l">
            <a:spcBef>
              <a:spcPts val="0"/>
            </a:spcBef>
            <a:spcAft>
              <a:spcPts val="0"/>
            </a:spcAft>
          </a:pPr>
          <a:r>
            <a:rPr lang="en-US" sz="1100" b="1">
              <a:solidFill>
                <a:srgbClr val="000000"/>
              </a:solidFill>
              <a:effectLst/>
              <a:latin typeface="Arial"/>
              <a:ea typeface="MS Mincho"/>
            </a:rPr>
            <a:t>TEXAS INSTRUMENTS TEXT FILE LICENSE</a:t>
          </a:r>
          <a:endParaRPr lang="en-US" sz="1200" b="1">
            <a:effectLst/>
            <a:latin typeface="Times New Roman"/>
            <a:ea typeface="MS Mincho"/>
          </a:endParaRPr>
        </a:p>
        <a:p>
          <a:pPr marL="0" marR="0">
            <a:spcBef>
              <a:spcPts val="0"/>
            </a:spcBef>
            <a:spcAft>
              <a:spcPts val="0"/>
            </a:spcAft>
          </a:pPr>
          <a:r>
            <a:rPr lang="en-US" sz="1100">
              <a:solidFill>
                <a:srgbClr val="808080"/>
              </a:solidFill>
              <a:effectLst/>
              <a:latin typeface="Arial"/>
              <a:ea typeface="MS Mincho"/>
            </a:rPr>
            <a:t> </a:t>
          </a:r>
          <a:endParaRPr lang="en-US" sz="1200">
            <a:effectLst/>
            <a:latin typeface="Times New Roman"/>
            <a:ea typeface="MS Mincho"/>
          </a:endParaRPr>
        </a:p>
        <a:p>
          <a:pPr marL="0" marR="0">
            <a:spcBef>
              <a:spcPts val="0"/>
            </a:spcBef>
            <a:spcAft>
              <a:spcPts val="0"/>
            </a:spcAft>
          </a:pPr>
          <a:r>
            <a:rPr lang="en-US" sz="1100">
              <a:solidFill>
                <a:srgbClr val="000000"/>
              </a:solidFill>
              <a:effectLst/>
              <a:latin typeface="Arial"/>
              <a:ea typeface="MS Mincho"/>
            </a:rPr>
            <a:t>Copyright (c) 2015 Texas Instruments Incorporated</a:t>
          </a:r>
          <a:endParaRPr lang="en-US" sz="1200">
            <a:effectLst/>
            <a:latin typeface="Times New Roman"/>
            <a:ea typeface="MS Mincho"/>
          </a:endParaRPr>
        </a:p>
        <a:p>
          <a:pPr marL="0" marR="0">
            <a:spcBef>
              <a:spcPts val="0"/>
            </a:spcBef>
            <a:spcAft>
              <a:spcPts val="0"/>
            </a:spcAft>
          </a:pPr>
          <a:r>
            <a:rPr lang="en-US" sz="1100">
              <a:solidFill>
                <a:srgbClr val="808080"/>
              </a:solidFill>
              <a:effectLst/>
              <a:latin typeface="Arial"/>
              <a:ea typeface="MS Mincho"/>
            </a:rPr>
            <a:t> </a:t>
          </a:r>
          <a:endParaRPr lang="en-US" sz="1200">
            <a:effectLst/>
            <a:latin typeface="Times New Roman"/>
            <a:ea typeface="MS Mincho"/>
          </a:endParaRPr>
        </a:p>
        <a:p>
          <a:pPr marL="0" marR="0">
            <a:spcBef>
              <a:spcPts val="0"/>
            </a:spcBef>
            <a:spcAft>
              <a:spcPts val="0"/>
            </a:spcAft>
          </a:pPr>
          <a:r>
            <a:rPr lang="en-US" sz="1100">
              <a:solidFill>
                <a:srgbClr val="000000"/>
              </a:solidFill>
              <a:effectLst/>
              <a:latin typeface="Arial"/>
              <a:ea typeface="MS Mincho"/>
            </a:rPr>
            <a:t>All rights reserved not granted herein.</a:t>
          </a:r>
          <a:endParaRPr lang="en-US" sz="1200">
            <a:effectLst/>
            <a:latin typeface="Times New Roman"/>
            <a:ea typeface="MS Mincho"/>
          </a:endParaRPr>
        </a:p>
        <a:p>
          <a:pPr marL="0" marR="0">
            <a:spcBef>
              <a:spcPts val="0"/>
            </a:spcBef>
            <a:spcAft>
              <a:spcPts val="0"/>
            </a:spcAft>
          </a:pPr>
          <a:r>
            <a:rPr lang="en-US" sz="1100">
              <a:solidFill>
                <a:srgbClr val="000000"/>
              </a:solidFill>
              <a:effectLst/>
              <a:latin typeface="Arial"/>
              <a:ea typeface="MS Mincho"/>
            </a:rPr>
            <a:t> </a:t>
          </a:r>
          <a:endParaRPr lang="en-US" sz="1200">
            <a:effectLst/>
            <a:latin typeface="Times New Roman"/>
            <a:ea typeface="MS Mincho"/>
          </a:endParaRPr>
        </a:p>
        <a:p>
          <a:pPr marL="0" marR="0">
            <a:spcBef>
              <a:spcPts val="0"/>
            </a:spcBef>
            <a:spcAft>
              <a:spcPts val="0"/>
            </a:spcAft>
          </a:pPr>
          <a:r>
            <a:rPr lang="en-US" sz="1100">
              <a:solidFill>
                <a:srgbClr val="000000"/>
              </a:solidFill>
              <a:effectLst/>
              <a:latin typeface="Arial"/>
              <a:ea typeface="MS Mincho"/>
            </a:rPr>
            <a:t>Limited License.  </a:t>
          </a:r>
          <a:endParaRPr lang="en-US" sz="1200">
            <a:effectLst/>
            <a:latin typeface="Times New Roman"/>
            <a:ea typeface="MS Mincho"/>
          </a:endParaRPr>
        </a:p>
        <a:p>
          <a:pPr marL="0" marR="0">
            <a:spcBef>
              <a:spcPts val="0"/>
            </a:spcBef>
            <a:spcAft>
              <a:spcPts val="0"/>
            </a:spcAft>
          </a:pPr>
          <a:r>
            <a:rPr lang="en-US" sz="1100">
              <a:solidFill>
                <a:srgbClr val="000000"/>
              </a:solidFill>
              <a:effectLst/>
              <a:latin typeface="Arial"/>
              <a:ea typeface="MS Mincho"/>
            </a:rPr>
            <a:t> </a:t>
          </a:r>
          <a:endParaRPr lang="en-US" sz="1200">
            <a:effectLst/>
            <a:latin typeface="Times New Roman"/>
            <a:ea typeface="MS Mincho"/>
          </a:endParaRPr>
        </a:p>
        <a:p>
          <a:pPr marL="0" marR="0" algn="just">
            <a:spcBef>
              <a:spcPts val="0"/>
            </a:spcBef>
            <a:spcAft>
              <a:spcPts val="0"/>
            </a:spcAft>
          </a:pPr>
          <a:r>
            <a:rPr lang="en-US" sz="1100">
              <a:effectLst/>
              <a:latin typeface="Arial"/>
              <a:ea typeface="MS Mincho"/>
            </a:rPr>
            <a:t>Texas Instruments Incorporated g</a:t>
          </a:r>
          <a:r>
            <a:rPr lang="en-US" sz="1100">
              <a:solidFill>
                <a:srgbClr val="000000"/>
              </a:solidFill>
              <a:effectLst/>
              <a:latin typeface="Arial"/>
              <a:ea typeface="MS Mincho"/>
            </a:rPr>
            <a:t>rants a world-wide, royalty-free, non-exclusive license under copyrights and patents it now or hereafter owns or controls to make, have made, use, import, offer to sell and </a:t>
          </a:r>
          <a:r>
            <a:rPr lang="en-US" sz="1100">
              <a:effectLst/>
              <a:latin typeface="Arial"/>
              <a:ea typeface="MS Mincho"/>
            </a:rPr>
            <a:t>sell ("Utilize")</a:t>
          </a:r>
          <a:r>
            <a:rPr lang="en-US" sz="1100">
              <a:solidFill>
                <a:srgbClr val="0000FF"/>
              </a:solidFill>
              <a:effectLst/>
              <a:latin typeface="Arial"/>
              <a:ea typeface="MS Mincho"/>
            </a:rPr>
            <a:t> </a:t>
          </a:r>
          <a:r>
            <a:rPr lang="en-US" sz="1100">
              <a:solidFill>
                <a:srgbClr val="000000"/>
              </a:solidFill>
              <a:effectLst/>
              <a:latin typeface="Arial"/>
              <a:ea typeface="MS Mincho"/>
            </a:rPr>
            <a:t>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a:t>
          </a:r>
          <a:endParaRPr lang="en-US" sz="1200">
            <a:effectLst/>
            <a:latin typeface="Times New Roman"/>
            <a:ea typeface="MS Mincho"/>
          </a:endParaRPr>
        </a:p>
        <a:p>
          <a:pPr marL="0" marR="0" algn="just">
            <a:spcBef>
              <a:spcPts val="0"/>
            </a:spcBef>
            <a:spcAft>
              <a:spcPts val="0"/>
            </a:spcAft>
          </a:pPr>
          <a:r>
            <a:rPr lang="en-US" sz="1100">
              <a:solidFill>
                <a:srgbClr val="000000"/>
              </a:solidFill>
              <a:effectLst/>
              <a:latin typeface="Arial"/>
              <a:ea typeface="MS Mincho"/>
            </a:rPr>
            <a:t> </a:t>
          </a:r>
          <a:endParaRPr lang="en-US" sz="1200">
            <a:effectLst/>
            <a:latin typeface="Times New Roman"/>
            <a:ea typeface="MS Mincho"/>
          </a:endParaRPr>
        </a:p>
        <a:p>
          <a:pPr marL="0" marR="0" algn="just">
            <a:spcBef>
              <a:spcPts val="0"/>
            </a:spcBef>
            <a:spcAft>
              <a:spcPts val="0"/>
            </a:spcAft>
          </a:pPr>
          <a:r>
            <a:rPr lang="en-US" sz="1100">
              <a:solidFill>
                <a:srgbClr val="000000"/>
              </a:solidFill>
              <a:effectLst/>
              <a:latin typeface="Arial"/>
              <a:ea typeface="MS Mincho"/>
            </a:rPr>
            <a:t>Redistributions must preserve existing copyright notices and reproduce this license (including the above copyright notice and the disclaimer and (if applicable) source code license limitations below) in the documentation and/or other materials provided with the distribution</a:t>
          </a:r>
          <a:endParaRPr lang="en-US" sz="1200">
            <a:effectLst/>
            <a:latin typeface="Times New Roman"/>
            <a:ea typeface="MS Mincho"/>
          </a:endParaRPr>
        </a:p>
        <a:p>
          <a:pPr marL="0" marR="0" algn="just">
            <a:spcBef>
              <a:spcPts val="0"/>
            </a:spcBef>
            <a:spcAft>
              <a:spcPts val="0"/>
            </a:spcAft>
          </a:pPr>
          <a:r>
            <a:rPr lang="en-US" sz="1100">
              <a:solidFill>
                <a:srgbClr val="000000"/>
              </a:solidFill>
              <a:effectLst/>
              <a:latin typeface="Arial"/>
              <a:ea typeface="MS Mincho"/>
            </a:rPr>
            <a:t> </a:t>
          </a:r>
          <a:endParaRPr lang="en-US" sz="1200">
            <a:effectLst/>
            <a:latin typeface="Times New Roman"/>
            <a:ea typeface="MS Mincho"/>
          </a:endParaRPr>
        </a:p>
        <a:p>
          <a:pPr marL="0" marR="0" algn="just">
            <a:spcBef>
              <a:spcPts val="0"/>
            </a:spcBef>
            <a:spcAft>
              <a:spcPts val="0"/>
            </a:spcAft>
          </a:pPr>
          <a:r>
            <a:rPr lang="en-US" sz="1100">
              <a:solidFill>
                <a:srgbClr val="000000"/>
              </a:solidFill>
              <a:effectLst/>
              <a:latin typeface="Arial"/>
              <a:ea typeface="MS Mincho"/>
            </a:rPr>
            <a:t>Redistribution and use in binary form, without modification, are permitted provided that the following conditions are met:</a:t>
          </a:r>
          <a:endParaRPr lang="en-US" sz="1200">
            <a:effectLst/>
            <a:latin typeface="Times New Roman"/>
            <a:ea typeface="MS Mincho"/>
          </a:endParaRPr>
        </a:p>
        <a:p>
          <a:pPr marL="0" marR="0" algn="just">
            <a:spcBef>
              <a:spcPts val="0"/>
            </a:spcBef>
            <a:spcAft>
              <a:spcPts val="0"/>
            </a:spcAft>
          </a:pPr>
          <a:r>
            <a:rPr lang="en-US" sz="1100">
              <a:solidFill>
                <a:srgbClr val="000000"/>
              </a:solidFill>
              <a:effectLst/>
              <a:latin typeface="Arial"/>
              <a:ea typeface="MS Mincho"/>
            </a:rPr>
            <a:t> </a:t>
          </a:r>
          <a:endParaRPr lang="en-US" sz="1200">
            <a:effectLst/>
            <a:latin typeface="Times New Roman"/>
            <a:ea typeface="MS Mincho"/>
          </a:endParaRPr>
        </a:p>
        <a:p>
          <a:pPr marL="171450" marR="0" indent="-171450" algn="just">
            <a:spcBef>
              <a:spcPts val="0"/>
            </a:spcBef>
            <a:spcAft>
              <a:spcPts val="0"/>
            </a:spcAft>
          </a:pPr>
          <a:r>
            <a:rPr lang="en-US" sz="1100">
              <a:solidFill>
                <a:srgbClr val="000000"/>
              </a:solidFill>
              <a:effectLst/>
              <a:latin typeface="Arial"/>
              <a:ea typeface="MS Mincho"/>
            </a:rPr>
            <a:t>*	No reverse engineering, decompilation, or disassembly of this software is permitted with respect to any software provided in binary form.</a:t>
          </a:r>
          <a:endParaRPr lang="en-US" sz="1200">
            <a:effectLst/>
            <a:latin typeface="Times New Roman"/>
            <a:ea typeface="MS Mincho"/>
          </a:endParaRPr>
        </a:p>
        <a:p>
          <a:pPr marL="171450" marR="0" indent="-171450" algn="just">
            <a:spcBef>
              <a:spcPts val="0"/>
            </a:spcBef>
            <a:spcAft>
              <a:spcPts val="0"/>
            </a:spcAft>
          </a:pPr>
          <a:r>
            <a:rPr lang="en-US" sz="1100">
              <a:solidFill>
                <a:srgbClr val="000000"/>
              </a:solidFill>
              <a:effectLst/>
              <a:latin typeface="Arial"/>
              <a:ea typeface="MS Mincho"/>
            </a:rPr>
            <a:t> </a:t>
          </a:r>
          <a:endParaRPr lang="en-US" sz="1200">
            <a:effectLst/>
            <a:latin typeface="Times New Roman"/>
            <a:ea typeface="MS Mincho"/>
          </a:endParaRPr>
        </a:p>
        <a:p>
          <a:pPr marL="171450" marR="0" indent="-171450" algn="just">
            <a:spcBef>
              <a:spcPts val="0"/>
            </a:spcBef>
            <a:spcAft>
              <a:spcPts val="0"/>
            </a:spcAft>
          </a:pPr>
          <a:r>
            <a:rPr lang="en-US" sz="1100">
              <a:solidFill>
                <a:srgbClr val="000000"/>
              </a:solidFill>
              <a:effectLst/>
              <a:latin typeface="Arial"/>
              <a:ea typeface="MS Mincho"/>
            </a:rPr>
            <a:t>*	any redistribution and use are licensed by TI for use only with TI Devices.</a:t>
          </a:r>
          <a:endParaRPr lang="en-US" sz="1200">
            <a:effectLst/>
            <a:latin typeface="Times New Roman"/>
            <a:ea typeface="MS Mincho"/>
          </a:endParaRPr>
        </a:p>
        <a:p>
          <a:pPr marL="171450" marR="0" indent="-171450" algn="just">
            <a:spcBef>
              <a:spcPts val="0"/>
            </a:spcBef>
            <a:spcAft>
              <a:spcPts val="0"/>
            </a:spcAft>
          </a:pPr>
          <a:r>
            <a:rPr lang="en-US" sz="1100">
              <a:solidFill>
                <a:srgbClr val="000000"/>
              </a:solidFill>
              <a:effectLst/>
              <a:latin typeface="Arial"/>
              <a:ea typeface="MS Mincho"/>
            </a:rPr>
            <a:t> </a:t>
          </a:r>
          <a:endParaRPr lang="en-US" sz="1200">
            <a:effectLst/>
            <a:latin typeface="Times New Roman"/>
            <a:ea typeface="MS Mincho"/>
          </a:endParaRPr>
        </a:p>
        <a:p>
          <a:pPr marL="171450" marR="0" indent="-171450" algn="just">
            <a:spcBef>
              <a:spcPts val="0"/>
            </a:spcBef>
            <a:spcAft>
              <a:spcPts val="0"/>
            </a:spcAft>
          </a:pPr>
          <a:r>
            <a:rPr lang="en-US" sz="1100">
              <a:solidFill>
                <a:srgbClr val="000000"/>
              </a:solidFill>
              <a:effectLst/>
              <a:latin typeface="Arial"/>
              <a:ea typeface="MS Mincho"/>
            </a:rPr>
            <a:t>*	Nothing shall obligate TI to provide you with source code for the software licensed and provided to you in object code.</a:t>
          </a:r>
          <a:endParaRPr lang="en-US" sz="1200">
            <a:effectLst/>
            <a:latin typeface="Times New Roman"/>
            <a:ea typeface="MS Mincho"/>
          </a:endParaRPr>
        </a:p>
        <a:p>
          <a:pPr marL="171450" marR="0" indent="-171450" algn="just">
            <a:spcBef>
              <a:spcPts val="0"/>
            </a:spcBef>
            <a:spcAft>
              <a:spcPts val="0"/>
            </a:spcAft>
          </a:pPr>
          <a:r>
            <a:rPr lang="en-US" sz="1100">
              <a:solidFill>
                <a:srgbClr val="000000"/>
              </a:solidFill>
              <a:effectLst/>
              <a:latin typeface="Arial"/>
              <a:ea typeface="MS Mincho"/>
            </a:rPr>
            <a:t> </a:t>
          </a:r>
          <a:endParaRPr lang="en-US" sz="1200">
            <a:effectLst/>
            <a:latin typeface="Times New Roman"/>
            <a:ea typeface="MS Mincho"/>
          </a:endParaRPr>
        </a:p>
        <a:p>
          <a:pPr marL="0" marR="0" algn="just">
            <a:spcBef>
              <a:spcPts val="0"/>
            </a:spcBef>
            <a:spcAft>
              <a:spcPts val="0"/>
            </a:spcAft>
          </a:pPr>
          <a:r>
            <a:rPr lang="en-US" sz="1100">
              <a:solidFill>
                <a:srgbClr val="000000"/>
              </a:solidFill>
              <a:effectLst/>
              <a:latin typeface="Arial"/>
              <a:ea typeface="MS Mincho"/>
            </a:rPr>
            <a:t>If software source code is provided to you, modification and redistribution of the source code are permitted provided that the following conditions are met:</a:t>
          </a:r>
          <a:endParaRPr lang="en-US" sz="1200">
            <a:effectLst/>
            <a:latin typeface="Times New Roman"/>
            <a:ea typeface="MS Mincho"/>
          </a:endParaRPr>
        </a:p>
        <a:p>
          <a:pPr marL="0" marR="0" algn="just">
            <a:spcBef>
              <a:spcPts val="0"/>
            </a:spcBef>
            <a:spcAft>
              <a:spcPts val="0"/>
            </a:spcAft>
          </a:pPr>
          <a:r>
            <a:rPr lang="en-US" sz="1100">
              <a:solidFill>
                <a:srgbClr val="000000"/>
              </a:solidFill>
              <a:effectLst/>
              <a:latin typeface="Arial"/>
              <a:ea typeface="MS Mincho"/>
            </a:rPr>
            <a:t> </a:t>
          </a:r>
          <a:endParaRPr lang="en-US" sz="1200">
            <a:effectLst/>
            <a:latin typeface="Times New Roman"/>
            <a:ea typeface="MS Mincho"/>
          </a:endParaRPr>
        </a:p>
        <a:p>
          <a:pPr marL="228600" marR="0" indent="-228600" algn="just">
            <a:spcBef>
              <a:spcPts val="0"/>
            </a:spcBef>
            <a:spcAft>
              <a:spcPts val="0"/>
            </a:spcAft>
          </a:pPr>
          <a:r>
            <a:rPr lang="en-US" sz="1100">
              <a:solidFill>
                <a:srgbClr val="000000"/>
              </a:solidFill>
              <a:effectLst/>
              <a:latin typeface="Arial"/>
              <a:ea typeface="MS Mincho"/>
            </a:rPr>
            <a:t>*	any redistribution and use of the source code, including any resulting derivative works, are licensed by TI for use only with TI Devices.</a:t>
          </a:r>
          <a:endParaRPr lang="en-US" sz="1200">
            <a:effectLst/>
            <a:latin typeface="Times New Roman"/>
            <a:ea typeface="MS Mincho"/>
          </a:endParaRPr>
        </a:p>
        <a:p>
          <a:pPr marL="228600" marR="0" indent="-228600" algn="just">
            <a:spcBef>
              <a:spcPts val="0"/>
            </a:spcBef>
            <a:spcAft>
              <a:spcPts val="0"/>
            </a:spcAft>
          </a:pPr>
          <a:r>
            <a:rPr lang="en-US" sz="1100">
              <a:solidFill>
                <a:srgbClr val="000000"/>
              </a:solidFill>
              <a:effectLst/>
              <a:latin typeface="Arial"/>
              <a:ea typeface="MS Mincho"/>
            </a:rPr>
            <a:t> </a:t>
          </a:r>
          <a:endParaRPr lang="en-US" sz="1200">
            <a:effectLst/>
            <a:latin typeface="Times New Roman"/>
            <a:ea typeface="MS Mincho"/>
          </a:endParaRPr>
        </a:p>
        <a:p>
          <a:pPr marL="228600" marR="0" indent="-228600" algn="just">
            <a:spcBef>
              <a:spcPts val="0"/>
            </a:spcBef>
            <a:spcAft>
              <a:spcPts val="0"/>
            </a:spcAft>
          </a:pPr>
          <a:r>
            <a:rPr lang="en-US" sz="1100">
              <a:solidFill>
                <a:srgbClr val="000000"/>
              </a:solidFill>
              <a:effectLst/>
              <a:latin typeface="Arial"/>
              <a:ea typeface="MS Mincho"/>
            </a:rPr>
            <a:t>*	any redistribution and use of any object code compiled from the source code and any resulting derivative works, are licensed by TI for use only with TI Devices.</a:t>
          </a:r>
          <a:endParaRPr lang="en-US" sz="1200">
            <a:effectLst/>
            <a:latin typeface="Times New Roman"/>
            <a:ea typeface="MS Mincho"/>
          </a:endParaRPr>
        </a:p>
        <a:p>
          <a:pPr marL="0" marR="0" algn="just">
            <a:spcBef>
              <a:spcPts val="0"/>
            </a:spcBef>
            <a:spcAft>
              <a:spcPts val="0"/>
            </a:spcAft>
          </a:pPr>
          <a:r>
            <a:rPr lang="en-US" sz="1100">
              <a:solidFill>
                <a:srgbClr val="000000"/>
              </a:solidFill>
              <a:effectLst/>
              <a:latin typeface="Arial"/>
              <a:ea typeface="MS Mincho"/>
            </a:rPr>
            <a:t> </a:t>
          </a:r>
          <a:endParaRPr lang="en-US" sz="1200">
            <a:effectLst/>
            <a:latin typeface="Times New Roman"/>
            <a:ea typeface="MS Mincho"/>
          </a:endParaRPr>
        </a:p>
        <a:p>
          <a:pPr marL="0" marR="0" algn="just">
            <a:spcBef>
              <a:spcPts val="0"/>
            </a:spcBef>
            <a:spcAft>
              <a:spcPts val="0"/>
            </a:spcAft>
          </a:pPr>
          <a:r>
            <a:rPr lang="en-US" sz="1100">
              <a:solidFill>
                <a:srgbClr val="000000"/>
              </a:solidFill>
              <a:effectLst/>
              <a:latin typeface="Arial"/>
              <a:ea typeface="MS Mincho"/>
            </a:rPr>
            <a:t>Neither the name </a:t>
          </a:r>
          <a:r>
            <a:rPr lang="en-US" sz="1100">
              <a:effectLst/>
              <a:latin typeface="Arial"/>
              <a:ea typeface="MS Mincho"/>
            </a:rPr>
            <a:t>of Texas Instruments Incorporated</a:t>
          </a:r>
          <a:r>
            <a:rPr lang="en-US" sz="1100">
              <a:solidFill>
                <a:srgbClr val="0000FF"/>
              </a:solidFill>
              <a:effectLst/>
              <a:latin typeface="Arial"/>
              <a:ea typeface="MS Mincho"/>
            </a:rPr>
            <a:t> </a:t>
          </a:r>
          <a:r>
            <a:rPr lang="en-US" sz="1100">
              <a:solidFill>
                <a:srgbClr val="000000"/>
              </a:solidFill>
              <a:effectLst/>
              <a:latin typeface="Arial"/>
              <a:ea typeface="MS Mincho"/>
            </a:rPr>
            <a:t>nor the names of its suppliers may be used to endorse or promote products derived from this software without specific prior written permission.</a:t>
          </a:r>
          <a:endParaRPr lang="en-US" sz="1200">
            <a:effectLst/>
            <a:latin typeface="Times New Roman"/>
            <a:ea typeface="MS Mincho"/>
          </a:endParaRPr>
        </a:p>
        <a:p>
          <a:pPr marL="171450" marR="0" indent="-171450" algn="just">
            <a:spcBef>
              <a:spcPts val="0"/>
            </a:spcBef>
            <a:spcAft>
              <a:spcPts val="0"/>
            </a:spcAft>
          </a:pPr>
          <a:r>
            <a:rPr lang="en-US" sz="1100">
              <a:solidFill>
                <a:srgbClr val="000000"/>
              </a:solidFill>
              <a:effectLst/>
              <a:latin typeface="Arial"/>
              <a:ea typeface="MS Mincho"/>
            </a:rPr>
            <a:t> </a:t>
          </a:r>
          <a:endParaRPr lang="en-US" sz="1200">
            <a:effectLst/>
            <a:latin typeface="Times New Roman"/>
            <a:ea typeface="MS Mincho"/>
          </a:endParaRPr>
        </a:p>
        <a:p>
          <a:pPr marL="0" marR="0" algn="just">
            <a:spcBef>
              <a:spcPts val="0"/>
            </a:spcBef>
            <a:spcAft>
              <a:spcPts val="0"/>
            </a:spcAft>
          </a:pPr>
          <a:r>
            <a:rPr lang="en-US" sz="1100" b="1">
              <a:solidFill>
                <a:srgbClr val="000000"/>
              </a:solidFill>
              <a:effectLst/>
              <a:latin typeface="Arial"/>
              <a:ea typeface="MS Mincho"/>
            </a:rPr>
            <a:t>DISCLAIMER.</a:t>
          </a:r>
          <a:endParaRPr lang="en-US" sz="1200" b="1">
            <a:effectLst/>
            <a:latin typeface="Times New Roman"/>
            <a:ea typeface="MS Mincho"/>
          </a:endParaRPr>
        </a:p>
        <a:p>
          <a:pPr marL="0" marR="0" algn="just">
            <a:spcBef>
              <a:spcPts val="0"/>
            </a:spcBef>
            <a:spcAft>
              <a:spcPts val="0"/>
            </a:spcAft>
          </a:pPr>
          <a:r>
            <a:rPr lang="en-US" sz="1100">
              <a:solidFill>
                <a:srgbClr val="000000"/>
              </a:solidFill>
              <a:effectLst/>
              <a:latin typeface="Arial"/>
              <a:ea typeface="MS Mincho"/>
            </a:rPr>
            <a:t> </a:t>
          </a:r>
          <a:endParaRPr lang="en-US" sz="1200">
            <a:effectLst/>
            <a:latin typeface="Times New Roman"/>
            <a:ea typeface="MS Mincho"/>
          </a:endParaRPr>
        </a:p>
        <a:p>
          <a:pPr marL="0" marR="0" algn="just">
            <a:spcBef>
              <a:spcPts val="0"/>
            </a:spcBef>
            <a:spcAft>
              <a:spcPts val="0"/>
            </a:spcAft>
          </a:pPr>
          <a:r>
            <a:rPr lang="en-US" sz="1100">
              <a:solidFill>
                <a:srgbClr val="000000"/>
              </a:solidFill>
              <a:effectLst/>
              <a:latin typeface="Arial"/>
              <a:ea typeface="MS Mincho"/>
            </a:rPr>
            <a:t>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a:t>
          </a:r>
          <a:endParaRPr lang="en-US" sz="1200">
            <a:effectLst/>
            <a:latin typeface="Times New Roman"/>
            <a:ea typeface="MS Mincho"/>
          </a:endParaRPr>
        </a:p>
        <a:p>
          <a:endParaRPr lang="en-US" sz="1100" baseline="0"/>
        </a:p>
        <a:p>
          <a:endParaRPr lang="en-US" sz="1100" baseline="0"/>
        </a:p>
        <a:p>
          <a:endParaRPr lang="en-US" sz="1100" baseline="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0</xdr:col>
      <xdr:colOff>85725</xdr:colOff>
      <xdr:row>0</xdr:row>
      <xdr:rowOff>95250</xdr:rowOff>
    </xdr:from>
    <xdr:ext cx="2987044" cy="381000"/>
    <xdr:pic>
      <xdr:nvPicPr>
        <xdr:cNvPr id="2" name="Picture 1" descr="ti logo">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 y="95250"/>
          <a:ext cx="2987044" cy="381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561974</xdr:colOff>
      <xdr:row>0</xdr:row>
      <xdr:rowOff>85725</xdr:rowOff>
    </xdr:from>
    <xdr:ext cx="5248275" cy="328295"/>
    <xdr:sp macro="" textlink="">
      <xdr:nvSpPr>
        <xdr:cNvPr id="3" name="TextBox 2"/>
        <xdr:cNvSpPr txBox="1"/>
      </xdr:nvSpPr>
      <xdr:spPr>
        <a:xfrm>
          <a:off x="4219574" y="85725"/>
          <a:ext cx="5248275"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1">
              <a:latin typeface="Arial" panose="020B0604020202020204" pitchFamily="34" charset="0"/>
              <a:cs typeface="Arial" panose="020B0604020202020204" pitchFamily="34" charset="0"/>
            </a:rPr>
            <a:t>DRV425 - System Parameter Calculator</a:t>
          </a:r>
        </a:p>
      </xdr:txBody>
    </xdr:sp>
    <xdr:clientData/>
  </xdr:oneCellAnchor>
  <xdr:oneCellAnchor>
    <xdr:from>
      <xdr:col>0</xdr:col>
      <xdr:colOff>47625</xdr:colOff>
      <xdr:row>5</xdr:row>
      <xdr:rowOff>0</xdr:rowOff>
    </xdr:from>
    <xdr:ext cx="184731" cy="264560"/>
    <xdr:sp macro="" textlink="">
      <xdr:nvSpPr>
        <xdr:cNvPr id="4" name="TextBox 3">
          <a:hlinkClick xmlns:r="http://schemas.openxmlformats.org/officeDocument/2006/relationships" r:id="rId3"/>
        </xdr:cNvPr>
        <xdr:cNvSpPr txBox="1"/>
      </xdr:nvSpPr>
      <xdr:spPr>
        <a:xfrm>
          <a:off x="47625" y="9239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4</xdr:col>
      <xdr:colOff>600075</xdr:colOff>
      <xdr:row>9</xdr:row>
      <xdr:rowOff>1152525</xdr:rowOff>
    </xdr:from>
    <xdr:to>
      <xdr:col>5</xdr:col>
      <xdr:colOff>457200</xdr:colOff>
      <xdr:row>9</xdr:row>
      <xdr:rowOff>1343025</xdr:rowOff>
    </xdr:to>
    <xdr:sp macro="" textlink="">
      <xdr:nvSpPr>
        <xdr:cNvPr id="5" name="TextBox 4"/>
        <xdr:cNvSpPr txBox="1"/>
      </xdr:nvSpPr>
      <xdr:spPr>
        <a:xfrm>
          <a:off x="3038475" y="2886075"/>
          <a:ext cx="466725" cy="190500"/>
        </a:xfrm>
        <a:prstGeom prst="rect">
          <a:avLst/>
        </a:prstGeom>
        <a:solidFill>
          <a:srgbClr val="118899"/>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xx</a:t>
          </a:r>
        </a:p>
      </xdr:txBody>
    </xdr:sp>
    <xdr:clientData/>
  </xdr:twoCellAnchor>
  <xdr:twoCellAnchor>
    <xdr:from>
      <xdr:col>12</xdr:col>
      <xdr:colOff>171450</xdr:colOff>
      <xdr:row>9</xdr:row>
      <xdr:rowOff>1133475</xdr:rowOff>
    </xdr:from>
    <xdr:to>
      <xdr:col>13</xdr:col>
      <xdr:colOff>28575</xdr:colOff>
      <xdr:row>9</xdr:row>
      <xdr:rowOff>1323975</xdr:rowOff>
    </xdr:to>
    <xdr:sp macro="" textlink="">
      <xdr:nvSpPr>
        <xdr:cNvPr id="6" name="TextBox 5"/>
        <xdr:cNvSpPr txBox="1"/>
      </xdr:nvSpPr>
      <xdr:spPr>
        <a:xfrm>
          <a:off x="7486650" y="2867025"/>
          <a:ext cx="466725" cy="190500"/>
        </a:xfrm>
        <a:prstGeom prst="rect">
          <a:avLst/>
        </a:prstGeom>
        <a:solidFill>
          <a:srgbClr val="115566"/>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xx</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DRV42X\DRV421\System%20&amp;Apps\Tools\DRV421_System%20Parameter%20Calculato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y%20Documents/WorkRelated/DRV42X/DRV421_System%20Parameter%20Calcu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
      <sheetName val="DRV421 System Parameters"/>
      <sheetName val="Error Components"/>
      <sheetName val="Troubleshooting"/>
      <sheetName val="Calculations"/>
      <sheetName val="About"/>
      <sheetName val="Help"/>
    </sheetNames>
    <sheetDataSet>
      <sheetData sheetId="0"/>
      <sheetData sheetId="1">
        <row r="9">
          <cell r="T9">
            <v>0.04</v>
          </cell>
        </row>
        <row r="10">
          <cell r="D10">
            <v>5</v>
          </cell>
          <cell r="T10">
            <v>0.05</v>
          </cell>
        </row>
        <row r="11">
          <cell r="D11">
            <v>0</v>
          </cell>
          <cell r="T11">
            <v>0.21</v>
          </cell>
        </row>
        <row r="12">
          <cell r="D12">
            <v>2.5</v>
          </cell>
        </row>
        <row r="13">
          <cell r="D13">
            <v>2.5</v>
          </cell>
        </row>
        <row r="14">
          <cell r="D14">
            <v>10</v>
          </cell>
        </row>
        <row r="15">
          <cell r="D15">
            <v>85</v>
          </cell>
        </row>
        <row r="18">
          <cell r="D18">
            <v>0.5</v>
          </cell>
        </row>
        <row r="19">
          <cell r="D19">
            <v>10</v>
          </cell>
        </row>
        <row r="20">
          <cell r="D20">
            <v>1000</v>
          </cell>
        </row>
        <row r="21">
          <cell r="D21">
            <v>5.0000000000000001E-4</v>
          </cell>
        </row>
        <row r="23">
          <cell r="D23">
            <v>2</v>
          </cell>
        </row>
        <row r="29">
          <cell r="D29">
            <v>20</v>
          </cell>
        </row>
        <row r="30">
          <cell r="D30">
            <v>1</v>
          </cell>
        </row>
        <row r="31">
          <cell r="D31">
            <v>1900</v>
          </cell>
        </row>
        <row r="69">
          <cell r="AL69">
            <v>4</v>
          </cell>
        </row>
        <row r="70">
          <cell r="AL70">
            <v>2.5</v>
          </cell>
        </row>
      </sheetData>
      <sheetData sheetId="2"/>
      <sheetData sheetId="3"/>
      <sheetData sheetId="4">
        <row r="5">
          <cell r="D5">
            <v>1900</v>
          </cell>
        </row>
      </sheetData>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
      <sheetName val="DRV421 System Parameters"/>
      <sheetName val="Error Components"/>
      <sheetName val="Troubleshooting"/>
      <sheetName val="Calculations"/>
      <sheetName val="About"/>
      <sheetName val="Help"/>
    </sheetNames>
    <sheetDataSet>
      <sheetData sheetId="0" refreshError="1"/>
      <sheetData sheetId="1">
        <row r="15">
          <cell r="D15">
            <v>85</v>
          </cell>
        </row>
        <row r="20">
          <cell r="D20">
            <v>1000</v>
          </cell>
        </row>
        <row r="21">
          <cell r="D21">
            <v>5.0000000000000001E-4</v>
          </cell>
        </row>
        <row r="31">
          <cell r="D31">
            <v>1900</v>
          </cell>
        </row>
      </sheetData>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0.xml"/><Relationship Id="rId1" Type="http://schemas.openxmlformats.org/officeDocument/2006/relationships/printerSettings" Target="../printerSettings/printerSettings7.bin"/><Relationship Id="rId6" Type="http://schemas.openxmlformats.org/officeDocument/2006/relationships/comments" Target="../comments1.xml"/><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www.ti.com/lit/pdf/sloa225" TargetMode="External"/><Relationship Id="rId7" Type="http://schemas.openxmlformats.org/officeDocument/2006/relationships/drawing" Target="../drawings/drawing9.xml"/><Relationship Id="rId2" Type="http://schemas.openxmlformats.org/officeDocument/2006/relationships/hyperlink" Target="http://www.ti.com/product/DRV421" TargetMode="External"/><Relationship Id="rId1" Type="http://schemas.openxmlformats.org/officeDocument/2006/relationships/hyperlink" Target="http://www.ti.com/lit/gpn/drv425" TargetMode="External"/><Relationship Id="rId6" Type="http://schemas.openxmlformats.org/officeDocument/2006/relationships/printerSettings" Target="../printerSettings/printerSettings6.bin"/><Relationship Id="rId5" Type="http://schemas.openxmlformats.org/officeDocument/2006/relationships/hyperlink" Target="http://www.ti.com/product/DRV425/technicaldocuments" TargetMode="External"/><Relationship Id="rId4" Type="http://schemas.openxmlformats.org/officeDocument/2006/relationships/hyperlink" Target="http://www.ti.com/product/DRV4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4"/>
  <sheetViews>
    <sheetView showGridLines="0" showRowColHeaders="0" tabSelected="1" workbookViewId="0">
      <selection activeCell="F25" sqref="F25"/>
    </sheetView>
  </sheetViews>
  <sheetFormatPr defaultRowHeight="15" x14ac:dyDescent="0.25"/>
  <cols>
    <col min="1" max="1" width="9.140625" customWidth="1"/>
    <col min="2" max="2" width="13.28515625" customWidth="1"/>
    <col min="4" max="4" width="15.5703125" customWidth="1"/>
    <col min="5" max="5" width="1.5703125" customWidth="1"/>
  </cols>
  <sheetData>
    <row r="1" spans="1:25" x14ac:dyDescent="0.25">
      <c r="A1" s="133"/>
      <c r="B1" s="133"/>
      <c r="C1" s="133"/>
      <c r="D1" s="133"/>
      <c r="E1" s="133"/>
      <c r="F1" s="133"/>
      <c r="G1" s="133"/>
      <c r="H1" s="133"/>
      <c r="I1" s="133"/>
      <c r="J1" s="133"/>
      <c r="K1" s="133"/>
      <c r="L1" s="133"/>
      <c r="M1" s="133"/>
      <c r="N1" s="133"/>
      <c r="O1" s="133"/>
      <c r="P1" s="133"/>
      <c r="Q1" s="133"/>
      <c r="R1" s="133"/>
      <c r="S1" s="133"/>
      <c r="T1" s="133"/>
      <c r="U1" s="133"/>
    </row>
    <row r="2" spans="1:25" x14ac:dyDescent="0.25">
      <c r="A2" s="133"/>
      <c r="B2" s="133"/>
      <c r="C2" s="133"/>
      <c r="D2" s="133"/>
      <c r="E2" s="133"/>
      <c r="F2" s="133"/>
      <c r="G2" s="133"/>
      <c r="H2" s="133"/>
      <c r="I2" s="133"/>
      <c r="J2" s="133"/>
      <c r="K2" s="133"/>
      <c r="L2" s="133"/>
      <c r="M2" s="133"/>
      <c r="N2" s="133"/>
      <c r="O2" s="133"/>
      <c r="P2" s="133"/>
      <c r="Q2" s="133"/>
      <c r="R2" s="133"/>
      <c r="S2" s="133"/>
      <c r="T2" s="133"/>
      <c r="U2" s="133"/>
    </row>
    <row r="3" spans="1:25" x14ac:dyDescent="0.25">
      <c r="A3" s="133"/>
      <c r="B3" s="133"/>
      <c r="C3" s="133"/>
      <c r="D3" s="133"/>
      <c r="E3" s="133"/>
      <c r="F3" s="133"/>
      <c r="G3" s="133"/>
      <c r="H3" s="133"/>
      <c r="I3" s="133"/>
      <c r="J3" s="133"/>
      <c r="K3" s="133"/>
      <c r="L3" s="133"/>
      <c r="M3" s="133"/>
      <c r="N3" s="133"/>
      <c r="O3" s="133"/>
      <c r="P3" s="133"/>
      <c r="Q3" s="133"/>
      <c r="R3" s="133"/>
      <c r="S3" s="133"/>
      <c r="T3" s="133"/>
      <c r="U3" s="133"/>
    </row>
    <row r="4" spans="1:25" ht="12.75" customHeight="1" x14ac:dyDescent="0.25">
      <c r="A4" s="134"/>
      <c r="B4" s="134"/>
      <c r="C4" s="134"/>
      <c r="D4" s="134"/>
      <c r="E4" s="134"/>
      <c r="F4" s="134"/>
      <c r="G4" s="134"/>
      <c r="H4" s="134"/>
      <c r="I4" s="134"/>
      <c r="J4" s="134"/>
      <c r="K4" s="134"/>
      <c r="L4" s="134"/>
      <c r="M4" s="134"/>
      <c r="N4" s="134"/>
      <c r="O4" s="134"/>
      <c r="P4" s="134"/>
      <c r="Q4" s="134"/>
      <c r="R4" s="134"/>
      <c r="S4" s="134"/>
      <c r="T4" s="134"/>
      <c r="U4" s="134"/>
      <c r="V4" s="134"/>
      <c r="W4" s="134"/>
      <c r="X4" s="134"/>
      <c r="Y4" s="134"/>
    </row>
    <row r="5" spans="1:25" x14ac:dyDescent="0.25">
      <c r="A5" s="11"/>
      <c r="B5" s="11"/>
      <c r="C5" s="11"/>
      <c r="D5" s="11"/>
      <c r="E5" s="11"/>
      <c r="F5" s="11"/>
      <c r="G5" s="11"/>
      <c r="H5" s="11"/>
      <c r="I5" s="11"/>
      <c r="J5" s="11"/>
      <c r="K5" s="11"/>
      <c r="L5" s="11"/>
      <c r="M5" s="11"/>
      <c r="N5" s="11"/>
      <c r="O5" s="11"/>
      <c r="P5" s="11"/>
      <c r="Q5" s="11"/>
      <c r="R5" s="11"/>
      <c r="S5" s="11"/>
      <c r="T5" s="11"/>
      <c r="U5" s="11"/>
    </row>
    <row r="6" spans="1:25" x14ac:dyDescent="0.25">
      <c r="A6" s="11"/>
      <c r="B6" s="11"/>
      <c r="C6" s="11"/>
      <c r="D6" s="11"/>
      <c r="E6" s="11"/>
      <c r="F6" s="11"/>
      <c r="G6" s="11"/>
      <c r="H6" s="11"/>
      <c r="I6" s="11"/>
      <c r="J6" s="11"/>
      <c r="K6" s="11"/>
      <c r="L6" s="11"/>
      <c r="M6" s="11"/>
      <c r="N6" s="11"/>
      <c r="O6" s="11"/>
      <c r="P6" s="11"/>
      <c r="Q6" s="11"/>
      <c r="R6" s="11"/>
      <c r="S6" s="11"/>
      <c r="T6" s="11"/>
      <c r="U6" s="11"/>
    </row>
    <row r="7" spans="1:25" ht="15.75" x14ac:dyDescent="0.25">
      <c r="A7" s="11"/>
      <c r="B7" s="135" t="s">
        <v>86</v>
      </c>
      <c r="C7" s="135"/>
      <c r="D7" s="135"/>
      <c r="E7" s="50"/>
      <c r="F7" s="51" t="s">
        <v>87</v>
      </c>
      <c r="G7" s="52"/>
      <c r="H7" s="52"/>
      <c r="I7" s="52"/>
      <c r="J7" s="52"/>
      <c r="K7" s="52"/>
      <c r="L7" s="52"/>
      <c r="M7" s="52"/>
      <c r="N7" s="52"/>
      <c r="O7" s="52"/>
      <c r="P7" s="52"/>
      <c r="Q7" s="52"/>
      <c r="R7" s="52"/>
      <c r="S7" s="53"/>
      <c r="T7" s="53"/>
      <c r="U7" s="53"/>
    </row>
    <row r="8" spans="1:25" x14ac:dyDescent="0.25">
      <c r="A8" s="11"/>
      <c r="B8" s="54"/>
      <c r="C8" s="54"/>
      <c r="D8" s="54"/>
      <c r="E8" s="50"/>
      <c r="F8" s="54"/>
      <c r="G8" s="54"/>
      <c r="H8" s="54"/>
      <c r="I8" s="54"/>
      <c r="J8" s="54"/>
      <c r="K8" s="54"/>
      <c r="L8" s="54"/>
      <c r="M8" s="54"/>
      <c r="N8" s="54"/>
      <c r="O8" s="54"/>
      <c r="P8" s="54"/>
      <c r="Q8" s="54"/>
      <c r="R8" s="54"/>
      <c r="S8" s="50"/>
      <c r="T8" s="50"/>
      <c r="U8" s="50"/>
    </row>
    <row r="9" spans="1:25" ht="18" x14ac:dyDescent="0.25">
      <c r="A9" s="11"/>
      <c r="B9" s="55" t="s">
        <v>95</v>
      </c>
      <c r="C9" s="56"/>
      <c r="D9" s="56"/>
      <c r="E9" s="50"/>
      <c r="F9" s="54" t="s">
        <v>169</v>
      </c>
      <c r="G9" s="54"/>
      <c r="H9" s="54"/>
      <c r="I9" s="54"/>
      <c r="J9" s="54"/>
      <c r="K9" s="54"/>
      <c r="L9" s="54"/>
      <c r="M9" s="54"/>
      <c r="N9" s="54"/>
      <c r="O9" s="54"/>
      <c r="P9" s="54"/>
      <c r="Q9" s="54"/>
      <c r="R9" s="54"/>
      <c r="S9" s="50"/>
      <c r="T9" s="50"/>
      <c r="U9" s="50"/>
    </row>
    <row r="10" spans="1:25" ht="15.75" x14ac:dyDescent="0.25">
      <c r="A10" s="11"/>
      <c r="B10" s="55"/>
      <c r="C10" s="54"/>
      <c r="D10" s="54"/>
      <c r="E10" s="50"/>
      <c r="F10" s="54" t="s">
        <v>170</v>
      </c>
      <c r="G10" s="54"/>
      <c r="H10" s="54"/>
      <c r="I10" s="54"/>
      <c r="J10" s="54"/>
      <c r="K10" s="54"/>
      <c r="L10" s="54"/>
      <c r="M10" s="54"/>
      <c r="N10" s="54"/>
      <c r="O10" s="54"/>
      <c r="P10" s="54"/>
      <c r="Q10" s="54"/>
      <c r="R10" s="54"/>
      <c r="S10" s="50"/>
      <c r="T10" s="50"/>
      <c r="U10" s="50"/>
    </row>
    <row r="11" spans="1:25" x14ac:dyDescent="0.25">
      <c r="A11" s="11"/>
      <c r="B11" s="57"/>
      <c r="C11" s="54"/>
      <c r="D11" s="54"/>
      <c r="E11" s="50"/>
      <c r="F11" s="54" t="s">
        <v>171</v>
      </c>
      <c r="G11" s="54"/>
      <c r="H11" s="54"/>
      <c r="I11" s="54"/>
      <c r="J11" s="54"/>
      <c r="K11" s="54"/>
      <c r="L11" s="54"/>
      <c r="M11" s="54"/>
      <c r="N11" s="54"/>
      <c r="O11" s="54"/>
      <c r="P11" s="54"/>
      <c r="Q11" s="54"/>
      <c r="R11" s="54"/>
      <c r="S11" s="50"/>
      <c r="T11" s="50"/>
      <c r="U11" s="50"/>
    </row>
    <row r="12" spans="1:25" x14ac:dyDescent="0.25">
      <c r="A12" s="11"/>
      <c r="B12" s="57"/>
      <c r="C12" s="54"/>
      <c r="D12" s="54"/>
      <c r="E12" s="50"/>
      <c r="F12" s="54"/>
      <c r="G12" s="54"/>
      <c r="H12" s="54"/>
      <c r="I12" s="54"/>
      <c r="J12" s="54"/>
      <c r="K12" s="54"/>
      <c r="L12" s="54"/>
      <c r="M12" s="54"/>
      <c r="N12" s="54"/>
      <c r="O12" s="54"/>
      <c r="P12" s="54"/>
      <c r="Q12" s="54"/>
      <c r="R12" s="54"/>
      <c r="S12" s="50"/>
      <c r="T12" s="50"/>
      <c r="U12" s="50"/>
    </row>
    <row r="13" spans="1:25" ht="31.5" customHeight="1" x14ac:dyDescent="0.25">
      <c r="A13" s="11"/>
      <c r="B13" s="111" t="s">
        <v>91</v>
      </c>
      <c r="C13" s="54"/>
      <c r="D13" s="54"/>
      <c r="E13" s="50"/>
      <c r="F13" s="136" t="s">
        <v>177</v>
      </c>
      <c r="G13" s="137"/>
      <c r="H13" s="137"/>
      <c r="I13" s="137"/>
      <c r="J13" s="137"/>
      <c r="K13" s="137"/>
      <c r="L13" s="137"/>
      <c r="M13" s="137"/>
      <c r="N13" s="137"/>
      <c r="O13" s="137"/>
      <c r="P13" s="137"/>
      <c r="Q13" s="137"/>
      <c r="R13" s="54"/>
      <c r="S13" s="50"/>
      <c r="T13" s="50"/>
      <c r="U13" s="50"/>
    </row>
    <row r="14" spans="1:25" x14ac:dyDescent="0.25">
      <c r="A14" s="11"/>
      <c r="B14" s="57"/>
      <c r="C14" s="54"/>
      <c r="D14" s="54"/>
      <c r="E14" s="50"/>
      <c r="F14" s="54"/>
      <c r="G14" s="54"/>
      <c r="H14" s="54"/>
      <c r="I14" s="54"/>
      <c r="J14" s="54"/>
      <c r="K14" s="54"/>
      <c r="L14" s="54"/>
      <c r="M14" s="54"/>
      <c r="N14" s="54"/>
      <c r="O14" s="54"/>
      <c r="P14" s="54"/>
      <c r="Q14" s="54"/>
      <c r="R14" s="54"/>
      <c r="S14" s="50"/>
      <c r="T14" s="50"/>
      <c r="U14" s="50"/>
    </row>
    <row r="15" spans="1:25" ht="15.75" x14ac:dyDescent="0.25">
      <c r="A15" s="11"/>
      <c r="B15" s="55" t="s">
        <v>92</v>
      </c>
      <c r="C15" s="54"/>
      <c r="D15" s="54"/>
      <c r="E15" s="50"/>
      <c r="F15" s="54" t="s">
        <v>178</v>
      </c>
      <c r="G15" s="54"/>
      <c r="H15" s="54"/>
      <c r="I15" s="54"/>
      <c r="J15" s="54"/>
      <c r="K15" s="54"/>
      <c r="L15" s="54"/>
      <c r="M15" s="54"/>
      <c r="N15" s="54"/>
      <c r="O15" s="54"/>
      <c r="P15" s="54"/>
      <c r="Q15" s="54"/>
      <c r="R15" s="54"/>
      <c r="S15" s="50"/>
      <c r="T15" s="50"/>
      <c r="U15" s="50"/>
    </row>
    <row r="16" spans="1:25" x14ac:dyDescent="0.25">
      <c r="A16" s="11"/>
      <c r="B16" s="57"/>
      <c r="C16" s="54"/>
      <c r="D16" s="54"/>
      <c r="E16" s="50"/>
      <c r="F16" s="54" t="s">
        <v>172</v>
      </c>
      <c r="G16" s="54"/>
      <c r="H16" s="54"/>
      <c r="I16" s="54"/>
      <c r="J16" s="54"/>
      <c r="K16" s="54"/>
      <c r="L16" s="54"/>
      <c r="M16" s="54"/>
      <c r="N16" s="54"/>
      <c r="O16" s="54"/>
      <c r="P16" s="54"/>
      <c r="Q16" s="54"/>
      <c r="R16" s="54"/>
      <c r="S16" s="50"/>
      <c r="T16" s="50"/>
      <c r="U16" s="50"/>
    </row>
    <row r="17" spans="1:21" x14ac:dyDescent="0.25">
      <c r="A17" s="11"/>
      <c r="B17" s="57"/>
      <c r="C17" s="54"/>
      <c r="D17" s="54"/>
      <c r="E17" s="50"/>
      <c r="F17" s="54"/>
      <c r="G17" s="54"/>
      <c r="H17" s="54"/>
      <c r="I17" s="54"/>
      <c r="J17" s="54"/>
      <c r="K17" s="54"/>
      <c r="L17" s="54"/>
      <c r="M17" s="54"/>
      <c r="N17" s="54"/>
      <c r="O17" s="54"/>
      <c r="P17" s="54"/>
      <c r="Q17" s="54"/>
      <c r="R17" s="54"/>
      <c r="S17" s="50"/>
      <c r="T17" s="50"/>
      <c r="U17" s="50"/>
    </row>
    <row r="18" spans="1:21" ht="15.75" x14ac:dyDescent="0.25">
      <c r="A18" s="11"/>
      <c r="B18" s="55" t="s">
        <v>93</v>
      </c>
      <c r="C18" s="54"/>
      <c r="D18" s="54"/>
      <c r="E18" s="50"/>
      <c r="F18" s="54" t="s">
        <v>173</v>
      </c>
      <c r="G18" s="54"/>
      <c r="H18" s="54"/>
      <c r="I18" s="54"/>
      <c r="J18" s="54"/>
      <c r="K18" s="54"/>
      <c r="L18" s="54"/>
      <c r="M18" s="54"/>
      <c r="N18" s="54"/>
      <c r="O18" s="54"/>
      <c r="P18" s="54"/>
      <c r="Q18" s="54"/>
      <c r="R18" s="54"/>
      <c r="S18" s="50"/>
      <c r="T18" s="50"/>
      <c r="U18" s="50"/>
    </row>
    <row r="19" spans="1:21" ht="15.75" x14ac:dyDescent="0.25">
      <c r="A19" s="11"/>
      <c r="B19" s="55"/>
      <c r="C19" s="54"/>
      <c r="D19" s="54"/>
      <c r="E19" s="50"/>
      <c r="F19" s="54"/>
      <c r="G19" s="54"/>
      <c r="H19" s="54"/>
      <c r="I19" s="54"/>
      <c r="J19" s="54"/>
      <c r="K19" s="54"/>
      <c r="L19" s="54"/>
      <c r="M19" s="54"/>
      <c r="N19" s="54"/>
      <c r="O19" s="54"/>
      <c r="P19" s="54"/>
      <c r="Q19" s="54"/>
      <c r="R19" s="54"/>
      <c r="S19" s="50"/>
      <c r="T19" s="50"/>
      <c r="U19" s="50"/>
    </row>
    <row r="20" spans="1:21" ht="15.75" x14ac:dyDescent="0.25">
      <c r="A20" s="11"/>
      <c r="B20" s="55" t="s">
        <v>165</v>
      </c>
      <c r="C20" s="54"/>
      <c r="D20" s="54"/>
      <c r="E20" s="50"/>
      <c r="F20" s="54" t="s">
        <v>166</v>
      </c>
      <c r="G20" s="54"/>
      <c r="H20" s="54"/>
      <c r="I20" s="54"/>
      <c r="J20" s="54"/>
      <c r="K20" s="54"/>
      <c r="L20" s="54"/>
      <c r="M20" s="54"/>
      <c r="N20" s="54"/>
      <c r="O20" s="54"/>
      <c r="P20" s="54"/>
      <c r="Q20" s="54"/>
      <c r="R20" s="54"/>
      <c r="S20" s="50"/>
      <c r="T20" s="50"/>
      <c r="U20" s="50"/>
    </row>
    <row r="21" spans="1:21" ht="15.75" x14ac:dyDescent="0.25">
      <c r="A21" s="11"/>
      <c r="B21" s="55"/>
      <c r="C21" s="54"/>
      <c r="D21" s="54"/>
      <c r="E21" s="50"/>
      <c r="F21" s="54"/>
      <c r="G21" s="54"/>
      <c r="H21" s="54"/>
      <c r="I21" s="54"/>
      <c r="J21" s="54"/>
      <c r="K21" s="54"/>
      <c r="L21" s="54"/>
      <c r="M21" s="54"/>
      <c r="N21" s="54"/>
      <c r="O21" s="54"/>
      <c r="P21" s="54"/>
      <c r="Q21" s="54"/>
      <c r="R21" s="54"/>
      <c r="S21" s="50"/>
      <c r="T21" s="50"/>
      <c r="U21" s="50"/>
    </row>
    <row r="22" spans="1:21" ht="15.75" x14ac:dyDescent="0.25">
      <c r="A22" s="11"/>
      <c r="B22" s="55" t="s">
        <v>88</v>
      </c>
      <c r="C22" s="54"/>
      <c r="D22" s="54"/>
      <c r="E22" s="50"/>
      <c r="F22" s="54" t="s">
        <v>168</v>
      </c>
      <c r="G22" s="54"/>
      <c r="H22" s="54"/>
      <c r="I22" s="54"/>
      <c r="J22" s="54"/>
      <c r="K22" s="54"/>
      <c r="L22" s="54"/>
      <c r="M22" s="54"/>
      <c r="N22" s="54"/>
      <c r="O22" s="54"/>
      <c r="P22" s="54"/>
      <c r="Q22" s="54"/>
      <c r="R22" s="54"/>
      <c r="S22" s="50"/>
      <c r="T22" s="50"/>
      <c r="U22" s="50"/>
    </row>
    <row r="23" spans="1:21" ht="15.75" x14ac:dyDescent="0.25">
      <c r="A23" s="11"/>
      <c r="B23" s="55"/>
      <c r="C23" s="54"/>
      <c r="D23" s="54"/>
      <c r="E23" s="50"/>
      <c r="F23" s="54" t="s">
        <v>167</v>
      </c>
      <c r="G23" s="54"/>
      <c r="H23" s="54"/>
      <c r="I23" s="54"/>
      <c r="J23" s="54"/>
      <c r="K23" s="54"/>
      <c r="L23" s="54"/>
      <c r="M23" s="54"/>
      <c r="N23" s="54"/>
      <c r="O23" s="54"/>
      <c r="P23" s="54"/>
      <c r="Q23" s="54"/>
      <c r="R23" s="54"/>
      <c r="S23" s="50"/>
      <c r="T23" s="50"/>
      <c r="U23" s="50"/>
    </row>
    <row r="24" spans="1:21" x14ac:dyDescent="0.25">
      <c r="A24" s="11"/>
      <c r="B24" s="57"/>
      <c r="C24" s="54"/>
      <c r="D24" s="54"/>
      <c r="E24" s="50"/>
      <c r="F24" s="54"/>
      <c r="G24" s="54"/>
      <c r="H24" s="54"/>
      <c r="I24" s="54"/>
      <c r="J24" s="54"/>
      <c r="K24" s="54"/>
      <c r="L24" s="54"/>
      <c r="M24" s="54"/>
      <c r="N24" s="54"/>
      <c r="O24" s="54"/>
      <c r="P24" s="54"/>
      <c r="Q24" s="54"/>
      <c r="R24" s="54"/>
      <c r="S24" s="50"/>
      <c r="T24" s="50"/>
      <c r="U24" s="50"/>
    </row>
    <row r="25" spans="1:21" ht="15.75" x14ac:dyDescent="0.25">
      <c r="A25" s="11"/>
      <c r="B25" s="55" t="s">
        <v>89</v>
      </c>
      <c r="C25" s="54"/>
      <c r="D25" s="54"/>
      <c r="E25" s="50"/>
      <c r="F25" s="54" t="s">
        <v>174</v>
      </c>
      <c r="G25" s="54"/>
      <c r="H25" s="54"/>
      <c r="I25" s="54"/>
      <c r="J25" s="54"/>
      <c r="K25" s="54"/>
      <c r="L25" s="54"/>
      <c r="M25" s="54"/>
      <c r="N25" s="54"/>
      <c r="O25" s="54"/>
      <c r="P25" s="54"/>
      <c r="Q25" s="54"/>
      <c r="R25" s="54"/>
      <c r="S25" s="50"/>
      <c r="T25" s="50"/>
      <c r="U25" s="50"/>
    </row>
    <row r="26" spans="1:21" ht="15.75" x14ac:dyDescent="0.25">
      <c r="A26" s="11"/>
      <c r="B26" s="55"/>
      <c r="C26" s="54"/>
      <c r="D26" s="54"/>
      <c r="E26" s="50"/>
      <c r="F26" s="54"/>
      <c r="G26" s="54"/>
      <c r="H26" s="54"/>
      <c r="I26" s="54"/>
      <c r="J26" s="54"/>
      <c r="K26" s="54"/>
      <c r="L26" s="54"/>
      <c r="M26" s="54"/>
      <c r="N26" s="54"/>
      <c r="O26" s="54"/>
      <c r="P26" s="54"/>
      <c r="Q26" s="54"/>
      <c r="R26" s="54"/>
      <c r="S26" s="50"/>
      <c r="T26" s="50"/>
      <c r="U26" s="50"/>
    </row>
    <row r="27" spans="1:21" ht="15.75" x14ac:dyDescent="0.25">
      <c r="A27" s="11"/>
      <c r="B27" s="55" t="s">
        <v>90</v>
      </c>
      <c r="C27" s="54"/>
      <c r="D27" s="54"/>
      <c r="E27" s="50"/>
      <c r="F27" s="54" t="s">
        <v>175</v>
      </c>
      <c r="G27" s="54"/>
      <c r="H27" s="54"/>
      <c r="I27" s="54"/>
      <c r="J27" s="54"/>
      <c r="K27" s="54"/>
      <c r="L27" s="54"/>
      <c r="M27" s="54"/>
      <c r="N27" s="54"/>
      <c r="O27" s="54"/>
      <c r="P27" s="54"/>
      <c r="Q27" s="54"/>
      <c r="R27" s="54"/>
      <c r="S27" s="50"/>
      <c r="T27" s="50"/>
      <c r="U27" s="50"/>
    </row>
    <row r="28" spans="1:21" x14ac:dyDescent="0.25">
      <c r="A28" s="11"/>
      <c r="B28" s="54"/>
      <c r="C28" s="54"/>
      <c r="D28" s="54"/>
      <c r="E28" s="50"/>
      <c r="F28" s="54"/>
      <c r="G28" s="54"/>
      <c r="H28" s="54"/>
      <c r="I28" s="54"/>
      <c r="J28" s="54"/>
      <c r="K28" s="54"/>
      <c r="L28" s="54"/>
      <c r="M28" s="54"/>
      <c r="N28" s="54"/>
      <c r="O28" s="54"/>
      <c r="P28" s="54"/>
      <c r="Q28" s="54"/>
      <c r="R28" s="54"/>
      <c r="S28" s="50"/>
      <c r="T28" s="50"/>
      <c r="U28" s="50"/>
    </row>
    <row r="29" spans="1:21" x14ac:dyDescent="0.25">
      <c r="A29" s="11"/>
      <c r="B29" s="50"/>
      <c r="C29" s="50"/>
      <c r="D29" s="50"/>
      <c r="E29" s="50"/>
      <c r="F29" s="50"/>
      <c r="G29" s="50"/>
      <c r="H29" s="50"/>
      <c r="I29" s="50"/>
      <c r="J29" s="50"/>
      <c r="K29" s="50"/>
      <c r="L29" s="50"/>
      <c r="M29" s="50"/>
      <c r="N29" s="50"/>
      <c r="O29" s="50"/>
      <c r="P29" s="50"/>
      <c r="Q29" s="50"/>
      <c r="R29" s="50"/>
      <c r="S29" s="50"/>
      <c r="T29" s="50"/>
      <c r="U29" s="50"/>
    </row>
    <row r="30" spans="1:21" x14ac:dyDescent="0.25">
      <c r="A30" s="11"/>
      <c r="B30" s="50"/>
      <c r="C30" s="50"/>
      <c r="D30" s="50"/>
      <c r="E30" s="50"/>
      <c r="F30" s="50"/>
      <c r="G30" s="50"/>
      <c r="H30" s="50"/>
      <c r="I30" s="50"/>
      <c r="J30" s="50"/>
      <c r="K30" s="50"/>
      <c r="L30" s="50"/>
      <c r="M30" s="50"/>
      <c r="N30" s="50"/>
      <c r="O30" s="50"/>
      <c r="P30" s="50"/>
      <c r="Q30" s="50"/>
      <c r="R30" s="50"/>
      <c r="S30" s="50"/>
      <c r="T30" s="50"/>
      <c r="U30" s="50"/>
    </row>
    <row r="31" spans="1:21" x14ac:dyDescent="0.25">
      <c r="A31" s="11"/>
      <c r="B31" s="50"/>
      <c r="C31" s="50"/>
      <c r="D31" s="50"/>
      <c r="E31" s="50"/>
      <c r="F31" s="50"/>
      <c r="G31" s="50"/>
      <c r="H31" s="50"/>
      <c r="I31" s="50"/>
      <c r="J31" s="50"/>
      <c r="K31" s="50"/>
      <c r="L31" s="50"/>
      <c r="M31" s="50"/>
      <c r="N31" s="50"/>
      <c r="O31" s="50"/>
      <c r="P31" s="50"/>
      <c r="Q31" s="50"/>
      <c r="R31" s="50"/>
      <c r="S31" s="50"/>
      <c r="T31" s="50"/>
      <c r="U31" s="50"/>
    </row>
    <row r="32" spans="1:21" x14ac:dyDescent="0.25">
      <c r="A32" s="11"/>
      <c r="B32" s="50"/>
      <c r="C32" s="50"/>
      <c r="D32" s="50"/>
      <c r="E32" s="50"/>
      <c r="F32" s="50"/>
      <c r="G32" s="50"/>
      <c r="H32" s="50"/>
      <c r="I32" s="50"/>
      <c r="J32" s="50"/>
      <c r="K32" s="50"/>
      <c r="L32" s="50"/>
      <c r="M32" s="50"/>
      <c r="N32" s="50"/>
      <c r="O32" s="50"/>
      <c r="P32" s="50"/>
      <c r="Q32" s="50"/>
      <c r="R32" s="50"/>
      <c r="S32" s="50"/>
      <c r="T32" s="50"/>
      <c r="U32" s="50"/>
    </row>
    <row r="33" spans="1:21" x14ac:dyDescent="0.25">
      <c r="A33" s="11"/>
      <c r="B33" s="50"/>
      <c r="C33" s="50"/>
      <c r="D33" s="50"/>
      <c r="E33" s="50"/>
      <c r="F33" s="50"/>
      <c r="G33" s="50"/>
      <c r="H33" s="50"/>
      <c r="I33" s="50"/>
      <c r="J33" s="50"/>
      <c r="K33" s="50"/>
      <c r="L33" s="50"/>
      <c r="M33" s="50"/>
      <c r="N33" s="50"/>
      <c r="O33" s="50"/>
      <c r="P33" s="50"/>
      <c r="Q33" s="50"/>
      <c r="R33" s="50"/>
      <c r="S33" s="50"/>
      <c r="T33" s="50"/>
      <c r="U33" s="50"/>
    </row>
    <row r="34" spans="1:21" x14ac:dyDescent="0.25">
      <c r="A34" s="11"/>
      <c r="B34" s="50"/>
      <c r="C34" s="50"/>
      <c r="D34" s="50"/>
      <c r="E34" s="50"/>
      <c r="F34" s="50"/>
      <c r="G34" s="50"/>
      <c r="H34" s="50"/>
      <c r="I34" s="50"/>
      <c r="J34" s="50"/>
      <c r="K34" s="50"/>
      <c r="L34" s="50"/>
      <c r="M34" s="50"/>
      <c r="N34" s="50"/>
      <c r="O34" s="50"/>
      <c r="P34" s="50"/>
      <c r="Q34" s="50"/>
      <c r="R34" s="50"/>
      <c r="S34" s="50"/>
      <c r="T34" s="50"/>
      <c r="U34" s="50"/>
    </row>
    <row r="35" spans="1:21" x14ac:dyDescent="0.25">
      <c r="A35" s="11"/>
      <c r="B35" s="50"/>
      <c r="C35" s="50"/>
      <c r="D35" s="50"/>
      <c r="E35" s="50"/>
      <c r="F35" s="50"/>
      <c r="G35" s="50"/>
      <c r="H35" s="50"/>
      <c r="I35" s="50"/>
      <c r="J35" s="50"/>
      <c r="K35" s="50"/>
      <c r="L35" s="50"/>
      <c r="M35" s="50"/>
      <c r="N35" s="50"/>
      <c r="O35" s="50"/>
      <c r="P35" s="50"/>
      <c r="Q35" s="50"/>
      <c r="R35" s="50"/>
      <c r="S35" s="50"/>
      <c r="T35" s="50"/>
      <c r="U35" s="50"/>
    </row>
    <row r="36" spans="1:21" x14ac:dyDescent="0.25">
      <c r="A36" s="11"/>
      <c r="B36" s="50"/>
      <c r="C36" s="50"/>
      <c r="D36" s="50"/>
      <c r="E36" s="50"/>
      <c r="F36" s="50"/>
      <c r="G36" s="50"/>
      <c r="H36" s="50"/>
      <c r="I36" s="50"/>
      <c r="J36" s="50"/>
      <c r="K36" s="50"/>
      <c r="L36" s="50"/>
      <c r="M36" s="50"/>
      <c r="N36" s="50"/>
      <c r="O36" s="50"/>
      <c r="P36" s="50"/>
      <c r="Q36" s="50"/>
      <c r="R36" s="50"/>
      <c r="S36" s="50"/>
      <c r="T36" s="50"/>
      <c r="U36" s="50"/>
    </row>
    <row r="37" spans="1:21" x14ac:dyDescent="0.25">
      <c r="A37" s="11"/>
      <c r="B37" s="11"/>
      <c r="C37" s="11"/>
      <c r="D37" s="11"/>
      <c r="E37" s="11"/>
      <c r="F37" s="11"/>
      <c r="G37" s="11"/>
      <c r="H37" s="11"/>
      <c r="I37" s="11"/>
      <c r="J37" s="11"/>
      <c r="K37" s="11"/>
      <c r="L37" s="11"/>
      <c r="M37" s="11"/>
      <c r="N37" s="11"/>
      <c r="O37" s="11"/>
      <c r="P37" s="11"/>
      <c r="Q37" s="11"/>
      <c r="R37" s="11"/>
      <c r="S37" s="11"/>
      <c r="T37" s="11"/>
      <c r="U37" s="11"/>
    </row>
    <row r="38" spans="1:21" x14ac:dyDescent="0.25">
      <c r="A38" s="11"/>
      <c r="B38" s="11"/>
      <c r="C38" s="11"/>
      <c r="D38" s="11"/>
      <c r="E38" s="11"/>
      <c r="F38" s="11"/>
      <c r="G38" s="11"/>
      <c r="H38" s="11"/>
      <c r="I38" s="11"/>
      <c r="J38" s="11"/>
      <c r="K38" s="11"/>
      <c r="L38" s="11"/>
      <c r="M38" s="11"/>
      <c r="N38" s="11"/>
      <c r="O38" s="11"/>
      <c r="P38" s="11"/>
      <c r="Q38" s="11"/>
      <c r="R38" s="11"/>
      <c r="S38" s="11"/>
      <c r="T38" s="11"/>
      <c r="U38" s="11"/>
    </row>
    <row r="39" spans="1:21" x14ac:dyDescent="0.25">
      <c r="A39" s="11"/>
      <c r="B39" s="11"/>
      <c r="C39" s="11"/>
      <c r="D39" s="11"/>
      <c r="E39" s="11"/>
      <c r="F39" s="11"/>
      <c r="G39" s="11"/>
      <c r="H39" s="11"/>
      <c r="I39" s="11"/>
      <c r="J39" s="11"/>
      <c r="K39" s="11"/>
      <c r="L39" s="11"/>
      <c r="M39" s="11"/>
      <c r="N39" s="11"/>
      <c r="O39" s="11"/>
      <c r="P39" s="11"/>
      <c r="Q39" s="11"/>
      <c r="R39" s="11"/>
      <c r="S39" s="11"/>
      <c r="T39" s="11"/>
      <c r="U39" s="11"/>
    </row>
    <row r="40" spans="1:21" x14ac:dyDescent="0.25">
      <c r="A40" s="11"/>
      <c r="B40" s="11"/>
      <c r="C40" s="11"/>
      <c r="D40" s="11"/>
      <c r="E40" s="11"/>
      <c r="F40" s="11"/>
      <c r="G40" s="11"/>
      <c r="H40" s="11"/>
      <c r="I40" s="11"/>
      <c r="J40" s="11"/>
      <c r="K40" s="11"/>
      <c r="L40" s="11"/>
      <c r="M40" s="11"/>
      <c r="N40" s="11"/>
      <c r="O40" s="11"/>
      <c r="P40" s="11"/>
      <c r="Q40" s="11"/>
      <c r="R40" s="11"/>
      <c r="S40" s="11"/>
      <c r="T40" s="11"/>
      <c r="U40" s="11"/>
    </row>
    <row r="41" spans="1:21" x14ac:dyDescent="0.25">
      <c r="A41" s="11"/>
      <c r="B41" s="11"/>
      <c r="C41" s="11"/>
      <c r="D41" s="11"/>
      <c r="E41" s="11"/>
      <c r="F41" s="11"/>
      <c r="G41" s="11"/>
      <c r="H41" s="11"/>
      <c r="I41" s="11"/>
      <c r="J41" s="11"/>
      <c r="K41" s="11"/>
      <c r="L41" s="11"/>
      <c r="M41" s="11"/>
      <c r="N41" s="11"/>
      <c r="O41" s="11"/>
      <c r="P41" s="11"/>
      <c r="Q41" s="11"/>
      <c r="R41" s="11"/>
      <c r="S41" s="11"/>
      <c r="T41" s="11"/>
      <c r="U41" s="11"/>
    </row>
    <row r="42" spans="1:21" x14ac:dyDescent="0.25">
      <c r="A42" s="11"/>
      <c r="B42" s="11"/>
      <c r="C42" s="11"/>
      <c r="D42" s="11"/>
      <c r="E42" s="11"/>
      <c r="F42" s="11"/>
      <c r="G42" s="11"/>
      <c r="H42" s="11"/>
      <c r="I42" s="11"/>
      <c r="J42" s="11"/>
      <c r="K42" s="11"/>
      <c r="L42" s="11"/>
      <c r="M42" s="11"/>
      <c r="N42" s="11"/>
      <c r="O42" s="11"/>
      <c r="P42" s="11"/>
      <c r="Q42" s="11"/>
      <c r="R42" s="11"/>
      <c r="S42" s="11"/>
      <c r="T42" s="11"/>
      <c r="U42" s="11"/>
    </row>
    <row r="43" spans="1:21" x14ac:dyDescent="0.25">
      <c r="A43" s="11"/>
      <c r="B43" s="11"/>
      <c r="C43" s="11"/>
      <c r="D43" s="11"/>
      <c r="E43" s="11"/>
      <c r="F43" s="11"/>
      <c r="G43" s="11"/>
      <c r="H43" s="11"/>
      <c r="I43" s="11"/>
      <c r="J43" s="11"/>
      <c r="K43" s="11"/>
      <c r="L43" s="11"/>
      <c r="M43" s="11"/>
      <c r="N43" s="11"/>
      <c r="O43" s="11"/>
      <c r="P43" s="11"/>
      <c r="Q43" s="11"/>
      <c r="R43" s="11"/>
      <c r="S43" s="11"/>
      <c r="T43" s="11"/>
      <c r="U43" s="11"/>
    </row>
    <row r="44" spans="1:21" x14ac:dyDescent="0.25">
      <c r="A44" s="11"/>
      <c r="B44" s="11"/>
      <c r="C44" s="11"/>
      <c r="D44" s="11"/>
      <c r="E44" s="11"/>
      <c r="F44" s="11"/>
      <c r="G44" s="11"/>
      <c r="H44" s="11"/>
      <c r="I44" s="11"/>
      <c r="J44" s="11"/>
      <c r="K44" s="11"/>
      <c r="L44" s="11"/>
      <c r="M44" s="11"/>
      <c r="N44" s="11"/>
      <c r="O44" s="11"/>
      <c r="P44" s="11"/>
      <c r="Q44" s="11"/>
      <c r="R44" s="11"/>
      <c r="S44" s="11"/>
      <c r="T44" s="11"/>
      <c r="U44" s="11"/>
    </row>
  </sheetData>
  <sheetProtection password="D997" sheet="1" objects="1" scenarios="1" selectLockedCells="1" selectUnlockedCells="1"/>
  <mergeCells count="4">
    <mergeCell ref="A1:U3"/>
    <mergeCell ref="A4:Y4"/>
    <mergeCell ref="B7:D7"/>
    <mergeCell ref="F13:Q1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77"/>
  <sheetViews>
    <sheetView topLeftCell="A15" zoomScale="75" zoomScaleNormal="75" workbookViewId="0">
      <selection activeCell="K15" sqref="K15"/>
    </sheetView>
  </sheetViews>
  <sheetFormatPr defaultRowHeight="15" x14ac:dyDescent="0.25"/>
  <cols>
    <col min="4" max="4" width="11" bestFit="1" customWidth="1"/>
    <col min="6" max="6" width="10.5703125" bestFit="1" customWidth="1"/>
    <col min="7" max="7" width="10.5703125" customWidth="1"/>
    <col min="11" max="11" width="13.140625" customWidth="1"/>
    <col min="12" max="12" width="13.28515625" customWidth="1"/>
    <col min="14" max="14" width="9.5703125" bestFit="1" customWidth="1"/>
    <col min="15" max="15" width="10.5703125" bestFit="1" customWidth="1"/>
    <col min="16" max="16" width="11.28515625" bestFit="1" customWidth="1"/>
    <col min="17" max="17" width="10.28515625" customWidth="1"/>
    <col min="18" max="18" width="9.5703125" customWidth="1"/>
  </cols>
  <sheetData>
    <row r="1" spans="1:31" s="15" customFormat="1" x14ac:dyDescent="0.25"/>
    <row r="2" spans="1:31" s="15" customFormat="1" ht="31.5" x14ac:dyDescent="0.5">
      <c r="H2" s="25" t="s">
        <v>59</v>
      </c>
    </row>
    <row r="3" spans="1:31" s="26" customFormat="1" x14ac:dyDescent="0.25"/>
    <row r="4" spans="1:31" x14ac:dyDescent="0.25">
      <c r="D4" t="s">
        <v>26</v>
      </c>
      <c r="E4" t="s">
        <v>27</v>
      </c>
    </row>
    <row r="5" spans="1:31" x14ac:dyDescent="0.25">
      <c r="A5" t="s">
        <v>28</v>
      </c>
      <c r="B5" t="s">
        <v>29</v>
      </c>
      <c r="C5" t="s">
        <v>30</v>
      </c>
    </row>
    <row r="6" spans="1:31" x14ac:dyDescent="0.25">
      <c r="A6">
        <v>7</v>
      </c>
      <c r="B6" s="2" t="s">
        <v>31</v>
      </c>
      <c r="C6" s="8">
        <f>1/A6</f>
        <v>0.14285714285714285</v>
      </c>
      <c r="D6" s="4">
        <f>FEgain</f>
        <v>4200</v>
      </c>
      <c r="E6" s="6" t="s">
        <v>38</v>
      </c>
    </row>
    <row r="7" spans="1:31" x14ac:dyDescent="0.25">
      <c r="A7">
        <v>5</v>
      </c>
      <c r="B7" s="2" t="s">
        <v>32</v>
      </c>
      <c r="C7" s="8">
        <f t="shared" ref="C7:C9" si="0">1/A7</f>
        <v>0.2</v>
      </c>
      <c r="D7" s="4">
        <f>IF(Gsel=0,7,(IF(Gsel=1,5,"ERROR")))</f>
        <v>7</v>
      </c>
      <c r="E7" s="5" t="s">
        <v>14</v>
      </c>
      <c r="F7" t="s">
        <v>43</v>
      </c>
    </row>
    <row r="8" spans="1:31" x14ac:dyDescent="0.25">
      <c r="A8">
        <v>3</v>
      </c>
      <c r="B8" s="2" t="s">
        <v>33</v>
      </c>
      <c r="C8" s="8">
        <f t="shared" si="0"/>
        <v>0.33333333333333331</v>
      </c>
      <c r="D8" s="4">
        <v>500000</v>
      </c>
      <c r="E8" t="s">
        <v>40</v>
      </c>
      <c r="F8" t="s">
        <v>42</v>
      </c>
    </row>
    <row r="9" spans="1:31" x14ac:dyDescent="0.25">
      <c r="A9">
        <v>1</v>
      </c>
      <c r="B9" s="2" t="s">
        <v>34</v>
      </c>
      <c r="C9" s="8">
        <f t="shared" si="0"/>
        <v>1</v>
      </c>
      <c r="D9" s="4">
        <v>75000</v>
      </c>
      <c r="E9" t="s">
        <v>40</v>
      </c>
      <c r="F9" s="6" t="s">
        <v>41</v>
      </c>
      <c r="G9" s="6"/>
    </row>
    <row r="10" spans="1:31" x14ac:dyDescent="0.25">
      <c r="F10" s="5"/>
      <c r="G10" s="5"/>
    </row>
    <row r="12" spans="1:31" x14ac:dyDescent="0.25">
      <c r="D12" s="5"/>
      <c r="E12" s="5"/>
      <c r="F12" s="5"/>
      <c r="G12" s="5"/>
    </row>
    <row r="13" spans="1:31" x14ac:dyDescent="0.25">
      <c r="C13" s="2"/>
      <c r="D13" s="22" t="s">
        <v>2</v>
      </c>
      <c r="E13" s="22" t="s">
        <v>0</v>
      </c>
      <c r="F13" s="22" t="s">
        <v>45</v>
      </c>
      <c r="G13" s="22" t="s">
        <v>3</v>
      </c>
      <c r="H13" s="22" t="s">
        <v>3</v>
      </c>
      <c r="I13" s="22" t="s">
        <v>39</v>
      </c>
      <c r="J13" s="22" t="s">
        <v>39</v>
      </c>
      <c r="K13" s="3" t="s">
        <v>49</v>
      </c>
      <c r="L13" s="22" t="s">
        <v>49</v>
      </c>
      <c r="N13" s="3" t="s">
        <v>4</v>
      </c>
      <c r="O13" s="3" t="s">
        <v>4</v>
      </c>
      <c r="P13" s="3" t="s">
        <v>4</v>
      </c>
      <c r="Q13" s="3" t="s">
        <v>36</v>
      </c>
      <c r="R13" s="10"/>
      <c r="S13" s="12"/>
      <c r="T13" s="12"/>
      <c r="U13" s="12"/>
      <c r="V13" s="12"/>
      <c r="W13" s="12"/>
      <c r="X13" s="12"/>
      <c r="Y13" s="12"/>
      <c r="Z13" s="12"/>
      <c r="AA13" s="12"/>
      <c r="AB13" s="12"/>
      <c r="AC13" s="12"/>
      <c r="AD13" s="12"/>
      <c r="AE13" s="12"/>
    </row>
    <row r="14" spans="1:31" x14ac:dyDescent="0.25">
      <c r="B14" t="s">
        <v>1</v>
      </c>
      <c r="D14" s="22" t="s">
        <v>38</v>
      </c>
      <c r="E14" s="22" t="s">
        <v>44</v>
      </c>
      <c r="F14" s="22" t="s">
        <v>46</v>
      </c>
      <c r="G14" s="22" t="s">
        <v>48</v>
      </c>
      <c r="H14" s="22" t="s">
        <v>47</v>
      </c>
      <c r="I14" s="22" t="s">
        <v>46</v>
      </c>
      <c r="J14" s="22" t="s">
        <v>51</v>
      </c>
      <c r="K14" s="3" t="s">
        <v>38</v>
      </c>
      <c r="L14" s="22" t="s">
        <v>50</v>
      </c>
      <c r="N14" s="3" t="s">
        <v>6</v>
      </c>
      <c r="O14" s="3" t="s">
        <v>5</v>
      </c>
      <c r="P14" s="3" t="s">
        <v>0</v>
      </c>
      <c r="Q14" s="3" t="s">
        <v>7</v>
      </c>
      <c r="R14" s="10"/>
      <c r="S14" s="12"/>
      <c r="T14" s="12"/>
      <c r="U14" s="12"/>
      <c r="V14" s="12"/>
      <c r="W14" s="12"/>
      <c r="X14" s="12"/>
      <c r="Y14" s="12"/>
      <c r="Z14" s="12"/>
      <c r="AA14" s="12"/>
      <c r="AB14" s="12"/>
      <c r="AC14" s="12"/>
      <c r="AD14" s="12"/>
      <c r="AE14" s="12"/>
    </row>
    <row r="15" spans="1:31" x14ac:dyDescent="0.25">
      <c r="B15">
        <v>1</v>
      </c>
      <c r="D15" s="21">
        <f>FEgain*($D$9/$D$7)/$B15</f>
        <v>45000000</v>
      </c>
      <c r="E15" s="1">
        <f t="shared" ref="E15:E46" si="1">(1/SeriesResistance)/SQRT(1+(2*PI()*$B15*Inductance/SeriesResistance)^2)</f>
        <v>7.99999999999991E-3</v>
      </c>
      <c r="F15" s="13">
        <f>D15*E15</f>
        <v>359999.99999999593</v>
      </c>
      <c r="G15" s="13">
        <f>F15/CCgain</f>
        <v>29508.196721311142</v>
      </c>
      <c r="H15" s="21">
        <f>20*LOG10(G15)</f>
        <v>89.398853401850687</v>
      </c>
      <c r="I15" s="13">
        <f t="shared" ref="I15:I46" si="2">CCgain/SQRT(1+(CCgain/F15)^2)</f>
        <v>12.199999992994412</v>
      </c>
      <c r="J15" s="13">
        <f>20*LOG10(I15)</f>
        <v>21.727196608507278</v>
      </c>
      <c r="K15" s="21">
        <f t="shared" ref="K15:K46" si="3">Shunt*GainDiffAmp*I15</f>
        <v>1219.9999992994412</v>
      </c>
      <c r="L15" s="13">
        <f>20*LOG10(K15)</f>
        <v>61.727196608507278</v>
      </c>
      <c r="N15" s="9">
        <f>-90</f>
        <v>-90</v>
      </c>
      <c r="O15">
        <f t="shared" ref="O15:O46" si="4">-360*$B15/$D$8</f>
        <v>-7.2000000000000005E-4</v>
      </c>
      <c r="P15" s="7">
        <f t="shared" ref="P15:P46" si="5">-ATAN(2*PI()*$B15/(SeriesResistance/Inductance))*(180/PI())</f>
        <v>-8.6399999999999359E-6</v>
      </c>
      <c r="Q15" s="13">
        <f>SUM(N15:P15)</f>
        <v>-90.000728640000005</v>
      </c>
      <c r="S15" s="12"/>
      <c r="T15" s="12"/>
      <c r="U15" s="12"/>
      <c r="V15" s="12"/>
      <c r="W15" s="12"/>
      <c r="X15" s="12"/>
      <c r="Y15" s="12"/>
      <c r="Z15" s="12"/>
      <c r="AA15" s="12"/>
      <c r="AB15" s="12"/>
      <c r="AC15" s="12"/>
      <c r="AD15" s="12"/>
      <c r="AE15" s="12"/>
    </row>
    <row r="16" spans="1:31" x14ac:dyDescent="0.25">
      <c r="B16">
        <v>2</v>
      </c>
      <c r="D16" s="21">
        <f t="shared" ref="D16:D77" si="6">FEgain*($D$9/$D$7)/$B16</f>
        <v>22500000</v>
      </c>
      <c r="E16" s="1">
        <f t="shared" si="1"/>
        <v>7.9999999999996359E-3</v>
      </c>
      <c r="F16" s="13">
        <f t="shared" ref="F16:F77" si="7">D16*E16</f>
        <v>179999.99999999179</v>
      </c>
      <c r="G16" s="13">
        <f t="shared" ref="G16:G77" si="8">F16/CCgain</f>
        <v>14754.098360655065</v>
      </c>
      <c r="H16" s="21">
        <f t="shared" ref="H16:H77" si="9">20*LOG10(G16)</f>
        <v>83.378253488570749</v>
      </c>
      <c r="I16" s="13">
        <f t="shared" si="2"/>
        <v>12.199999971977654</v>
      </c>
      <c r="J16" s="13">
        <f t="shared" ref="J16:J77" si="10">20*LOG10(I16)</f>
        <v>21.727196593544225</v>
      </c>
      <c r="K16" s="21">
        <f t="shared" si="3"/>
        <v>1219.9999971977654</v>
      </c>
      <c r="L16" s="13">
        <f t="shared" ref="L16:L77" si="11">20*LOG10(K16)</f>
        <v>61.727196593544221</v>
      </c>
      <c r="N16" s="9">
        <f t="shared" ref="N16:N77" si="12">-90</f>
        <v>-90</v>
      </c>
      <c r="O16">
        <f t="shared" si="4"/>
        <v>-1.4400000000000001E-3</v>
      </c>
      <c r="P16" s="7">
        <f t="shared" si="5"/>
        <v>-1.7279999999999475E-5</v>
      </c>
      <c r="Q16" s="13">
        <f t="shared" ref="Q16:Q77" si="13">SUM(N16:P16)</f>
        <v>-90.001457279999997</v>
      </c>
      <c r="S16" s="12"/>
      <c r="T16" s="12"/>
      <c r="U16" s="12"/>
      <c r="V16" s="12"/>
      <c r="W16" s="12"/>
      <c r="X16" s="12"/>
      <c r="Y16" s="12"/>
      <c r="Z16" s="12"/>
      <c r="AA16" s="12"/>
      <c r="AB16" s="12"/>
      <c r="AC16" s="12"/>
      <c r="AD16" s="12"/>
      <c r="AE16" s="12"/>
    </row>
    <row r="17" spans="2:31" x14ac:dyDescent="0.25">
      <c r="B17">
        <v>3</v>
      </c>
      <c r="D17" s="21">
        <f t="shared" si="6"/>
        <v>15000000</v>
      </c>
      <c r="E17" s="1">
        <f t="shared" si="1"/>
        <v>7.9999999999991814E-3</v>
      </c>
      <c r="F17" s="13">
        <f t="shared" si="7"/>
        <v>119999.99999998772</v>
      </c>
      <c r="G17" s="13">
        <f t="shared" si="8"/>
        <v>9836.0655737694851</v>
      </c>
      <c r="H17" s="21">
        <f t="shared" si="9"/>
        <v>79.856428307456639</v>
      </c>
      <c r="I17" s="13">
        <f t="shared" si="2"/>
        <v>12.199999936949721</v>
      </c>
      <c r="J17" s="13">
        <f t="shared" si="10"/>
        <v>21.727196568605805</v>
      </c>
      <c r="K17" s="21">
        <f t="shared" si="3"/>
        <v>1219.9999936949721</v>
      </c>
      <c r="L17" s="13">
        <f t="shared" si="11"/>
        <v>61.727196568605798</v>
      </c>
      <c r="N17" s="9">
        <f t="shared" si="12"/>
        <v>-90</v>
      </c>
      <c r="O17">
        <f t="shared" si="4"/>
        <v>-2.16E-3</v>
      </c>
      <c r="P17" s="7">
        <f t="shared" si="5"/>
        <v>-2.5919999999998234E-5</v>
      </c>
      <c r="Q17" s="13">
        <f t="shared" si="13"/>
        <v>-90.002185920000002</v>
      </c>
      <c r="S17" s="12"/>
      <c r="T17" s="12"/>
      <c r="U17" s="12"/>
      <c r="V17" s="12"/>
      <c r="W17" s="12"/>
      <c r="X17" s="12"/>
      <c r="Y17" s="12"/>
      <c r="Z17" s="12"/>
      <c r="AA17" s="12"/>
      <c r="AB17" s="12"/>
      <c r="AC17" s="12"/>
      <c r="AD17" s="12"/>
      <c r="AE17" s="12"/>
    </row>
    <row r="18" spans="2:31" x14ac:dyDescent="0.25">
      <c r="B18">
        <v>4</v>
      </c>
      <c r="D18" s="21">
        <f t="shared" si="6"/>
        <v>11250000</v>
      </c>
      <c r="E18" s="1">
        <f t="shared" si="1"/>
        <v>7.999999999998543E-3</v>
      </c>
      <c r="F18" s="13">
        <f t="shared" si="7"/>
        <v>89999.999999983615</v>
      </c>
      <c r="G18" s="13">
        <f t="shared" si="8"/>
        <v>7377.0491803265259</v>
      </c>
      <c r="H18" s="21">
        <f t="shared" si="9"/>
        <v>77.357653575289959</v>
      </c>
      <c r="I18" s="13">
        <f t="shared" si="2"/>
        <v>12.19999988791062</v>
      </c>
      <c r="J18" s="13">
        <f t="shared" si="10"/>
        <v>21.727196533692013</v>
      </c>
      <c r="K18" s="21">
        <f t="shared" si="3"/>
        <v>1219.9999887910619</v>
      </c>
      <c r="L18" s="13">
        <f t="shared" si="11"/>
        <v>61.727196533692009</v>
      </c>
      <c r="N18" s="9">
        <f t="shared" si="12"/>
        <v>-90</v>
      </c>
      <c r="O18">
        <f t="shared" si="4"/>
        <v>-2.8800000000000002E-3</v>
      </c>
      <c r="P18" s="7">
        <f t="shared" si="5"/>
        <v>-3.4559999999995813E-5</v>
      </c>
      <c r="Q18" s="13">
        <f t="shared" si="13"/>
        <v>-90.002914560000008</v>
      </c>
      <c r="S18" s="12"/>
      <c r="T18" s="12"/>
      <c r="U18" s="12"/>
      <c r="V18" s="12"/>
      <c r="W18" s="12"/>
      <c r="X18" s="12"/>
      <c r="Y18" s="12"/>
      <c r="Z18" s="12"/>
      <c r="AA18" s="12"/>
      <c r="AB18" s="12"/>
      <c r="AC18" s="12"/>
      <c r="AD18" s="12"/>
      <c r="AE18" s="12"/>
    </row>
    <row r="19" spans="2:31" x14ac:dyDescent="0.25">
      <c r="B19">
        <v>5</v>
      </c>
      <c r="D19" s="21">
        <f t="shared" si="6"/>
        <v>9000000</v>
      </c>
      <c r="E19" s="1">
        <f t="shared" si="1"/>
        <v>7.9999999999977259E-3</v>
      </c>
      <c r="F19" s="13">
        <f t="shared" si="7"/>
        <v>71999.99999997954</v>
      </c>
      <c r="G19" s="13">
        <f t="shared" si="8"/>
        <v>5901.6393442606186</v>
      </c>
      <c r="H19" s="21">
        <f t="shared" si="9"/>
        <v>75.419453315127939</v>
      </c>
      <c r="I19" s="13">
        <f t="shared" si="2"/>
        <v>12.199999824860344</v>
      </c>
      <c r="J19" s="13">
        <f t="shared" si="10"/>
        <v>21.727196488802853</v>
      </c>
      <c r="K19" s="21">
        <f t="shared" si="3"/>
        <v>1219.9999824860345</v>
      </c>
      <c r="L19" s="13">
        <f t="shared" si="11"/>
        <v>61.727196488802853</v>
      </c>
      <c r="N19" s="9">
        <f t="shared" si="12"/>
        <v>-90</v>
      </c>
      <c r="O19">
        <f t="shared" si="4"/>
        <v>-3.5999999999999999E-3</v>
      </c>
      <c r="P19" s="7">
        <f t="shared" si="5"/>
        <v>-4.3199999999991821E-5</v>
      </c>
      <c r="Q19" s="13">
        <f t="shared" si="13"/>
        <v>-90.003643199999999</v>
      </c>
      <c r="S19" s="12"/>
      <c r="T19" s="12"/>
      <c r="U19" s="12"/>
      <c r="V19" s="12"/>
      <c r="W19" s="12"/>
      <c r="X19" s="12"/>
      <c r="Y19" s="12"/>
      <c r="Z19" s="12"/>
      <c r="AA19" s="12"/>
      <c r="AB19" s="12"/>
      <c r="AC19" s="12"/>
      <c r="AD19" s="12"/>
      <c r="AE19" s="12"/>
    </row>
    <row r="20" spans="2:31" x14ac:dyDescent="0.25">
      <c r="B20">
        <v>6</v>
      </c>
      <c r="D20" s="21">
        <f t="shared" si="6"/>
        <v>7500000</v>
      </c>
      <c r="E20" s="1">
        <f t="shared" si="1"/>
        <v>7.999999999996725E-3</v>
      </c>
      <c r="F20" s="13">
        <f t="shared" si="7"/>
        <v>59999.999999975436</v>
      </c>
      <c r="G20" s="13">
        <f t="shared" si="8"/>
        <v>4918.0327868832328</v>
      </c>
      <c r="H20" s="21">
        <f t="shared" si="9"/>
        <v>73.835828394174357</v>
      </c>
      <c r="I20" s="13">
        <f t="shared" si="2"/>
        <v>12.199999747798895</v>
      </c>
      <c r="J20" s="13">
        <f t="shared" si="10"/>
        <v>21.727196433938328</v>
      </c>
      <c r="K20" s="21">
        <f t="shared" si="3"/>
        <v>1219.9999747798895</v>
      </c>
      <c r="L20" s="13">
        <f t="shared" si="11"/>
        <v>61.727196433938325</v>
      </c>
      <c r="N20" s="9">
        <f t="shared" si="12"/>
        <v>-90</v>
      </c>
      <c r="O20">
        <f t="shared" si="4"/>
        <v>-4.3200000000000001E-3</v>
      </c>
      <c r="P20" s="7">
        <f t="shared" si="5"/>
        <v>-5.1839999999985856E-5</v>
      </c>
      <c r="Q20" s="13">
        <f t="shared" si="13"/>
        <v>-90.004371840000005</v>
      </c>
      <c r="S20" s="12"/>
      <c r="T20" s="12"/>
      <c r="U20" s="12"/>
      <c r="V20" s="12"/>
      <c r="W20" s="12"/>
      <c r="X20" s="12"/>
      <c r="Y20" s="12"/>
      <c r="Z20" s="12"/>
      <c r="AA20" s="12"/>
      <c r="AB20" s="12"/>
      <c r="AC20" s="12"/>
      <c r="AD20" s="12"/>
      <c r="AE20" s="12"/>
    </row>
    <row r="21" spans="2:31" x14ac:dyDescent="0.25">
      <c r="B21">
        <v>7</v>
      </c>
      <c r="D21" s="21">
        <f t="shared" si="6"/>
        <v>6428571.4285714282</v>
      </c>
      <c r="E21" s="1">
        <f t="shared" si="1"/>
        <v>7.9999999999955437E-3</v>
      </c>
      <c r="F21" s="13">
        <f t="shared" si="7"/>
        <v>51428.571428542775</v>
      </c>
      <c r="G21" s="13">
        <f t="shared" si="8"/>
        <v>4215.4566744707199</v>
      </c>
      <c r="H21" s="21">
        <f t="shared" si="9"/>
        <v>72.496892601560802</v>
      </c>
      <c r="I21" s="13">
        <f t="shared" si="2"/>
        <v>12.199999656726279</v>
      </c>
      <c r="J21" s="13">
        <f t="shared" si="10"/>
        <v>21.727196369098433</v>
      </c>
      <c r="K21" s="21">
        <f t="shared" si="3"/>
        <v>1219.9999656726279</v>
      </c>
      <c r="L21" s="13">
        <f t="shared" si="11"/>
        <v>61.727196369098429</v>
      </c>
      <c r="N21" s="9">
        <f t="shared" si="12"/>
        <v>-90</v>
      </c>
      <c r="O21">
        <f t="shared" si="4"/>
        <v>-5.0400000000000002E-3</v>
      </c>
      <c r="P21" s="7">
        <f t="shared" si="5"/>
        <v>-6.047999999997754E-5</v>
      </c>
      <c r="Q21" s="13">
        <f t="shared" si="13"/>
        <v>-90.005100479999996</v>
      </c>
      <c r="S21" s="12"/>
      <c r="T21" s="12"/>
      <c r="U21" s="12"/>
      <c r="V21" s="12"/>
      <c r="W21" s="12"/>
      <c r="X21" s="12"/>
      <c r="Y21" s="12"/>
      <c r="Z21" s="12"/>
      <c r="AA21" s="12"/>
      <c r="AB21" s="12"/>
      <c r="AC21" s="12"/>
      <c r="AD21" s="12"/>
      <c r="AE21" s="12"/>
    </row>
    <row r="22" spans="2:31" x14ac:dyDescent="0.25">
      <c r="B22">
        <v>8</v>
      </c>
      <c r="D22" s="21">
        <f t="shared" si="6"/>
        <v>5625000</v>
      </c>
      <c r="E22" s="1">
        <f t="shared" si="1"/>
        <v>7.9999999999941784E-3</v>
      </c>
      <c r="F22" s="13">
        <f t="shared" si="7"/>
        <v>44999.999999967251</v>
      </c>
      <c r="G22" s="13">
        <f t="shared" si="8"/>
        <v>3688.5245901612502</v>
      </c>
      <c r="H22" s="21">
        <f t="shared" si="9"/>
        <v>71.337053662005587</v>
      </c>
      <c r="I22" s="13">
        <f t="shared" si="2"/>
        <v>12.199999551642494</v>
      </c>
      <c r="J22" s="13">
        <f t="shared" si="10"/>
        <v>21.727196294283168</v>
      </c>
      <c r="K22" s="21">
        <f t="shared" si="3"/>
        <v>1219.9999551642493</v>
      </c>
      <c r="L22" s="13">
        <f t="shared" si="11"/>
        <v>61.727196294283175</v>
      </c>
      <c r="N22" s="9">
        <f t="shared" si="12"/>
        <v>-90</v>
      </c>
      <c r="O22">
        <f t="shared" si="4"/>
        <v>-5.7600000000000004E-3</v>
      </c>
      <c r="P22" s="7">
        <f t="shared" si="5"/>
        <v>-6.9119999999966473E-5</v>
      </c>
      <c r="Q22" s="13">
        <f t="shared" si="13"/>
        <v>-90.005829120000001</v>
      </c>
      <c r="S22" s="12"/>
      <c r="T22" s="12"/>
      <c r="U22" s="12"/>
      <c r="V22" s="12"/>
      <c r="W22" s="12"/>
      <c r="X22" s="12"/>
      <c r="Y22" s="12"/>
      <c r="Z22" s="12"/>
      <c r="AA22" s="12"/>
      <c r="AB22" s="12"/>
      <c r="AC22" s="12"/>
      <c r="AD22" s="12"/>
      <c r="AE22" s="12"/>
    </row>
    <row r="23" spans="2:31" x14ac:dyDescent="0.25">
      <c r="B23">
        <v>9</v>
      </c>
      <c r="D23" s="21">
        <f t="shared" si="6"/>
        <v>5000000</v>
      </c>
      <c r="E23" s="1">
        <f t="shared" si="1"/>
        <v>7.9999999999926311E-3</v>
      </c>
      <c r="F23" s="13">
        <f t="shared" si="7"/>
        <v>39999.999999963155</v>
      </c>
      <c r="G23" s="13">
        <f t="shared" si="8"/>
        <v>3278.688524587144</v>
      </c>
      <c r="H23" s="21">
        <f t="shared" si="9"/>
        <v>70.314003213056282</v>
      </c>
      <c r="I23" s="13">
        <f t="shared" si="2"/>
        <v>12.199999432547539</v>
      </c>
      <c r="J23" s="13">
        <f t="shared" si="10"/>
        <v>21.72719620949254</v>
      </c>
      <c r="K23" s="21">
        <f t="shared" si="3"/>
        <v>1219.9999432547538</v>
      </c>
      <c r="L23" s="13">
        <f t="shared" si="11"/>
        <v>61.727196209492533</v>
      </c>
      <c r="N23" s="9">
        <f t="shared" si="12"/>
        <v>-90</v>
      </c>
      <c r="O23">
        <f t="shared" si="4"/>
        <v>-6.4799999999999996E-3</v>
      </c>
      <c r="P23" s="7">
        <f t="shared" si="5"/>
        <v>-7.7759999999952255E-5</v>
      </c>
      <c r="Q23" s="13">
        <f t="shared" si="13"/>
        <v>-90.006557759999993</v>
      </c>
      <c r="S23" s="12"/>
      <c r="T23" s="12"/>
      <c r="U23" s="12"/>
      <c r="V23" s="12"/>
      <c r="W23" s="12"/>
      <c r="X23" s="12"/>
      <c r="Y23" s="12"/>
      <c r="Z23" s="12"/>
      <c r="AA23" s="12"/>
      <c r="AB23" s="12"/>
      <c r="AC23" s="12"/>
      <c r="AD23" s="12"/>
      <c r="AE23" s="12"/>
    </row>
    <row r="24" spans="2:31" x14ac:dyDescent="0.25">
      <c r="B24">
        <f>B15*10</f>
        <v>10</v>
      </c>
      <c r="D24" s="21">
        <f t="shared" si="6"/>
        <v>4500000</v>
      </c>
      <c r="E24" s="1">
        <f t="shared" si="1"/>
        <v>7.999999999990905E-3</v>
      </c>
      <c r="F24" s="13">
        <f t="shared" si="7"/>
        <v>35999.999999959073</v>
      </c>
      <c r="G24" s="13">
        <f t="shared" si="8"/>
        <v>2950.8196721277932</v>
      </c>
      <c r="H24" s="21">
        <f t="shared" si="9"/>
        <v>69.39885340184091</v>
      </c>
      <c r="I24" s="13">
        <f t="shared" si="2"/>
        <v>12.199999299441417</v>
      </c>
      <c r="J24" s="13">
        <f t="shared" si="10"/>
        <v>21.727196114726546</v>
      </c>
      <c r="K24" s="21">
        <f t="shared" si="3"/>
        <v>1219.9999299441417</v>
      </c>
      <c r="L24" s="13">
        <f t="shared" si="11"/>
        <v>61.727196114726546</v>
      </c>
      <c r="N24" s="9">
        <f t="shared" si="12"/>
        <v>-90</v>
      </c>
      <c r="O24">
        <f t="shared" si="4"/>
        <v>-7.1999999999999998E-3</v>
      </c>
      <c r="P24" s="7">
        <f t="shared" si="5"/>
        <v>-8.6399999999934514E-5</v>
      </c>
      <c r="Q24" s="13">
        <f t="shared" si="13"/>
        <v>-90.007286399999998</v>
      </c>
      <c r="S24" s="12"/>
      <c r="T24" s="12"/>
      <c r="U24" s="12"/>
      <c r="V24" s="12"/>
      <c r="W24" s="12"/>
      <c r="X24" s="12"/>
      <c r="Y24" s="12"/>
      <c r="Z24" s="12"/>
      <c r="AA24" s="12"/>
      <c r="AB24" s="12"/>
      <c r="AC24" s="12"/>
      <c r="AD24" s="12"/>
      <c r="AE24" s="12"/>
    </row>
    <row r="25" spans="2:31" x14ac:dyDescent="0.25">
      <c r="B25">
        <f t="shared" ref="B25:B77" si="14">B16*10</f>
        <v>20</v>
      </c>
      <c r="D25" s="21">
        <f t="shared" si="6"/>
        <v>2250000</v>
      </c>
      <c r="E25" s="1">
        <f t="shared" si="1"/>
        <v>7.9999999999636161E-3</v>
      </c>
      <c r="F25" s="13">
        <f t="shared" si="7"/>
        <v>17999.999999918135</v>
      </c>
      <c r="G25" s="13">
        <f t="shared" si="8"/>
        <v>1475.4098360588637</v>
      </c>
      <c r="H25" s="21">
        <f t="shared" si="9"/>
        <v>63.378253488531655</v>
      </c>
      <c r="I25" s="13">
        <f t="shared" si="2"/>
        <v>12.199997197766395</v>
      </c>
      <c r="J25" s="13">
        <f t="shared" si="10"/>
        <v>21.727194618421635</v>
      </c>
      <c r="K25" s="21">
        <f t="shared" si="3"/>
        <v>1219.9997197766395</v>
      </c>
      <c r="L25" s="13">
        <f t="shared" si="11"/>
        <v>61.727194618421635</v>
      </c>
      <c r="N25" s="9">
        <f t="shared" si="12"/>
        <v>-90</v>
      </c>
      <c r="O25">
        <f t="shared" si="4"/>
        <v>-1.44E-2</v>
      </c>
      <c r="P25" s="7">
        <f t="shared" si="5"/>
        <v>-1.7279999999947609E-4</v>
      </c>
      <c r="Q25" s="13">
        <f t="shared" si="13"/>
        <v>-90.014572799999996</v>
      </c>
      <c r="S25" s="12"/>
      <c r="T25" s="12"/>
      <c r="U25" s="12"/>
      <c r="V25" s="12"/>
      <c r="W25" s="12"/>
      <c r="X25" s="12"/>
      <c r="Y25" s="12"/>
      <c r="Z25" s="12"/>
      <c r="AA25" s="12"/>
      <c r="AB25" s="12"/>
      <c r="AC25" s="12"/>
      <c r="AD25" s="12"/>
      <c r="AE25" s="12"/>
    </row>
    <row r="26" spans="2:31" x14ac:dyDescent="0.25">
      <c r="B26">
        <f t="shared" si="14"/>
        <v>30</v>
      </c>
      <c r="D26" s="21">
        <f t="shared" si="6"/>
        <v>1500000</v>
      </c>
      <c r="E26" s="1">
        <f t="shared" si="1"/>
        <v>7.9999999999181386E-3</v>
      </c>
      <c r="F26" s="13">
        <f t="shared" si="7"/>
        <v>11999.999999877207</v>
      </c>
      <c r="G26" s="13">
        <f t="shared" si="8"/>
        <v>983.60655736698425</v>
      </c>
      <c r="H26" s="21">
        <f t="shared" si="9"/>
        <v>59.856428307368652</v>
      </c>
      <c r="I26" s="13">
        <f t="shared" si="2"/>
        <v>12.19999369497711</v>
      </c>
      <c r="J26" s="13">
        <f t="shared" si="10"/>
        <v>21.727192124581265</v>
      </c>
      <c r="K26" s="21">
        <f t="shared" si="3"/>
        <v>1219.9993694977111</v>
      </c>
      <c r="L26" s="13">
        <f t="shared" si="11"/>
        <v>61.727192124581265</v>
      </c>
      <c r="N26" s="9">
        <f t="shared" si="12"/>
        <v>-90</v>
      </c>
      <c r="O26">
        <f t="shared" si="4"/>
        <v>-2.1600000000000001E-2</v>
      </c>
      <c r="P26" s="7">
        <f t="shared" si="5"/>
        <v>-2.5919999999823179E-4</v>
      </c>
      <c r="Q26" s="13">
        <f t="shared" si="13"/>
        <v>-90.021859200000009</v>
      </c>
      <c r="S26" s="12"/>
      <c r="T26" s="12"/>
      <c r="U26" s="12"/>
      <c r="V26" s="12"/>
      <c r="W26" s="12"/>
      <c r="X26" s="12"/>
      <c r="Y26" s="12"/>
      <c r="Z26" s="12"/>
      <c r="AA26" s="12"/>
      <c r="AB26" s="12"/>
      <c r="AC26" s="12"/>
      <c r="AD26" s="12"/>
      <c r="AE26" s="12"/>
    </row>
    <row r="27" spans="2:31" x14ac:dyDescent="0.25">
      <c r="B27">
        <f t="shared" si="14"/>
        <v>40</v>
      </c>
      <c r="D27" s="21">
        <f t="shared" si="6"/>
        <v>1125000</v>
      </c>
      <c r="E27" s="1">
        <f t="shared" si="1"/>
        <v>7.9999999998544673E-3</v>
      </c>
      <c r="F27" s="13">
        <f t="shared" si="7"/>
        <v>8999.9999998362764</v>
      </c>
      <c r="G27" s="13">
        <f t="shared" si="8"/>
        <v>737.70491801936691</v>
      </c>
      <c r="H27" s="21">
        <f t="shared" si="9"/>
        <v>57.357653575133519</v>
      </c>
      <c r="I27" s="13">
        <f t="shared" si="2"/>
        <v>12.199988791077175</v>
      </c>
      <c r="J27" s="13">
        <f t="shared" si="10"/>
        <v>21.727188633207149</v>
      </c>
      <c r="K27" s="21">
        <f t="shared" si="3"/>
        <v>1219.9988791077176</v>
      </c>
      <c r="L27" s="13">
        <f t="shared" si="11"/>
        <v>61.727188633207149</v>
      </c>
      <c r="N27" s="9">
        <f t="shared" si="12"/>
        <v>-90</v>
      </c>
      <c r="O27">
        <f t="shared" si="4"/>
        <v>-2.8799999999999999E-2</v>
      </c>
      <c r="P27" s="7">
        <f t="shared" si="5"/>
        <v>-3.4559999999580863E-4</v>
      </c>
      <c r="Q27" s="13">
        <f t="shared" si="13"/>
        <v>-90.029145600000007</v>
      </c>
      <c r="S27" s="12"/>
      <c r="T27" s="12"/>
      <c r="U27" s="12"/>
      <c r="V27" s="12"/>
      <c r="W27" s="12"/>
      <c r="X27" s="12"/>
      <c r="Y27" s="12"/>
      <c r="Z27" s="12"/>
      <c r="AA27" s="12"/>
      <c r="AB27" s="12"/>
      <c r="AC27" s="12"/>
      <c r="AD27" s="12"/>
      <c r="AE27" s="12"/>
    </row>
    <row r="28" spans="2:31" x14ac:dyDescent="0.25">
      <c r="B28">
        <f t="shared" si="14"/>
        <v>50</v>
      </c>
      <c r="D28" s="21">
        <f t="shared" si="6"/>
        <v>900000</v>
      </c>
      <c r="E28" s="1">
        <f t="shared" si="1"/>
        <v>7.9999999997726057E-3</v>
      </c>
      <c r="F28" s="13">
        <f t="shared" si="7"/>
        <v>7199.9999997953455</v>
      </c>
      <c r="G28" s="13">
        <f t="shared" si="8"/>
        <v>590.16393440945455</v>
      </c>
      <c r="H28" s="21">
        <f t="shared" si="9"/>
        <v>55.419453314883512</v>
      </c>
      <c r="I28" s="13">
        <f t="shared" si="2"/>
        <v>12.199982486071661</v>
      </c>
      <c r="J28" s="13">
        <f t="shared" si="10"/>
        <v>21.727184144301695</v>
      </c>
      <c r="K28" s="21">
        <f t="shared" si="3"/>
        <v>1219.9982486071663</v>
      </c>
      <c r="L28" s="13">
        <f t="shared" si="11"/>
        <v>61.727184144301702</v>
      </c>
      <c r="N28" s="9">
        <f t="shared" si="12"/>
        <v>-90</v>
      </c>
      <c r="O28">
        <f t="shared" si="4"/>
        <v>-3.5999999999999997E-2</v>
      </c>
      <c r="P28" s="7">
        <f t="shared" si="5"/>
        <v>-4.3199999999181382E-4</v>
      </c>
      <c r="Q28" s="13">
        <f t="shared" si="13"/>
        <v>-90.036431999999991</v>
      </c>
      <c r="S28" s="12"/>
      <c r="T28" s="12"/>
      <c r="U28" s="12"/>
      <c r="V28" s="12"/>
      <c r="W28" s="12"/>
      <c r="X28" s="12"/>
      <c r="Y28" s="12"/>
      <c r="Z28" s="12"/>
      <c r="AA28" s="12"/>
      <c r="AB28" s="12"/>
      <c r="AC28" s="12"/>
      <c r="AD28" s="12"/>
      <c r="AE28" s="12"/>
    </row>
    <row r="29" spans="2:31" x14ac:dyDescent="0.25">
      <c r="B29">
        <f t="shared" si="14"/>
        <v>60</v>
      </c>
      <c r="D29" s="21">
        <f t="shared" si="6"/>
        <v>750000</v>
      </c>
      <c r="E29" s="1">
        <f t="shared" si="1"/>
        <v>7.9999999996725503E-3</v>
      </c>
      <c r="F29" s="13">
        <f t="shared" si="7"/>
        <v>5999.9999997544128</v>
      </c>
      <c r="G29" s="13">
        <f t="shared" si="8"/>
        <v>491.80327866839451</v>
      </c>
      <c r="H29" s="21">
        <f t="shared" si="9"/>
        <v>53.835828393822382</v>
      </c>
      <c r="I29" s="13">
        <f t="shared" si="2"/>
        <v>12.199974779967087</v>
      </c>
      <c r="J29" s="13">
        <f t="shared" si="10"/>
        <v>21.727178657868002</v>
      </c>
      <c r="K29" s="21">
        <f t="shared" si="3"/>
        <v>1219.9974779967088</v>
      </c>
      <c r="L29" s="13">
        <f t="shared" si="11"/>
        <v>61.727178657868002</v>
      </c>
      <c r="N29" s="9">
        <f t="shared" si="12"/>
        <v>-90</v>
      </c>
      <c r="O29">
        <f t="shared" si="4"/>
        <v>-4.3200000000000002E-2</v>
      </c>
      <c r="P29" s="7">
        <f t="shared" si="5"/>
        <v>-5.1839999998585411E-4</v>
      </c>
      <c r="Q29" s="13">
        <f t="shared" si="13"/>
        <v>-90.043718399999989</v>
      </c>
      <c r="S29" s="12"/>
      <c r="T29" s="12"/>
      <c r="U29" s="12"/>
      <c r="V29" s="12"/>
      <c r="W29" s="12"/>
      <c r="X29" s="12"/>
      <c r="Y29" s="12"/>
      <c r="Z29" s="12"/>
      <c r="AA29" s="12"/>
      <c r="AB29" s="12"/>
      <c r="AC29" s="12"/>
      <c r="AD29" s="12"/>
      <c r="AE29" s="12"/>
    </row>
    <row r="30" spans="2:31" x14ac:dyDescent="0.25">
      <c r="B30">
        <f t="shared" si="14"/>
        <v>70</v>
      </c>
      <c r="D30" s="21">
        <f t="shared" si="6"/>
        <v>642857.14285714284</v>
      </c>
      <c r="E30" s="1">
        <f t="shared" si="1"/>
        <v>7.9999999995543046E-3</v>
      </c>
      <c r="F30" s="13">
        <f t="shared" si="7"/>
        <v>5142.8571425706241</v>
      </c>
      <c r="G30" s="13">
        <f t="shared" si="8"/>
        <v>421.54566742382167</v>
      </c>
      <c r="H30" s="21">
        <f t="shared" si="9"/>
        <v>52.496892601081733</v>
      </c>
      <c r="I30" s="13">
        <f t="shared" si="2"/>
        <v>12.199965672771418</v>
      </c>
      <c r="J30" s="13">
        <f t="shared" si="10"/>
        <v>21.727172173909839</v>
      </c>
      <c r="K30" s="21">
        <f t="shared" si="3"/>
        <v>1219.9965672771418</v>
      </c>
      <c r="L30" s="13">
        <f t="shared" si="11"/>
        <v>61.727172173909835</v>
      </c>
      <c r="N30" s="9">
        <f t="shared" si="12"/>
        <v>-90</v>
      </c>
      <c r="O30">
        <f t="shared" si="4"/>
        <v>-5.04E-2</v>
      </c>
      <c r="P30" s="7">
        <f t="shared" si="5"/>
        <v>-6.0479999997753691E-4</v>
      </c>
      <c r="Q30" s="13">
        <f t="shared" si="13"/>
        <v>-90.051004799999973</v>
      </c>
      <c r="S30" s="12"/>
      <c r="T30" s="12"/>
      <c r="U30" s="12"/>
      <c r="V30" s="12"/>
      <c r="W30" s="12"/>
      <c r="X30" s="12"/>
      <c r="Y30" s="12"/>
      <c r="Z30" s="12"/>
      <c r="AA30" s="12"/>
      <c r="AB30" s="12"/>
      <c r="AC30" s="12"/>
      <c r="AD30" s="12"/>
      <c r="AE30" s="12"/>
    </row>
    <row r="31" spans="2:31" x14ac:dyDescent="0.25">
      <c r="B31">
        <f t="shared" si="14"/>
        <v>80</v>
      </c>
      <c r="D31" s="21">
        <f t="shared" si="6"/>
        <v>562500</v>
      </c>
      <c r="E31" s="1">
        <f t="shared" si="1"/>
        <v>7.9999999994178669E-3</v>
      </c>
      <c r="F31" s="13">
        <f t="shared" si="7"/>
        <v>4499.9999996725501</v>
      </c>
      <c r="G31" s="13">
        <f t="shared" si="8"/>
        <v>368.85245898955333</v>
      </c>
      <c r="H31" s="21">
        <f t="shared" si="9"/>
        <v>51.337053661379869</v>
      </c>
      <c r="I31" s="13">
        <f t="shared" si="2"/>
        <v>12.199955164494066</v>
      </c>
      <c r="J31" s="13">
        <f t="shared" si="10"/>
        <v>21.727164692431685</v>
      </c>
      <c r="K31" s="21">
        <f t="shared" si="3"/>
        <v>1219.9955164494065</v>
      </c>
      <c r="L31" s="13">
        <f t="shared" si="11"/>
        <v>61.727164692431685</v>
      </c>
      <c r="N31" s="9">
        <f t="shared" si="12"/>
        <v>-90</v>
      </c>
      <c r="O31">
        <f t="shared" si="4"/>
        <v>-5.7599999999999998E-2</v>
      </c>
      <c r="P31" s="7">
        <f t="shared" si="5"/>
        <v>-6.911999999664692E-4</v>
      </c>
      <c r="Q31" s="13">
        <f t="shared" si="13"/>
        <v>-90.058291199999957</v>
      </c>
    </row>
    <row r="32" spans="2:31" x14ac:dyDescent="0.25">
      <c r="B32">
        <f t="shared" si="14"/>
        <v>90</v>
      </c>
      <c r="D32" s="21">
        <f t="shared" si="6"/>
        <v>500000</v>
      </c>
      <c r="E32" s="1">
        <f t="shared" si="1"/>
        <v>7.9999999992632388E-3</v>
      </c>
      <c r="F32" s="13">
        <f t="shared" si="7"/>
        <v>3999.9999996316196</v>
      </c>
      <c r="G32" s="13">
        <f t="shared" si="8"/>
        <v>327.8688524288213</v>
      </c>
      <c r="H32" s="21">
        <f t="shared" si="9"/>
        <v>50.314003212264353</v>
      </c>
      <c r="I32" s="13">
        <f t="shared" si="2"/>
        <v>12.199943255145891</v>
      </c>
      <c r="J32" s="13">
        <f t="shared" si="10"/>
        <v>21.72715621343869</v>
      </c>
      <c r="K32" s="21">
        <f t="shared" si="3"/>
        <v>1219.994325514589</v>
      </c>
      <c r="L32" s="13">
        <f t="shared" si="11"/>
        <v>61.72715621343869</v>
      </c>
      <c r="N32" s="9">
        <f t="shared" si="12"/>
        <v>-90</v>
      </c>
      <c r="O32">
        <f t="shared" si="4"/>
        <v>-6.4799999999999996E-2</v>
      </c>
      <c r="P32" s="7">
        <f t="shared" si="5"/>
        <v>-7.7759999995225784E-4</v>
      </c>
      <c r="Q32" s="13">
        <f t="shared" si="13"/>
        <v>-90.065577599999955</v>
      </c>
    </row>
    <row r="33" spans="2:17" x14ac:dyDescent="0.25">
      <c r="B33">
        <f t="shared" si="14"/>
        <v>100</v>
      </c>
      <c r="D33" s="21">
        <f t="shared" si="6"/>
        <v>450000</v>
      </c>
      <c r="E33" s="1">
        <f t="shared" si="1"/>
        <v>7.999999999090417E-3</v>
      </c>
      <c r="F33" s="13">
        <f t="shared" si="7"/>
        <v>3599.9999995906878</v>
      </c>
      <c r="G33" s="13">
        <f t="shared" si="8"/>
        <v>295.08196717956457</v>
      </c>
      <c r="H33" s="21">
        <f t="shared" si="9"/>
        <v>49.39885340086321</v>
      </c>
      <c r="I33" s="13">
        <f t="shared" si="2"/>
        <v>12.199929944739202</v>
      </c>
      <c r="J33" s="13">
        <f t="shared" si="10"/>
        <v>21.727146736936692</v>
      </c>
      <c r="K33" s="21">
        <f t="shared" si="3"/>
        <v>1219.9929944739201</v>
      </c>
      <c r="L33" s="13">
        <f t="shared" si="11"/>
        <v>61.727146736936689</v>
      </c>
      <c r="N33" s="9">
        <f t="shared" si="12"/>
        <v>-90</v>
      </c>
      <c r="O33">
        <f t="shared" si="4"/>
        <v>-7.1999999999999995E-2</v>
      </c>
      <c r="P33" s="7">
        <f t="shared" si="5"/>
        <v>-8.6399999993451014E-4</v>
      </c>
      <c r="Q33" s="13">
        <f t="shared" si="13"/>
        <v>-90.072863999999939</v>
      </c>
    </row>
    <row r="34" spans="2:17" x14ac:dyDescent="0.25">
      <c r="B34">
        <f t="shared" si="14"/>
        <v>200</v>
      </c>
      <c r="D34" s="21">
        <f t="shared" si="6"/>
        <v>225000</v>
      </c>
      <c r="E34" s="1">
        <f t="shared" si="1"/>
        <v>7.9999999963616692E-3</v>
      </c>
      <c r="F34" s="13">
        <f t="shared" si="7"/>
        <v>1799.9999991813756</v>
      </c>
      <c r="G34" s="13">
        <f t="shared" si="8"/>
        <v>147.54098353945702</v>
      </c>
      <c r="H34" s="21">
        <f t="shared" si="9"/>
        <v>43.378253484620892</v>
      </c>
      <c r="I34" s="13">
        <f t="shared" si="2"/>
        <v>12.199719786197321</v>
      </c>
      <c r="J34" s="13">
        <f t="shared" si="10"/>
        <v>21.726997110698495</v>
      </c>
      <c r="K34" s="21">
        <f t="shared" si="3"/>
        <v>1219.971978619732</v>
      </c>
      <c r="L34" s="13">
        <f t="shared" si="11"/>
        <v>61.726997110698491</v>
      </c>
      <c r="N34" s="9">
        <f t="shared" si="12"/>
        <v>-90</v>
      </c>
      <c r="O34">
        <f t="shared" si="4"/>
        <v>-0.14399999999999999</v>
      </c>
      <c r="P34" s="7">
        <f t="shared" si="5"/>
        <v>-1.7279999994760805E-3</v>
      </c>
      <c r="Q34" s="13">
        <f t="shared" si="13"/>
        <v>-90.14572799999948</v>
      </c>
    </row>
    <row r="35" spans="2:17" x14ac:dyDescent="0.25">
      <c r="B35">
        <f t="shared" si="14"/>
        <v>300</v>
      </c>
      <c r="D35" s="21">
        <f t="shared" si="6"/>
        <v>150000</v>
      </c>
      <c r="E35" s="1">
        <f t="shared" si="1"/>
        <v>7.9999999918137551E-3</v>
      </c>
      <c r="F35" s="13">
        <f t="shared" si="7"/>
        <v>1199.9999987720632</v>
      </c>
      <c r="G35" s="13">
        <f t="shared" si="8"/>
        <v>98.360655637054364</v>
      </c>
      <c r="H35" s="21">
        <f t="shared" si="9"/>
        <v>39.856428298569433</v>
      </c>
      <c r="I35" s="13">
        <f t="shared" si="2"/>
        <v>12.199369546093822</v>
      </c>
      <c r="J35" s="13">
        <f t="shared" si="10"/>
        <v>21.726747745089426</v>
      </c>
      <c r="K35" s="21">
        <f t="shared" si="3"/>
        <v>1219.9369546093822</v>
      </c>
      <c r="L35" s="13">
        <f t="shared" si="11"/>
        <v>61.726747745089419</v>
      </c>
      <c r="N35" s="9">
        <f t="shared" si="12"/>
        <v>-90</v>
      </c>
      <c r="O35">
        <f t="shared" si="4"/>
        <v>-0.216</v>
      </c>
      <c r="P35" s="7">
        <f t="shared" si="5"/>
        <v>-2.5919999982317709E-3</v>
      </c>
      <c r="Q35" s="13">
        <f t="shared" si="13"/>
        <v>-90.218591999998225</v>
      </c>
    </row>
    <row r="36" spans="2:17" x14ac:dyDescent="0.25">
      <c r="B36">
        <f t="shared" si="14"/>
        <v>400</v>
      </c>
      <c r="D36" s="21">
        <f t="shared" si="6"/>
        <v>112500</v>
      </c>
      <c r="E36" s="1">
        <f t="shared" si="1"/>
        <v>7.9999999854466763E-3</v>
      </c>
      <c r="F36" s="13">
        <f t="shared" si="7"/>
        <v>899.99999836275106</v>
      </c>
      <c r="G36" s="13">
        <f t="shared" si="8"/>
        <v>73.770491669077956</v>
      </c>
      <c r="H36" s="21">
        <f t="shared" si="9"/>
        <v>37.357653559490458</v>
      </c>
      <c r="I36" s="13">
        <f t="shared" si="2"/>
        <v>12.198879260620885</v>
      </c>
      <c r="J36" s="13">
        <f t="shared" si="10"/>
        <v>21.726398657288627</v>
      </c>
      <c r="K36" s="21">
        <f t="shared" si="3"/>
        <v>1219.8879260620884</v>
      </c>
      <c r="L36" s="13">
        <f t="shared" si="11"/>
        <v>61.72639865728862</v>
      </c>
      <c r="N36" s="9">
        <f t="shared" si="12"/>
        <v>-90</v>
      </c>
      <c r="O36">
        <f t="shared" si="4"/>
        <v>-0.28799999999999998</v>
      </c>
      <c r="P36" s="7">
        <f t="shared" si="5"/>
        <v>-3.455999995808643E-3</v>
      </c>
      <c r="Q36" s="13">
        <f t="shared" si="13"/>
        <v>-90.291455999995804</v>
      </c>
    </row>
    <row r="37" spans="2:17" x14ac:dyDescent="0.25">
      <c r="B37">
        <f t="shared" si="14"/>
        <v>500</v>
      </c>
      <c r="D37" s="21">
        <f t="shared" si="6"/>
        <v>90000</v>
      </c>
      <c r="E37" s="1">
        <f t="shared" si="1"/>
        <v>7.9999999772604313E-3</v>
      </c>
      <c r="F37" s="13">
        <f t="shared" si="7"/>
        <v>719.99999795343876</v>
      </c>
      <c r="G37" s="13">
        <f t="shared" si="8"/>
        <v>59.01639327487203</v>
      </c>
      <c r="H37" s="21">
        <f t="shared" si="9"/>
        <v>35.419453290441233</v>
      </c>
      <c r="I37" s="13">
        <f t="shared" si="2"/>
        <v>12.19824898043302</v>
      </c>
      <c r="J37" s="13">
        <f t="shared" si="10"/>
        <v>21.725949871341363</v>
      </c>
      <c r="K37" s="21">
        <f t="shared" si="3"/>
        <v>1219.824898043302</v>
      </c>
      <c r="L37" s="13">
        <f t="shared" si="11"/>
        <v>61.725949871341363</v>
      </c>
      <c r="N37" s="9">
        <f t="shared" si="12"/>
        <v>-90</v>
      </c>
      <c r="O37">
        <f t="shared" si="4"/>
        <v>-0.36</v>
      </c>
      <c r="P37" s="7">
        <f t="shared" si="5"/>
        <v>-4.319999991813755E-3</v>
      </c>
      <c r="Q37" s="13">
        <f t="shared" si="13"/>
        <v>-90.364319999991807</v>
      </c>
    </row>
    <row r="38" spans="2:17" x14ac:dyDescent="0.25">
      <c r="B38">
        <f t="shared" si="14"/>
        <v>600</v>
      </c>
      <c r="D38" s="21">
        <f t="shared" si="6"/>
        <v>75000</v>
      </c>
      <c r="E38" s="1">
        <f t="shared" si="1"/>
        <v>7.9999999672550216E-3</v>
      </c>
      <c r="F38" s="13">
        <f t="shared" si="7"/>
        <v>599.99999754412659</v>
      </c>
      <c r="G38" s="13">
        <f t="shared" si="8"/>
        <v>49.18032766755136</v>
      </c>
      <c r="H38" s="21">
        <f t="shared" si="9"/>
        <v>33.835828358625498</v>
      </c>
      <c r="I38" s="13">
        <f t="shared" si="2"/>
        <v>12.197478770632527</v>
      </c>
      <c r="J38" s="13">
        <f t="shared" si="10"/>
        <v>21.725401418153517</v>
      </c>
      <c r="K38" s="21">
        <f t="shared" si="3"/>
        <v>1219.7478770632526</v>
      </c>
      <c r="L38" s="13">
        <f t="shared" si="11"/>
        <v>61.72540141815351</v>
      </c>
      <c r="N38" s="9">
        <f t="shared" si="12"/>
        <v>-90</v>
      </c>
      <c r="O38">
        <f t="shared" si="4"/>
        <v>-0.432</v>
      </c>
      <c r="P38" s="7">
        <f t="shared" si="5"/>
        <v>-5.183999985854169E-3</v>
      </c>
      <c r="Q38" s="13">
        <f t="shared" si="13"/>
        <v>-90.437183999985862</v>
      </c>
    </row>
    <row r="39" spans="2:17" x14ac:dyDescent="0.25">
      <c r="B39">
        <f t="shared" si="14"/>
        <v>700</v>
      </c>
      <c r="D39" s="21">
        <f t="shared" si="6"/>
        <v>64285.714285714283</v>
      </c>
      <c r="E39" s="1">
        <f t="shared" si="1"/>
        <v>7.9999999554304473E-3</v>
      </c>
      <c r="F39" s="13">
        <f t="shared" si="7"/>
        <v>514.28571142052874</v>
      </c>
      <c r="G39" s="13">
        <f t="shared" si="8"/>
        <v>42.154566509879409</v>
      </c>
      <c r="H39" s="21">
        <f t="shared" si="9"/>
        <v>32.496892553174867</v>
      </c>
      <c r="I39" s="13">
        <f t="shared" si="2"/>
        <v>12.196568710750824</v>
      </c>
      <c r="J39" s="13">
        <f t="shared" si="10"/>
        <v>21.724753335484479</v>
      </c>
      <c r="K39" s="21">
        <f t="shared" si="3"/>
        <v>1219.6568710750826</v>
      </c>
      <c r="L39" s="13">
        <f t="shared" si="11"/>
        <v>61.724753335484479</v>
      </c>
      <c r="N39" s="9">
        <f t="shared" si="12"/>
        <v>-90</v>
      </c>
      <c r="O39">
        <f t="shared" si="4"/>
        <v>-0.504</v>
      </c>
      <c r="P39" s="7">
        <f t="shared" si="5"/>
        <v>-6.0479999775369447E-3</v>
      </c>
      <c r="Q39" s="13">
        <f t="shared" si="13"/>
        <v>-90.510047999977544</v>
      </c>
    </row>
    <row r="40" spans="2:17" x14ac:dyDescent="0.25">
      <c r="B40">
        <f t="shared" si="14"/>
        <v>800</v>
      </c>
      <c r="D40" s="21">
        <f t="shared" si="6"/>
        <v>56250</v>
      </c>
      <c r="E40" s="1">
        <f t="shared" si="1"/>
        <v>7.9999999417867049E-3</v>
      </c>
      <c r="F40" s="13">
        <f t="shared" si="7"/>
        <v>449.99999672550217</v>
      </c>
      <c r="G40" s="13">
        <f t="shared" si="8"/>
        <v>36.885245633237886</v>
      </c>
      <c r="H40" s="21">
        <f t="shared" si="9"/>
        <v>31.337053598807628</v>
      </c>
      <c r="I40" s="13">
        <f t="shared" si="2"/>
        <v>12.195518894725666</v>
      </c>
      <c r="J40" s="13">
        <f t="shared" si="10"/>
        <v>21.724005667938521</v>
      </c>
      <c r="K40" s="21">
        <f t="shared" si="3"/>
        <v>1219.5518894725665</v>
      </c>
      <c r="L40" s="13">
        <f t="shared" si="11"/>
        <v>61.724005667938513</v>
      </c>
      <c r="N40" s="9">
        <f t="shared" si="12"/>
        <v>-90</v>
      </c>
      <c r="O40">
        <f t="shared" si="4"/>
        <v>-0.57599999999999996</v>
      </c>
      <c r="P40" s="7">
        <f t="shared" si="5"/>
        <v>-6.9119999664691428E-3</v>
      </c>
      <c r="Q40" s="13">
        <f t="shared" si="13"/>
        <v>-90.582911999966456</v>
      </c>
    </row>
    <row r="41" spans="2:17" x14ac:dyDescent="0.25">
      <c r="B41">
        <f t="shared" si="14"/>
        <v>900</v>
      </c>
      <c r="D41" s="21">
        <f t="shared" si="6"/>
        <v>50000</v>
      </c>
      <c r="E41" s="1">
        <f t="shared" si="1"/>
        <v>7.9999999263237996E-3</v>
      </c>
      <c r="F41" s="13">
        <f t="shared" si="7"/>
        <v>399.99999631618999</v>
      </c>
      <c r="G41" s="13">
        <f t="shared" si="8"/>
        <v>32.78688494395</v>
      </c>
      <c r="H41" s="21">
        <f t="shared" si="9"/>
        <v>30.314003133071363</v>
      </c>
      <c r="I41" s="13">
        <f t="shared" si="2"/>
        <v>12.194329430874197</v>
      </c>
      <c r="J41" s="13">
        <f t="shared" si="10"/>
        <v>21.723158466954516</v>
      </c>
      <c r="K41" s="21">
        <f t="shared" si="3"/>
        <v>1219.4329430874197</v>
      </c>
      <c r="L41" s="13">
        <f t="shared" si="11"/>
        <v>61.723158466954516</v>
      </c>
      <c r="N41" s="9">
        <f t="shared" si="12"/>
        <v>-90</v>
      </c>
      <c r="O41">
        <f t="shared" si="4"/>
        <v>-0.64800000000000002</v>
      </c>
      <c r="P41" s="7">
        <f t="shared" si="5"/>
        <v>-7.7759999522578208E-3</v>
      </c>
      <c r="Q41" s="13">
        <f t="shared" si="13"/>
        <v>-90.655775999952255</v>
      </c>
    </row>
    <row r="42" spans="2:17" x14ac:dyDescent="0.25">
      <c r="B42">
        <f t="shared" si="14"/>
        <v>1000</v>
      </c>
      <c r="D42" s="21">
        <f t="shared" si="6"/>
        <v>45000</v>
      </c>
      <c r="E42" s="1">
        <f t="shared" si="1"/>
        <v>7.999999909041728E-3</v>
      </c>
      <c r="F42" s="13">
        <f t="shared" si="7"/>
        <v>359.99999590687776</v>
      </c>
      <c r="G42" s="13">
        <f t="shared" si="8"/>
        <v>29.508196385809654</v>
      </c>
      <c r="H42" s="21">
        <f t="shared" si="9"/>
        <v>29.398853303094089</v>
      </c>
      <c r="I42" s="13">
        <f t="shared" si="2"/>
        <v>12.19300044186196</v>
      </c>
      <c r="J42" s="13">
        <f t="shared" si="10"/>
        <v>21.722211790794219</v>
      </c>
      <c r="K42" s="21">
        <f t="shared" si="3"/>
        <v>1219.3000441861959</v>
      </c>
      <c r="L42" s="13">
        <f t="shared" si="11"/>
        <v>61.722211790794219</v>
      </c>
      <c r="N42" s="9">
        <f t="shared" si="12"/>
        <v>-90</v>
      </c>
      <c r="O42">
        <f t="shared" si="4"/>
        <v>-0.72</v>
      </c>
      <c r="P42" s="7">
        <f t="shared" si="5"/>
        <v>-8.6399999345100429E-3</v>
      </c>
      <c r="Q42" s="13">
        <f t="shared" si="13"/>
        <v>-90.728639999934515</v>
      </c>
    </row>
    <row r="43" spans="2:17" x14ac:dyDescent="0.25">
      <c r="B43">
        <f t="shared" si="14"/>
        <v>2000</v>
      </c>
      <c r="D43" s="21">
        <f t="shared" si="6"/>
        <v>22500</v>
      </c>
      <c r="E43" s="1">
        <f t="shared" si="1"/>
        <v>7.9999996361669289E-3</v>
      </c>
      <c r="F43" s="13">
        <f t="shared" si="7"/>
        <v>179.99999181375591</v>
      </c>
      <c r="G43" s="13">
        <f t="shared" si="8"/>
        <v>14.754097689652125</v>
      </c>
      <c r="H43" s="21">
        <f t="shared" si="9"/>
        <v>23.378253093544412</v>
      </c>
      <c r="I43" s="13">
        <f t="shared" si="2"/>
        <v>12.172073831027062</v>
      </c>
      <c r="J43" s="13">
        <f t="shared" si="10"/>
        <v>21.707291559083089</v>
      </c>
      <c r="K43" s="21">
        <f t="shared" si="3"/>
        <v>1217.2073831027062</v>
      </c>
      <c r="L43" s="13">
        <f t="shared" si="11"/>
        <v>61.707291559083089</v>
      </c>
      <c r="N43" s="9">
        <f t="shared" si="12"/>
        <v>-90</v>
      </c>
      <c r="O43">
        <f t="shared" si="4"/>
        <v>-1.44</v>
      </c>
      <c r="P43" s="7">
        <f t="shared" si="5"/>
        <v>-1.7279999476080367E-2</v>
      </c>
      <c r="Q43" s="13">
        <f t="shared" si="13"/>
        <v>-91.457279999476071</v>
      </c>
    </row>
    <row r="44" spans="2:17" x14ac:dyDescent="0.25">
      <c r="B44">
        <f t="shared" si="14"/>
        <v>3000</v>
      </c>
      <c r="D44" s="21">
        <f t="shared" si="6"/>
        <v>15000</v>
      </c>
      <c r="E44" s="1">
        <f t="shared" si="1"/>
        <v>7.9999991813756582E-3</v>
      </c>
      <c r="F44" s="13">
        <f t="shared" si="7"/>
        <v>119.99998772063488</v>
      </c>
      <c r="G44" s="13">
        <f t="shared" si="8"/>
        <v>9.8360645672651543</v>
      </c>
      <c r="H44" s="21">
        <f t="shared" si="9"/>
        <v>19.856427418647403</v>
      </c>
      <c r="I44" s="13">
        <f t="shared" si="2"/>
        <v>12.13743430825547</v>
      </c>
      <c r="J44" s="13">
        <f t="shared" si="10"/>
        <v>21.682537847586953</v>
      </c>
      <c r="K44" s="21">
        <f t="shared" si="3"/>
        <v>1213.743430825547</v>
      </c>
      <c r="L44" s="13">
        <f t="shared" si="11"/>
        <v>61.682537847586957</v>
      </c>
      <c r="N44" s="9">
        <f t="shared" si="12"/>
        <v>-90</v>
      </c>
      <c r="O44">
        <f t="shared" si="4"/>
        <v>-2.16</v>
      </c>
      <c r="P44" s="7">
        <f t="shared" si="5"/>
        <v>-2.5919998231771369E-2</v>
      </c>
      <c r="Q44" s="13">
        <f t="shared" si="13"/>
        <v>-92.185919998231768</v>
      </c>
    </row>
    <row r="45" spans="2:17" x14ac:dyDescent="0.25">
      <c r="B45">
        <f t="shared" si="14"/>
        <v>4000</v>
      </c>
      <c r="D45" s="21">
        <f t="shared" si="6"/>
        <v>11250</v>
      </c>
      <c r="E45" s="1">
        <f t="shared" si="1"/>
        <v>7.9999985446680116E-3</v>
      </c>
      <c r="F45" s="13">
        <f t="shared" si="7"/>
        <v>89.999983627515135</v>
      </c>
      <c r="G45" s="13">
        <f t="shared" si="8"/>
        <v>7.3770478383209133</v>
      </c>
      <c r="H45" s="21">
        <f t="shared" si="9"/>
        <v>17.35765199518476</v>
      </c>
      <c r="I45" s="13">
        <f t="shared" si="2"/>
        <v>12.089432054993507</v>
      </c>
      <c r="J45" s="13">
        <f t="shared" si="10"/>
        <v>21.648117975567761</v>
      </c>
      <c r="K45" s="21">
        <f t="shared" si="3"/>
        <v>1208.9432054993506</v>
      </c>
      <c r="L45" s="13">
        <f t="shared" si="11"/>
        <v>61.648117975567764</v>
      </c>
      <c r="N45" s="9">
        <f t="shared" si="12"/>
        <v>-90</v>
      </c>
      <c r="O45">
        <f t="shared" si="4"/>
        <v>-2.88</v>
      </c>
      <c r="P45" s="7">
        <f t="shared" si="5"/>
        <v>-3.4559995808643641E-2</v>
      </c>
      <c r="Q45" s="13">
        <f t="shared" si="13"/>
        <v>-92.914559995808645</v>
      </c>
    </row>
    <row r="46" spans="2:17" x14ac:dyDescent="0.25">
      <c r="B46">
        <f t="shared" si="14"/>
        <v>5000</v>
      </c>
      <c r="D46" s="21">
        <f t="shared" si="6"/>
        <v>9000</v>
      </c>
      <c r="E46" s="1">
        <f t="shared" si="1"/>
        <v>7.9999977260441155E-3</v>
      </c>
      <c r="F46" s="13">
        <f t="shared" si="7"/>
        <v>71.999979534397042</v>
      </c>
      <c r="G46" s="13">
        <f t="shared" si="8"/>
        <v>5.9016376667538566</v>
      </c>
      <c r="H46" s="21">
        <f t="shared" si="9"/>
        <v>15.419450846213822</v>
      </c>
      <c r="I46" s="13">
        <f t="shared" si="2"/>
        <v>12.028543600398951</v>
      </c>
      <c r="J46" s="13">
        <f t="shared" si="10"/>
        <v>21.604260934826595</v>
      </c>
      <c r="K46" s="21">
        <f t="shared" si="3"/>
        <v>1202.854360039895</v>
      </c>
      <c r="L46" s="13">
        <f t="shared" si="11"/>
        <v>61.604260934826591</v>
      </c>
      <c r="N46" s="9">
        <f t="shared" si="12"/>
        <v>-90</v>
      </c>
      <c r="O46">
        <f t="shared" si="4"/>
        <v>-3.6</v>
      </c>
      <c r="P46" s="7">
        <f t="shared" si="5"/>
        <v>-4.3199991813758123E-2</v>
      </c>
      <c r="Q46" s="13">
        <f t="shared" si="13"/>
        <v>-93.643199991813759</v>
      </c>
    </row>
    <row r="47" spans="2:17" x14ac:dyDescent="0.25">
      <c r="B47">
        <f t="shared" si="14"/>
        <v>6000</v>
      </c>
      <c r="D47" s="21">
        <f t="shared" si="6"/>
        <v>7500</v>
      </c>
      <c r="E47" s="1">
        <f t="shared" ref="E47:E77" si="15">(1/SeriesResistance)/SQRT(1+(2*PI()*$B47*Inductance/SeriesResistance)^2)</f>
        <v>7.9999967255041417E-3</v>
      </c>
      <c r="F47" s="13">
        <f t="shared" si="7"/>
        <v>59.999975441281066</v>
      </c>
      <c r="G47" s="13">
        <f t="shared" si="8"/>
        <v>4.9180307738754978</v>
      </c>
      <c r="H47" s="21">
        <f t="shared" si="9"/>
        <v>13.835824838938475</v>
      </c>
      <c r="I47" s="13">
        <f t="shared" ref="I47:I77" si="16">CCgain/SQRT(1+(CCgain/F47)^2)</f>
        <v>11.955358989069072</v>
      </c>
      <c r="J47" s="13">
        <f t="shared" si="10"/>
        <v>21.551252428159238</v>
      </c>
      <c r="K47" s="21">
        <f t="shared" ref="K47:K77" si="17">Shunt*GainDiffAmp*I47</f>
        <v>1195.5358989069073</v>
      </c>
      <c r="L47" s="13">
        <f t="shared" si="11"/>
        <v>61.551252428159238</v>
      </c>
      <c r="N47" s="9">
        <f t="shared" si="12"/>
        <v>-90</v>
      </c>
      <c r="O47">
        <f t="shared" ref="O47:O77" si="18">-360*$B47/$D$8</f>
        <v>-4.32</v>
      </c>
      <c r="P47" s="7">
        <f t="shared" ref="P47:P77" si="19">-ATAN(2*PI()*$B47/(SeriesResistance/Inductance))*(180/PI())</f>
        <v>-5.1839985854176152E-2</v>
      </c>
      <c r="Q47" s="13">
        <f t="shared" si="13"/>
        <v>-94.371839985854166</v>
      </c>
    </row>
    <row r="48" spans="2:17" x14ac:dyDescent="0.25">
      <c r="B48">
        <f t="shared" si="14"/>
        <v>7000</v>
      </c>
      <c r="D48" s="21">
        <f t="shared" si="6"/>
        <v>6428.5714285714284</v>
      </c>
      <c r="E48" s="1">
        <f t="shared" si="15"/>
        <v>7.9999955430482914E-3</v>
      </c>
      <c r="F48" s="13">
        <f t="shared" si="7"/>
        <v>51.428542776739015</v>
      </c>
      <c r="G48" s="13">
        <f t="shared" si="8"/>
        <v>4.2154543259622148</v>
      </c>
      <c r="H48" s="21">
        <f t="shared" si="9"/>
        <v>12.496887762490465</v>
      </c>
      <c r="I48" s="13">
        <f t="shared" si="16"/>
        <v>11.870566469037284</v>
      </c>
      <c r="J48" s="13">
        <f t="shared" si="10"/>
        <v>21.489428883737158</v>
      </c>
      <c r="K48" s="21">
        <f t="shared" si="17"/>
        <v>1187.0566469037283</v>
      </c>
      <c r="L48" s="13">
        <f t="shared" si="11"/>
        <v>61.489428883737162</v>
      </c>
      <c r="N48" s="9">
        <f t="shared" si="12"/>
        <v>-90</v>
      </c>
      <c r="O48">
        <f t="shared" si="18"/>
        <v>-5.04</v>
      </c>
      <c r="P48" s="7">
        <f t="shared" si="19"/>
        <v>-6.0479977536959627E-2</v>
      </c>
      <c r="Q48" s="13">
        <f t="shared" si="13"/>
        <v>-95.100479977536963</v>
      </c>
    </row>
    <row r="49" spans="2:28" x14ac:dyDescent="0.25">
      <c r="B49">
        <f t="shared" si="14"/>
        <v>8000</v>
      </c>
      <c r="D49" s="21">
        <f t="shared" si="6"/>
        <v>5625</v>
      </c>
      <c r="E49" s="1">
        <f t="shared" si="15"/>
        <v>7.9999941786768076E-3</v>
      </c>
      <c r="F49" s="13">
        <f t="shared" si="7"/>
        <v>44.999967255057044</v>
      </c>
      <c r="G49" s="13">
        <f t="shared" si="8"/>
        <v>3.688521906152217</v>
      </c>
      <c r="H49" s="21">
        <f t="shared" si="9"/>
        <v>11.33704734158826</v>
      </c>
      <c r="I49" s="13">
        <f t="shared" si="16"/>
        <v>11.774935447582481</v>
      </c>
      <c r="J49" s="13">
        <f t="shared" si="10"/>
        <v>21.419170698463571</v>
      </c>
      <c r="K49" s="21">
        <f t="shared" si="17"/>
        <v>1177.4935447582482</v>
      </c>
      <c r="L49" s="13">
        <f t="shared" si="11"/>
        <v>61.419170698463574</v>
      </c>
      <c r="N49" s="9">
        <f t="shared" si="12"/>
        <v>-90</v>
      </c>
      <c r="O49">
        <f t="shared" si="18"/>
        <v>-5.76</v>
      </c>
      <c r="P49" s="7">
        <f t="shared" si="19"/>
        <v>-6.9119966469171082E-2</v>
      </c>
      <c r="Q49" s="13">
        <f t="shared" si="13"/>
        <v>-95.829119966469179</v>
      </c>
    </row>
    <row r="50" spans="2:28" x14ac:dyDescent="0.25">
      <c r="B50">
        <f t="shared" si="14"/>
        <v>9000</v>
      </c>
      <c r="D50" s="21">
        <f t="shared" si="6"/>
        <v>5000</v>
      </c>
      <c r="E50" s="1">
        <f t="shared" si="15"/>
        <v>7.9999926323899694E-3</v>
      </c>
      <c r="F50" s="13">
        <f t="shared" si="7"/>
        <v>39.99996316194985</v>
      </c>
      <c r="G50" s="13">
        <f t="shared" si="8"/>
        <v>3.2786855050778567</v>
      </c>
      <c r="H50" s="21">
        <f t="shared" si="9"/>
        <v>10.313995213779648</v>
      </c>
      <c r="I50" s="13">
        <f t="shared" si="16"/>
        <v>11.669298492811988</v>
      </c>
      <c r="J50" s="13">
        <f t="shared" si="10"/>
        <v>21.340894978905656</v>
      </c>
      <c r="K50" s="21">
        <f t="shared" si="17"/>
        <v>1166.9298492811988</v>
      </c>
      <c r="L50" s="13">
        <f t="shared" si="11"/>
        <v>61.340894978905652</v>
      </c>
      <c r="N50" s="9">
        <f t="shared" si="12"/>
        <v>-90</v>
      </c>
      <c r="O50">
        <f t="shared" si="18"/>
        <v>-6.48</v>
      </c>
      <c r="P50" s="7">
        <f t="shared" si="19"/>
        <v>-7.7759952257873841E-2</v>
      </c>
      <c r="Q50" s="13">
        <f t="shared" si="13"/>
        <v>-96.557759952257882</v>
      </c>
    </row>
    <row r="51" spans="2:28" x14ac:dyDescent="0.25">
      <c r="B51">
        <f t="shared" si="14"/>
        <v>10000</v>
      </c>
      <c r="D51" s="21">
        <f t="shared" si="6"/>
        <v>4500</v>
      </c>
      <c r="E51" s="1">
        <f t="shared" si="15"/>
        <v>7.9999909041880979E-3</v>
      </c>
      <c r="F51" s="13">
        <f t="shared" si="7"/>
        <v>35.999959068846444</v>
      </c>
      <c r="G51" s="13">
        <f t="shared" si="8"/>
        <v>2.9508163171185613</v>
      </c>
      <c r="H51" s="21">
        <f t="shared" si="9"/>
        <v>9.3988435261928753</v>
      </c>
      <c r="I51" s="13">
        <f t="shared" si="16"/>
        <v>11.554533134939353</v>
      </c>
      <c r="J51" s="13">
        <f t="shared" si="10"/>
        <v>21.25504804690263</v>
      </c>
      <c r="K51" s="21">
        <f t="shared" si="17"/>
        <v>1155.4533134939354</v>
      </c>
      <c r="L51" s="13">
        <f t="shared" si="11"/>
        <v>61.25504804690263</v>
      </c>
      <c r="N51" s="9">
        <f t="shared" si="12"/>
        <v>-90</v>
      </c>
      <c r="O51">
        <f t="shared" si="18"/>
        <v>-7.2</v>
      </c>
      <c r="P51" s="7">
        <f t="shared" si="19"/>
        <v>-8.6399934510131962E-2</v>
      </c>
      <c r="Q51" s="13">
        <f t="shared" si="13"/>
        <v>-97.286399934510129</v>
      </c>
    </row>
    <row r="52" spans="2:28" x14ac:dyDescent="0.25">
      <c r="B52">
        <f>(B53+B51)/2</f>
        <v>15000</v>
      </c>
      <c r="D52" s="21">
        <f t="shared" si="6"/>
        <v>3000</v>
      </c>
      <c r="E52" s="1">
        <f t="shared" si="15"/>
        <v>7.9999795344668466E-3</v>
      </c>
      <c r="F52" s="13">
        <f t="shared" si="7"/>
        <v>23.99993860340054</v>
      </c>
      <c r="G52" s="13">
        <f t="shared" si="8"/>
        <v>1.9672080822459461</v>
      </c>
      <c r="H52" s="21">
        <f t="shared" si="9"/>
        <v>5.8770060005384401</v>
      </c>
      <c r="I52" s="13">
        <f t="shared" si="16"/>
        <v>10.875513414179002</v>
      </c>
      <c r="J52" s="13">
        <f t="shared" si="10"/>
        <v>20.728995368040085</v>
      </c>
      <c r="K52" s="21">
        <f t="shared" si="17"/>
        <v>1087.5513414179002</v>
      </c>
      <c r="L52" s="13">
        <f t="shared" si="11"/>
        <v>60.728995368040081</v>
      </c>
      <c r="N52" s="9">
        <f t="shared" si="12"/>
        <v>-90</v>
      </c>
      <c r="O52">
        <f t="shared" si="18"/>
        <v>-10.8</v>
      </c>
      <c r="P52" s="7">
        <f t="shared" si="19"/>
        <v>-0.12959977897207231</v>
      </c>
      <c r="Q52" s="13">
        <f t="shared" ref="Q52" si="20">SUM(N52:P52)</f>
        <v>-100.92959977897208</v>
      </c>
      <c r="S52" s="16" t="s">
        <v>17</v>
      </c>
      <c r="T52" s="16" t="s">
        <v>18</v>
      </c>
      <c r="U52" s="16" t="s">
        <v>19</v>
      </c>
      <c r="V52" s="16" t="s">
        <v>20</v>
      </c>
      <c r="W52" s="16" t="s">
        <v>21</v>
      </c>
      <c r="X52" s="16" t="s">
        <v>22</v>
      </c>
      <c r="Y52" s="16"/>
      <c r="Z52" s="16" t="s">
        <v>23</v>
      </c>
      <c r="AA52" s="16"/>
      <c r="AB52" s="16" t="s">
        <v>24</v>
      </c>
    </row>
    <row r="53" spans="2:28" x14ac:dyDescent="0.25">
      <c r="B53">
        <f>B43*10</f>
        <v>20000</v>
      </c>
      <c r="D53" s="21">
        <f t="shared" si="6"/>
        <v>2250</v>
      </c>
      <c r="E53" s="1">
        <f t="shared" si="15"/>
        <v>7.9999636169385355E-3</v>
      </c>
      <c r="F53" s="13">
        <f t="shared" si="7"/>
        <v>17.999918138111706</v>
      </c>
      <c r="G53" s="13">
        <f t="shared" si="8"/>
        <v>1.47540312607473</v>
      </c>
      <c r="H53" s="21">
        <f t="shared" si="9"/>
        <v>3.3782139860742588</v>
      </c>
      <c r="I53" s="13">
        <f t="shared" si="16"/>
        <v>10.098912508350667</v>
      </c>
      <c r="J53" s="13">
        <f t="shared" si="10"/>
        <v>20.085492194364448</v>
      </c>
      <c r="K53" s="21">
        <f t="shared" si="17"/>
        <v>1009.8912508350667</v>
      </c>
      <c r="L53" s="13">
        <f t="shared" si="11"/>
        <v>60.085492194364456</v>
      </c>
      <c r="N53" s="9">
        <f t="shared" si="12"/>
        <v>-90</v>
      </c>
      <c r="O53">
        <f t="shared" si="18"/>
        <v>-14.4</v>
      </c>
      <c r="P53" s="7">
        <f t="shared" si="19"/>
        <v>-0.17279947608320012</v>
      </c>
      <c r="Q53" s="13">
        <f t="shared" si="13"/>
        <v>-104.5727994760832</v>
      </c>
      <c r="S53" s="17">
        <v>110</v>
      </c>
      <c r="T53" s="17" t="s">
        <v>25</v>
      </c>
      <c r="U53" s="17">
        <v>40000</v>
      </c>
      <c r="V53" s="18"/>
      <c r="W53" s="18"/>
      <c r="X53" s="18"/>
      <c r="Y53" s="18"/>
      <c r="Z53" s="18"/>
      <c r="AA53" s="18"/>
    </row>
    <row r="54" spans="2:28" x14ac:dyDescent="0.25">
      <c r="B54">
        <f>(B55+B53)/2</f>
        <v>25000</v>
      </c>
      <c r="D54" s="21">
        <f t="shared" si="6"/>
        <v>1800</v>
      </c>
      <c r="E54" s="1">
        <f t="shared" si="15"/>
        <v>7.9999431516846048E-3</v>
      </c>
      <c r="F54" s="13">
        <f t="shared" si="7"/>
        <v>14.399897673032289</v>
      </c>
      <c r="G54" s="13">
        <f t="shared" si="8"/>
        <v>1.1803194813960893</v>
      </c>
      <c r="H54" s="21">
        <f t="shared" si="9"/>
        <v>1.4399915059165236</v>
      </c>
      <c r="I54" s="13">
        <f t="shared" si="16"/>
        <v>9.3083793844559874</v>
      </c>
      <c r="J54" s="13">
        <f t="shared" si="10"/>
        <v>19.377481512960003</v>
      </c>
      <c r="K54" s="21">
        <f t="shared" si="17"/>
        <v>930.83793844559875</v>
      </c>
      <c r="L54" s="13">
        <f t="shared" si="11"/>
        <v>59.377481512960003</v>
      </c>
      <c r="N54" s="9">
        <f t="shared" si="12"/>
        <v>-90</v>
      </c>
      <c r="O54">
        <f t="shared" si="18"/>
        <v>-18</v>
      </c>
      <c r="P54" s="7">
        <f t="shared" si="19"/>
        <v>-0.21599897672814147</v>
      </c>
      <c r="Q54" s="13">
        <f t="shared" ref="Q54" si="21">SUM(N54:P54)</f>
        <v>-108.21599897672814</v>
      </c>
      <c r="S54" s="17">
        <v>110</v>
      </c>
      <c r="T54" s="17" t="s">
        <v>8</v>
      </c>
      <c r="U54" s="17">
        <v>50000</v>
      </c>
      <c r="V54" s="18"/>
      <c r="W54" s="18"/>
      <c r="X54" s="18"/>
      <c r="Y54" s="18"/>
      <c r="Z54" s="18"/>
      <c r="AA54" s="18"/>
    </row>
    <row r="55" spans="2:28" x14ac:dyDescent="0.25">
      <c r="B55">
        <f>B44*10</f>
        <v>30000</v>
      </c>
      <c r="D55" s="21">
        <f t="shared" si="6"/>
        <v>1500</v>
      </c>
      <c r="E55" s="1">
        <f t="shared" si="15"/>
        <v>7.9999181388097588E-3</v>
      </c>
      <c r="F55" s="13">
        <f t="shared" si="7"/>
        <v>11.999877208214638</v>
      </c>
      <c r="G55" s="13">
        <f t="shared" si="8"/>
        <v>0.98359649247660974</v>
      </c>
      <c r="H55" s="21">
        <f t="shared" si="9"/>
        <v>-0.14366057265521728</v>
      </c>
      <c r="I55" s="13">
        <f t="shared" si="16"/>
        <v>8.5550710141100694</v>
      </c>
      <c r="J55" s="13">
        <f t="shared" si="10"/>
        <v>18.644472377853631</v>
      </c>
      <c r="K55" s="21">
        <f t="shared" si="17"/>
        <v>855.50710141100694</v>
      </c>
      <c r="L55" s="13">
        <f t="shared" si="11"/>
        <v>58.644472377853631</v>
      </c>
      <c r="N55" s="9">
        <f t="shared" si="12"/>
        <v>-90</v>
      </c>
      <c r="O55">
        <f t="shared" si="18"/>
        <v>-21.6</v>
      </c>
      <c r="P55" s="7">
        <f t="shared" si="19"/>
        <v>-0.25919823179286278</v>
      </c>
      <c r="Q55" s="13">
        <f t="shared" si="13"/>
        <v>-111.85919823179286</v>
      </c>
      <c r="S55" s="17">
        <v>195</v>
      </c>
      <c r="T55" s="17" t="s">
        <v>25</v>
      </c>
      <c r="U55" s="17">
        <v>22000</v>
      </c>
      <c r="V55" s="18">
        <v>13000</v>
      </c>
      <c r="W55" s="19">
        <v>24900</v>
      </c>
      <c r="X55" s="17">
        <v>100</v>
      </c>
      <c r="Y55" s="18"/>
      <c r="Z55" s="18">
        <f>W55</f>
        <v>24900</v>
      </c>
      <c r="AA55" s="18">
        <f>U55</f>
        <v>22000</v>
      </c>
      <c r="AB55">
        <f>W55*(3300/5300)</f>
        <v>15503.773584905659</v>
      </c>
    </row>
    <row r="56" spans="2:28" x14ac:dyDescent="0.25">
      <c r="B56">
        <f>(B57+B55)/2</f>
        <v>35000</v>
      </c>
      <c r="D56" s="21">
        <f t="shared" si="6"/>
        <v>1285.7142857142858</v>
      </c>
      <c r="E56" s="1">
        <f t="shared" si="15"/>
        <v>7.9998885784419646E-3</v>
      </c>
      <c r="F56" s="13">
        <f t="shared" si="7"/>
        <v>10.285571029425384</v>
      </c>
      <c r="G56" s="13">
        <f t="shared" si="8"/>
        <v>0.84307959257585119</v>
      </c>
      <c r="H56" s="21">
        <f t="shared" si="9"/>
        <v>-1.4826284604167355</v>
      </c>
      <c r="I56" s="13">
        <f t="shared" si="16"/>
        <v>7.8637721110045771</v>
      </c>
      <c r="J56" s="13">
        <f t="shared" si="10"/>
        <v>17.912618386493655</v>
      </c>
      <c r="K56" s="21">
        <f t="shared" si="17"/>
        <v>786.37721110045766</v>
      </c>
      <c r="L56" s="13">
        <f t="shared" si="11"/>
        <v>57.912618386493655</v>
      </c>
      <c r="N56" s="9">
        <f t="shared" si="12"/>
        <v>-90</v>
      </c>
      <c r="O56">
        <f t="shared" si="18"/>
        <v>-25.2</v>
      </c>
      <c r="P56" s="7">
        <f t="shared" si="19"/>
        <v>-0.30239719216500549</v>
      </c>
      <c r="Q56" s="13">
        <f t="shared" ref="Q56" si="22">SUM(N56:P56)</f>
        <v>-115.50239719216501</v>
      </c>
      <c r="S56" s="17">
        <v>195</v>
      </c>
      <c r="T56" s="17" t="s">
        <v>8</v>
      </c>
      <c r="U56" s="17">
        <v>30000</v>
      </c>
      <c r="V56" s="18">
        <v>23000</v>
      </c>
      <c r="W56" s="19">
        <v>37400</v>
      </c>
      <c r="X56" s="17">
        <v>100</v>
      </c>
      <c r="Y56" s="18"/>
      <c r="Z56" s="18">
        <f>Z55*($C$7/$C$6)</f>
        <v>34860</v>
      </c>
      <c r="AA56" s="18">
        <f>AA55*($C$7/$C$6)</f>
        <v>30800.000000000004</v>
      </c>
      <c r="AB56">
        <f>W56*(3300/5300)</f>
        <v>23286.792452830188</v>
      </c>
    </row>
    <row r="57" spans="2:28" x14ac:dyDescent="0.25">
      <c r="B57">
        <f>B45*10</f>
        <v>40000</v>
      </c>
      <c r="D57" s="21">
        <f t="shared" si="6"/>
        <v>1125</v>
      </c>
      <c r="E57" s="1">
        <f t="shared" si="15"/>
        <v>7.9998544707324589E-3</v>
      </c>
      <c r="F57" s="13">
        <f t="shared" si="7"/>
        <v>8.9998362795740157</v>
      </c>
      <c r="G57" s="13">
        <f t="shared" si="8"/>
        <v>0.73769149832573899</v>
      </c>
      <c r="H57" s="21">
        <f t="shared" si="9"/>
        <v>-2.6425044325402656</v>
      </c>
      <c r="I57" s="13">
        <f t="shared" si="16"/>
        <v>7.2424318530934233</v>
      </c>
      <c r="J57" s="13">
        <f t="shared" si="10"/>
        <v>17.197688348928555</v>
      </c>
      <c r="K57" s="21">
        <f t="shared" si="17"/>
        <v>724.24318530934238</v>
      </c>
      <c r="L57" s="13">
        <f t="shared" si="11"/>
        <v>57.197688348928551</v>
      </c>
      <c r="N57" s="9">
        <f t="shared" si="12"/>
        <v>-90</v>
      </c>
      <c r="O57">
        <f t="shared" si="18"/>
        <v>-28.8</v>
      </c>
      <c r="P57" s="7">
        <f t="shared" si="19"/>
        <v>-0.34559580873422158</v>
      </c>
      <c r="Q57" s="13">
        <f t="shared" si="13"/>
        <v>-119.14559580873421</v>
      </c>
      <c r="S57" s="17">
        <v>105</v>
      </c>
      <c r="T57" s="17" t="s">
        <v>25</v>
      </c>
      <c r="U57" s="17">
        <v>40000</v>
      </c>
      <c r="V57" s="18">
        <v>30000</v>
      </c>
      <c r="W57" s="18">
        <v>51000</v>
      </c>
      <c r="X57" s="17">
        <v>10</v>
      </c>
      <c r="Y57" s="18"/>
      <c r="Z57" s="20">
        <f>Z55*$S$55/$S$57</f>
        <v>46242.857142857145</v>
      </c>
      <c r="AA57" s="20">
        <f>AA55*$S$55/$S$57</f>
        <v>40857.142857142855</v>
      </c>
      <c r="AB57">
        <f>W57*(3300/5300)</f>
        <v>31754.716981132075</v>
      </c>
    </row>
    <row r="58" spans="2:28" x14ac:dyDescent="0.25">
      <c r="B58">
        <f>(B59+B57)/2</f>
        <v>45000</v>
      </c>
      <c r="D58" s="21">
        <f t="shared" si="6"/>
        <v>1000</v>
      </c>
      <c r="E58" s="1">
        <f t="shared" si="15"/>
        <v>7.9998158158557341E-3</v>
      </c>
      <c r="F58" s="13">
        <f t="shared" si="7"/>
        <v>7.999815815855734</v>
      </c>
      <c r="G58" s="13">
        <f t="shared" si="8"/>
        <v>0.65572260785702741</v>
      </c>
      <c r="H58" s="21">
        <f t="shared" si="9"/>
        <v>-3.6655968513519182</v>
      </c>
      <c r="I58" s="13">
        <f t="shared" si="16"/>
        <v>6.6898472290022957</v>
      </c>
      <c r="J58" s="13">
        <f t="shared" si="10"/>
        <v>16.508324004507863</v>
      </c>
      <c r="K58" s="21">
        <f t="shared" si="17"/>
        <v>668.9847229002296</v>
      </c>
      <c r="L58" s="13">
        <f t="shared" si="11"/>
        <v>56.508324004507855</v>
      </c>
      <c r="N58" s="9">
        <f t="shared" si="12"/>
        <v>-90</v>
      </c>
      <c r="O58">
        <f t="shared" si="18"/>
        <v>-32.4</v>
      </c>
      <c r="P58" s="7">
        <f t="shared" si="19"/>
        <v>-0.38879403239250798</v>
      </c>
      <c r="Q58" s="13">
        <f t="shared" ref="Q58" si="23">SUM(N58:P58)</f>
        <v>-122.78879403239252</v>
      </c>
      <c r="S58" s="17">
        <v>105</v>
      </c>
      <c r="T58" s="17" t="s">
        <v>8</v>
      </c>
      <c r="U58" s="17">
        <v>55000</v>
      </c>
      <c r="V58" s="18">
        <v>53000</v>
      </c>
      <c r="W58" s="18">
        <v>85600</v>
      </c>
      <c r="X58" s="17">
        <v>10</v>
      </c>
      <c r="Y58" s="18"/>
      <c r="Z58" s="20">
        <f>Z55*($S$56/$S$58)*($C$7/$C$6)</f>
        <v>64740.000000000007</v>
      </c>
      <c r="AA58" s="20">
        <f>AA55*($S$56/$S$58)*($C$7/$C$6)</f>
        <v>57200</v>
      </c>
      <c r="AB58">
        <f>W58*(3300/5300)</f>
        <v>53298.113207547169</v>
      </c>
    </row>
    <row r="59" spans="2:28" x14ac:dyDescent="0.25">
      <c r="B59">
        <f>B46*10</f>
        <v>50000</v>
      </c>
      <c r="D59" s="21">
        <f t="shared" si="6"/>
        <v>900</v>
      </c>
      <c r="E59" s="1">
        <f t="shared" si="15"/>
        <v>7.9997726140095399E-3</v>
      </c>
      <c r="F59" s="13">
        <f t="shared" si="7"/>
        <v>7.1997953526085858</v>
      </c>
      <c r="G59" s="13">
        <f t="shared" si="8"/>
        <v>0.5901471600498841</v>
      </c>
      <c r="H59" s="21">
        <f t="shared" si="9"/>
        <v>-4.5807935695805417</v>
      </c>
      <c r="I59" s="13">
        <f t="shared" si="16"/>
        <v>6.2005630137164278</v>
      </c>
      <c r="J59" s="13">
        <f t="shared" si="10"/>
        <v>15.848622508187557</v>
      </c>
      <c r="K59" s="21">
        <f t="shared" si="17"/>
        <v>620.0563013716428</v>
      </c>
      <c r="L59" s="13">
        <f t="shared" si="11"/>
        <v>55.84862250818756</v>
      </c>
      <c r="N59" s="9">
        <f t="shared" si="12"/>
        <v>-90</v>
      </c>
      <c r="O59">
        <f t="shared" si="18"/>
        <v>-36</v>
      </c>
      <c r="P59" s="7">
        <f t="shared" si="19"/>
        <v>-0.43199181403454173</v>
      </c>
      <c r="Q59" s="13">
        <f t="shared" si="13"/>
        <v>-126.43199181403455</v>
      </c>
      <c r="S59" t="s">
        <v>35</v>
      </c>
      <c r="U59" s="17">
        <v>4800</v>
      </c>
      <c r="V59" s="18">
        <v>3300</v>
      </c>
      <c r="W59" s="18">
        <v>5308</v>
      </c>
    </row>
    <row r="60" spans="2:28" x14ac:dyDescent="0.25">
      <c r="B60">
        <f>(B61+B59)/2</f>
        <v>55000</v>
      </c>
      <c r="D60" s="21">
        <f t="shared" si="6"/>
        <v>818.18181818181813</v>
      </c>
      <c r="E60" s="1">
        <f t="shared" si="15"/>
        <v>7.9997248654148853E-3</v>
      </c>
      <c r="F60" s="13">
        <f t="shared" si="7"/>
        <v>6.5452294353394516</v>
      </c>
      <c r="G60" s="13">
        <f t="shared" si="8"/>
        <v>0.53649421601143044</v>
      </c>
      <c r="H60" s="21">
        <f t="shared" si="9"/>
        <v>-5.4086991167512792</v>
      </c>
      <c r="I60" s="13">
        <f t="shared" si="16"/>
        <v>5.7676151379383498</v>
      </c>
      <c r="J60" s="13">
        <f t="shared" si="10"/>
        <v>15.219925460558489</v>
      </c>
      <c r="K60" s="21">
        <f t="shared" si="17"/>
        <v>576.76151379383498</v>
      </c>
      <c r="L60" s="13">
        <f t="shared" si="11"/>
        <v>55.219925460558493</v>
      </c>
      <c r="N60" s="9">
        <f t="shared" si="12"/>
        <v>-90</v>
      </c>
      <c r="O60">
        <f t="shared" si="18"/>
        <v>-39.6</v>
      </c>
      <c r="P60" s="7">
        <f t="shared" si="19"/>
        <v>-0.47518910455801494</v>
      </c>
      <c r="Q60" s="13">
        <f t="shared" ref="Q60" si="24">SUM(N60:P60)</f>
        <v>-130.07518910455801</v>
      </c>
    </row>
    <row r="61" spans="2:28" x14ac:dyDescent="0.25">
      <c r="B61">
        <f>B47*10</f>
        <v>60000</v>
      </c>
      <c r="D61" s="21">
        <f t="shared" si="6"/>
        <v>750</v>
      </c>
      <c r="E61" s="1">
        <f t="shared" si="15"/>
        <v>7.9996725703160316E-3</v>
      </c>
      <c r="F61" s="13">
        <f t="shared" si="7"/>
        <v>5.9997544277370238</v>
      </c>
      <c r="G61" s="13">
        <f t="shared" si="8"/>
        <v>0.49178314981451016</v>
      </c>
      <c r="H61" s="21">
        <f t="shared" si="9"/>
        <v>-6.1645271153598111</v>
      </c>
      <c r="I61" s="13">
        <f t="shared" si="16"/>
        <v>5.383922349153047</v>
      </c>
      <c r="J61" s="13">
        <f t="shared" si="10"/>
        <v>14.621975750999178</v>
      </c>
      <c r="K61" s="21">
        <f t="shared" si="17"/>
        <v>538.3922349153047</v>
      </c>
      <c r="L61" s="13">
        <f t="shared" si="11"/>
        <v>54.621975750999177</v>
      </c>
      <c r="N61" s="9">
        <f t="shared" si="12"/>
        <v>-90</v>
      </c>
      <c r="O61">
        <f t="shared" si="18"/>
        <v>-43.2</v>
      </c>
      <c r="P61" s="7">
        <f t="shared" si="19"/>
        <v>-0.51838585486396938</v>
      </c>
      <c r="Q61" s="13">
        <f t="shared" si="13"/>
        <v>-133.71838585486395</v>
      </c>
    </row>
    <row r="62" spans="2:28" x14ac:dyDescent="0.25">
      <c r="B62">
        <f>(B63+B61)/2</f>
        <v>65000</v>
      </c>
      <c r="D62" s="21">
        <f t="shared" si="6"/>
        <v>692.30769230769226</v>
      </c>
      <c r="E62" s="1">
        <f t="shared" si="15"/>
        <v>7.9996157289804869E-3</v>
      </c>
      <c r="F62" s="13">
        <f t="shared" si="7"/>
        <v>5.5381955046787983</v>
      </c>
      <c r="G62" s="13">
        <f t="shared" si="8"/>
        <v>0.45395045120318023</v>
      </c>
      <c r="H62" s="21">
        <f t="shared" si="9"/>
        <v>-6.8598309579852499</v>
      </c>
      <c r="I62" s="13">
        <f t="shared" si="16"/>
        <v>5.0429172649897271</v>
      </c>
      <c r="J62" s="13">
        <f t="shared" si="10"/>
        <v>14.053636862079484</v>
      </c>
      <c r="K62" s="21">
        <f t="shared" si="17"/>
        <v>504.29172649897271</v>
      </c>
      <c r="L62" s="13">
        <f t="shared" si="11"/>
        <v>54.053636862079486</v>
      </c>
      <c r="N62" s="9">
        <f t="shared" si="12"/>
        <v>-90</v>
      </c>
      <c r="O62">
        <f t="shared" si="18"/>
        <v>-46.8</v>
      </c>
      <c r="P62" s="7">
        <f t="shared" si="19"/>
        <v>-0.56158201585713141</v>
      </c>
      <c r="Q62" s="13">
        <f t="shared" ref="Q62" si="25">SUM(N62:P62)</f>
        <v>-137.36158201585715</v>
      </c>
    </row>
    <row r="63" spans="2:28" x14ac:dyDescent="0.25">
      <c r="B63">
        <f>B48*10</f>
        <v>70000</v>
      </c>
      <c r="D63" s="21">
        <f t="shared" si="6"/>
        <v>642.85714285714289</v>
      </c>
      <c r="E63" s="1">
        <f t="shared" si="15"/>
        <v>7.9995543416990032E-3</v>
      </c>
      <c r="F63" s="13">
        <f t="shared" si="7"/>
        <v>5.1425706482350737</v>
      </c>
      <c r="G63" s="13">
        <f t="shared" si="8"/>
        <v>0.42152218428156346</v>
      </c>
      <c r="H63" s="21">
        <f t="shared" si="9"/>
        <v>-7.5035912792646675</v>
      </c>
      <c r="I63" s="13">
        <f t="shared" si="16"/>
        <v>4.7387788489448326</v>
      </c>
      <c r="J63" s="13">
        <f t="shared" si="10"/>
        <v>13.513328827189055</v>
      </c>
      <c r="K63" s="21">
        <f t="shared" si="17"/>
        <v>473.87788489448326</v>
      </c>
      <c r="L63" s="13">
        <f t="shared" si="11"/>
        <v>53.513328827189056</v>
      </c>
      <c r="N63" s="9">
        <f t="shared" si="12"/>
        <v>-90</v>
      </c>
      <c r="O63">
        <f t="shared" si="18"/>
        <v>-50.4</v>
      </c>
      <c r="P63" s="7">
        <f t="shared" si="19"/>
        <v>-0.60477753844624638</v>
      </c>
      <c r="Q63" s="13">
        <f t="shared" si="13"/>
        <v>-141.00477753844626</v>
      </c>
    </row>
    <row r="64" spans="2:28" x14ac:dyDescent="0.25">
      <c r="B64">
        <f>(B65+B63)/2</f>
        <v>75000</v>
      </c>
      <c r="D64" s="21">
        <f t="shared" si="6"/>
        <v>600</v>
      </c>
      <c r="E64" s="1">
        <f t="shared" si="15"/>
        <v>7.9994884087855773E-3</v>
      </c>
      <c r="F64" s="13">
        <f t="shared" si="7"/>
        <v>4.7996930452713462</v>
      </c>
      <c r="G64" s="13">
        <f t="shared" si="8"/>
        <v>0.39341746272715955</v>
      </c>
      <c r="H64" s="21">
        <f t="shared" si="9"/>
        <v>-8.1029273368478201</v>
      </c>
      <c r="I64" s="13">
        <f t="shared" si="16"/>
        <v>4.466469212752612</v>
      </c>
      <c r="J64" s="13">
        <f t="shared" si="10"/>
        <v>12.999286895108428</v>
      </c>
      <c r="K64" s="21">
        <f t="shared" si="17"/>
        <v>446.64692127526121</v>
      </c>
      <c r="L64" s="13">
        <f t="shared" si="11"/>
        <v>52.999286895108426</v>
      </c>
      <c r="N64" s="9">
        <f t="shared" si="12"/>
        <v>-90</v>
      </c>
      <c r="O64">
        <f t="shared" si="18"/>
        <v>-54</v>
      </c>
      <c r="P64" s="7">
        <f t="shared" si="19"/>
        <v>-0.64797237354441406</v>
      </c>
      <c r="Q64" s="13">
        <f t="shared" ref="Q64" si="26">SUM(N64:P64)</f>
        <v>-144.64797237354441</v>
      </c>
    </row>
    <row r="65" spans="2:17" x14ac:dyDescent="0.25">
      <c r="B65">
        <f>B49*10</f>
        <v>80000</v>
      </c>
      <c r="D65" s="21">
        <f t="shared" si="6"/>
        <v>562.5</v>
      </c>
      <c r="E65" s="1">
        <f t="shared" si="15"/>
        <v>7.999417930577438E-3</v>
      </c>
      <c r="F65" s="13">
        <f t="shared" si="7"/>
        <v>4.499672585949809</v>
      </c>
      <c r="G65" s="13">
        <f t="shared" si="8"/>
        <v>0.36882562179916467</v>
      </c>
      <c r="H65" s="21">
        <f t="shared" si="9"/>
        <v>-8.663578334825754</v>
      </c>
      <c r="I65" s="13">
        <f t="shared" si="16"/>
        <v>4.2216824847499392</v>
      </c>
      <c r="J65" s="13">
        <f t="shared" si="10"/>
        <v>12.509711333073309</v>
      </c>
      <c r="K65" s="21">
        <f t="shared" si="17"/>
        <v>422.1682484749939</v>
      </c>
      <c r="L65" s="13">
        <f t="shared" si="11"/>
        <v>52.509711333073305</v>
      </c>
      <c r="N65" s="9">
        <f t="shared" si="12"/>
        <v>-90</v>
      </c>
      <c r="O65">
        <f t="shared" si="18"/>
        <v>-57.6</v>
      </c>
      <c r="P65" s="7">
        <f t="shared" si="19"/>
        <v>-0.69116647206942183</v>
      </c>
      <c r="Q65" s="13">
        <f t="shared" si="13"/>
        <v>-148.29116647206942</v>
      </c>
    </row>
    <row r="66" spans="2:17" x14ac:dyDescent="0.25">
      <c r="B66">
        <f>(B67+B65)/2</f>
        <v>85000</v>
      </c>
      <c r="D66" s="21">
        <f t="shared" si="6"/>
        <v>529.41176470588232</v>
      </c>
      <c r="E66" s="1">
        <f t="shared" si="15"/>
        <v>7.999342907435052E-3</v>
      </c>
      <c r="F66" s="13">
        <f t="shared" si="7"/>
        <v>4.234946245112674</v>
      </c>
      <c r="G66" s="13">
        <f t="shared" si="8"/>
        <v>0.34712674140267824</v>
      </c>
      <c r="H66" s="21">
        <f t="shared" si="9"/>
        <v>-9.1902385709236327</v>
      </c>
      <c r="I66" s="13">
        <f t="shared" si="16"/>
        <v>4.000760539461603</v>
      </c>
      <c r="J66" s="13">
        <f t="shared" si="10"/>
        <v>12.042851160033408</v>
      </c>
      <c r="K66" s="21">
        <f t="shared" si="17"/>
        <v>400.0760539461603</v>
      </c>
      <c r="L66" s="13">
        <f t="shared" si="11"/>
        <v>52.042851160033408</v>
      </c>
      <c r="N66" s="9">
        <f t="shared" si="12"/>
        <v>-90</v>
      </c>
      <c r="O66">
        <f t="shared" si="18"/>
        <v>-61.2</v>
      </c>
      <c r="P66" s="7">
        <f t="shared" si="19"/>
        <v>-0.73435978494408061</v>
      </c>
      <c r="Q66" s="13">
        <f t="shared" ref="Q66" si="27">SUM(N66:P66)</f>
        <v>-151.93435978494406</v>
      </c>
    </row>
    <row r="67" spans="2:17" x14ac:dyDescent="0.25">
      <c r="B67">
        <f>B50*10</f>
        <v>90000</v>
      </c>
      <c r="D67" s="21">
        <f t="shared" si="6"/>
        <v>500</v>
      </c>
      <c r="E67" s="1">
        <f t="shared" si="15"/>
        <v>7.9992633397421072E-3</v>
      </c>
      <c r="F67" s="13">
        <f t="shared" si="7"/>
        <v>3.9996316698710537</v>
      </c>
      <c r="G67" s="13">
        <f t="shared" si="8"/>
        <v>0.32783866146484048</v>
      </c>
      <c r="H67" s="21">
        <f t="shared" si="9"/>
        <v>-9.6867966424752439</v>
      </c>
      <c r="I67" s="13">
        <f t="shared" si="16"/>
        <v>3.8006021336469193</v>
      </c>
      <c r="J67" s="13">
        <f t="shared" si="10"/>
        <v>11.59704815656778</v>
      </c>
      <c r="K67" s="21">
        <f t="shared" si="17"/>
        <v>380.06021336469195</v>
      </c>
      <c r="L67" s="13">
        <f t="shared" si="11"/>
        <v>51.59704815656778</v>
      </c>
      <c r="N67" s="9">
        <f t="shared" si="12"/>
        <v>-90</v>
      </c>
      <c r="O67">
        <f t="shared" si="18"/>
        <v>-64.8</v>
      </c>
      <c r="P67" s="7">
        <f t="shared" si="19"/>
        <v>-0.77755226309655834</v>
      </c>
      <c r="Q67" s="13">
        <f t="shared" si="13"/>
        <v>-155.57755226309658</v>
      </c>
    </row>
    <row r="68" spans="2:17" x14ac:dyDescent="0.25">
      <c r="B68">
        <f>B51*10</f>
        <v>100000</v>
      </c>
      <c r="D68" s="21">
        <f t="shared" si="6"/>
        <v>450</v>
      </c>
      <c r="E68" s="1">
        <f t="shared" si="15"/>
        <v>7.9990905723553996E-3</v>
      </c>
      <c r="F68" s="13">
        <f t="shared" si="7"/>
        <v>3.59959075755993</v>
      </c>
      <c r="G68" s="13">
        <f t="shared" si="8"/>
        <v>0.29504842275081394</v>
      </c>
      <c r="H68" s="21">
        <f t="shared" si="9"/>
        <v>-10.602134052795794</v>
      </c>
      <c r="I68" s="13">
        <f t="shared" si="16"/>
        <v>3.4524520408045198</v>
      </c>
      <c r="J68" s="13">
        <f t="shared" si="10"/>
        <v>10.762553087179228</v>
      </c>
      <c r="K68" s="21">
        <f t="shared" si="17"/>
        <v>345.24520408045197</v>
      </c>
      <c r="L68" s="13">
        <f t="shared" si="11"/>
        <v>50.762553087179228</v>
      </c>
      <c r="N68" s="9">
        <f t="shared" si="12"/>
        <v>-90</v>
      </c>
      <c r="O68">
        <f t="shared" si="18"/>
        <v>-72</v>
      </c>
      <c r="P68" s="7">
        <f t="shared" si="19"/>
        <v>-0.86393451897643359</v>
      </c>
      <c r="Q68" s="13">
        <f t="shared" si="13"/>
        <v>-162.86393451897644</v>
      </c>
    </row>
    <row r="69" spans="2:17" x14ac:dyDescent="0.25">
      <c r="B69">
        <f>B53*10</f>
        <v>200000</v>
      </c>
      <c r="D69" s="21">
        <f t="shared" si="6"/>
        <v>225</v>
      </c>
      <c r="E69" s="1">
        <f t="shared" si="15"/>
        <v>7.9963641491760332E-3</v>
      </c>
      <c r="F69" s="13">
        <f t="shared" si="7"/>
        <v>1.7991819335646075</v>
      </c>
      <c r="G69" s="13">
        <f t="shared" si="8"/>
        <v>0.14747392898070555</v>
      </c>
      <c r="H69" s="21">
        <f t="shared" si="9"/>
        <v>-16.625694983624996</v>
      </c>
      <c r="I69" s="13">
        <f t="shared" si="16"/>
        <v>1.7799305795960199</v>
      </c>
      <c r="J69" s="13">
        <f t="shared" si="10"/>
        <v>5.0080612879048205</v>
      </c>
      <c r="K69" s="21">
        <f t="shared" si="17"/>
        <v>177.993057959602</v>
      </c>
      <c r="L69" s="13">
        <f t="shared" si="11"/>
        <v>45.008061287904823</v>
      </c>
      <c r="N69" s="9">
        <f t="shared" si="12"/>
        <v>-90</v>
      </c>
      <c r="O69">
        <f t="shared" si="18"/>
        <v>-144</v>
      </c>
      <c r="P69" s="7">
        <f t="shared" si="19"/>
        <v>-1.7274763660841665</v>
      </c>
      <c r="Q69" s="13">
        <f t="shared" si="13"/>
        <v>-235.72747636608418</v>
      </c>
    </row>
    <row r="70" spans="2:17" x14ac:dyDescent="0.25">
      <c r="B70">
        <f>B55*10</f>
        <v>300000</v>
      </c>
      <c r="D70" s="21">
        <f t="shared" si="6"/>
        <v>150</v>
      </c>
      <c r="E70" s="1">
        <f t="shared" si="15"/>
        <v>7.9918262991721094E-3</v>
      </c>
      <c r="F70" s="13">
        <f t="shared" si="7"/>
        <v>1.1987739448758163</v>
      </c>
      <c r="G70" s="13">
        <f t="shared" si="8"/>
        <v>9.8260159416050527E-2</v>
      </c>
      <c r="H70" s="21">
        <f t="shared" si="9"/>
        <v>-20.152450712134073</v>
      </c>
      <c r="I70" s="13">
        <f t="shared" si="16"/>
        <v>1.1930284002008769</v>
      </c>
      <c r="J70" s="13">
        <f t="shared" si="10"/>
        <v>1.5330156446342933</v>
      </c>
      <c r="K70" s="21">
        <f t="shared" si="17"/>
        <v>119.30284002008769</v>
      </c>
      <c r="L70" s="13">
        <f t="shared" si="11"/>
        <v>41.533015644634297</v>
      </c>
      <c r="N70" s="9">
        <f t="shared" si="12"/>
        <v>-90</v>
      </c>
      <c r="O70">
        <f t="shared" si="18"/>
        <v>-216</v>
      </c>
      <c r="P70" s="7">
        <f t="shared" si="19"/>
        <v>-2.5902339392544351</v>
      </c>
      <c r="Q70" s="13">
        <f t="shared" si="13"/>
        <v>-308.59023393925446</v>
      </c>
    </row>
    <row r="71" spans="2:17" x14ac:dyDescent="0.25">
      <c r="B71">
        <f>B57*10</f>
        <v>400000</v>
      </c>
      <c r="D71" s="21">
        <f t="shared" si="6"/>
        <v>112.5</v>
      </c>
      <c r="E71" s="1">
        <f t="shared" si="15"/>
        <v>7.9854862684674774E-3</v>
      </c>
      <c r="F71" s="13">
        <f t="shared" si="7"/>
        <v>0.89836720520259117</v>
      </c>
      <c r="G71" s="13">
        <f t="shared" si="8"/>
        <v>7.3636656164146816E-2</v>
      </c>
      <c r="H71" s="21">
        <f t="shared" si="9"/>
        <v>-22.658118820098995</v>
      </c>
      <c r="I71" s="13">
        <f t="shared" si="16"/>
        <v>0.89594143190313225</v>
      </c>
      <c r="J71" s="13">
        <f t="shared" si="10"/>
        <v>-0.95440758873611309</v>
      </c>
      <c r="K71" s="21">
        <f t="shared" si="17"/>
        <v>89.594143190313218</v>
      </c>
      <c r="L71" s="13">
        <f t="shared" si="11"/>
        <v>39.045592411263883</v>
      </c>
      <c r="N71" s="9">
        <f t="shared" si="12"/>
        <v>-90</v>
      </c>
      <c r="O71">
        <f t="shared" si="18"/>
        <v>-288</v>
      </c>
      <c r="P71" s="7">
        <f t="shared" si="19"/>
        <v>-3.451817768742369</v>
      </c>
      <c r="Q71" s="13">
        <f t="shared" si="13"/>
        <v>-381.45181776874239</v>
      </c>
    </row>
    <row r="72" spans="2:17" x14ac:dyDescent="0.25">
      <c r="B72">
        <f>B59*10</f>
        <v>500000</v>
      </c>
      <c r="D72" s="21">
        <f t="shared" si="6"/>
        <v>90</v>
      </c>
      <c r="E72" s="1">
        <f t="shared" si="15"/>
        <v>7.9773569284179238E-3</v>
      </c>
      <c r="F72" s="13">
        <f t="shared" si="7"/>
        <v>0.71796212355761313</v>
      </c>
      <c r="G72" s="13">
        <f t="shared" si="8"/>
        <v>5.8849354389968293E-2</v>
      </c>
      <c r="H72" s="21">
        <f t="shared" si="9"/>
        <v>-24.605165944911256</v>
      </c>
      <c r="I72" s="13">
        <f t="shared" si="16"/>
        <v>0.71672210359066135</v>
      </c>
      <c r="J72" s="13">
        <f t="shared" si="10"/>
        <v>-2.892984035084428</v>
      </c>
      <c r="K72" s="21">
        <f t="shared" si="17"/>
        <v>71.672210359066142</v>
      </c>
      <c r="L72" s="13">
        <f t="shared" si="11"/>
        <v>37.107015964915576</v>
      </c>
      <c r="N72" s="9">
        <f t="shared" si="12"/>
        <v>-90</v>
      </c>
      <c r="O72">
        <f t="shared" si="18"/>
        <v>-360</v>
      </c>
      <c r="P72" s="7">
        <f t="shared" si="19"/>
        <v>-4.3118415651911945</v>
      </c>
      <c r="Q72" s="13">
        <f t="shared" si="13"/>
        <v>-454.31184156519117</v>
      </c>
    </row>
    <row r="73" spans="2:17" x14ac:dyDescent="0.25">
      <c r="B73">
        <f>B61*10</f>
        <v>600000</v>
      </c>
      <c r="D73" s="21">
        <f t="shared" si="6"/>
        <v>75</v>
      </c>
      <c r="E73" s="1">
        <f t="shared" si="15"/>
        <v>7.9674547033651601E-3</v>
      </c>
      <c r="F73" s="13">
        <f t="shared" si="7"/>
        <v>0.59755910275238699</v>
      </c>
      <c r="G73" s="13">
        <f t="shared" si="8"/>
        <v>4.8980254323966153E-2</v>
      </c>
      <c r="H73" s="21">
        <f t="shared" si="9"/>
        <v>-26.19957928369185</v>
      </c>
      <c r="I73" s="13">
        <f t="shared" si="16"/>
        <v>0.59684359824371902</v>
      </c>
      <c r="J73" s="13">
        <f t="shared" si="10"/>
        <v>-4.4827892004836247</v>
      </c>
      <c r="K73" s="21">
        <f t="shared" si="17"/>
        <v>59.684359824371903</v>
      </c>
      <c r="L73" s="13">
        <f t="shared" si="11"/>
        <v>35.517210799516377</v>
      </c>
      <c r="N73" s="9">
        <f t="shared" si="12"/>
        <v>-90</v>
      </c>
      <c r="O73">
        <f t="shared" si="18"/>
        <v>-432</v>
      </c>
      <c r="P73" s="7">
        <f t="shared" si="19"/>
        <v>-5.1699232462354203</v>
      </c>
      <c r="Q73" s="13">
        <f t="shared" si="13"/>
        <v>-527.16992324623538</v>
      </c>
    </row>
    <row r="74" spans="2:17" x14ac:dyDescent="0.25">
      <c r="B74">
        <f>B63*10</f>
        <v>700000</v>
      </c>
      <c r="D74" s="21">
        <f t="shared" si="6"/>
        <v>64.285714285714292</v>
      </c>
      <c r="E74" s="1">
        <f t="shared" si="15"/>
        <v>7.9557994791172419E-3</v>
      </c>
      <c r="F74" s="13">
        <f t="shared" si="7"/>
        <v>0.51144425222896561</v>
      </c>
      <c r="G74" s="13">
        <f t="shared" si="8"/>
        <v>4.1921660018767674E-2</v>
      </c>
      <c r="H74" s="21">
        <f t="shared" si="9"/>
        <v>-27.55123056880883</v>
      </c>
      <c r="I74" s="13">
        <f t="shared" si="16"/>
        <v>0.51099543111420387</v>
      </c>
      <c r="J74" s="13">
        <f t="shared" si="10"/>
        <v>-5.8316596587836464</v>
      </c>
      <c r="K74" s="21">
        <f t="shared" si="17"/>
        <v>51.099543111420388</v>
      </c>
      <c r="L74" s="13">
        <f t="shared" si="11"/>
        <v>34.168340341216357</v>
      </c>
      <c r="N74" s="9">
        <f t="shared" si="12"/>
        <v>-90</v>
      </c>
      <c r="O74">
        <f t="shared" si="18"/>
        <v>-504</v>
      </c>
      <c r="P74" s="7">
        <f t="shared" si="19"/>
        <v>-6.0256859349109178</v>
      </c>
      <c r="Q74" s="13">
        <f t="shared" si="13"/>
        <v>-600.02568593491094</v>
      </c>
    </row>
    <row r="75" spans="2:17" x14ac:dyDescent="0.25">
      <c r="B75">
        <f>B65*10</f>
        <v>800000</v>
      </c>
      <c r="D75" s="21">
        <f t="shared" si="6"/>
        <v>56.25</v>
      </c>
      <c r="E75" s="1">
        <f t="shared" si="15"/>
        <v>7.9424144931472679E-3</v>
      </c>
      <c r="F75" s="13">
        <f t="shared" si="7"/>
        <v>0.44676081523953382</v>
      </c>
      <c r="G75" s="13">
        <f t="shared" si="8"/>
        <v>3.6619738954060149E-2</v>
      </c>
      <c r="H75" s="21">
        <f t="shared" si="9"/>
        <v>-28.725695118335427</v>
      </c>
      <c r="I75" s="13">
        <f t="shared" si="16"/>
        <v>0.44646156187487479</v>
      </c>
      <c r="J75" s="13">
        <f t="shared" si="10"/>
        <v>-7.0043185153173511</v>
      </c>
      <c r="K75" s="21">
        <f t="shared" si="17"/>
        <v>44.646156187487477</v>
      </c>
      <c r="L75" s="13">
        <f t="shared" si="11"/>
        <v>32.995681484682649</v>
      </c>
      <c r="N75" s="9">
        <f t="shared" si="12"/>
        <v>-90</v>
      </c>
      <c r="O75">
        <f t="shared" si="18"/>
        <v>-576</v>
      </c>
      <c r="P75" s="7">
        <f t="shared" si="19"/>
        <v>-6.8787589234902029</v>
      </c>
      <c r="Q75" s="13">
        <f t="shared" si="13"/>
        <v>-672.87875892349018</v>
      </c>
    </row>
    <row r="76" spans="2:17" x14ac:dyDescent="0.25">
      <c r="B76">
        <f t="shared" si="14"/>
        <v>900000</v>
      </c>
      <c r="D76" s="21">
        <f t="shared" si="6"/>
        <v>50</v>
      </c>
      <c r="E76" s="1">
        <f t="shared" si="15"/>
        <v>7.9273262076858565E-3</v>
      </c>
      <c r="F76" s="13">
        <f t="shared" si="7"/>
        <v>0.39636631038429282</v>
      </c>
      <c r="G76" s="13">
        <f t="shared" si="8"/>
        <v>3.2489041834778104E-2</v>
      </c>
      <c r="H76" s="21">
        <f t="shared" si="9"/>
        <v>-29.765261933152512</v>
      </c>
      <c r="I76" s="13">
        <f t="shared" si="16"/>
        <v>0.39615728602515993</v>
      </c>
      <c r="J76" s="13">
        <f t="shared" si="10"/>
        <v>-8.0426470445813685</v>
      </c>
      <c r="K76" s="21">
        <f t="shared" si="17"/>
        <v>39.615728602515993</v>
      </c>
      <c r="L76" s="13">
        <f t="shared" si="11"/>
        <v>31.957352955418628</v>
      </c>
      <c r="N76" s="9">
        <f t="shared" si="12"/>
        <v>-90</v>
      </c>
      <c r="O76">
        <f t="shared" si="18"/>
        <v>-648</v>
      </c>
      <c r="P76" s="7">
        <f t="shared" si="19"/>
        <v>-7.7287785967858875</v>
      </c>
      <c r="Q76" s="13">
        <f t="shared" si="13"/>
        <v>-745.7287785967859</v>
      </c>
    </row>
    <row r="77" spans="2:17" x14ac:dyDescent="0.25">
      <c r="B77">
        <f t="shared" si="14"/>
        <v>1000000</v>
      </c>
      <c r="D77" s="21">
        <f t="shared" si="6"/>
        <v>45</v>
      </c>
      <c r="E77" s="1">
        <f t="shared" si="15"/>
        <v>7.91056416704582E-3</v>
      </c>
      <c r="F77" s="13">
        <f t="shared" si="7"/>
        <v>0.35597538751706193</v>
      </c>
      <c r="G77" s="13">
        <f t="shared" si="8"/>
        <v>2.9178310452218192E-2</v>
      </c>
      <c r="H77" s="21">
        <f t="shared" si="9"/>
        <v>-30.69879718409609</v>
      </c>
      <c r="I77" s="13">
        <f t="shared" si="16"/>
        <v>0.35582395014822155</v>
      </c>
      <c r="J77" s="13">
        <f t="shared" si="10"/>
        <v>-8.9752964669670519</v>
      </c>
      <c r="K77" s="21">
        <f t="shared" si="17"/>
        <v>35.582395014822154</v>
      </c>
      <c r="L77" s="13">
        <f t="shared" si="11"/>
        <v>31.024703533032948</v>
      </c>
      <c r="N77" s="9">
        <f t="shared" si="12"/>
        <v>-90</v>
      </c>
      <c r="O77">
        <f t="shared" si="18"/>
        <v>-720</v>
      </c>
      <c r="P77" s="7">
        <f t="shared" si="19"/>
        <v>-8.5753893094559697</v>
      </c>
      <c r="Q77" s="13">
        <f t="shared" si="13"/>
        <v>-818.575389309456</v>
      </c>
    </row>
  </sheetData>
  <pageMargins left="0.7" right="0.7" top="0.75" bottom="0.75" header="0.3" footer="0.3"/>
  <pageSetup paperSize="9" orientation="portrait" r:id="rId1"/>
  <ignoredErrors>
    <ignoredError sqref="B6:B9" numberStoredAsText="1"/>
    <ignoredError sqref="I15 I16:I77 K15:K54 K55:K77" formula="1"/>
  </ignoredErrors>
  <drawing r:id="rId2"/>
  <legacyDrawing r:id="rId3"/>
  <oleObjects>
    <mc:AlternateContent xmlns:mc="http://schemas.openxmlformats.org/markup-compatibility/2006">
      <mc:Choice Requires="x14">
        <oleObject progId="Visio.Drawing.11" shapeId="5129" r:id="rId4">
          <objectPr defaultSize="0" autoPict="0" r:id="rId5">
            <anchor moveWithCells="1">
              <from>
                <xdr:col>18</xdr:col>
                <xdr:colOff>447675</xdr:colOff>
                <xdr:row>12</xdr:row>
                <xdr:rowOff>114300</xdr:rowOff>
              </from>
              <to>
                <xdr:col>29</xdr:col>
                <xdr:colOff>533400</xdr:colOff>
                <xdr:row>25</xdr:row>
                <xdr:rowOff>38100</xdr:rowOff>
              </to>
            </anchor>
          </objectPr>
        </oleObject>
      </mc:Choice>
      <mc:Fallback>
        <oleObject progId="Visio.Drawing.11" shapeId="5129" r:id="rId4"/>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171"/>
  <sheetViews>
    <sheetView zoomScale="75" zoomScaleNormal="75" workbookViewId="0">
      <selection activeCell="B106" sqref="B106"/>
    </sheetView>
  </sheetViews>
  <sheetFormatPr defaultRowHeight="15" x14ac:dyDescent="0.25"/>
  <cols>
    <col min="16" max="35" width="5.7109375" customWidth="1"/>
  </cols>
  <sheetData>
    <row r="1" spans="8:10" s="15" customFormat="1" x14ac:dyDescent="0.25"/>
    <row r="2" spans="8:10" s="15" customFormat="1" ht="31.5" x14ac:dyDescent="0.5">
      <c r="H2" s="25" t="s">
        <v>59</v>
      </c>
    </row>
    <row r="3" spans="8:10" s="26" customFormat="1" x14ac:dyDescent="0.25"/>
    <row r="5" spans="8:10" x14ac:dyDescent="0.25">
      <c r="J5" t="s">
        <v>52</v>
      </c>
    </row>
    <row r="85" spans="2:38" x14ac:dyDescent="0.25">
      <c r="D85" t="s">
        <v>55</v>
      </c>
      <c r="E85" t="s">
        <v>54</v>
      </c>
    </row>
    <row r="86" spans="2:38" x14ac:dyDescent="0.25">
      <c r="D86">
        <v>2E-3</v>
      </c>
      <c r="E86">
        <f>D86</f>
        <v>2E-3</v>
      </c>
      <c r="G86">
        <v>5.0000000000000001E-4</v>
      </c>
      <c r="H86">
        <f>G86</f>
        <v>5.0000000000000001E-4</v>
      </c>
      <c r="J86">
        <v>1E-3</v>
      </c>
      <c r="K86">
        <f>J86</f>
        <v>1E-3</v>
      </c>
    </row>
    <row r="87" spans="2:38" x14ac:dyDescent="0.25">
      <c r="B87" t="s">
        <v>57</v>
      </c>
      <c r="C87" t="s">
        <v>58</v>
      </c>
      <c r="AJ87" s="5"/>
      <c r="AK87" s="5"/>
      <c r="AL87" s="5"/>
    </row>
    <row r="88" spans="2:38" x14ac:dyDescent="0.25">
      <c r="B88">
        <v>3</v>
      </c>
      <c r="C88">
        <f>B88/2</f>
        <v>1.5</v>
      </c>
      <c r="D88">
        <f>($B88-$C88-0.1)/(D$86*12.2*4)</f>
        <v>14.344262295081968</v>
      </c>
      <c r="E88">
        <f t="shared" ref="E88:E113" si="0">IF(((2*($B88-$C88-0.1)/(E$86*12.2))-Rmax)&gt;0,((2*($B88-$C88-0.1)/(E$86*12.2))-Rmax),0)</f>
        <v>0</v>
      </c>
      <c r="G88">
        <f>($B88-$C88-0.1)/(G$86*12.2*4)</f>
        <v>57.377049180327873</v>
      </c>
      <c r="H88">
        <f>IF(((2*($B88-$C88-0.1)/(H$86*12.2))-140)&gt;0,((2*($B88-$C88-0.1)/(H$86*12.2))-140),0)</f>
        <v>319.01639344262298</v>
      </c>
      <c r="I88">
        <f>MIN(G88:H88)</f>
        <v>57.377049180327873</v>
      </c>
      <c r="J88">
        <f>($B88-$C88-0.1)/(J$86*12.2*4)</f>
        <v>28.688524590163937</v>
      </c>
      <c r="K88">
        <f t="shared" ref="K88:K113" si="1">IF(((2*($B88-$C88-0.1)/(K$86*12.2))-Rmax)&gt;0,((2*($B88-$C88-0.1)/(K$86*12.2))-Rmax),0)</f>
        <v>67.172196721311479</v>
      </c>
      <c r="L88">
        <f>MIN(J88:K88)</f>
        <v>28.688524590163937</v>
      </c>
      <c r="P88" s="23"/>
      <c r="Q88" s="23"/>
      <c r="R88" s="23"/>
      <c r="S88" s="23"/>
      <c r="T88" s="23"/>
      <c r="U88" s="23"/>
      <c r="V88" s="23"/>
      <c r="W88" s="23"/>
      <c r="X88" s="23"/>
      <c r="Y88" s="23"/>
      <c r="Z88" s="23"/>
      <c r="AA88" s="23"/>
      <c r="AB88" s="23"/>
      <c r="AC88" s="23"/>
      <c r="AD88" s="23"/>
      <c r="AE88" s="23"/>
      <c r="AF88" s="23"/>
      <c r="AG88" s="23"/>
      <c r="AH88" s="23"/>
      <c r="AI88" s="23"/>
      <c r="AJ88" s="5"/>
      <c r="AK88" s="5"/>
      <c r="AL88" s="5"/>
    </row>
    <row r="89" spans="2:38" x14ac:dyDescent="0.25">
      <c r="B89">
        <f>B88+0.1</f>
        <v>3.1</v>
      </c>
      <c r="C89">
        <f t="shared" ref="C89:C113" si="2">B89/2</f>
        <v>1.55</v>
      </c>
      <c r="D89">
        <f t="shared" ref="D89:D113" si="3">($B89-$C89-0.1)/(D$86*12.2*4)</f>
        <v>14.856557377049182</v>
      </c>
      <c r="E89">
        <f t="shared" si="0"/>
        <v>0</v>
      </c>
      <c r="G89">
        <f t="shared" ref="G89:G113" si="4">($B89-$C89-0.1)/(G$86*12.2*4)</f>
        <v>59.426229508196727</v>
      </c>
      <c r="H89">
        <f t="shared" ref="H89:H113" si="5">IF(((2*($B89-$C89-0.1)/(H$86*12.2))-140)&gt;0,((2*($B89-$C89-0.1)/(H$86*12.2))-140),0)</f>
        <v>335.40983606557381</v>
      </c>
      <c r="I89">
        <f t="shared" ref="I89:I113" si="6">MIN(G89:H89)</f>
        <v>59.426229508196727</v>
      </c>
      <c r="J89">
        <f t="shared" ref="J89:J113" si="7">($B89-$C89-0.1)/(J$86*12.2*4)</f>
        <v>29.713114754098363</v>
      </c>
      <c r="K89">
        <f t="shared" si="1"/>
        <v>75.368918032786894</v>
      </c>
      <c r="L89">
        <f t="shared" ref="L89:L113" si="8">MIN(J89:K89)</f>
        <v>29.713114754098363</v>
      </c>
      <c r="P89" s="23"/>
      <c r="Q89" s="23"/>
      <c r="R89" s="23"/>
      <c r="S89" s="23"/>
      <c r="T89" s="23"/>
      <c r="U89" s="23"/>
      <c r="V89" s="23"/>
      <c r="W89" s="23"/>
      <c r="X89" s="23"/>
      <c r="Y89" s="23"/>
      <c r="Z89" s="23"/>
      <c r="AA89" s="23"/>
      <c r="AB89" s="23"/>
      <c r="AC89" s="23"/>
      <c r="AD89" s="23"/>
      <c r="AE89" s="23"/>
      <c r="AF89" s="23"/>
      <c r="AG89" s="23"/>
      <c r="AH89" s="23"/>
      <c r="AI89" s="23"/>
      <c r="AJ89" s="5"/>
      <c r="AK89" s="5"/>
      <c r="AL89" s="5"/>
    </row>
    <row r="90" spans="2:38" x14ac:dyDescent="0.25">
      <c r="B90">
        <f t="shared" ref="B90:B112" si="9">B89+0.1</f>
        <v>3.2</v>
      </c>
      <c r="C90">
        <f t="shared" si="2"/>
        <v>1.6</v>
      </c>
      <c r="D90">
        <f t="shared" si="3"/>
        <v>15.368852459016395</v>
      </c>
      <c r="E90">
        <f t="shared" si="0"/>
        <v>0</v>
      </c>
      <c r="G90">
        <f t="shared" si="4"/>
        <v>61.47540983606558</v>
      </c>
      <c r="H90">
        <f t="shared" si="5"/>
        <v>351.80327868852464</v>
      </c>
      <c r="I90">
        <f t="shared" si="6"/>
        <v>61.47540983606558</v>
      </c>
      <c r="J90">
        <f t="shared" si="7"/>
        <v>30.73770491803279</v>
      </c>
      <c r="K90">
        <f t="shared" si="1"/>
        <v>83.565639344262308</v>
      </c>
      <c r="L90">
        <f t="shared" si="8"/>
        <v>30.73770491803279</v>
      </c>
      <c r="P90" s="23"/>
      <c r="Q90" s="23"/>
      <c r="R90" s="23"/>
      <c r="S90" s="23"/>
      <c r="T90" s="23"/>
      <c r="U90" s="23"/>
      <c r="V90" s="23"/>
      <c r="W90" s="23"/>
      <c r="X90" s="23"/>
      <c r="Y90" s="23"/>
      <c r="Z90" s="23"/>
      <c r="AA90" s="23"/>
      <c r="AB90" s="23"/>
      <c r="AC90" s="23"/>
      <c r="AD90" s="23"/>
      <c r="AE90" s="23"/>
      <c r="AF90" s="23"/>
      <c r="AG90" s="23"/>
      <c r="AH90" s="23"/>
      <c r="AI90" s="23"/>
      <c r="AJ90" s="5"/>
      <c r="AK90" s="5"/>
      <c r="AL90" s="5"/>
    </row>
    <row r="91" spans="2:38" x14ac:dyDescent="0.25">
      <c r="B91">
        <f t="shared" si="9"/>
        <v>3.3000000000000003</v>
      </c>
      <c r="C91">
        <f t="shared" si="2"/>
        <v>1.6500000000000001</v>
      </c>
      <c r="D91">
        <f t="shared" si="3"/>
        <v>15.881147540983608</v>
      </c>
      <c r="E91">
        <f t="shared" si="0"/>
        <v>0</v>
      </c>
      <c r="G91">
        <f t="shared" si="4"/>
        <v>63.524590163934434</v>
      </c>
      <c r="H91">
        <f t="shared" si="5"/>
        <v>368.19672131147547</v>
      </c>
      <c r="I91">
        <f t="shared" si="6"/>
        <v>63.524590163934434</v>
      </c>
      <c r="J91">
        <f t="shared" si="7"/>
        <v>31.762295081967217</v>
      </c>
      <c r="K91">
        <f t="shared" si="1"/>
        <v>91.762360655737723</v>
      </c>
      <c r="L91">
        <f t="shared" si="8"/>
        <v>31.762295081967217</v>
      </c>
      <c r="P91" s="23"/>
      <c r="Q91" s="23"/>
      <c r="R91" s="23"/>
      <c r="S91" s="23"/>
      <c r="T91" s="23"/>
      <c r="U91" s="23"/>
      <c r="V91" s="23"/>
      <c r="W91" s="23"/>
      <c r="X91" s="23"/>
      <c r="Y91" s="23"/>
      <c r="Z91" s="23"/>
      <c r="AA91" s="23"/>
      <c r="AB91" s="23"/>
      <c r="AC91" s="23"/>
      <c r="AD91" s="23"/>
      <c r="AE91" s="23"/>
      <c r="AF91" s="23"/>
      <c r="AG91" s="23"/>
      <c r="AH91" s="23"/>
      <c r="AI91" s="23"/>
      <c r="AJ91" s="5"/>
      <c r="AK91" s="5"/>
      <c r="AL91" s="5"/>
    </row>
    <row r="92" spans="2:38" x14ac:dyDescent="0.25">
      <c r="B92">
        <f t="shared" si="9"/>
        <v>3.4000000000000004</v>
      </c>
      <c r="C92">
        <f t="shared" si="2"/>
        <v>1.7000000000000002</v>
      </c>
      <c r="D92">
        <f t="shared" si="3"/>
        <v>16.393442622950822</v>
      </c>
      <c r="E92">
        <f t="shared" si="0"/>
        <v>0</v>
      </c>
      <c r="G92">
        <f t="shared" si="4"/>
        <v>65.573770491803288</v>
      </c>
      <c r="H92">
        <f t="shared" si="5"/>
        <v>384.5901639344263</v>
      </c>
      <c r="I92">
        <f t="shared" si="6"/>
        <v>65.573770491803288</v>
      </c>
      <c r="J92">
        <f t="shared" si="7"/>
        <v>32.786885245901644</v>
      </c>
      <c r="K92">
        <f t="shared" si="1"/>
        <v>99.959081967213137</v>
      </c>
      <c r="L92">
        <f t="shared" si="8"/>
        <v>32.786885245901644</v>
      </c>
      <c r="P92" s="23"/>
      <c r="Q92" s="23"/>
      <c r="R92" s="23"/>
      <c r="S92" s="23"/>
      <c r="T92" s="23"/>
      <c r="U92" s="23"/>
      <c r="V92" s="23"/>
      <c r="W92" s="23"/>
      <c r="X92" s="23"/>
      <c r="Y92" s="23"/>
      <c r="Z92" s="23"/>
      <c r="AA92" s="23"/>
      <c r="AB92" s="23"/>
      <c r="AC92" s="23"/>
      <c r="AD92" s="23"/>
      <c r="AE92" s="23"/>
      <c r="AF92" s="23"/>
      <c r="AG92" s="23"/>
      <c r="AH92" s="23"/>
      <c r="AI92" s="23"/>
      <c r="AJ92" s="5"/>
      <c r="AK92" s="5"/>
      <c r="AL92" s="5"/>
    </row>
    <row r="93" spans="2:38" x14ac:dyDescent="0.25">
      <c r="B93">
        <f t="shared" si="9"/>
        <v>3.5000000000000004</v>
      </c>
      <c r="C93">
        <f t="shared" si="2"/>
        <v>1.7500000000000002</v>
      </c>
      <c r="D93">
        <f t="shared" si="3"/>
        <v>16.905737704918035</v>
      </c>
      <c r="E93">
        <f t="shared" si="0"/>
        <v>0</v>
      </c>
      <c r="G93">
        <f t="shared" si="4"/>
        <v>67.622950819672141</v>
      </c>
      <c r="H93">
        <f t="shared" si="5"/>
        <v>400.98360655737713</v>
      </c>
      <c r="I93">
        <f t="shared" si="6"/>
        <v>67.622950819672141</v>
      </c>
      <c r="J93">
        <f t="shared" si="7"/>
        <v>33.811475409836071</v>
      </c>
      <c r="K93">
        <f t="shared" si="1"/>
        <v>108.15580327868855</v>
      </c>
      <c r="L93">
        <f t="shared" si="8"/>
        <v>33.811475409836071</v>
      </c>
      <c r="P93" s="23"/>
      <c r="Q93" s="23"/>
      <c r="R93" s="23"/>
      <c r="S93" s="23"/>
      <c r="T93" s="23"/>
      <c r="U93" s="23"/>
      <c r="V93" s="23"/>
      <c r="W93" s="23"/>
      <c r="X93" s="23"/>
      <c r="Y93" s="23"/>
      <c r="Z93" s="23"/>
      <c r="AA93" s="23"/>
      <c r="AB93" s="23"/>
      <c r="AC93" s="23"/>
      <c r="AD93" s="23"/>
      <c r="AE93" s="23"/>
      <c r="AF93" s="23"/>
      <c r="AG93" s="23"/>
      <c r="AH93" s="23"/>
      <c r="AI93" s="23"/>
      <c r="AJ93" s="5"/>
      <c r="AK93" s="5"/>
      <c r="AL93" s="5"/>
    </row>
    <row r="94" spans="2:38" x14ac:dyDescent="0.25">
      <c r="B94">
        <f t="shared" si="9"/>
        <v>3.6000000000000005</v>
      </c>
      <c r="C94">
        <f t="shared" si="2"/>
        <v>1.8000000000000003</v>
      </c>
      <c r="D94">
        <f t="shared" si="3"/>
        <v>17.418032786885249</v>
      </c>
      <c r="E94">
        <f t="shared" si="0"/>
        <v>0</v>
      </c>
      <c r="G94">
        <f t="shared" si="4"/>
        <v>69.672131147540995</v>
      </c>
      <c r="H94">
        <f t="shared" si="5"/>
        <v>417.37704918032796</v>
      </c>
      <c r="I94">
        <f t="shared" si="6"/>
        <v>69.672131147540995</v>
      </c>
      <c r="J94">
        <f t="shared" si="7"/>
        <v>34.836065573770497</v>
      </c>
      <c r="K94">
        <f t="shared" si="1"/>
        <v>116.35252459016397</v>
      </c>
      <c r="L94">
        <f t="shared" si="8"/>
        <v>34.836065573770497</v>
      </c>
      <c r="P94" s="23"/>
      <c r="Q94" s="23"/>
      <c r="R94" s="23"/>
      <c r="S94" s="23"/>
      <c r="T94" s="23"/>
      <c r="U94" s="23"/>
      <c r="V94" s="23"/>
      <c r="W94" s="23"/>
      <c r="X94" s="23"/>
      <c r="Y94" s="23"/>
      <c r="Z94" s="23"/>
      <c r="AA94" s="23"/>
      <c r="AB94" s="23"/>
      <c r="AC94" s="23"/>
      <c r="AD94" s="23"/>
      <c r="AE94" s="23"/>
      <c r="AF94" s="23"/>
      <c r="AG94" s="23"/>
      <c r="AH94" s="23"/>
      <c r="AI94" s="23"/>
      <c r="AJ94" s="5"/>
      <c r="AK94" s="5"/>
      <c r="AL94" s="5"/>
    </row>
    <row r="95" spans="2:38" x14ac:dyDescent="0.25">
      <c r="B95">
        <f t="shared" si="9"/>
        <v>3.7000000000000006</v>
      </c>
      <c r="C95">
        <f t="shared" si="2"/>
        <v>1.8500000000000003</v>
      </c>
      <c r="D95">
        <f t="shared" si="3"/>
        <v>17.930327868852462</v>
      </c>
      <c r="E95">
        <f t="shared" si="0"/>
        <v>0</v>
      </c>
      <c r="G95">
        <f t="shared" si="4"/>
        <v>71.721311475409848</v>
      </c>
      <c r="H95">
        <f t="shared" si="5"/>
        <v>433.77049180327879</v>
      </c>
      <c r="I95">
        <f t="shared" si="6"/>
        <v>71.721311475409848</v>
      </c>
      <c r="J95">
        <f t="shared" si="7"/>
        <v>35.860655737704924</v>
      </c>
      <c r="K95">
        <f t="shared" si="1"/>
        <v>124.54924590163938</v>
      </c>
      <c r="L95">
        <f t="shared" si="8"/>
        <v>35.860655737704924</v>
      </c>
      <c r="P95" s="23"/>
      <c r="Q95" s="23"/>
      <c r="R95" s="23"/>
      <c r="S95" s="23"/>
      <c r="T95" s="23"/>
      <c r="U95" s="23"/>
      <c r="V95" s="23"/>
      <c r="W95" s="23"/>
      <c r="X95" s="23"/>
      <c r="Y95" s="23"/>
      <c r="Z95" s="23"/>
      <c r="AA95" s="23"/>
      <c r="AB95" s="23"/>
      <c r="AC95" s="23"/>
      <c r="AD95" s="23"/>
      <c r="AE95" s="23"/>
      <c r="AF95" s="23"/>
      <c r="AG95" s="23"/>
      <c r="AH95" s="23"/>
      <c r="AI95" s="23"/>
      <c r="AJ95" s="5"/>
      <c r="AK95" s="5"/>
      <c r="AL95" s="5"/>
    </row>
    <row r="96" spans="2:38" x14ac:dyDescent="0.25">
      <c r="B96">
        <f t="shared" si="9"/>
        <v>3.8000000000000007</v>
      </c>
      <c r="C96">
        <f t="shared" si="2"/>
        <v>1.9000000000000004</v>
      </c>
      <c r="D96">
        <f t="shared" si="3"/>
        <v>18.442622950819676</v>
      </c>
      <c r="E96">
        <f t="shared" si="0"/>
        <v>0</v>
      </c>
      <c r="G96">
        <f t="shared" si="4"/>
        <v>73.770491803278702</v>
      </c>
      <c r="H96">
        <f t="shared" si="5"/>
        <v>450.16393442622962</v>
      </c>
      <c r="I96">
        <f t="shared" si="6"/>
        <v>73.770491803278702</v>
      </c>
      <c r="J96">
        <f t="shared" si="7"/>
        <v>36.885245901639351</v>
      </c>
      <c r="K96">
        <f t="shared" si="1"/>
        <v>132.7459672131148</v>
      </c>
      <c r="L96">
        <f t="shared" si="8"/>
        <v>36.885245901639351</v>
      </c>
      <c r="P96" s="23"/>
      <c r="Q96" s="23"/>
      <c r="R96" s="23"/>
      <c r="S96" s="23"/>
      <c r="T96" s="23"/>
      <c r="U96" s="23"/>
      <c r="V96" s="23"/>
      <c r="W96" s="23"/>
      <c r="X96" s="23"/>
      <c r="Y96" s="23"/>
      <c r="Z96" s="23"/>
      <c r="AA96" s="23"/>
      <c r="AB96" s="23"/>
      <c r="AC96" s="23"/>
      <c r="AD96" s="23"/>
      <c r="AE96" s="23"/>
      <c r="AF96" s="23"/>
      <c r="AG96" s="23"/>
      <c r="AH96" s="23"/>
      <c r="AI96" s="23"/>
      <c r="AJ96" s="5"/>
      <c r="AK96" s="5"/>
      <c r="AL96" s="5"/>
    </row>
    <row r="97" spans="2:38" x14ac:dyDescent="0.25">
      <c r="B97">
        <f t="shared" si="9"/>
        <v>3.9000000000000008</v>
      </c>
      <c r="C97">
        <f t="shared" si="2"/>
        <v>1.9500000000000004</v>
      </c>
      <c r="D97">
        <f t="shared" si="3"/>
        <v>18.954918032786889</v>
      </c>
      <c r="E97">
        <f t="shared" si="0"/>
        <v>0</v>
      </c>
      <c r="G97">
        <f t="shared" si="4"/>
        <v>75.819672131147556</v>
      </c>
      <c r="H97">
        <f t="shared" si="5"/>
        <v>466.55737704918045</v>
      </c>
      <c r="I97">
        <f t="shared" si="6"/>
        <v>75.819672131147556</v>
      </c>
      <c r="J97">
        <f t="shared" si="7"/>
        <v>37.909836065573778</v>
      </c>
      <c r="K97">
        <f t="shared" si="1"/>
        <v>140.94268852459021</v>
      </c>
      <c r="L97">
        <f t="shared" si="8"/>
        <v>37.909836065573778</v>
      </c>
      <c r="P97" s="23"/>
      <c r="Q97" s="23"/>
      <c r="R97" s="23"/>
      <c r="S97" s="23"/>
      <c r="T97" s="23"/>
      <c r="U97" s="23"/>
      <c r="V97" s="23"/>
      <c r="W97" s="23"/>
      <c r="X97" s="23"/>
      <c r="Y97" s="23"/>
      <c r="Z97" s="23"/>
      <c r="AA97" s="23"/>
      <c r="AB97" s="23"/>
      <c r="AC97" s="23"/>
      <c r="AD97" s="23"/>
      <c r="AE97" s="23"/>
      <c r="AF97" s="23"/>
      <c r="AG97" s="23"/>
      <c r="AH97" s="23"/>
      <c r="AI97" s="23"/>
      <c r="AJ97" s="5"/>
      <c r="AK97" s="5"/>
      <c r="AL97" s="5"/>
    </row>
    <row r="98" spans="2:38" x14ac:dyDescent="0.25">
      <c r="B98">
        <f t="shared" si="9"/>
        <v>4.0000000000000009</v>
      </c>
      <c r="C98">
        <f t="shared" si="2"/>
        <v>2.0000000000000004</v>
      </c>
      <c r="D98">
        <f t="shared" si="3"/>
        <v>19.467213114754102</v>
      </c>
      <c r="E98">
        <f t="shared" si="0"/>
        <v>0</v>
      </c>
      <c r="G98">
        <f t="shared" si="4"/>
        <v>77.868852459016409</v>
      </c>
      <c r="H98">
        <f t="shared" si="5"/>
        <v>482.95081967213127</v>
      </c>
      <c r="I98">
        <f t="shared" si="6"/>
        <v>77.868852459016409</v>
      </c>
      <c r="J98">
        <f t="shared" si="7"/>
        <v>38.934426229508205</v>
      </c>
      <c r="K98">
        <f t="shared" si="1"/>
        <v>149.13940983606562</v>
      </c>
      <c r="L98">
        <f t="shared" si="8"/>
        <v>38.934426229508205</v>
      </c>
      <c r="P98" s="23"/>
      <c r="Q98" s="23"/>
      <c r="R98" s="23"/>
      <c r="S98" s="23"/>
      <c r="T98" s="23"/>
      <c r="U98" s="23"/>
      <c r="V98" s="23"/>
      <c r="W98" s="23"/>
      <c r="X98" s="23"/>
      <c r="Y98" s="23"/>
      <c r="Z98" s="23"/>
      <c r="AA98" s="23"/>
      <c r="AB98" s="23"/>
      <c r="AC98" s="23"/>
      <c r="AD98" s="23"/>
      <c r="AE98" s="23"/>
      <c r="AF98" s="23"/>
      <c r="AG98" s="23"/>
      <c r="AH98" s="23"/>
      <c r="AI98" s="23"/>
      <c r="AJ98" s="5"/>
      <c r="AK98" s="5"/>
      <c r="AL98" s="5"/>
    </row>
    <row r="99" spans="2:38" x14ac:dyDescent="0.25">
      <c r="B99">
        <f t="shared" si="9"/>
        <v>4.1000000000000005</v>
      </c>
      <c r="C99">
        <f t="shared" si="2"/>
        <v>2.0500000000000003</v>
      </c>
      <c r="D99">
        <f t="shared" si="3"/>
        <v>19.979508196721316</v>
      </c>
      <c r="E99">
        <f t="shared" si="0"/>
        <v>0</v>
      </c>
      <c r="G99">
        <f t="shared" si="4"/>
        <v>79.918032786885263</v>
      </c>
      <c r="H99">
        <f t="shared" si="5"/>
        <v>499.3442622950821</v>
      </c>
      <c r="I99">
        <f t="shared" si="6"/>
        <v>79.918032786885263</v>
      </c>
      <c r="J99">
        <f t="shared" si="7"/>
        <v>39.959016393442631</v>
      </c>
      <c r="K99">
        <f t="shared" si="1"/>
        <v>157.33613114754104</v>
      </c>
      <c r="L99">
        <f t="shared" si="8"/>
        <v>39.959016393442631</v>
      </c>
      <c r="P99" s="23"/>
      <c r="Q99" s="23"/>
      <c r="R99" s="23"/>
      <c r="S99" s="23"/>
      <c r="T99" s="23"/>
      <c r="U99" s="23"/>
      <c r="V99" s="23"/>
      <c r="W99" s="23"/>
      <c r="X99" s="23"/>
      <c r="Y99" s="23"/>
      <c r="Z99" s="23"/>
      <c r="AA99" s="23"/>
      <c r="AB99" s="23"/>
      <c r="AC99" s="23"/>
      <c r="AD99" s="23"/>
      <c r="AE99" s="23"/>
      <c r="AF99" s="23"/>
      <c r="AG99" s="23"/>
      <c r="AH99" s="23"/>
      <c r="AI99" s="23"/>
      <c r="AJ99" s="5"/>
      <c r="AK99" s="5"/>
      <c r="AL99" s="5"/>
    </row>
    <row r="100" spans="2:38" x14ac:dyDescent="0.25">
      <c r="B100">
        <f t="shared" si="9"/>
        <v>4.2</v>
      </c>
      <c r="C100">
        <f t="shared" si="2"/>
        <v>2.1</v>
      </c>
      <c r="D100">
        <f t="shared" si="3"/>
        <v>20.491803278688526</v>
      </c>
      <c r="E100">
        <f t="shared" si="0"/>
        <v>1.5984262295081919</v>
      </c>
      <c r="F100">
        <f t="shared" ref="F100:F113" si="10">MIN(D100:E100)</f>
        <v>1.5984262295081919</v>
      </c>
      <c r="G100">
        <f t="shared" si="4"/>
        <v>81.967213114754102</v>
      </c>
      <c r="H100">
        <f t="shared" si="5"/>
        <v>515.73770491803282</v>
      </c>
      <c r="I100">
        <f t="shared" si="6"/>
        <v>81.967213114754102</v>
      </c>
      <c r="J100">
        <f t="shared" si="7"/>
        <v>40.983606557377051</v>
      </c>
      <c r="K100">
        <f t="shared" si="1"/>
        <v>165.5328524590164</v>
      </c>
      <c r="L100">
        <f t="shared" si="8"/>
        <v>40.983606557377051</v>
      </c>
      <c r="P100" s="23"/>
      <c r="Q100" s="23"/>
      <c r="R100" s="23"/>
      <c r="S100" s="23"/>
      <c r="T100" s="23"/>
      <c r="U100" s="23"/>
      <c r="V100" s="23"/>
      <c r="W100" s="23"/>
      <c r="X100" s="23"/>
      <c r="Y100" s="23"/>
      <c r="Z100" s="23"/>
      <c r="AA100" s="23"/>
      <c r="AB100" s="23"/>
      <c r="AC100" s="23"/>
      <c r="AD100" s="23"/>
      <c r="AE100" s="23"/>
      <c r="AF100" s="23"/>
      <c r="AG100" s="23"/>
      <c r="AH100" s="23"/>
      <c r="AI100" s="23"/>
      <c r="AJ100" s="5"/>
      <c r="AK100" s="5"/>
      <c r="AL100" s="5"/>
    </row>
    <row r="101" spans="2:38" x14ac:dyDescent="0.25">
      <c r="B101">
        <f t="shared" si="9"/>
        <v>4.3</v>
      </c>
      <c r="C101">
        <f t="shared" si="2"/>
        <v>2.15</v>
      </c>
      <c r="D101">
        <f t="shared" si="3"/>
        <v>21.004098360655739</v>
      </c>
      <c r="E101">
        <f t="shared" si="0"/>
        <v>5.6967868852458992</v>
      </c>
      <c r="F101">
        <f t="shared" si="10"/>
        <v>5.6967868852458992</v>
      </c>
      <c r="G101">
        <f t="shared" si="4"/>
        <v>84.016393442622956</v>
      </c>
      <c r="H101">
        <f t="shared" si="5"/>
        <v>532.13114754098365</v>
      </c>
      <c r="I101">
        <f t="shared" si="6"/>
        <v>84.016393442622956</v>
      </c>
      <c r="J101">
        <f t="shared" si="7"/>
        <v>42.008196721311478</v>
      </c>
      <c r="K101">
        <f t="shared" si="1"/>
        <v>173.72957377049181</v>
      </c>
      <c r="L101">
        <f t="shared" si="8"/>
        <v>42.008196721311478</v>
      </c>
      <c r="P101" s="23"/>
      <c r="Q101" s="23"/>
      <c r="R101" s="23"/>
      <c r="S101" s="23"/>
      <c r="T101" s="23"/>
      <c r="U101" s="23"/>
      <c r="V101" s="23"/>
      <c r="W101" s="23"/>
      <c r="X101" s="23"/>
      <c r="Y101" s="23"/>
      <c r="Z101" s="23"/>
      <c r="AA101" s="23"/>
      <c r="AB101" s="23"/>
      <c r="AC101" s="23"/>
      <c r="AD101" s="23"/>
      <c r="AE101" s="23"/>
      <c r="AF101" s="23"/>
      <c r="AG101" s="23"/>
      <c r="AH101" s="23"/>
      <c r="AI101" s="23"/>
      <c r="AJ101" s="5"/>
      <c r="AK101" s="5"/>
      <c r="AL101" s="5"/>
    </row>
    <row r="102" spans="2:38" x14ac:dyDescent="0.25">
      <c r="B102">
        <f t="shared" si="9"/>
        <v>4.3999999999999995</v>
      </c>
      <c r="C102">
        <f t="shared" si="2"/>
        <v>2.1999999999999997</v>
      </c>
      <c r="D102">
        <f t="shared" si="3"/>
        <v>21.516393442622949</v>
      </c>
      <c r="E102">
        <f t="shared" si="0"/>
        <v>9.795147540983578</v>
      </c>
      <c r="F102">
        <f t="shared" si="10"/>
        <v>9.795147540983578</v>
      </c>
      <c r="G102">
        <f t="shared" si="4"/>
        <v>86.065573770491795</v>
      </c>
      <c r="H102">
        <f t="shared" si="5"/>
        <v>548.52459016393436</v>
      </c>
      <c r="I102">
        <f t="shared" si="6"/>
        <v>86.065573770491795</v>
      </c>
      <c r="J102">
        <f t="shared" si="7"/>
        <v>43.032786885245898</v>
      </c>
      <c r="K102">
        <f t="shared" si="1"/>
        <v>181.92629508196717</v>
      </c>
      <c r="L102">
        <f t="shared" si="8"/>
        <v>43.032786885245898</v>
      </c>
      <c r="P102" s="23"/>
      <c r="Q102" s="23"/>
      <c r="R102" s="23"/>
      <c r="S102" s="23"/>
      <c r="T102" s="23"/>
      <c r="U102" s="23"/>
      <c r="V102" s="23"/>
      <c r="W102" s="23"/>
      <c r="X102" s="23"/>
      <c r="Y102" s="23"/>
      <c r="Z102" s="23"/>
      <c r="AA102" s="23"/>
      <c r="AB102" s="23"/>
      <c r="AC102" s="23"/>
      <c r="AD102" s="23"/>
      <c r="AE102" s="23"/>
      <c r="AF102" s="23"/>
      <c r="AG102" s="23"/>
      <c r="AH102" s="23"/>
      <c r="AI102" s="23"/>
      <c r="AJ102" s="5"/>
      <c r="AK102" s="5"/>
      <c r="AL102" s="5"/>
    </row>
    <row r="103" spans="2:38" x14ac:dyDescent="0.25">
      <c r="B103">
        <f t="shared" si="9"/>
        <v>4.4999999999999991</v>
      </c>
      <c r="C103">
        <f t="shared" si="2"/>
        <v>2.2499999999999996</v>
      </c>
      <c r="D103">
        <f t="shared" si="3"/>
        <v>22.028688524590159</v>
      </c>
      <c r="E103">
        <f t="shared" si="0"/>
        <v>13.893508196721257</v>
      </c>
      <c r="F103">
        <f t="shared" si="10"/>
        <v>13.893508196721257</v>
      </c>
      <c r="G103">
        <f t="shared" si="4"/>
        <v>88.114754098360635</v>
      </c>
      <c r="H103">
        <f t="shared" si="5"/>
        <v>564.91803278688508</v>
      </c>
      <c r="I103">
        <f t="shared" si="6"/>
        <v>88.114754098360635</v>
      </c>
      <c r="J103">
        <f t="shared" si="7"/>
        <v>44.057377049180317</v>
      </c>
      <c r="K103">
        <f t="shared" si="1"/>
        <v>190.12301639344253</v>
      </c>
      <c r="L103">
        <f t="shared" si="8"/>
        <v>44.057377049180317</v>
      </c>
      <c r="P103" s="23"/>
      <c r="Q103" s="23"/>
      <c r="R103" s="23"/>
      <c r="S103" s="23"/>
      <c r="T103" s="23"/>
      <c r="U103" s="23"/>
      <c r="V103" s="23"/>
      <c r="W103" s="23"/>
      <c r="X103" s="23"/>
      <c r="Y103" s="23"/>
      <c r="Z103" s="23"/>
      <c r="AA103" s="23"/>
      <c r="AB103" s="23"/>
      <c r="AC103" s="23"/>
      <c r="AD103" s="23"/>
      <c r="AE103" s="23"/>
      <c r="AF103" s="23"/>
      <c r="AG103" s="23"/>
      <c r="AH103" s="23"/>
      <c r="AI103" s="23"/>
      <c r="AJ103" s="5"/>
      <c r="AK103" s="5"/>
      <c r="AL103" s="5"/>
    </row>
    <row r="104" spans="2:38" x14ac:dyDescent="0.25">
      <c r="B104">
        <f t="shared" si="9"/>
        <v>4.5999999999999988</v>
      </c>
      <c r="C104">
        <f t="shared" si="2"/>
        <v>2.2999999999999994</v>
      </c>
      <c r="D104">
        <f t="shared" si="3"/>
        <v>22.540983606557372</v>
      </c>
      <c r="E104">
        <f t="shared" si="0"/>
        <v>17.991868852458964</v>
      </c>
      <c r="F104">
        <f t="shared" si="10"/>
        <v>17.991868852458964</v>
      </c>
      <c r="G104">
        <f t="shared" si="4"/>
        <v>90.163934426229488</v>
      </c>
      <c r="H104">
        <f t="shared" si="5"/>
        <v>581.31147540983591</v>
      </c>
      <c r="I104">
        <f t="shared" si="6"/>
        <v>90.163934426229488</v>
      </c>
      <c r="J104">
        <f t="shared" si="7"/>
        <v>45.081967213114744</v>
      </c>
      <c r="K104">
        <f t="shared" si="1"/>
        <v>198.31973770491794</v>
      </c>
      <c r="L104">
        <f t="shared" si="8"/>
        <v>45.081967213114744</v>
      </c>
      <c r="P104" s="23"/>
      <c r="Q104" s="23"/>
      <c r="R104" s="23"/>
      <c r="S104" s="23"/>
      <c r="T104" s="23"/>
      <c r="U104" s="23"/>
      <c r="V104" s="23"/>
      <c r="W104" s="23"/>
      <c r="X104" s="23"/>
      <c r="Y104" s="23"/>
      <c r="Z104" s="23"/>
      <c r="AA104" s="23"/>
      <c r="AB104" s="23"/>
      <c r="AC104" s="23"/>
      <c r="AD104" s="23"/>
      <c r="AE104" s="23"/>
      <c r="AF104" s="23"/>
      <c r="AG104" s="23"/>
      <c r="AH104" s="23"/>
      <c r="AI104" s="23"/>
      <c r="AJ104" s="5"/>
      <c r="AK104" s="5"/>
      <c r="AL104" s="5"/>
    </row>
    <row r="105" spans="2:38" x14ac:dyDescent="0.25">
      <c r="B105">
        <v>4.7</v>
      </c>
      <c r="C105">
        <f t="shared" si="2"/>
        <v>2.35</v>
      </c>
      <c r="D105">
        <f t="shared" si="3"/>
        <v>23.053278688524593</v>
      </c>
      <c r="E105">
        <f t="shared" si="0"/>
        <v>22.090229508196728</v>
      </c>
      <c r="F105">
        <f t="shared" si="10"/>
        <v>22.090229508196728</v>
      </c>
      <c r="G105">
        <f t="shared" si="4"/>
        <v>92.21311475409837</v>
      </c>
      <c r="H105">
        <f t="shared" si="5"/>
        <v>597.70491803278696</v>
      </c>
      <c r="I105">
        <f t="shared" si="6"/>
        <v>92.21311475409837</v>
      </c>
      <c r="J105">
        <f t="shared" si="7"/>
        <v>46.106557377049185</v>
      </c>
      <c r="K105">
        <f t="shared" si="1"/>
        <v>206.51645901639347</v>
      </c>
      <c r="L105">
        <f t="shared" si="8"/>
        <v>46.106557377049185</v>
      </c>
      <c r="P105" s="23"/>
      <c r="Q105" s="23"/>
      <c r="R105" s="23"/>
      <c r="S105" s="23"/>
      <c r="T105" s="23"/>
      <c r="U105" s="23"/>
      <c r="V105" s="23"/>
      <c r="W105" s="23"/>
      <c r="X105" s="23"/>
      <c r="Y105" s="23"/>
      <c r="Z105" s="23"/>
      <c r="AA105" s="23"/>
      <c r="AB105" s="23"/>
      <c r="AC105" s="23"/>
      <c r="AD105" s="23"/>
      <c r="AE105" s="23"/>
      <c r="AF105" s="23"/>
      <c r="AG105" s="23"/>
      <c r="AH105" s="23"/>
      <c r="AI105" s="23"/>
      <c r="AJ105" s="5"/>
      <c r="AK105" s="5"/>
      <c r="AL105" s="5"/>
    </row>
    <row r="106" spans="2:38" x14ac:dyDescent="0.25">
      <c r="B106">
        <f t="shared" si="9"/>
        <v>4.8</v>
      </c>
      <c r="C106">
        <f t="shared" si="2"/>
        <v>2.4</v>
      </c>
      <c r="D106">
        <f t="shared" si="3"/>
        <v>23.565573770491802</v>
      </c>
      <c r="E106">
        <f t="shared" si="0"/>
        <v>26.188590163934407</v>
      </c>
      <c r="F106">
        <f t="shared" si="10"/>
        <v>23.565573770491802</v>
      </c>
      <c r="G106">
        <f t="shared" si="4"/>
        <v>94.26229508196721</v>
      </c>
      <c r="H106">
        <f t="shared" si="5"/>
        <v>614.09836065573768</v>
      </c>
      <c r="I106">
        <f t="shared" si="6"/>
        <v>94.26229508196721</v>
      </c>
      <c r="J106">
        <f t="shared" si="7"/>
        <v>47.131147540983605</v>
      </c>
      <c r="K106">
        <f t="shared" si="1"/>
        <v>214.71318032786883</v>
      </c>
      <c r="L106">
        <f t="shared" si="8"/>
        <v>47.131147540983605</v>
      </c>
      <c r="P106" s="23"/>
      <c r="Q106" s="23"/>
      <c r="R106" s="23"/>
      <c r="S106" s="23"/>
      <c r="T106" s="23"/>
      <c r="U106" s="23"/>
      <c r="V106" s="23"/>
      <c r="W106" s="23"/>
      <c r="X106" s="23"/>
      <c r="Y106" s="23"/>
      <c r="Z106" s="23"/>
      <c r="AA106" s="23"/>
      <c r="AB106" s="23"/>
      <c r="AC106" s="23"/>
      <c r="AD106" s="23"/>
      <c r="AE106" s="23"/>
      <c r="AF106" s="23"/>
      <c r="AG106" s="23"/>
      <c r="AH106" s="23"/>
      <c r="AI106" s="23"/>
      <c r="AJ106" s="5"/>
      <c r="AK106" s="5"/>
      <c r="AL106" s="5"/>
    </row>
    <row r="107" spans="2:38" x14ac:dyDescent="0.25">
      <c r="B107">
        <f t="shared" si="9"/>
        <v>4.8999999999999995</v>
      </c>
      <c r="C107">
        <f t="shared" si="2"/>
        <v>2.4499999999999997</v>
      </c>
      <c r="D107">
        <f t="shared" si="3"/>
        <v>24.077868852459016</v>
      </c>
      <c r="E107">
        <f t="shared" si="0"/>
        <v>30.286950819672114</v>
      </c>
      <c r="F107">
        <f t="shared" si="10"/>
        <v>24.077868852459016</v>
      </c>
      <c r="G107">
        <f t="shared" si="4"/>
        <v>96.311475409836063</v>
      </c>
      <c r="H107">
        <f t="shared" si="5"/>
        <v>630.49180327868851</v>
      </c>
      <c r="I107">
        <f t="shared" si="6"/>
        <v>96.311475409836063</v>
      </c>
      <c r="J107">
        <f t="shared" si="7"/>
        <v>48.155737704918032</v>
      </c>
      <c r="K107">
        <f t="shared" si="1"/>
        <v>222.90990163934424</v>
      </c>
      <c r="L107">
        <f t="shared" si="8"/>
        <v>48.155737704918032</v>
      </c>
      <c r="P107" s="23"/>
      <c r="Q107" s="23"/>
      <c r="R107" s="23"/>
      <c r="S107" s="23"/>
      <c r="T107" s="23"/>
      <c r="U107" s="23"/>
      <c r="V107" s="23"/>
      <c r="W107" s="23"/>
      <c r="X107" s="23"/>
      <c r="Y107" s="23"/>
      <c r="Z107" s="23"/>
      <c r="AA107" s="23"/>
      <c r="AB107" s="23"/>
      <c r="AC107" s="23"/>
      <c r="AD107" s="23"/>
      <c r="AE107" s="23"/>
      <c r="AF107" s="23"/>
      <c r="AG107" s="23"/>
      <c r="AH107" s="23"/>
      <c r="AI107" s="23"/>
      <c r="AJ107" s="5"/>
      <c r="AK107" s="5"/>
      <c r="AL107" s="5"/>
    </row>
    <row r="108" spans="2:38" x14ac:dyDescent="0.25">
      <c r="B108">
        <f t="shared" si="9"/>
        <v>4.9999999999999991</v>
      </c>
      <c r="C108">
        <f t="shared" si="2"/>
        <v>2.4999999999999996</v>
      </c>
      <c r="D108">
        <f t="shared" si="3"/>
        <v>24.590163934426226</v>
      </c>
      <c r="E108">
        <f t="shared" si="0"/>
        <v>34.385311475409793</v>
      </c>
      <c r="F108">
        <f t="shared" si="10"/>
        <v>24.590163934426226</v>
      </c>
      <c r="G108">
        <f t="shared" si="4"/>
        <v>98.360655737704903</v>
      </c>
      <c r="H108">
        <f t="shared" si="5"/>
        <v>646.88524590163922</v>
      </c>
      <c r="I108">
        <f t="shared" si="6"/>
        <v>98.360655737704903</v>
      </c>
      <c r="J108">
        <f t="shared" si="7"/>
        <v>49.180327868852451</v>
      </c>
      <c r="K108">
        <f t="shared" si="1"/>
        <v>231.1066229508196</v>
      </c>
      <c r="L108">
        <f t="shared" si="8"/>
        <v>49.180327868852451</v>
      </c>
      <c r="P108" s="23"/>
      <c r="Q108" s="23"/>
      <c r="R108" s="23"/>
      <c r="S108" s="23"/>
      <c r="T108" s="23"/>
      <c r="U108" s="23"/>
      <c r="V108" s="23"/>
      <c r="W108" s="23"/>
      <c r="X108" s="23"/>
      <c r="Y108" s="23"/>
      <c r="Z108" s="23"/>
      <c r="AA108" s="23"/>
      <c r="AB108" s="23"/>
      <c r="AC108" s="23"/>
      <c r="AD108" s="23"/>
      <c r="AE108" s="23"/>
      <c r="AF108" s="23"/>
      <c r="AG108" s="23"/>
      <c r="AH108" s="23"/>
      <c r="AI108" s="23"/>
      <c r="AJ108" s="5"/>
      <c r="AK108" s="5"/>
      <c r="AL108" s="5"/>
    </row>
    <row r="109" spans="2:38" x14ac:dyDescent="0.25">
      <c r="B109">
        <f t="shared" si="9"/>
        <v>5.0999999999999988</v>
      </c>
      <c r="C109">
        <f t="shared" si="2"/>
        <v>2.5499999999999994</v>
      </c>
      <c r="D109">
        <f t="shared" si="3"/>
        <v>25.102459016393436</v>
      </c>
      <c r="E109">
        <f t="shared" si="0"/>
        <v>38.483672131147472</v>
      </c>
      <c r="F109">
        <f t="shared" si="10"/>
        <v>25.102459016393436</v>
      </c>
      <c r="G109">
        <f t="shared" si="4"/>
        <v>100.40983606557374</v>
      </c>
      <c r="H109">
        <f t="shared" si="5"/>
        <v>663.27868852458994</v>
      </c>
      <c r="I109">
        <f t="shared" si="6"/>
        <v>100.40983606557374</v>
      </c>
      <c r="J109">
        <f t="shared" si="7"/>
        <v>50.204918032786871</v>
      </c>
      <c r="K109">
        <f t="shared" si="1"/>
        <v>239.30334426229496</v>
      </c>
      <c r="L109">
        <f t="shared" si="8"/>
        <v>50.204918032786871</v>
      </c>
      <c r="P109" s="23"/>
      <c r="Q109" s="23"/>
      <c r="R109" s="23"/>
      <c r="S109" s="23"/>
      <c r="T109" s="23"/>
      <c r="U109" s="23"/>
      <c r="V109" s="23"/>
      <c r="W109" s="23"/>
      <c r="X109" s="23"/>
      <c r="Y109" s="23"/>
      <c r="Z109" s="23"/>
      <c r="AA109" s="23"/>
      <c r="AB109" s="23"/>
      <c r="AC109" s="23"/>
      <c r="AD109" s="23"/>
      <c r="AE109" s="23"/>
      <c r="AF109" s="23"/>
      <c r="AG109" s="23"/>
      <c r="AH109" s="23"/>
      <c r="AI109" s="23"/>
      <c r="AJ109" s="5"/>
      <c r="AK109" s="5"/>
      <c r="AL109" s="5"/>
    </row>
    <row r="110" spans="2:38" x14ac:dyDescent="0.25">
      <c r="B110">
        <f t="shared" si="9"/>
        <v>5.1999999999999984</v>
      </c>
      <c r="C110">
        <f t="shared" si="2"/>
        <v>2.5999999999999992</v>
      </c>
      <c r="D110">
        <f t="shared" si="3"/>
        <v>25.614754098360649</v>
      </c>
      <c r="E110">
        <f t="shared" si="0"/>
        <v>42.582032786885179</v>
      </c>
      <c r="F110">
        <f t="shared" si="10"/>
        <v>25.614754098360649</v>
      </c>
      <c r="G110">
        <f t="shared" si="4"/>
        <v>102.4590163934426</v>
      </c>
      <c r="H110">
        <f t="shared" si="5"/>
        <v>679.67213114754077</v>
      </c>
      <c r="I110">
        <f t="shared" si="6"/>
        <v>102.4590163934426</v>
      </c>
      <c r="J110">
        <f t="shared" si="7"/>
        <v>51.229508196721298</v>
      </c>
      <c r="K110">
        <f t="shared" si="1"/>
        <v>247.50006557377037</v>
      </c>
      <c r="L110">
        <f t="shared" si="8"/>
        <v>51.229508196721298</v>
      </c>
      <c r="P110" s="23"/>
      <c r="Q110" s="23"/>
      <c r="R110" s="23"/>
      <c r="S110" s="23"/>
      <c r="T110" s="23"/>
      <c r="U110" s="23"/>
      <c r="V110" s="23"/>
      <c r="W110" s="23"/>
      <c r="X110" s="23"/>
      <c r="Y110" s="23"/>
      <c r="Z110" s="23"/>
      <c r="AA110" s="23"/>
      <c r="AB110" s="23"/>
      <c r="AC110" s="23"/>
      <c r="AD110" s="23"/>
      <c r="AE110" s="23"/>
      <c r="AF110" s="23"/>
      <c r="AG110" s="23"/>
      <c r="AH110" s="23"/>
      <c r="AI110" s="23"/>
      <c r="AJ110" s="5"/>
      <c r="AK110" s="5"/>
      <c r="AL110" s="5"/>
    </row>
    <row r="111" spans="2:38" x14ac:dyDescent="0.25">
      <c r="B111">
        <f t="shared" si="9"/>
        <v>5.299999999999998</v>
      </c>
      <c r="C111">
        <f t="shared" si="2"/>
        <v>2.649999999999999</v>
      </c>
      <c r="D111">
        <f t="shared" si="3"/>
        <v>26.127049180327859</v>
      </c>
      <c r="E111">
        <f t="shared" si="0"/>
        <v>46.680393442622858</v>
      </c>
      <c r="F111">
        <f t="shared" si="10"/>
        <v>26.127049180327859</v>
      </c>
      <c r="G111">
        <f t="shared" si="4"/>
        <v>104.50819672131144</v>
      </c>
      <c r="H111">
        <f t="shared" si="5"/>
        <v>696.06557377049148</v>
      </c>
      <c r="I111">
        <f t="shared" si="6"/>
        <v>104.50819672131144</v>
      </c>
      <c r="J111">
        <f t="shared" si="7"/>
        <v>52.254098360655718</v>
      </c>
      <c r="K111">
        <f t="shared" si="1"/>
        <v>255.69678688524573</v>
      </c>
      <c r="L111">
        <f t="shared" si="8"/>
        <v>52.254098360655718</v>
      </c>
      <c r="P111" s="23"/>
      <c r="Q111" s="23"/>
      <c r="R111" s="23"/>
      <c r="S111" s="23"/>
      <c r="T111" s="23"/>
      <c r="U111" s="23"/>
      <c r="V111" s="23"/>
      <c r="W111" s="23"/>
      <c r="X111" s="23"/>
      <c r="Y111" s="23"/>
      <c r="Z111" s="23"/>
      <c r="AA111" s="23"/>
      <c r="AB111" s="23"/>
      <c r="AC111" s="23"/>
      <c r="AD111" s="23"/>
      <c r="AE111" s="23"/>
      <c r="AF111" s="23"/>
      <c r="AG111" s="23"/>
      <c r="AH111" s="23"/>
      <c r="AI111" s="23"/>
      <c r="AJ111" s="5"/>
      <c r="AK111" s="5"/>
      <c r="AL111" s="5"/>
    </row>
    <row r="112" spans="2:38" x14ac:dyDescent="0.25">
      <c r="B112">
        <f t="shared" si="9"/>
        <v>5.3999999999999977</v>
      </c>
      <c r="C112">
        <f t="shared" si="2"/>
        <v>2.6999999999999988</v>
      </c>
      <c r="D112">
        <f t="shared" si="3"/>
        <v>26.639344262295072</v>
      </c>
      <c r="E112">
        <f t="shared" si="0"/>
        <v>50.778754098360565</v>
      </c>
      <c r="F112">
        <f t="shared" si="10"/>
        <v>26.639344262295072</v>
      </c>
      <c r="G112">
        <f t="shared" si="4"/>
        <v>106.55737704918029</v>
      </c>
      <c r="H112">
        <f t="shared" si="5"/>
        <v>712.45901639344231</v>
      </c>
      <c r="I112">
        <f t="shared" si="6"/>
        <v>106.55737704918029</v>
      </c>
      <c r="J112">
        <f t="shared" si="7"/>
        <v>53.278688524590144</v>
      </c>
      <c r="K112">
        <f t="shared" si="1"/>
        <v>263.89350819672114</v>
      </c>
      <c r="L112">
        <f t="shared" si="8"/>
        <v>53.278688524590144</v>
      </c>
      <c r="P112" s="23"/>
      <c r="Q112" s="23"/>
      <c r="R112" s="23"/>
      <c r="S112" s="23"/>
      <c r="T112" s="23"/>
      <c r="U112" s="23"/>
      <c r="V112" s="23"/>
      <c r="W112" s="23"/>
      <c r="X112" s="23"/>
      <c r="Y112" s="23"/>
      <c r="Z112" s="23"/>
      <c r="AA112" s="23"/>
      <c r="AB112" s="23"/>
      <c r="AC112" s="23"/>
      <c r="AD112" s="23"/>
      <c r="AE112" s="23"/>
      <c r="AF112" s="23"/>
      <c r="AG112" s="23"/>
      <c r="AH112" s="23"/>
      <c r="AI112" s="23"/>
      <c r="AJ112" s="5"/>
      <c r="AK112" s="5"/>
      <c r="AL112" s="5"/>
    </row>
    <row r="113" spans="2:38" x14ac:dyDescent="0.25">
      <c r="B113">
        <f>B112+0.1</f>
        <v>5.4999999999999973</v>
      </c>
      <c r="C113">
        <f t="shared" si="2"/>
        <v>2.7499999999999987</v>
      </c>
      <c r="D113">
        <f t="shared" si="3"/>
        <v>27.151639344262282</v>
      </c>
      <c r="E113">
        <f t="shared" si="0"/>
        <v>54.877114754098244</v>
      </c>
      <c r="F113">
        <f t="shared" si="10"/>
        <v>27.151639344262282</v>
      </c>
      <c r="G113">
        <f t="shared" si="4"/>
        <v>108.60655737704913</v>
      </c>
      <c r="H113">
        <f t="shared" si="5"/>
        <v>728.85245901639303</v>
      </c>
      <c r="I113">
        <f t="shared" si="6"/>
        <v>108.60655737704913</v>
      </c>
      <c r="J113">
        <f t="shared" si="7"/>
        <v>54.303278688524564</v>
      </c>
      <c r="K113">
        <f t="shared" si="1"/>
        <v>272.0902295081965</v>
      </c>
      <c r="L113">
        <f t="shared" si="8"/>
        <v>54.303278688524564</v>
      </c>
      <c r="P113" s="23"/>
      <c r="Q113" s="23"/>
      <c r="R113" s="23"/>
      <c r="S113" s="23"/>
      <c r="T113" s="23"/>
      <c r="U113" s="23"/>
      <c r="V113" s="23"/>
      <c r="W113" s="23"/>
      <c r="X113" s="23"/>
      <c r="Y113" s="23"/>
      <c r="Z113" s="23"/>
      <c r="AA113" s="23"/>
      <c r="AB113" s="23"/>
      <c r="AC113" s="23"/>
      <c r="AD113" s="23"/>
      <c r="AE113" s="23"/>
      <c r="AF113" s="23"/>
      <c r="AG113" s="23"/>
      <c r="AH113" s="23"/>
      <c r="AI113" s="23"/>
      <c r="AJ113" s="5"/>
      <c r="AK113" s="5"/>
      <c r="AL113" s="5"/>
    </row>
    <row r="117" spans="2:38" x14ac:dyDescent="0.25">
      <c r="P117" s="23"/>
      <c r="Q117" s="23"/>
      <c r="R117" s="23"/>
      <c r="S117" s="23"/>
      <c r="T117" s="23"/>
      <c r="U117" s="23"/>
      <c r="V117" s="23"/>
      <c r="W117" s="23"/>
      <c r="X117" s="23"/>
      <c r="Y117" s="23"/>
      <c r="Z117" s="23"/>
      <c r="AA117" s="23"/>
      <c r="AB117" s="23"/>
      <c r="AC117" s="23"/>
      <c r="AD117" s="23"/>
      <c r="AE117" s="23"/>
      <c r="AF117" s="23"/>
      <c r="AG117" s="23"/>
      <c r="AH117" s="23"/>
      <c r="AI117" s="23"/>
    </row>
    <row r="118" spans="2:38" x14ac:dyDescent="0.25">
      <c r="P118" s="23"/>
      <c r="Q118" s="23"/>
      <c r="R118" s="23"/>
      <c r="S118" s="23"/>
      <c r="T118" s="23"/>
      <c r="U118" s="23"/>
      <c r="V118" s="23"/>
      <c r="W118" s="23"/>
      <c r="X118" s="23"/>
      <c r="Y118" s="23"/>
      <c r="Z118" s="23"/>
      <c r="AA118" s="23"/>
      <c r="AB118" s="23"/>
      <c r="AC118" s="23"/>
      <c r="AD118" s="23"/>
      <c r="AE118" s="23"/>
      <c r="AF118" s="23"/>
      <c r="AG118" s="23"/>
      <c r="AH118" s="23"/>
      <c r="AI118" s="23"/>
    </row>
    <row r="119" spans="2:38" x14ac:dyDescent="0.25">
      <c r="P119" s="23"/>
      <c r="Q119" s="23"/>
      <c r="R119" s="23"/>
      <c r="S119" s="23"/>
      <c r="T119" s="23"/>
      <c r="U119" s="23"/>
      <c r="V119" s="23"/>
      <c r="W119" s="23"/>
      <c r="X119" s="23"/>
      <c r="Y119" s="23"/>
      <c r="Z119" s="23"/>
      <c r="AA119" s="23"/>
      <c r="AB119" s="23"/>
      <c r="AC119" s="23"/>
      <c r="AD119" s="23"/>
      <c r="AE119" s="23"/>
      <c r="AF119" s="23"/>
      <c r="AG119" s="23"/>
      <c r="AH119" s="23"/>
      <c r="AI119" s="23"/>
    </row>
    <row r="120" spans="2:38" x14ac:dyDescent="0.25">
      <c r="P120" s="23"/>
      <c r="Q120" s="23"/>
      <c r="R120" s="23"/>
      <c r="S120" s="23"/>
      <c r="T120" s="23"/>
      <c r="U120" s="23"/>
      <c r="V120" s="23"/>
      <c r="W120" s="23"/>
      <c r="X120" s="23"/>
      <c r="Y120" s="23"/>
      <c r="Z120" s="23"/>
      <c r="AA120" s="23"/>
      <c r="AB120" s="23"/>
      <c r="AC120" s="23"/>
      <c r="AD120" s="23"/>
      <c r="AE120" s="23"/>
      <c r="AF120" s="23"/>
      <c r="AG120" s="23"/>
      <c r="AH120" s="23"/>
      <c r="AI120" s="23"/>
    </row>
    <row r="121" spans="2:38" x14ac:dyDescent="0.25">
      <c r="P121" s="23"/>
      <c r="Q121" s="23"/>
      <c r="R121" s="23"/>
      <c r="S121" s="23"/>
      <c r="T121" s="23"/>
      <c r="U121" s="23"/>
      <c r="V121" s="23"/>
      <c r="W121" s="23"/>
      <c r="X121" s="23"/>
      <c r="Y121" s="23"/>
      <c r="Z121" s="23"/>
      <c r="AA121" s="23"/>
      <c r="AB121" s="23"/>
      <c r="AC121" s="23"/>
      <c r="AD121" s="23"/>
      <c r="AE121" s="23"/>
      <c r="AF121" s="23"/>
      <c r="AG121" s="23"/>
      <c r="AH121" s="23"/>
      <c r="AI121" s="23"/>
    </row>
    <row r="122" spans="2:38" x14ac:dyDescent="0.25">
      <c r="P122" s="23"/>
      <c r="Q122" s="23"/>
      <c r="R122" s="23"/>
      <c r="S122" s="23"/>
      <c r="T122" s="23"/>
      <c r="U122" s="23"/>
      <c r="V122" s="23"/>
      <c r="W122" s="23"/>
      <c r="X122" s="23"/>
      <c r="Y122" s="23"/>
      <c r="Z122" s="23"/>
      <c r="AA122" s="23"/>
      <c r="AB122" s="23"/>
      <c r="AC122" s="23"/>
      <c r="AD122" s="23"/>
      <c r="AE122" s="23"/>
      <c r="AF122" s="23"/>
      <c r="AG122" s="23"/>
      <c r="AH122" s="23"/>
      <c r="AI122" s="23"/>
    </row>
    <row r="123" spans="2:38" x14ac:dyDescent="0.25">
      <c r="P123" s="23"/>
      <c r="Q123" s="23"/>
      <c r="R123" s="23"/>
      <c r="S123" s="23"/>
      <c r="T123" s="23"/>
      <c r="U123" s="23"/>
      <c r="V123" s="23"/>
      <c r="W123" s="23"/>
      <c r="X123" s="23"/>
      <c r="Y123" s="23"/>
      <c r="Z123" s="23"/>
      <c r="AA123" s="23"/>
      <c r="AB123" s="23"/>
      <c r="AC123" s="23"/>
      <c r="AD123" s="23"/>
      <c r="AE123" s="23"/>
      <c r="AF123" s="23"/>
      <c r="AG123" s="23"/>
      <c r="AH123" s="23"/>
      <c r="AI123" s="23"/>
    </row>
    <row r="124" spans="2:38" x14ac:dyDescent="0.25">
      <c r="P124" s="23"/>
      <c r="Q124" s="23"/>
      <c r="R124" s="23"/>
      <c r="S124" s="23"/>
      <c r="T124" s="23"/>
      <c r="U124" s="23"/>
      <c r="V124" s="23"/>
      <c r="W124" s="23"/>
      <c r="X124" s="23"/>
      <c r="Y124" s="23"/>
      <c r="Z124" s="23"/>
      <c r="AA124" s="23"/>
      <c r="AB124" s="23"/>
      <c r="AC124" s="23"/>
      <c r="AD124" s="23"/>
      <c r="AE124" s="23"/>
      <c r="AF124" s="23"/>
      <c r="AG124" s="23"/>
      <c r="AH124" s="23"/>
      <c r="AI124" s="23"/>
    </row>
    <row r="125" spans="2:38" x14ac:dyDescent="0.25">
      <c r="P125" s="23"/>
      <c r="Q125" s="23"/>
      <c r="R125" s="23"/>
      <c r="S125" s="23"/>
      <c r="T125" s="23"/>
      <c r="U125" s="23"/>
      <c r="V125" s="23"/>
      <c r="W125" s="23"/>
      <c r="X125" s="23"/>
      <c r="Y125" s="23"/>
      <c r="Z125" s="23"/>
      <c r="AA125" s="23"/>
      <c r="AB125" s="23"/>
      <c r="AC125" s="23"/>
      <c r="AD125" s="23"/>
      <c r="AE125" s="23"/>
      <c r="AF125" s="23"/>
      <c r="AG125" s="23"/>
      <c r="AH125" s="23"/>
      <c r="AI125" s="23"/>
    </row>
    <row r="126" spans="2:38" x14ac:dyDescent="0.25">
      <c r="P126" s="23"/>
      <c r="Q126" s="23"/>
      <c r="R126" s="23"/>
      <c r="S126" s="23"/>
      <c r="T126" s="23"/>
      <c r="U126" s="23"/>
      <c r="V126" s="23"/>
      <c r="W126" s="23"/>
      <c r="X126" s="23"/>
      <c r="Y126" s="23"/>
      <c r="Z126" s="23"/>
      <c r="AA126" s="23"/>
      <c r="AB126" s="23"/>
      <c r="AC126" s="23"/>
      <c r="AD126" s="23"/>
      <c r="AE126" s="23"/>
      <c r="AF126" s="23"/>
      <c r="AG126" s="23"/>
      <c r="AH126" s="23"/>
      <c r="AI126" s="23"/>
    </row>
    <row r="127" spans="2:38" x14ac:dyDescent="0.25">
      <c r="P127" s="23"/>
      <c r="Q127" s="23"/>
      <c r="R127" s="23"/>
      <c r="S127" s="23"/>
      <c r="T127" s="23"/>
      <c r="U127" s="23"/>
      <c r="V127" s="23"/>
      <c r="W127" s="23"/>
      <c r="X127" s="23"/>
      <c r="Y127" s="23"/>
      <c r="Z127" s="23"/>
      <c r="AA127" s="23"/>
      <c r="AB127" s="23"/>
      <c r="AC127" s="23"/>
      <c r="AD127" s="23"/>
      <c r="AE127" s="23"/>
      <c r="AF127" s="23"/>
      <c r="AG127" s="23"/>
      <c r="AH127" s="23"/>
      <c r="AI127" s="23"/>
    </row>
    <row r="128" spans="2:38" x14ac:dyDescent="0.25">
      <c r="P128" s="23"/>
      <c r="Q128" s="23"/>
      <c r="R128" s="23"/>
      <c r="S128" s="23"/>
      <c r="T128" s="23"/>
      <c r="U128" s="23"/>
      <c r="V128" s="23"/>
      <c r="W128" s="23"/>
      <c r="X128" s="23"/>
      <c r="Y128" s="23"/>
      <c r="Z128" s="23"/>
      <c r="AA128" s="23"/>
      <c r="AB128" s="23"/>
      <c r="AC128" s="23"/>
      <c r="AD128" s="23"/>
      <c r="AE128" s="23"/>
      <c r="AF128" s="23"/>
      <c r="AG128" s="23"/>
      <c r="AH128" s="23"/>
      <c r="AI128" s="23"/>
    </row>
    <row r="129" spans="16:35" x14ac:dyDescent="0.25">
      <c r="P129" s="23"/>
      <c r="Q129" s="23"/>
      <c r="R129" s="23"/>
      <c r="S129" s="23"/>
      <c r="T129" s="23"/>
      <c r="U129" s="23"/>
      <c r="V129" s="23"/>
      <c r="W129" s="23"/>
      <c r="X129" s="23"/>
      <c r="Y129" s="23"/>
      <c r="Z129" s="23"/>
      <c r="AA129" s="23"/>
      <c r="AB129" s="23"/>
      <c r="AC129" s="23"/>
      <c r="AD129" s="23"/>
      <c r="AE129" s="23"/>
      <c r="AF129" s="23"/>
      <c r="AG129" s="23"/>
      <c r="AH129" s="23"/>
      <c r="AI129" s="23"/>
    </row>
    <row r="130" spans="16:35" x14ac:dyDescent="0.25">
      <c r="P130" s="23"/>
      <c r="Q130" s="23"/>
      <c r="R130" s="23"/>
      <c r="S130" s="23"/>
      <c r="T130" s="23"/>
      <c r="U130" s="23"/>
      <c r="V130" s="23"/>
      <c r="W130" s="23"/>
      <c r="X130" s="23"/>
      <c r="Y130" s="23"/>
      <c r="Z130" s="23"/>
      <c r="AA130" s="23"/>
      <c r="AB130" s="23"/>
      <c r="AC130" s="23"/>
      <c r="AD130" s="23"/>
      <c r="AE130" s="23"/>
      <c r="AF130" s="23"/>
      <c r="AG130" s="23"/>
      <c r="AH130" s="23"/>
      <c r="AI130" s="23"/>
    </row>
    <row r="131" spans="16:35" x14ac:dyDescent="0.25">
      <c r="P131" s="23"/>
      <c r="Q131" s="23"/>
      <c r="R131" s="23"/>
      <c r="S131" s="23"/>
      <c r="T131" s="23"/>
      <c r="U131" s="23"/>
      <c r="V131" s="23"/>
      <c r="W131" s="23"/>
      <c r="X131" s="23"/>
      <c r="Y131" s="23"/>
      <c r="Z131" s="23"/>
      <c r="AA131" s="23"/>
      <c r="AB131" s="23"/>
      <c r="AC131" s="23"/>
      <c r="AD131" s="23"/>
      <c r="AE131" s="23"/>
      <c r="AF131" s="23"/>
      <c r="AG131" s="23"/>
      <c r="AH131" s="23"/>
      <c r="AI131" s="23"/>
    </row>
    <row r="132" spans="16:35" x14ac:dyDescent="0.25">
      <c r="P132" s="23"/>
      <c r="Q132" s="23"/>
      <c r="R132" s="23"/>
      <c r="S132" s="23"/>
      <c r="T132" s="23"/>
      <c r="U132" s="23"/>
      <c r="V132" s="23"/>
      <c r="W132" s="23"/>
      <c r="X132" s="23"/>
      <c r="Y132" s="23"/>
      <c r="Z132" s="23"/>
      <c r="AA132" s="23"/>
      <c r="AB132" s="23"/>
      <c r="AC132" s="23"/>
      <c r="AD132" s="23"/>
      <c r="AE132" s="23"/>
      <c r="AF132" s="23"/>
      <c r="AG132" s="23"/>
      <c r="AH132" s="23"/>
      <c r="AI132" s="23"/>
    </row>
    <row r="133" spans="16:35" x14ac:dyDescent="0.25">
      <c r="P133" s="23"/>
      <c r="Q133" s="23"/>
      <c r="R133" s="23"/>
      <c r="S133" s="23"/>
      <c r="T133" s="23"/>
      <c r="U133" s="23"/>
      <c r="V133" s="23"/>
      <c r="W133" s="23"/>
      <c r="X133" s="23"/>
      <c r="Y133" s="23"/>
      <c r="Z133" s="23"/>
      <c r="AA133" s="23"/>
      <c r="AB133" s="23"/>
      <c r="AC133" s="23"/>
      <c r="AD133" s="23"/>
      <c r="AE133" s="23"/>
      <c r="AF133" s="23"/>
      <c r="AG133" s="23"/>
      <c r="AH133" s="23"/>
      <c r="AI133" s="23"/>
    </row>
    <row r="134" spans="16:35" x14ac:dyDescent="0.25">
      <c r="P134" s="23"/>
      <c r="Q134" s="23"/>
      <c r="R134" s="23"/>
      <c r="S134" s="23"/>
      <c r="T134" s="23"/>
      <c r="U134" s="23"/>
      <c r="V134" s="23"/>
      <c r="W134" s="23"/>
      <c r="X134" s="23"/>
      <c r="Y134" s="23"/>
      <c r="Z134" s="23"/>
      <c r="AA134" s="23"/>
      <c r="AB134" s="23"/>
      <c r="AC134" s="23"/>
      <c r="AD134" s="23"/>
      <c r="AE134" s="23"/>
      <c r="AF134" s="23"/>
      <c r="AG134" s="23"/>
      <c r="AH134" s="23"/>
      <c r="AI134" s="23"/>
    </row>
    <row r="135" spans="16:35" x14ac:dyDescent="0.25">
      <c r="P135" s="23"/>
      <c r="Q135" s="23"/>
      <c r="R135" s="23"/>
      <c r="S135" s="23"/>
      <c r="T135" s="23"/>
      <c r="U135" s="23"/>
      <c r="V135" s="23"/>
      <c r="W135" s="23"/>
      <c r="X135" s="23"/>
      <c r="Y135" s="23"/>
      <c r="Z135" s="23"/>
      <c r="AA135" s="23"/>
      <c r="AB135" s="23"/>
      <c r="AC135" s="23"/>
      <c r="AD135" s="23"/>
      <c r="AE135" s="23"/>
      <c r="AF135" s="23"/>
      <c r="AG135" s="23"/>
      <c r="AH135" s="23"/>
      <c r="AI135" s="23"/>
    </row>
    <row r="136" spans="16:35" x14ac:dyDescent="0.25">
      <c r="P136" s="23"/>
      <c r="Q136" s="23"/>
      <c r="R136" s="23"/>
      <c r="S136" s="23"/>
      <c r="T136" s="23"/>
      <c r="U136" s="23"/>
      <c r="V136" s="23"/>
      <c r="W136" s="23"/>
      <c r="X136" s="23"/>
      <c r="Y136" s="23"/>
      <c r="Z136" s="23"/>
      <c r="AA136" s="23"/>
      <c r="AB136" s="23"/>
      <c r="AC136" s="23"/>
      <c r="AD136" s="23"/>
      <c r="AE136" s="23"/>
      <c r="AF136" s="23"/>
      <c r="AG136" s="23"/>
      <c r="AH136" s="23"/>
      <c r="AI136" s="23"/>
    </row>
    <row r="137" spans="16:35" x14ac:dyDescent="0.25">
      <c r="P137" s="23"/>
      <c r="Q137" s="23"/>
      <c r="R137" s="23"/>
      <c r="S137" s="23"/>
      <c r="T137" s="23"/>
      <c r="U137" s="23"/>
      <c r="V137" s="23"/>
      <c r="W137" s="23"/>
      <c r="X137" s="23"/>
      <c r="Y137" s="23"/>
      <c r="Z137" s="23"/>
      <c r="AA137" s="23"/>
      <c r="AB137" s="23"/>
      <c r="AC137" s="23"/>
      <c r="AD137" s="23"/>
      <c r="AE137" s="23"/>
      <c r="AF137" s="23"/>
      <c r="AG137" s="23"/>
      <c r="AH137" s="23"/>
      <c r="AI137" s="23"/>
    </row>
    <row r="138" spans="16:35" x14ac:dyDescent="0.25">
      <c r="P138" s="23"/>
      <c r="Q138" s="23"/>
      <c r="R138" s="23"/>
      <c r="S138" s="23"/>
      <c r="T138" s="23"/>
      <c r="U138" s="23"/>
      <c r="V138" s="23"/>
      <c r="W138" s="23"/>
      <c r="X138" s="23"/>
      <c r="Y138" s="23"/>
      <c r="Z138" s="23"/>
      <c r="AA138" s="23"/>
      <c r="AB138" s="23"/>
      <c r="AC138" s="23"/>
      <c r="AD138" s="23"/>
      <c r="AE138" s="23"/>
      <c r="AF138" s="23"/>
      <c r="AG138" s="23"/>
      <c r="AH138" s="23"/>
      <c r="AI138" s="23"/>
    </row>
    <row r="139" spans="16:35" x14ac:dyDescent="0.25">
      <c r="P139" s="23"/>
      <c r="Q139" s="23"/>
      <c r="R139" s="23"/>
      <c r="S139" s="23"/>
      <c r="T139" s="23"/>
      <c r="U139" s="23"/>
      <c r="V139" s="23"/>
      <c r="W139" s="23"/>
      <c r="X139" s="23"/>
      <c r="Y139" s="23"/>
      <c r="Z139" s="23"/>
      <c r="AA139" s="23"/>
      <c r="AB139" s="23"/>
      <c r="AC139" s="23"/>
      <c r="AD139" s="23"/>
      <c r="AE139" s="23"/>
      <c r="AF139" s="23"/>
      <c r="AG139" s="23"/>
      <c r="AH139" s="23"/>
      <c r="AI139" s="23"/>
    </row>
    <row r="140" spans="16:35" x14ac:dyDescent="0.25">
      <c r="P140" s="23"/>
      <c r="Q140" s="23"/>
      <c r="R140" s="23"/>
      <c r="S140" s="23"/>
      <c r="T140" s="23"/>
      <c r="U140" s="23"/>
      <c r="V140" s="23"/>
      <c r="W140" s="23"/>
      <c r="X140" s="23"/>
      <c r="Y140" s="23"/>
      <c r="Z140" s="23"/>
      <c r="AA140" s="23"/>
      <c r="AB140" s="23"/>
      <c r="AC140" s="23"/>
      <c r="AD140" s="23"/>
      <c r="AE140" s="23"/>
      <c r="AF140" s="23"/>
      <c r="AG140" s="23"/>
      <c r="AH140" s="23"/>
      <c r="AI140" s="23"/>
    </row>
    <row r="141" spans="16:35" x14ac:dyDescent="0.25">
      <c r="P141" s="23"/>
      <c r="Q141" s="23"/>
      <c r="R141" s="23"/>
      <c r="S141" s="23"/>
      <c r="T141" s="23"/>
      <c r="U141" s="23"/>
      <c r="V141" s="23"/>
      <c r="W141" s="23"/>
      <c r="X141" s="23"/>
      <c r="Y141" s="23"/>
      <c r="Z141" s="23"/>
      <c r="AA141" s="23"/>
      <c r="AB141" s="23"/>
      <c r="AC141" s="23"/>
      <c r="AD141" s="23"/>
      <c r="AE141" s="23"/>
      <c r="AF141" s="23"/>
      <c r="AG141" s="23"/>
      <c r="AH141" s="23"/>
      <c r="AI141" s="23"/>
    </row>
    <row r="142" spans="16:35" x14ac:dyDescent="0.25">
      <c r="P142" s="23"/>
      <c r="Q142" s="23"/>
      <c r="R142" s="23"/>
      <c r="S142" s="23"/>
      <c r="T142" s="23"/>
      <c r="U142" s="23"/>
      <c r="V142" s="23"/>
      <c r="W142" s="23"/>
      <c r="X142" s="23"/>
      <c r="Y142" s="23"/>
      <c r="Z142" s="23"/>
      <c r="AA142" s="23"/>
      <c r="AB142" s="23"/>
      <c r="AC142" s="23"/>
      <c r="AD142" s="23"/>
      <c r="AE142" s="23"/>
      <c r="AF142" s="23"/>
      <c r="AG142" s="23"/>
      <c r="AH142" s="23"/>
      <c r="AI142" s="23"/>
    </row>
    <row r="146" spans="16:35" x14ac:dyDescent="0.25">
      <c r="P146" s="23"/>
      <c r="Q146" s="23"/>
      <c r="R146" s="23"/>
      <c r="S146" s="23"/>
      <c r="T146" s="23"/>
      <c r="U146" s="23"/>
      <c r="V146" s="23"/>
      <c r="W146" s="23"/>
      <c r="X146" s="23"/>
      <c r="Y146" s="23"/>
      <c r="Z146" s="23"/>
      <c r="AA146" s="23"/>
      <c r="AB146" s="23"/>
      <c r="AC146" s="23"/>
      <c r="AD146" s="23"/>
      <c r="AE146" s="23"/>
      <c r="AF146" s="23"/>
      <c r="AG146" s="23"/>
      <c r="AH146" s="23"/>
      <c r="AI146" s="23"/>
    </row>
    <row r="147" spans="16:35" x14ac:dyDescent="0.25">
      <c r="P147" s="23"/>
      <c r="Q147" s="23"/>
      <c r="R147" s="23"/>
      <c r="S147" s="23"/>
      <c r="T147" s="23"/>
      <c r="U147" s="23"/>
      <c r="V147" s="23"/>
      <c r="W147" s="23"/>
      <c r="X147" s="23"/>
      <c r="Y147" s="23"/>
      <c r="Z147" s="23"/>
      <c r="AA147" s="23"/>
      <c r="AB147" s="23"/>
      <c r="AC147" s="23"/>
      <c r="AD147" s="23"/>
      <c r="AE147" s="23"/>
      <c r="AF147" s="23"/>
      <c r="AG147" s="23"/>
      <c r="AH147" s="23"/>
      <c r="AI147" s="23"/>
    </row>
    <row r="148" spans="16:35" x14ac:dyDescent="0.25">
      <c r="P148" s="23"/>
      <c r="Q148" s="23"/>
      <c r="R148" s="23"/>
      <c r="S148" s="23"/>
      <c r="T148" s="23"/>
      <c r="U148" s="23"/>
      <c r="V148" s="23"/>
      <c r="W148" s="23"/>
      <c r="X148" s="23"/>
      <c r="Y148" s="23"/>
      <c r="Z148" s="23"/>
      <c r="AA148" s="23"/>
      <c r="AB148" s="23"/>
      <c r="AC148" s="23"/>
      <c r="AD148" s="23"/>
      <c r="AE148" s="23"/>
      <c r="AF148" s="23"/>
      <c r="AG148" s="23"/>
      <c r="AH148" s="23"/>
      <c r="AI148" s="23"/>
    </row>
    <row r="149" spans="16:35" x14ac:dyDescent="0.25">
      <c r="P149" s="23"/>
      <c r="Q149" s="23"/>
      <c r="R149" s="23"/>
      <c r="S149" s="23"/>
      <c r="T149" s="23"/>
      <c r="U149" s="23"/>
      <c r="V149" s="23"/>
      <c r="W149" s="23"/>
      <c r="X149" s="23"/>
      <c r="Y149" s="23"/>
      <c r="Z149" s="23"/>
      <c r="AA149" s="23"/>
      <c r="AB149" s="23"/>
      <c r="AC149" s="23"/>
      <c r="AD149" s="23"/>
      <c r="AE149" s="23"/>
      <c r="AF149" s="23"/>
      <c r="AG149" s="23"/>
      <c r="AH149" s="23"/>
      <c r="AI149" s="23"/>
    </row>
    <row r="150" spans="16:35" x14ac:dyDescent="0.25">
      <c r="P150" s="23"/>
      <c r="Q150" s="23"/>
      <c r="R150" s="23"/>
      <c r="S150" s="23"/>
      <c r="T150" s="23"/>
      <c r="U150" s="23"/>
      <c r="V150" s="23"/>
      <c r="W150" s="23"/>
      <c r="X150" s="23"/>
      <c r="Y150" s="23"/>
      <c r="Z150" s="23"/>
      <c r="AA150" s="23"/>
      <c r="AB150" s="23"/>
      <c r="AC150" s="23"/>
      <c r="AD150" s="23"/>
      <c r="AE150" s="23"/>
      <c r="AF150" s="23"/>
      <c r="AG150" s="23"/>
      <c r="AH150" s="23"/>
      <c r="AI150" s="23"/>
    </row>
    <row r="151" spans="16:35" x14ac:dyDescent="0.25">
      <c r="P151" s="23"/>
      <c r="Q151" s="23"/>
      <c r="R151" s="23"/>
      <c r="S151" s="23"/>
      <c r="T151" s="23"/>
      <c r="U151" s="23"/>
      <c r="V151" s="23"/>
      <c r="W151" s="23"/>
      <c r="X151" s="23"/>
      <c r="Y151" s="23"/>
      <c r="Z151" s="23"/>
      <c r="AA151" s="23"/>
      <c r="AB151" s="23"/>
      <c r="AC151" s="23"/>
      <c r="AD151" s="23"/>
      <c r="AE151" s="23"/>
      <c r="AF151" s="23"/>
      <c r="AG151" s="23"/>
      <c r="AH151" s="23"/>
      <c r="AI151" s="23"/>
    </row>
    <row r="152" spans="16:35" x14ac:dyDescent="0.25">
      <c r="P152" s="23"/>
      <c r="Q152" s="23"/>
      <c r="R152" s="23"/>
      <c r="S152" s="23"/>
      <c r="T152" s="23"/>
      <c r="U152" s="23"/>
      <c r="V152" s="23"/>
      <c r="W152" s="23"/>
      <c r="X152" s="23"/>
      <c r="Y152" s="23"/>
      <c r="Z152" s="23"/>
      <c r="AA152" s="23"/>
      <c r="AB152" s="23"/>
      <c r="AC152" s="23"/>
      <c r="AD152" s="23"/>
      <c r="AE152" s="23"/>
      <c r="AF152" s="23"/>
      <c r="AG152" s="23"/>
      <c r="AH152" s="23"/>
      <c r="AI152" s="23"/>
    </row>
    <row r="153" spans="16:35" x14ac:dyDescent="0.25">
      <c r="P153" s="23"/>
      <c r="Q153" s="23"/>
      <c r="R153" s="23"/>
      <c r="S153" s="23"/>
      <c r="T153" s="23"/>
      <c r="U153" s="23"/>
      <c r="V153" s="23"/>
      <c r="W153" s="23"/>
      <c r="X153" s="23"/>
      <c r="Y153" s="23"/>
      <c r="Z153" s="23"/>
      <c r="AA153" s="23"/>
      <c r="AB153" s="23"/>
      <c r="AC153" s="23"/>
      <c r="AD153" s="23"/>
      <c r="AE153" s="23"/>
      <c r="AF153" s="23"/>
      <c r="AG153" s="23"/>
      <c r="AH153" s="23"/>
      <c r="AI153" s="23"/>
    </row>
    <row r="154" spans="16:35" x14ac:dyDescent="0.25">
      <c r="P154" s="23"/>
      <c r="Q154" s="23"/>
      <c r="R154" s="23"/>
      <c r="S154" s="23"/>
      <c r="T154" s="23"/>
      <c r="U154" s="23"/>
      <c r="V154" s="23"/>
      <c r="W154" s="23"/>
      <c r="X154" s="23"/>
      <c r="Y154" s="23"/>
      <c r="Z154" s="23"/>
      <c r="AA154" s="23"/>
      <c r="AB154" s="23"/>
      <c r="AC154" s="23"/>
      <c r="AD154" s="23"/>
      <c r="AE154" s="23"/>
      <c r="AF154" s="23"/>
      <c r="AG154" s="23"/>
      <c r="AH154" s="23"/>
      <c r="AI154" s="23"/>
    </row>
    <row r="155" spans="16:35" x14ac:dyDescent="0.25">
      <c r="P155" s="23"/>
      <c r="Q155" s="23"/>
      <c r="R155" s="23"/>
      <c r="S155" s="23"/>
      <c r="T155" s="23"/>
      <c r="U155" s="23"/>
      <c r="V155" s="23"/>
      <c r="W155" s="23"/>
      <c r="X155" s="23"/>
      <c r="Y155" s="23"/>
      <c r="Z155" s="23"/>
      <c r="AA155" s="23"/>
      <c r="AB155" s="23"/>
      <c r="AC155" s="23"/>
      <c r="AD155" s="23"/>
      <c r="AE155" s="23"/>
      <c r="AF155" s="23"/>
      <c r="AG155" s="23"/>
      <c r="AH155" s="23"/>
      <c r="AI155" s="23"/>
    </row>
    <row r="156" spans="16:35" x14ac:dyDescent="0.25">
      <c r="P156" s="23"/>
      <c r="Q156" s="23"/>
      <c r="R156" s="23"/>
      <c r="S156" s="23"/>
      <c r="T156" s="23"/>
      <c r="U156" s="23"/>
      <c r="V156" s="23"/>
      <c r="W156" s="23"/>
      <c r="X156" s="23"/>
      <c r="Y156" s="23"/>
      <c r="Z156" s="23"/>
      <c r="AA156" s="23"/>
      <c r="AB156" s="23"/>
      <c r="AC156" s="23"/>
      <c r="AD156" s="23"/>
      <c r="AE156" s="23"/>
      <c r="AF156" s="23"/>
      <c r="AG156" s="23"/>
      <c r="AH156" s="23"/>
      <c r="AI156" s="23"/>
    </row>
    <row r="157" spans="16:35" x14ac:dyDescent="0.25">
      <c r="P157" s="23"/>
      <c r="Q157" s="23"/>
      <c r="R157" s="23"/>
      <c r="S157" s="23"/>
      <c r="T157" s="23"/>
      <c r="U157" s="23"/>
      <c r="V157" s="23"/>
      <c r="W157" s="23"/>
      <c r="X157" s="23"/>
      <c r="Y157" s="23"/>
      <c r="Z157" s="23"/>
      <c r="AA157" s="23"/>
      <c r="AB157" s="23"/>
      <c r="AC157" s="23"/>
      <c r="AD157" s="23"/>
      <c r="AE157" s="23"/>
      <c r="AF157" s="23"/>
      <c r="AG157" s="23"/>
      <c r="AH157" s="23"/>
      <c r="AI157" s="23"/>
    </row>
    <row r="158" spans="16:35" x14ac:dyDescent="0.25">
      <c r="P158" s="23"/>
      <c r="Q158" s="23"/>
      <c r="R158" s="23"/>
      <c r="S158" s="23"/>
      <c r="T158" s="23"/>
      <c r="U158" s="23"/>
      <c r="V158" s="23"/>
      <c r="W158" s="23"/>
      <c r="X158" s="23"/>
      <c r="Y158" s="23"/>
      <c r="Z158" s="23"/>
      <c r="AA158" s="23"/>
      <c r="AB158" s="23"/>
      <c r="AC158" s="23"/>
      <c r="AD158" s="23"/>
      <c r="AE158" s="23"/>
      <c r="AF158" s="23"/>
      <c r="AG158" s="23"/>
      <c r="AH158" s="23"/>
      <c r="AI158" s="23"/>
    </row>
    <row r="159" spans="16:35" x14ac:dyDescent="0.25">
      <c r="P159" s="23"/>
      <c r="Q159" s="23"/>
      <c r="R159" s="23"/>
      <c r="S159" s="23"/>
      <c r="T159" s="23"/>
      <c r="U159" s="23"/>
      <c r="V159" s="23"/>
      <c r="W159" s="23"/>
      <c r="X159" s="23"/>
      <c r="Y159" s="23"/>
      <c r="Z159" s="23"/>
      <c r="AA159" s="23"/>
      <c r="AB159" s="23"/>
      <c r="AC159" s="23"/>
      <c r="AD159" s="23"/>
      <c r="AE159" s="23"/>
      <c r="AF159" s="23"/>
      <c r="AG159" s="23"/>
      <c r="AH159" s="23"/>
      <c r="AI159" s="23"/>
    </row>
    <row r="160" spans="16:35" x14ac:dyDescent="0.25">
      <c r="P160" s="23"/>
      <c r="Q160" s="23"/>
      <c r="R160" s="23"/>
      <c r="S160" s="23"/>
      <c r="T160" s="23"/>
      <c r="U160" s="23"/>
      <c r="V160" s="23"/>
      <c r="W160" s="23"/>
      <c r="X160" s="23"/>
      <c r="Y160" s="23"/>
      <c r="Z160" s="23"/>
      <c r="AA160" s="23"/>
      <c r="AB160" s="23"/>
      <c r="AC160" s="23"/>
      <c r="AD160" s="23"/>
      <c r="AE160" s="23"/>
      <c r="AF160" s="23"/>
      <c r="AG160" s="23"/>
      <c r="AH160" s="23"/>
      <c r="AI160" s="23"/>
    </row>
    <row r="161" spans="16:35" x14ac:dyDescent="0.25">
      <c r="P161" s="23"/>
      <c r="Q161" s="23"/>
      <c r="R161" s="23"/>
      <c r="S161" s="23"/>
      <c r="T161" s="23"/>
      <c r="U161" s="23"/>
      <c r="V161" s="23"/>
      <c r="W161" s="23"/>
      <c r="X161" s="23"/>
      <c r="Y161" s="23"/>
      <c r="Z161" s="23"/>
      <c r="AA161" s="23"/>
      <c r="AB161" s="23"/>
      <c r="AC161" s="23"/>
      <c r="AD161" s="23"/>
      <c r="AE161" s="23"/>
      <c r="AF161" s="23"/>
      <c r="AG161" s="23"/>
      <c r="AH161" s="23"/>
      <c r="AI161" s="23"/>
    </row>
    <row r="162" spans="16:35" x14ac:dyDescent="0.25">
      <c r="P162" s="23"/>
      <c r="Q162" s="23"/>
      <c r="R162" s="23"/>
      <c r="S162" s="23"/>
      <c r="T162" s="23"/>
      <c r="U162" s="23"/>
      <c r="V162" s="23"/>
      <c r="W162" s="23"/>
      <c r="X162" s="23"/>
      <c r="Y162" s="23"/>
      <c r="Z162" s="23"/>
      <c r="AA162" s="23"/>
      <c r="AB162" s="23"/>
      <c r="AC162" s="23"/>
      <c r="AD162" s="23"/>
      <c r="AE162" s="23"/>
      <c r="AF162" s="23"/>
      <c r="AG162" s="23"/>
      <c r="AH162" s="23"/>
      <c r="AI162" s="23"/>
    </row>
    <row r="163" spans="16:35" x14ac:dyDescent="0.25">
      <c r="P163" s="23"/>
      <c r="Q163" s="23"/>
      <c r="R163" s="23"/>
      <c r="S163" s="23"/>
      <c r="T163" s="23"/>
      <c r="U163" s="23"/>
      <c r="V163" s="23"/>
      <c r="W163" s="23"/>
      <c r="X163" s="23"/>
      <c r="Y163" s="23"/>
      <c r="Z163" s="23"/>
      <c r="AA163" s="23"/>
      <c r="AB163" s="23"/>
      <c r="AC163" s="23"/>
      <c r="AD163" s="23"/>
      <c r="AE163" s="23"/>
      <c r="AF163" s="23"/>
      <c r="AG163" s="23"/>
      <c r="AH163" s="23"/>
      <c r="AI163" s="23"/>
    </row>
    <row r="164" spans="16:35" x14ac:dyDescent="0.25">
      <c r="P164" s="23"/>
      <c r="Q164" s="23"/>
      <c r="R164" s="23"/>
      <c r="S164" s="23"/>
      <c r="T164" s="23"/>
      <c r="U164" s="23"/>
      <c r="V164" s="23"/>
      <c r="W164" s="23"/>
      <c r="X164" s="23"/>
      <c r="Y164" s="23"/>
      <c r="Z164" s="23"/>
      <c r="AA164" s="23"/>
      <c r="AB164" s="23"/>
      <c r="AC164" s="23"/>
      <c r="AD164" s="23"/>
      <c r="AE164" s="23"/>
      <c r="AF164" s="23"/>
      <c r="AG164" s="23"/>
      <c r="AH164" s="23"/>
      <c r="AI164" s="23"/>
    </row>
    <row r="165" spans="16:35" x14ac:dyDescent="0.25">
      <c r="P165" s="23"/>
      <c r="Q165" s="23"/>
      <c r="R165" s="23"/>
      <c r="S165" s="23"/>
      <c r="T165" s="23"/>
      <c r="U165" s="23"/>
      <c r="V165" s="23"/>
      <c r="W165" s="23"/>
      <c r="X165" s="23"/>
      <c r="Y165" s="23"/>
      <c r="Z165" s="23"/>
      <c r="AA165" s="23"/>
      <c r="AB165" s="23"/>
      <c r="AC165" s="23"/>
      <c r="AD165" s="23"/>
      <c r="AE165" s="23"/>
      <c r="AF165" s="23"/>
      <c r="AG165" s="23"/>
      <c r="AH165" s="23"/>
      <c r="AI165" s="23"/>
    </row>
    <row r="166" spans="16:35" x14ac:dyDescent="0.25">
      <c r="P166" s="23"/>
      <c r="Q166" s="23"/>
      <c r="R166" s="23"/>
      <c r="S166" s="23"/>
      <c r="T166" s="23"/>
      <c r="U166" s="23"/>
      <c r="V166" s="23"/>
      <c r="W166" s="23"/>
      <c r="X166" s="23"/>
      <c r="Y166" s="23"/>
      <c r="Z166" s="23"/>
      <c r="AA166" s="23"/>
      <c r="AB166" s="23"/>
      <c r="AC166" s="23"/>
      <c r="AD166" s="23"/>
      <c r="AE166" s="23"/>
      <c r="AF166" s="23"/>
      <c r="AG166" s="23"/>
      <c r="AH166" s="23"/>
      <c r="AI166" s="23"/>
    </row>
    <row r="167" spans="16:35" x14ac:dyDescent="0.25">
      <c r="P167" s="23"/>
      <c r="Q167" s="23"/>
      <c r="R167" s="23"/>
      <c r="S167" s="23"/>
      <c r="T167" s="23"/>
      <c r="U167" s="23"/>
      <c r="V167" s="23"/>
      <c r="W167" s="23"/>
      <c r="X167" s="23"/>
      <c r="Y167" s="23"/>
      <c r="Z167" s="23"/>
      <c r="AA167" s="23"/>
      <c r="AB167" s="23"/>
      <c r="AC167" s="23"/>
      <c r="AD167" s="23"/>
      <c r="AE167" s="23"/>
      <c r="AF167" s="23"/>
      <c r="AG167" s="23"/>
      <c r="AH167" s="23"/>
      <c r="AI167" s="23"/>
    </row>
    <row r="168" spans="16:35" x14ac:dyDescent="0.25">
      <c r="P168" s="23"/>
      <c r="Q168" s="23"/>
      <c r="R168" s="23"/>
      <c r="S168" s="23"/>
      <c r="T168" s="23"/>
      <c r="U168" s="23"/>
      <c r="V168" s="23"/>
      <c r="W168" s="23"/>
      <c r="X168" s="23"/>
      <c r="Y168" s="23"/>
      <c r="Z168" s="23"/>
      <c r="AA168" s="23"/>
      <c r="AB168" s="23"/>
      <c r="AC168" s="23"/>
      <c r="AD168" s="23"/>
      <c r="AE168" s="23"/>
      <c r="AF168" s="23"/>
      <c r="AG168" s="23"/>
      <c r="AH168" s="23"/>
      <c r="AI168" s="23"/>
    </row>
    <row r="169" spans="16:35" x14ac:dyDescent="0.25">
      <c r="P169" s="23"/>
      <c r="Q169" s="23"/>
      <c r="R169" s="23"/>
      <c r="S169" s="23"/>
      <c r="T169" s="23"/>
      <c r="U169" s="23"/>
      <c r="V169" s="23"/>
      <c r="W169" s="23"/>
      <c r="X169" s="23"/>
      <c r="Y169" s="23"/>
      <c r="Z169" s="23"/>
      <c r="AA169" s="23"/>
      <c r="AB169" s="23"/>
      <c r="AC169" s="23"/>
      <c r="AD169" s="23"/>
      <c r="AE169" s="23"/>
      <c r="AF169" s="23"/>
      <c r="AG169" s="23"/>
      <c r="AH169" s="23"/>
      <c r="AI169" s="23"/>
    </row>
    <row r="170" spans="16:35" x14ac:dyDescent="0.25">
      <c r="P170" s="23"/>
      <c r="Q170" s="23"/>
      <c r="R170" s="23"/>
      <c r="S170" s="23"/>
      <c r="T170" s="23"/>
      <c r="U170" s="23"/>
      <c r="V170" s="23"/>
      <c r="W170" s="23"/>
      <c r="X170" s="23"/>
      <c r="Y170" s="23"/>
      <c r="Z170" s="23"/>
      <c r="AA170" s="23"/>
      <c r="AB170" s="23"/>
      <c r="AC170" s="23"/>
      <c r="AD170" s="23"/>
      <c r="AE170" s="23"/>
      <c r="AF170" s="23"/>
      <c r="AG170" s="23"/>
      <c r="AH170" s="23"/>
      <c r="AI170" s="23"/>
    </row>
    <row r="171" spans="16:35" x14ac:dyDescent="0.25">
      <c r="P171" s="23"/>
      <c r="Q171" s="23"/>
      <c r="R171" s="23"/>
      <c r="S171" s="23"/>
      <c r="T171" s="23"/>
      <c r="U171" s="23"/>
      <c r="V171" s="23"/>
      <c r="W171" s="23"/>
      <c r="X171" s="23"/>
      <c r="Y171" s="23"/>
      <c r="Z171" s="23"/>
      <c r="AA171" s="23"/>
      <c r="AB171" s="23"/>
      <c r="AC171" s="23"/>
      <c r="AD171" s="23"/>
      <c r="AE171" s="23"/>
      <c r="AF171" s="23"/>
      <c r="AG171" s="23"/>
      <c r="AH171" s="23"/>
      <c r="AI171" s="23"/>
    </row>
  </sheetData>
  <conditionalFormatting sqref="L88">
    <cfRule type="cellIs" dxfId="1" priority="20" operator="lessThan">
      <formula>$J88</formula>
    </cfRule>
  </conditionalFormatting>
  <conditionalFormatting sqref="L89:L113">
    <cfRule type="cellIs" dxfId="0" priority="19" operator="lessThan">
      <formula>$J89</formula>
    </cfRule>
  </conditionalFormatting>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4"/>
  <sheetViews>
    <sheetView showGridLines="0" showRowColHeaders="0" zoomScale="85" zoomScaleNormal="85" workbookViewId="0">
      <selection activeCell="D9" sqref="D9"/>
    </sheetView>
  </sheetViews>
  <sheetFormatPr defaultRowHeight="15" x14ac:dyDescent="0.25"/>
  <cols>
    <col min="1" max="1" width="3.42578125" customWidth="1"/>
    <col min="2" max="2" width="51.42578125" customWidth="1"/>
    <col min="3" max="3" width="1.5703125" customWidth="1"/>
    <col min="4" max="4" width="12.85546875" customWidth="1"/>
    <col min="6" max="6" width="1.42578125" customWidth="1"/>
    <col min="9" max="9" width="11.28515625" bestFit="1" customWidth="1"/>
    <col min="10" max="10" width="13.140625" customWidth="1"/>
    <col min="11" max="11" width="12.42578125" customWidth="1"/>
    <col min="12" max="12" width="12.7109375" customWidth="1"/>
    <col min="13" max="13" width="3" customWidth="1"/>
    <col min="14" max="14" width="1.7109375" customWidth="1"/>
    <col min="15" max="15" width="10.7109375" customWidth="1"/>
    <col min="16" max="16" width="10.5703125" customWidth="1"/>
    <col min="17" max="17" width="13.140625" customWidth="1"/>
    <col min="18" max="18" width="13" customWidth="1"/>
    <col min="19" max="19" width="1.5703125" customWidth="1"/>
    <col min="20" max="20" width="16.42578125" customWidth="1"/>
    <col min="21" max="21" width="15.28515625" customWidth="1"/>
    <col min="22" max="22" width="14.140625" customWidth="1"/>
    <col min="23" max="23" width="7.85546875" customWidth="1"/>
    <col min="25" max="25" width="34.85546875" customWidth="1"/>
    <col min="27" max="27" width="12.140625" customWidth="1"/>
    <col min="28" max="28" width="11.85546875" customWidth="1"/>
    <col min="30" max="30" width="39.85546875" customWidth="1"/>
    <col min="31" max="31" width="10.85546875" customWidth="1"/>
  </cols>
  <sheetData>
    <row r="1" spans="1:24" s="11" customFormat="1" x14ac:dyDescent="0.25">
      <c r="A1" s="145"/>
      <c r="B1" s="145"/>
      <c r="C1" s="145"/>
      <c r="D1" s="145"/>
      <c r="E1" s="145"/>
      <c r="F1" s="145"/>
      <c r="G1" s="145"/>
      <c r="H1" s="145"/>
      <c r="I1" s="145"/>
      <c r="J1" s="145"/>
      <c r="K1" s="145"/>
      <c r="L1" s="145"/>
      <c r="M1" s="145"/>
      <c r="N1" s="145"/>
      <c r="O1" s="145"/>
      <c r="P1" s="145"/>
      <c r="Q1" s="145"/>
      <c r="R1" s="145"/>
      <c r="S1" s="145"/>
      <c r="T1" s="145"/>
      <c r="U1" s="145"/>
    </row>
    <row r="2" spans="1:24" s="11" customFormat="1" x14ac:dyDescent="0.25">
      <c r="A2" s="145"/>
      <c r="B2" s="145"/>
      <c r="C2" s="145"/>
      <c r="D2" s="145"/>
      <c r="E2" s="145"/>
      <c r="F2" s="145"/>
      <c r="G2" s="145"/>
      <c r="H2" s="145"/>
      <c r="I2" s="145"/>
      <c r="J2" s="145"/>
      <c r="K2" s="145"/>
      <c r="L2" s="145"/>
      <c r="M2" s="145"/>
      <c r="N2" s="145"/>
      <c r="O2" s="145"/>
      <c r="P2" s="145"/>
      <c r="Q2" s="145"/>
      <c r="R2" s="145"/>
      <c r="S2" s="145"/>
      <c r="T2" s="145"/>
      <c r="U2" s="145"/>
    </row>
    <row r="3" spans="1:24" s="11" customFormat="1" x14ac:dyDescent="0.25">
      <c r="A3" s="145"/>
      <c r="B3" s="145"/>
      <c r="C3" s="145"/>
      <c r="D3" s="145"/>
      <c r="E3" s="145"/>
      <c r="F3" s="145"/>
      <c r="G3" s="145"/>
      <c r="H3" s="145"/>
      <c r="I3" s="145"/>
      <c r="J3" s="145"/>
      <c r="K3" s="145"/>
      <c r="L3" s="145"/>
      <c r="M3" s="145"/>
      <c r="N3" s="145"/>
      <c r="O3" s="145"/>
      <c r="P3" s="145"/>
      <c r="Q3" s="145"/>
      <c r="R3" s="145"/>
      <c r="S3" s="145"/>
      <c r="T3" s="145"/>
      <c r="U3" s="145"/>
    </row>
    <row r="4" spans="1:24" s="27" customFormat="1" x14ac:dyDescent="0.25">
      <c r="A4" s="146"/>
      <c r="B4" s="146"/>
      <c r="C4" s="146"/>
      <c r="D4" s="146"/>
      <c r="E4" s="146"/>
      <c r="F4" s="146"/>
      <c r="G4" s="146"/>
      <c r="H4" s="146"/>
      <c r="I4" s="146"/>
      <c r="J4" s="146"/>
      <c r="K4" s="146"/>
      <c r="L4" s="146"/>
      <c r="M4" s="146"/>
      <c r="N4" s="146"/>
      <c r="O4" s="146"/>
      <c r="P4" s="146"/>
      <c r="Q4" s="146"/>
      <c r="R4" s="146"/>
      <c r="S4" s="146"/>
      <c r="T4" s="146"/>
      <c r="U4" s="146"/>
      <c r="V4" s="146"/>
      <c r="W4" s="146"/>
    </row>
    <row r="5" spans="1:24" s="11" customFormat="1" x14ac:dyDescent="0.25"/>
    <row r="6" spans="1:24" ht="26.25" x14ac:dyDescent="0.4">
      <c r="A6" s="11"/>
      <c r="B6" s="28" t="s">
        <v>94</v>
      </c>
      <c r="C6" s="29"/>
      <c r="D6" s="29"/>
      <c r="E6" s="29"/>
      <c r="F6" s="29"/>
      <c r="G6" s="29"/>
      <c r="H6" s="29"/>
      <c r="I6" s="29"/>
      <c r="J6" s="29"/>
      <c r="K6" s="29"/>
      <c r="L6" s="29"/>
      <c r="M6" s="14"/>
      <c r="N6" s="28" t="s">
        <v>116</v>
      </c>
      <c r="O6" s="29"/>
      <c r="P6" s="29"/>
      <c r="Q6" s="29"/>
      <c r="R6" s="29"/>
      <c r="S6" s="29"/>
      <c r="T6" s="29"/>
      <c r="U6" s="29"/>
      <c r="V6" s="29"/>
      <c r="W6" s="29"/>
      <c r="X6" s="11"/>
    </row>
    <row r="7" spans="1:24" ht="18" customHeight="1" x14ac:dyDescent="0.25">
      <c r="A7" s="11"/>
      <c r="B7" s="33"/>
      <c r="C7" s="33"/>
      <c r="D7" s="33"/>
      <c r="E7" s="33"/>
      <c r="F7" s="33"/>
      <c r="G7" s="33"/>
      <c r="H7" s="33"/>
      <c r="I7" s="33"/>
      <c r="J7" s="33"/>
      <c r="K7" s="33"/>
      <c r="L7" s="33"/>
      <c r="M7" s="14"/>
      <c r="N7" s="33"/>
      <c r="O7" s="33"/>
      <c r="P7" s="33"/>
      <c r="Q7" s="33"/>
      <c r="R7" s="33"/>
      <c r="S7" s="33"/>
      <c r="T7" s="33"/>
      <c r="U7" s="33"/>
      <c r="V7" s="33"/>
      <c r="W7" s="33"/>
      <c r="X7" s="11"/>
    </row>
    <row r="8" spans="1:24" ht="18" customHeight="1" x14ac:dyDescent="0.25">
      <c r="A8" s="11"/>
      <c r="B8" s="66" t="s">
        <v>95</v>
      </c>
      <c r="C8" s="60"/>
      <c r="D8" s="59" t="s">
        <v>11</v>
      </c>
      <c r="E8" s="59" t="s">
        <v>12</v>
      </c>
      <c r="F8" s="60"/>
      <c r="G8" s="68" t="s">
        <v>10</v>
      </c>
      <c r="H8" s="69"/>
      <c r="I8" s="69"/>
      <c r="J8" s="69"/>
      <c r="K8" s="60"/>
      <c r="L8" s="60"/>
      <c r="M8" s="14"/>
      <c r="N8" s="33"/>
      <c r="O8" s="33"/>
      <c r="P8" s="33"/>
      <c r="Q8" s="33"/>
      <c r="R8" s="33"/>
      <c r="S8" s="33"/>
      <c r="T8" s="59" t="s">
        <v>118</v>
      </c>
      <c r="U8" s="59" t="s">
        <v>119</v>
      </c>
      <c r="V8" s="59" t="s">
        <v>117</v>
      </c>
      <c r="W8" s="33"/>
      <c r="X8" s="11"/>
    </row>
    <row r="9" spans="1:24" ht="18" customHeight="1" x14ac:dyDescent="0.25">
      <c r="A9" s="11"/>
      <c r="B9" s="67" t="s">
        <v>163</v>
      </c>
      <c r="C9" s="60"/>
      <c r="D9" s="112">
        <v>1.5</v>
      </c>
      <c r="E9" s="61" t="s">
        <v>37</v>
      </c>
      <c r="F9" s="60"/>
      <c r="G9" s="70" t="s">
        <v>108</v>
      </c>
      <c r="H9" s="69"/>
      <c r="I9" s="69"/>
      <c r="J9" s="69"/>
      <c r="K9" s="60"/>
      <c r="L9" s="60"/>
      <c r="M9" s="14"/>
      <c r="N9" s="33"/>
      <c r="O9" s="138" t="s">
        <v>16</v>
      </c>
      <c r="P9" s="138"/>
      <c r="Q9" s="138"/>
      <c r="R9" s="138"/>
      <c r="S9" s="67"/>
      <c r="T9" s="117">
        <f>CCgain*Shunt*GainDiffAmp</f>
        <v>1220</v>
      </c>
      <c r="U9" s="117">
        <f>CCgain*Shunt*GainDiffAmp</f>
        <v>1220</v>
      </c>
      <c r="V9" s="61" t="s">
        <v>38</v>
      </c>
      <c r="W9" s="33"/>
      <c r="X9" s="11"/>
    </row>
    <row r="10" spans="1:24" ht="18" customHeight="1" x14ac:dyDescent="0.25">
      <c r="A10" s="11"/>
      <c r="B10" s="67" t="s">
        <v>106</v>
      </c>
      <c r="C10" s="60"/>
      <c r="D10" s="112">
        <v>5</v>
      </c>
      <c r="E10" s="61" t="s">
        <v>13</v>
      </c>
      <c r="F10" s="60"/>
      <c r="G10" s="69"/>
      <c r="H10" s="69"/>
      <c r="I10" s="69"/>
      <c r="J10" s="69"/>
      <c r="K10" s="60"/>
      <c r="L10" s="60"/>
      <c r="M10" s="14"/>
      <c r="N10" s="33"/>
      <c r="O10" s="138" t="s">
        <v>121</v>
      </c>
      <c r="P10" s="138"/>
      <c r="Q10" s="138"/>
      <c r="R10" s="138"/>
      <c r="S10" s="67"/>
      <c r="T10" s="117">
        <f>(2*(Supply-Refin-0.1)/SeriesResistance)*1000/CCgain</f>
        <v>3.1475409836065573</v>
      </c>
      <c r="U10" s="117">
        <f>(2*(Supply-Refin-0.1)/SeriesResistanceMax)*1000/CCgain</f>
        <v>2.1001976285968507</v>
      </c>
      <c r="V10" s="61" t="s">
        <v>37</v>
      </c>
      <c r="W10" s="33"/>
      <c r="X10" s="11"/>
    </row>
    <row r="11" spans="1:24" ht="18" customHeight="1" x14ac:dyDescent="0.25">
      <c r="A11" s="11"/>
      <c r="B11" s="67" t="s">
        <v>104</v>
      </c>
      <c r="C11" s="60"/>
      <c r="D11" s="113">
        <v>2</v>
      </c>
      <c r="E11" s="61"/>
      <c r="F11" s="60"/>
      <c r="G11" s="70" t="s">
        <v>99</v>
      </c>
      <c r="H11" s="69"/>
      <c r="I11" s="69"/>
      <c r="J11" s="69"/>
      <c r="K11" s="60"/>
      <c r="L11" s="60"/>
      <c r="M11" s="14"/>
      <c r="N11" s="33"/>
      <c r="O11" s="138" t="s">
        <v>122</v>
      </c>
      <c r="P11" s="138"/>
      <c r="Q11" s="138"/>
      <c r="R11" s="138"/>
      <c r="S11" s="67"/>
      <c r="T11" s="117">
        <f>MaxField*CCgain</f>
        <v>18.299999999999997</v>
      </c>
      <c r="U11" s="117">
        <f>MaxField*CCgain</f>
        <v>18.299999999999997</v>
      </c>
      <c r="V11" s="61" t="s">
        <v>15</v>
      </c>
      <c r="W11" s="33"/>
      <c r="X11" s="11"/>
    </row>
    <row r="12" spans="1:24" ht="18" customHeight="1" x14ac:dyDescent="0.25">
      <c r="A12" s="11"/>
      <c r="B12" s="67" t="s">
        <v>105</v>
      </c>
      <c r="C12" s="60"/>
      <c r="D12" s="114" t="str">
        <f>IF((RefSel=0),2.5,(IF((RefSel=1),1.65,(IF((RefSel=2),"Supply/2",IF((RefSel=3),"Supply/2","ERROR"))))))</f>
        <v>Supply/2</v>
      </c>
      <c r="E12" s="61" t="s">
        <v>13</v>
      </c>
      <c r="F12" s="60"/>
      <c r="G12" s="70"/>
      <c r="H12" s="69"/>
      <c r="I12" s="69"/>
      <c r="J12" s="69"/>
      <c r="K12" s="60"/>
      <c r="L12" s="60"/>
      <c r="M12" s="14"/>
      <c r="N12" s="33"/>
      <c r="O12" s="138" t="s">
        <v>123</v>
      </c>
      <c r="P12" s="138"/>
      <c r="Q12" s="138"/>
      <c r="R12" s="138"/>
      <c r="S12" s="67"/>
      <c r="T12" s="117">
        <f>1000*Supply/SeriesResistance</f>
        <v>40</v>
      </c>
      <c r="U12" s="117">
        <f>1000*Supply/SeriesResistanceMax</f>
        <v>26.690011530084981</v>
      </c>
      <c r="V12" s="61" t="s">
        <v>15</v>
      </c>
      <c r="W12" s="33"/>
      <c r="X12" s="11"/>
    </row>
    <row r="13" spans="1:24" ht="18" customHeight="1" x14ac:dyDescent="0.25">
      <c r="A13" s="11"/>
      <c r="B13" s="67" t="s">
        <v>100</v>
      </c>
      <c r="C13" s="60"/>
      <c r="D13" s="112">
        <f>IF((RefSel=0),2.5,(IF((RefSel=1),1.65,(IF((RefSel=2),Supply/2,IF((RefSel=3),Supply/2,"ERROR"))))))</f>
        <v>2.5</v>
      </c>
      <c r="E13" s="61" t="s">
        <v>13</v>
      </c>
      <c r="F13" s="60"/>
      <c r="G13" s="70" t="s">
        <v>115</v>
      </c>
      <c r="H13" s="69"/>
      <c r="I13" s="69"/>
      <c r="J13" s="69"/>
      <c r="K13" s="60"/>
      <c r="L13" s="60"/>
      <c r="M13" s="14"/>
      <c r="N13" s="33"/>
      <c r="O13" s="138" t="s">
        <v>124</v>
      </c>
      <c r="P13" s="138"/>
      <c r="Q13" s="138"/>
      <c r="R13" s="138"/>
      <c r="S13" s="67"/>
      <c r="T13" s="117">
        <f>MIN((((MIN(Supply-Refin,Refin)-0.085)/GainDiffAmp)/(MaxField*0.001*CCgain)),IF((((2*(MIN(Supply-Refin,Refin)-0.2))/(MaxField*0.001*CCgain))-Rcomp)&gt;0,(((2*(MIN(Supply-Refin,Refin)-0.2))/(MaxField*0.001*CCgain))-Rcomp),0))</f>
        <v>32.991803278688522</v>
      </c>
      <c r="U13" s="117">
        <f>MIN((((MIN(Supply-Refin,Refin)-0.085)/GainDiffAmp)/(MaxField*0.001*CCgain)),IF((((2*(MIN(Supply-Refin,Refin)-0.2))/(MaxField*0.001*CCgain))-Rcomp)&gt;0,(((2*(MIN(Supply-Refin,Refin)-0.2))/(MaxField*0.001*CCgain))-Rcomp),0))</f>
        <v>32.991803278688522</v>
      </c>
      <c r="V13" s="61" t="s">
        <v>9</v>
      </c>
      <c r="W13" s="33"/>
      <c r="X13" s="11"/>
    </row>
    <row r="14" spans="1:24" ht="18" customHeight="1" x14ac:dyDescent="0.25">
      <c r="A14" s="11"/>
      <c r="B14" s="67" t="s">
        <v>103</v>
      </c>
      <c r="C14" s="60"/>
      <c r="D14" s="112">
        <v>25</v>
      </c>
      <c r="E14" s="61" t="s">
        <v>9</v>
      </c>
      <c r="F14" s="60"/>
      <c r="G14" s="69"/>
      <c r="H14" s="69"/>
      <c r="I14" s="69"/>
      <c r="J14" s="69"/>
      <c r="K14" s="60"/>
      <c r="L14" s="60"/>
      <c r="M14" s="14"/>
      <c r="N14" s="33"/>
      <c r="O14" s="138" t="s">
        <v>164</v>
      </c>
      <c r="P14" s="138"/>
      <c r="Q14" s="138"/>
      <c r="R14" s="138"/>
      <c r="S14" s="67"/>
      <c r="T14" s="117">
        <f>(Icomp_ovrld/CCgain)+1.7</f>
        <v>4.9786885245901642</v>
      </c>
      <c r="U14" s="117">
        <f>(Icomp_overload_temp/CCgain)+1.7</f>
        <v>3.8877058631217194</v>
      </c>
      <c r="V14" s="61" t="s">
        <v>37</v>
      </c>
      <c r="W14" s="33"/>
      <c r="X14" s="11"/>
    </row>
    <row r="15" spans="1:24" ht="18" customHeight="1" x14ac:dyDescent="0.25">
      <c r="A15" s="11"/>
      <c r="B15" s="67" t="s">
        <v>102</v>
      </c>
      <c r="C15" s="60"/>
      <c r="D15" s="115">
        <v>0</v>
      </c>
      <c r="E15" s="61"/>
      <c r="F15" s="63"/>
      <c r="G15" s="70" t="s">
        <v>97</v>
      </c>
      <c r="H15" s="69"/>
      <c r="I15" s="69"/>
      <c r="J15" s="69"/>
      <c r="K15" s="60"/>
      <c r="L15" s="60"/>
      <c r="M15" s="14"/>
      <c r="N15" s="33"/>
      <c r="O15" s="138" t="s">
        <v>53</v>
      </c>
      <c r="P15" s="138"/>
      <c r="Q15" s="138"/>
      <c r="R15" s="138"/>
      <c r="S15" s="67"/>
      <c r="T15" s="116">
        <f>(FEgain*75000/IF((BWsel=0),7,(IF((BWsel=1),5,"ERROR"))))/(SeriesResistance*CCgain)</f>
        <v>29508.196721311477</v>
      </c>
      <c r="U15" s="116">
        <f>(FEgain*75000/IF((BWsel=0),7,(IF((BWsel=1),5,"ERROR"))))/(SeriesResistanceMax*CCgain)</f>
        <v>19689.352768095476</v>
      </c>
      <c r="V15" s="61" t="s">
        <v>40</v>
      </c>
      <c r="W15" s="33"/>
      <c r="X15" s="11"/>
    </row>
    <row r="16" spans="1:24" ht="18" customHeight="1" x14ac:dyDescent="0.25">
      <c r="A16" s="11"/>
      <c r="B16" s="67" t="s">
        <v>101</v>
      </c>
      <c r="C16" s="60"/>
      <c r="D16" s="113">
        <v>125</v>
      </c>
      <c r="E16" s="61" t="s">
        <v>98</v>
      </c>
      <c r="F16" s="63"/>
      <c r="G16" s="41" t="s">
        <v>107</v>
      </c>
      <c r="H16" s="69"/>
      <c r="I16" s="69"/>
      <c r="J16" s="69"/>
      <c r="K16" s="60"/>
      <c r="L16" s="60"/>
      <c r="M16" s="14"/>
      <c r="N16" s="33"/>
      <c r="O16" s="33"/>
      <c r="P16" s="33"/>
      <c r="Q16" s="33"/>
      <c r="R16" s="33"/>
      <c r="S16" s="33"/>
      <c r="T16" s="33"/>
      <c r="U16" s="33"/>
      <c r="V16" s="33"/>
      <c r="W16" s="33"/>
      <c r="X16" s="11"/>
    </row>
    <row r="17" spans="1:24" ht="23.25" customHeight="1" x14ac:dyDescent="0.4">
      <c r="A17" s="5"/>
      <c r="B17" s="64"/>
      <c r="C17" s="60"/>
      <c r="D17" s="60"/>
      <c r="E17" s="63"/>
      <c r="F17" s="60"/>
      <c r="G17" s="62"/>
      <c r="H17" s="60"/>
      <c r="I17" s="60"/>
      <c r="J17" s="60"/>
      <c r="K17" s="60"/>
      <c r="L17" s="60"/>
      <c r="M17" s="14"/>
      <c r="N17" s="28" t="s">
        <v>60</v>
      </c>
      <c r="O17" s="29"/>
      <c r="P17" s="29"/>
      <c r="Q17" s="29"/>
      <c r="R17" s="29"/>
      <c r="S17" s="30"/>
      <c r="T17" s="30"/>
      <c r="U17" s="30"/>
      <c r="V17" s="29"/>
      <c r="W17" s="29"/>
      <c r="X17" s="11"/>
    </row>
    <row r="18" spans="1:24" ht="18" customHeight="1" x14ac:dyDescent="0.25">
      <c r="A18" s="11"/>
      <c r="B18" s="66" t="s">
        <v>96</v>
      </c>
      <c r="C18" s="60"/>
      <c r="D18" s="59" t="s">
        <v>11</v>
      </c>
      <c r="E18" s="59" t="s">
        <v>12</v>
      </c>
      <c r="F18" s="60"/>
      <c r="G18" s="68" t="s">
        <v>10</v>
      </c>
      <c r="H18" s="60"/>
      <c r="I18" s="60"/>
      <c r="J18" s="60"/>
      <c r="K18" s="60"/>
      <c r="L18" s="60"/>
      <c r="M18" s="14"/>
      <c r="N18" s="33"/>
      <c r="O18" s="138"/>
      <c r="P18" s="138"/>
      <c r="Q18" s="138"/>
      <c r="R18" s="138"/>
      <c r="S18" s="138"/>
      <c r="T18" s="138"/>
      <c r="U18" s="138"/>
      <c r="V18" s="138"/>
      <c r="W18" s="125"/>
      <c r="X18" s="11"/>
    </row>
    <row r="19" spans="1:24" ht="18" customHeight="1" x14ac:dyDescent="0.25">
      <c r="A19" s="11"/>
      <c r="B19" s="67" t="s">
        <v>109</v>
      </c>
      <c r="C19" s="64"/>
      <c r="D19" s="116">
        <v>3.0000000000000001E-6</v>
      </c>
      <c r="E19" s="61" t="s">
        <v>8</v>
      </c>
      <c r="F19" s="60"/>
      <c r="G19" s="70"/>
      <c r="H19" s="60"/>
      <c r="I19" s="60"/>
      <c r="J19" s="60"/>
      <c r="K19" s="60"/>
      <c r="L19" s="60"/>
      <c r="M19" s="14"/>
      <c r="N19" s="33"/>
      <c r="O19" s="67"/>
      <c r="P19" s="67"/>
      <c r="Q19" s="67"/>
      <c r="R19" s="67"/>
      <c r="S19" s="33"/>
      <c r="T19" s="59" t="s">
        <v>118</v>
      </c>
      <c r="U19" s="59" t="s">
        <v>119</v>
      </c>
      <c r="V19" s="59" t="s">
        <v>117</v>
      </c>
      <c r="W19" s="68"/>
    </row>
    <row r="20" spans="1:24" ht="18" customHeight="1" x14ac:dyDescent="0.25">
      <c r="A20" s="11"/>
      <c r="B20" s="67" t="s">
        <v>112</v>
      </c>
      <c r="C20" s="60"/>
      <c r="D20" s="117">
        <v>100</v>
      </c>
      <c r="E20" s="61" t="s">
        <v>9</v>
      </c>
      <c r="F20" s="60"/>
      <c r="G20" s="70" t="s">
        <v>56</v>
      </c>
      <c r="H20" s="60"/>
      <c r="I20" s="60"/>
      <c r="J20" s="60"/>
      <c r="K20" s="60"/>
      <c r="L20" s="60"/>
      <c r="M20" s="14"/>
      <c r="N20" s="33"/>
      <c r="O20" s="138" t="s">
        <v>120</v>
      </c>
      <c r="P20" s="138"/>
      <c r="Q20" s="138"/>
      <c r="R20" s="138"/>
      <c r="S20" s="33"/>
      <c r="T20" s="117">
        <f>MaxField</f>
        <v>1.5</v>
      </c>
      <c r="U20" s="117">
        <f>MaxField</f>
        <v>1.5</v>
      </c>
      <c r="V20" s="61" t="s">
        <v>37</v>
      </c>
      <c r="W20" s="33"/>
    </row>
    <row r="21" spans="1:24" ht="18" customHeight="1" x14ac:dyDescent="0.25">
      <c r="A21" s="11"/>
      <c r="B21" s="67" t="s">
        <v>111</v>
      </c>
      <c r="C21" s="60"/>
      <c r="D21" s="117">
        <f>D20*1.2*(1+(Temperature-27)*(0.0036))</f>
        <v>162.33600000000001</v>
      </c>
      <c r="E21" s="61" t="s">
        <v>9</v>
      </c>
      <c r="F21" s="60"/>
      <c r="G21" s="70" t="s">
        <v>110</v>
      </c>
      <c r="H21" s="60"/>
      <c r="I21" s="60"/>
      <c r="J21" s="60"/>
      <c r="K21" s="60"/>
      <c r="L21" s="60"/>
      <c r="M21" s="14"/>
      <c r="N21" s="33"/>
      <c r="O21" s="138" t="s">
        <v>161</v>
      </c>
      <c r="P21" s="138"/>
      <c r="Q21" s="138"/>
      <c r="R21" s="138"/>
      <c r="S21" s="33"/>
      <c r="T21" s="126" t="str">
        <f>IF(ABS(Shunt*MaxField*0.001*CCgain*GainDiffAmp)&gt;MIN(Supply-0.085-Refin,Refin-0.085),"OVERLOAD","OK")</f>
        <v>OK</v>
      </c>
      <c r="U21" s="126" t="str">
        <f>IF(ABS(Shunt*MaxField*0.001*CCgain*GainDiffAmp)&gt;MIN(Supply-0.085-Refin,Refin-0.085),"OVERLOAD","OK")</f>
        <v>OK</v>
      </c>
      <c r="V21" s="33"/>
      <c r="W21" s="33"/>
    </row>
    <row r="22" spans="1:24" ht="18.75" x14ac:dyDescent="0.25">
      <c r="A22" s="11"/>
      <c r="B22" s="67" t="s">
        <v>114</v>
      </c>
      <c r="C22" s="64"/>
      <c r="D22" s="117">
        <f>Rcomp+Shunt</f>
        <v>125</v>
      </c>
      <c r="E22" s="61" t="s">
        <v>9</v>
      </c>
      <c r="F22" s="60"/>
      <c r="G22" s="70" t="s">
        <v>56</v>
      </c>
      <c r="H22" s="60"/>
      <c r="I22" s="60"/>
      <c r="J22" s="60"/>
      <c r="K22" s="60"/>
      <c r="L22" s="60"/>
      <c r="M22" s="14"/>
      <c r="N22" s="33"/>
      <c r="O22" s="138" t="s">
        <v>159</v>
      </c>
      <c r="P22" s="138"/>
      <c r="Q22" s="138"/>
      <c r="R22" s="138"/>
      <c r="S22" s="33"/>
      <c r="T22" s="126" t="str">
        <f>IF(ABS(MaxField*CCgain*0.001*SeriesResistance)&gt;2*(MIN(Supply-Refin,Refin)-0.1),"OVERLOAD","OK")</f>
        <v>OK</v>
      </c>
      <c r="U22" s="126" t="str">
        <f>IF(ABS(MaxField*CCgain*0.001*SeriesResistanceMax)&gt;2*(MIN(Supply-Refin,Refin)-0.1),"OVERLOAD","OK")</f>
        <v>OK</v>
      </c>
      <c r="V22" s="33"/>
      <c r="W22" s="33"/>
    </row>
    <row r="23" spans="1:24" ht="18.75" x14ac:dyDescent="0.25">
      <c r="A23" s="11"/>
      <c r="B23" s="67" t="s">
        <v>113</v>
      </c>
      <c r="C23" s="64"/>
      <c r="D23" s="117">
        <f>Rmax+Shunt</f>
        <v>187.33600000000001</v>
      </c>
      <c r="E23" s="61" t="s">
        <v>9</v>
      </c>
      <c r="F23" s="63"/>
      <c r="G23" s="70" t="s">
        <v>110</v>
      </c>
      <c r="H23" s="60"/>
      <c r="I23" s="60"/>
      <c r="J23" s="60"/>
      <c r="K23" s="60"/>
      <c r="L23" s="60"/>
      <c r="M23" s="14"/>
      <c r="N23" s="33"/>
      <c r="O23" s="138" t="s">
        <v>160</v>
      </c>
      <c r="P23" s="138"/>
      <c r="Q23" s="138"/>
      <c r="R23" s="138"/>
      <c r="S23" s="33"/>
      <c r="T23" s="126" t="str">
        <f>IF(MaxField&gt;T14,"SATURATED","OK")</f>
        <v>OK</v>
      </c>
      <c r="U23" s="126" t="str">
        <f>IF(MaxField&gt;U14,"SATURATED","OK")</f>
        <v>OK</v>
      </c>
      <c r="V23" s="33"/>
      <c r="W23" s="33"/>
    </row>
    <row r="24" spans="1:24" ht="18" customHeight="1" x14ac:dyDescent="0.25">
      <c r="A24" s="11"/>
      <c r="B24" s="65"/>
      <c r="C24" s="60"/>
      <c r="D24" s="60"/>
      <c r="E24" s="60"/>
      <c r="F24" s="63"/>
      <c r="G24" s="60"/>
      <c r="H24" s="60"/>
      <c r="I24" s="60"/>
      <c r="J24" s="60"/>
      <c r="K24" s="60"/>
      <c r="L24" s="60"/>
      <c r="M24" s="14"/>
      <c r="N24" s="33"/>
      <c r="O24" s="138" t="s">
        <v>162</v>
      </c>
      <c r="P24" s="138"/>
      <c r="Q24" s="138"/>
      <c r="R24" s="138"/>
      <c r="S24" s="33"/>
      <c r="T24" s="126" t="str">
        <f>IF(Icomp_ovrld*0.001*Shunt*GainDiffAmp&lt;(MIN(Supply-Refin,Refin)-0.085),"ERROR","OK")</f>
        <v>OK</v>
      </c>
      <c r="U24" s="126" t="str">
        <f>IF(Icomp_overload_temp*0.001*Shunt*GainDiffAmp&lt;(MIN(Supply-Refin,Refin)-0.085),"WARNING","OK")</f>
        <v>OK</v>
      </c>
      <c r="V24" s="60"/>
      <c r="W24" s="33"/>
    </row>
    <row r="25" spans="1:24" ht="17.25" customHeight="1" x14ac:dyDescent="0.25">
      <c r="A25" s="11"/>
      <c r="B25" s="33"/>
      <c r="C25" s="33"/>
      <c r="D25" s="33"/>
      <c r="E25" s="33"/>
      <c r="F25" s="33"/>
      <c r="G25" s="33"/>
      <c r="H25" s="33"/>
      <c r="I25" s="33"/>
      <c r="J25" s="33"/>
      <c r="K25" s="33"/>
      <c r="L25" s="33"/>
      <c r="M25" s="14"/>
      <c r="N25" s="33"/>
      <c r="O25" s="33"/>
      <c r="P25" s="33"/>
      <c r="Q25" s="33"/>
      <c r="R25" s="33"/>
      <c r="S25" s="33"/>
      <c r="T25" s="33"/>
      <c r="U25" s="33"/>
      <c r="V25" s="33"/>
      <c r="W25" s="33"/>
      <c r="X25" s="11"/>
    </row>
    <row r="26" spans="1:24" s="11" customFormat="1" x14ac:dyDescent="0.25"/>
    <row r="27" spans="1:24" s="11" customFormat="1" x14ac:dyDescent="0.25"/>
    <row r="28" spans="1:24" s="11" customFormat="1" ht="16.5" thickBot="1" x14ac:dyDescent="0.3">
      <c r="U28" s="139" t="s">
        <v>75</v>
      </c>
      <c r="V28" s="140"/>
      <c r="W28" s="141"/>
    </row>
    <row r="29" spans="1:24" s="11" customFormat="1" x14ac:dyDescent="0.25">
      <c r="U29" s="43" t="s">
        <v>76</v>
      </c>
      <c r="V29" s="142" t="s">
        <v>77</v>
      </c>
      <c r="W29" s="142"/>
    </row>
    <row r="30" spans="1:24" s="11" customFormat="1" x14ac:dyDescent="0.25">
      <c r="U30" s="44" t="s">
        <v>76</v>
      </c>
      <c r="V30" s="143" t="s">
        <v>78</v>
      </c>
      <c r="W30" s="144"/>
    </row>
    <row r="31" spans="1:24" s="11" customFormat="1" x14ac:dyDescent="0.25"/>
    <row r="32" spans="1:24" s="11" customFormat="1" x14ac:dyDescent="0.25"/>
    <row r="33" s="11" customFormat="1" x14ac:dyDescent="0.25"/>
    <row r="34" s="11" customFormat="1" x14ac:dyDescent="0.25"/>
    <row r="35" s="11" customFormat="1" x14ac:dyDescent="0.25"/>
    <row r="36" s="11" customFormat="1" x14ac:dyDescent="0.25"/>
    <row r="37" s="11" customFormat="1" x14ac:dyDescent="0.25"/>
    <row r="38" s="11" customFormat="1" x14ac:dyDescent="0.25"/>
    <row r="39" s="11" customFormat="1" x14ac:dyDescent="0.25"/>
    <row r="40" s="11" customFormat="1" x14ac:dyDescent="0.25"/>
    <row r="41" s="11" customFormat="1" x14ac:dyDescent="0.25"/>
    <row r="42" s="11" customFormat="1" x14ac:dyDescent="0.25"/>
    <row r="43" s="11" customFormat="1" x14ac:dyDescent="0.25"/>
    <row r="44" s="11" customFormat="1" x14ac:dyDescent="0.25"/>
    <row r="45" s="11" customFormat="1" x14ac:dyDescent="0.25"/>
    <row r="46" s="11" customFormat="1" x14ac:dyDescent="0.25"/>
    <row r="47" s="11" customFormat="1" x14ac:dyDescent="0.25"/>
    <row r="48" s="11" customFormat="1" x14ac:dyDescent="0.25"/>
    <row r="49" s="11" customFormat="1" x14ac:dyDescent="0.25"/>
    <row r="50" s="11" customFormat="1" x14ac:dyDescent="0.25"/>
    <row r="51" s="11" customFormat="1" x14ac:dyDescent="0.25"/>
    <row r="52" s="11" customFormat="1" x14ac:dyDescent="0.25"/>
    <row r="53" s="11" customFormat="1" x14ac:dyDescent="0.25"/>
    <row r="54" s="11" customFormat="1" x14ac:dyDescent="0.25"/>
    <row r="55" s="11" customFormat="1" x14ac:dyDescent="0.25"/>
    <row r="56" s="11" customFormat="1" x14ac:dyDescent="0.25"/>
    <row r="57" s="11" customFormat="1" x14ac:dyDescent="0.25"/>
    <row r="58" s="11" customFormat="1" x14ac:dyDescent="0.25"/>
    <row r="59" s="11" customFormat="1" x14ac:dyDescent="0.25"/>
    <row r="60" s="11" customFormat="1" x14ac:dyDescent="0.25"/>
    <row r="61" s="11" customFormat="1" x14ac:dyDescent="0.25"/>
    <row r="62" s="11" customFormat="1" x14ac:dyDescent="0.25"/>
    <row r="63" s="11" customFormat="1" x14ac:dyDescent="0.25"/>
    <row r="64" s="11" customFormat="1" x14ac:dyDescent="0.25"/>
    <row r="65" s="11" customFormat="1" x14ac:dyDescent="0.25"/>
    <row r="66" s="11" customFormat="1" x14ac:dyDescent="0.25"/>
    <row r="67" s="11" customFormat="1" x14ac:dyDescent="0.25"/>
    <row r="68" s="11" customFormat="1" x14ac:dyDescent="0.25"/>
    <row r="69" s="11" customFormat="1" x14ac:dyDescent="0.25"/>
    <row r="70" s="11" customFormat="1" x14ac:dyDescent="0.25"/>
    <row r="71" s="11" customFormat="1" x14ac:dyDescent="0.25"/>
    <row r="72" s="11" customFormat="1" x14ac:dyDescent="0.25"/>
    <row r="73" s="11" customFormat="1" x14ac:dyDescent="0.25"/>
    <row r="74" s="11" customFormat="1" x14ac:dyDescent="0.25"/>
    <row r="75" s="11" customFormat="1" x14ac:dyDescent="0.25"/>
    <row r="76" s="11" customFormat="1" x14ac:dyDescent="0.25"/>
    <row r="77" s="11" customFormat="1" x14ac:dyDescent="0.25"/>
    <row r="78" s="11" customFormat="1" x14ac:dyDescent="0.25"/>
    <row r="79" s="11" customFormat="1" x14ac:dyDescent="0.25"/>
    <row r="80" s="11" customFormat="1" x14ac:dyDescent="0.25"/>
    <row r="81" s="11" customFormat="1" x14ac:dyDescent="0.25"/>
    <row r="82" s="11" customFormat="1" x14ac:dyDescent="0.25"/>
    <row r="83" s="11" customFormat="1" x14ac:dyDescent="0.25"/>
    <row r="84" s="11" customFormat="1" x14ac:dyDescent="0.25"/>
    <row r="85" s="11" customFormat="1" x14ac:dyDescent="0.25"/>
    <row r="86" s="11" customFormat="1" x14ac:dyDescent="0.25"/>
    <row r="87" s="11" customFormat="1" x14ac:dyDescent="0.25"/>
    <row r="88" s="11" customFormat="1" x14ac:dyDescent="0.25"/>
    <row r="89" s="11" customFormat="1" x14ac:dyDescent="0.25"/>
    <row r="90" s="11" customFormat="1" x14ac:dyDescent="0.25"/>
    <row r="91" s="11" customFormat="1" x14ac:dyDescent="0.25"/>
    <row r="92" s="11" customFormat="1" x14ac:dyDescent="0.25"/>
    <row r="93" s="11" customFormat="1" x14ac:dyDescent="0.25"/>
    <row r="94" s="11" customFormat="1" x14ac:dyDescent="0.25"/>
    <row r="95" s="11" customFormat="1" x14ac:dyDescent="0.25"/>
    <row r="96" s="11" customFormat="1" x14ac:dyDescent="0.25"/>
    <row r="97" s="11" customFormat="1" x14ac:dyDescent="0.25"/>
    <row r="98" s="11" customFormat="1" x14ac:dyDescent="0.25"/>
    <row r="99" s="11" customFormat="1" x14ac:dyDescent="0.25"/>
    <row r="100" s="11" customFormat="1" x14ac:dyDescent="0.25"/>
    <row r="101" s="11" customFormat="1" x14ac:dyDescent="0.25"/>
    <row r="102" s="11" customFormat="1" x14ac:dyDescent="0.25"/>
    <row r="103" s="11" customFormat="1" x14ac:dyDescent="0.25"/>
    <row r="104" s="11" customFormat="1" x14ac:dyDescent="0.25"/>
    <row r="105" s="11" customFormat="1" x14ac:dyDescent="0.25"/>
    <row r="106" s="11" customFormat="1" x14ac:dyDescent="0.25"/>
    <row r="107" s="11" customFormat="1" x14ac:dyDescent="0.25"/>
    <row r="108" s="11" customFormat="1" x14ac:dyDescent="0.25"/>
    <row r="109" s="11" customFormat="1" x14ac:dyDescent="0.25"/>
    <row r="110" s="11" customFormat="1" x14ac:dyDescent="0.25"/>
    <row r="111" s="11" customFormat="1" x14ac:dyDescent="0.25"/>
    <row r="112" s="11" customFormat="1" x14ac:dyDescent="0.25"/>
    <row r="113" s="11" customFormat="1" x14ac:dyDescent="0.25"/>
    <row r="114" s="11" customFormat="1" x14ac:dyDescent="0.25"/>
    <row r="115" s="11" customFormat="1" x14ac:dyDescent="0.25"/>
    <row r="116" s="11" customFormat="1" x14ac:dyDescent="0.25"/>
    <row r="117" s="11" customFormat="1" x14ac:dyDescent="0.25"/>
    <row r="118" s="11" customFormat="1" x14ac:dyDescent="0.25"/>
    <row r="119" s="11" customFormat="1" x14ac:dyDescent="0.25"/>
    <row r="120" s="11" customFormat="1" x14ac:dyDescent="0.25"/>
    <row r="121" s="11" customFormat="1" x14ac:dyDescent="0.25"/>
    <row r="122" s="11" customFormat="1" x14ac:dyDescent="0.25"/>
    <row r="123" s="11" customFormat="1" x14ac:dyDescent="0.25"/>
    <row r="124" s="11" customFormat="1" x14ac:dyDescent="0.25"/>
    <row r="125" s="11" customFormat="1" x14ac:dyDescent="0.25"/>
    <row r="126" s="11" customFormat="1" x14ac:dyDescent="0.25"/>
    <row r="127" s="11" customFormat="1" x14ac:dyDescent="0.25"/>
    <row r="128" s="11" customFormat="1" x14ac:dyDescent="0.25"/>
    <row r="129" s="11" customFormat="1" x14ac:dyDescent="0.25"/>
    <row r="130" s="11" customFormat="1" x14ac:dyDescent="0.25"/>
    <row r="131" s="11" customFormat="1" x14ac:dyDescent="0.25"/>
    <row r="132" s="11" customFormat="1" x14ac:dyDescent="0.25"/>
    <row r="133" s="11" customFormat="1" x14ac:dyDescent="0.25"/>
    <row r="134" s="11" customFormat="1" x14ac:dyDescent="0.25"/>
    <row r="135" s="11" customFormat="1" x14ac:dyDescent="0.25"/>
    <row r="136" s="11" customFormat="1" x14ac:dyDescent="0.25"/>
    <row r="137" s="11" customFormat="1" x14ac:dyDescent="0.25"/>
    <row r="138" s="11" customFormat="1" x14ac:dyDescent="0.25"/>
    <row r="139" s="11" customFormat="1" x14ac:dyDescent="0.25"/>
    <row r="140" s="11" customFormat="1" x14ac:dyDescent="0.25"/>
    <row r="141" s="11" customFormat="1" x14ac:dyDescent="0.25"/>
    <row r="142" s="11" customFormat="1" x14ac:dyDescent="0.25"/>
    <row r="143" s="11" customFormat="1" x14ac:dyDescent="0.25"/>
    <row r="144" s="11" customFormat="1" x14ac:dyDescent="0.25"/>
    <row r="145" s="11" customFormat="1" x14ac:dyDescent="0.25"/>
    <row r="146" s="11" customFormat="1" x14ac:dyDescent="0.25"/>
    <row r="147" s="11" customFormat="1" x14ac:dyDescent="0.25"/>
    <row r="148" s="11" customFormat="1" x14ac:dyDescent="0.25"/>
    <row r="149" s="11" customFormat="1" x14ac:dyDescent="0.25"/>
    <row r="150" s="11" customFormat="1" x14ac:dyDescent="0.25"/>
    <row r="151" s="11" customFormat="1" x14ac:dyDescent="0.25"/>
    <row r="152" s="11" customFormat="1" x14ac:dyDescent="0.25"/>
    <row r="153" s="11" customFormat="1" x14ac:dyDescent="0.25"/>
    <row r="154" s="11" customFormat="1" x14ac:dyDescent="0.25"/>
    <row r="155" s="11" customFormat="1" x14ac:dyDescent="0.25"/>
    <row r="156" s="11" customFormat="1" x14ac:dyDescent="0.25"/>
    <row r="157" s="11" customFormat="1" x14ac:dyDescent="0.25"/>
    <row r="158" s="11" customFormat="1" x14ac:dyDescent="0.25"/>
    <row r="159" s="11" customFormat="1" x14ac:dyDescent="0.25"/>
    <row r="160" s="11" customFormat="1" x14ac:dyDescent="0.25"/>
    <row r="161" s="11" customFormat="1" x14ac:dyDescent="0.25"/>
    <row r="162" s="11" customFormat="1" x14ac:dyDescent="0.25"/>
    <row r="163" s="11" customFormat="1" x14ac:dyDescent="0.25"/>
    <row r="164" s="11" customFormat="1" x14ac:dyDescent="0.25"/>
    <row r="165" s="11" customFormat="1" x14ac:dyDescent="0.25"/>
    <row r="166" s="11" customFormat="1" x14ac:dyDescent="0.25"/>
    <row r="167" s="11" customFormat="1" x14ac:dyDescent="0.25"/>
    <row r="168" s="11" customFormat="1" x14ac:dyDescent="0.25"/>
    <row r="169" s="11" customFormat="1" x14ac:dyDescent="0.25"/>
    <row r="170" s="11" customFormat="1" x14ac:dyDescent="0.25"/>
    <row r="171" s="11" customFormat="1" x14ac:dyDescent="0.25"/>
    <row r="172" s="11" customFormat="1" x14ac:dyDescent="0.25"/>
    <row r="173" s="11" customFormat="1" x14ac:dyDescent="0.25"/>
    <row r="174" s="11" customFormat="1" x14ac:dyDescent="0.25"/>
    <row r="175" s="11" customFormat="1" x14ac:dyDescent="0.25"/>
    <row r="176" s="11" customFormat="1" x14ac:dyDescent="0.25"/>
    <row r="177" s="11" customFormat="1" x14ac:dyDescent="0.25"/>
    <row r="178" s="11" customFormat="1" x14ac:dyDescent="0.25"/>
    <row r="179" s="11" customFormat="1" x14ac:dyDescent="0.25"/>
    <row r="180" s="11" customFormat="1" x14ac:dyDescent="0.25"/>
    <row r="181" s="11" customFormat="1" x14ac:dyDescent="0.25"/>
    <row r="182" s="11" customFormat="1" x14ac:dyDescent="0.25"/>
    <row r="183" s="11" customFormat="1" x14ac:dyDescent="0.25"/>
    <row r="184" s="11" customFormat="1" x14ac:dyDescent="0.25"/>
    <row r="185" s="11" customFormat="1" x14ac:dyDescent="0.25"/>
    <row r="186" s="11" customFormat="1" x14ac:dyDescent="0.25"/>
    <row r="187" s="11" customFormat="1" x14ac:dyDescent="0.25"/>
    <row r="188" s="11" customFormat="1" x14ac:dyDescent="0.25"/>
    <row r="189" s="11" customFormat="1" x14ac:dyDescent="0.25"/>
    <row r="190" s="11" customFormat="1" x14ac:dyDescent="0.25"/>
    <row r="191" s="11" customFormat="1" x14ac:dyDescent="0.25"/>
    <row r="192" s="11" customFormat="1" x14ac:dyDescent="0.25"/>
    <row r="193" s="11" customFormat="1" x14ac:dyDescent="0.25"/>
    <row r="194" s="11" customFormat="1" x14ac:dyDescent="0.25"/>
    <row r="195" s="11" customFormat="1" x14ac:dyDescent="0.25"/>
    <row r="196" s="11" customFormat="1" x14ac:dyDescent="0.25"/>
    <row r="197" s="11" customFormat="1" x14ac:dyDescent="0.25"/>
    <row r="198" s="11" customFormat="1" x14ac:dyDescent="0.25"/>
    <row r="199" s="11" customFormat="1" x14ac:dyDescent="0.25"/>
    <row r="200" s="11" customFormat="1" x14ac:dyDescent="0.25"/>
    <row r="201" s="11" customFormat="1" x14ac:dyDescent="0.25"/>
    <row r="202" s="11" customFormat="1" x14ac:dyDescent="0.25"/>
    <row r="203" s="11" customFormat="1" x14ac:dyDescent="0.25"/>
    <row r="204" s="11" customFormat="1" x14ac:dyDescent="0.25"/>
    <row r="205" s="11" customFormat="1" x14ac:dyDescent="0.25"/>
    <row r="206" s="11" customFormat="1" x14ac:dyDescent="0.25"/>
    <row r="207" s="11" customFormat="1" x14ac:dyDescent="0.25"/>
    <row r="208" s="11" customFormat="1" x14ac:dyDescent="0.25"/>
    <row r="209" s="11" customFormat="1" x14ac:dyDescent="0.25"/>
    <row r="210" s="11" customFormat="1" x14ac:dyDescent="0.25"/>
    <row r="211" s="11" customFormat="1" x14ac:dyDescent="0.25"/>
    <row r="212" s="11" customFormat="1" x14ac:dyDescent="0.25"/>
    <row r="213" s="11" customFormat="1" x14ac:dyDescent="0.25"/>
    <row r="214" s="11" customFormat="1" x14ac:dyDescent="0.25"/>
    <row r="215" s="11" customFormat="1" x14ac:dyDescent="0.25"/>
    <row r="216" s="11" customFormat="1" x14ac:dyDescent="0.25"/>
    <row r="217" s="11" customFormat="1" x14ac:dyDescent="0.25"/>
    <row r="218" s="11" customFormat="1" x14ac:dyDescent="0.25"/>
    <row r="219" s="11" customFormat="1" x14ac:dyDescent="0.25"/>
    <row r="220" s="11" customFormat="1" x14ac:dyDescent="0.25"/>
    <row r="221" s="11" customFormat="1" x14ac:dyDescent="0.25"/>
    <row r="222" s="11" customFormat="1" x14ac:dyDescent="0.25"/>
    <row r="223" s="11" customFormat="1" x14ac:dyDescent="0.25"/>
    <row r="224" s="11" customFormat="1" x14ac:dyDescent="0.25"/>
    <row r="225" s="11" customFormat="1" x14ac:dyDescent="0.25"/>
    <row r="226" s="11" customFormat="1" x14ac:dyDescent="0.25"/>
    <row r="227" s="11" customFormat="1" x14ac:dyDescent="0.25"/>
    <row r="228" s="11" customFormat="1" x14ac:dyDescent="0.25"/>
    <row r="229" s="11" customFormat="1" x14ac:dyDescent="0.25"/>
    <row r="230" s="11" customFormat="1" x14ac:dyDescent="0.25"/>
    <row r="231" s="11" customFormat="1" x14ac:dyDescent="0.25"/>
    <row r="232" s="11" customFormat="1" x14ac:dyDescent="0.25"/>
    <row r="233" s="11" customFormat="1" x14ac:dyDescent="0.25"/>
    <row r="234" s="11" customFormat="1" x14ac:dyDescent="0.25"/>
    <row r="235" s="11" customFormat="1" x14ac:dyDescent="0.25"/>
    <row r="236" s="11" customFormat="1" x14ac:dyDescent="0.25"/>
    <row r="237" s="11" customFormat="1" x14ac:dyDescent="0.25"/>
    <row r="238" s="11" customFormat="1" x14ac:dyDescent="0.25"/>
    <row r="239" s="11" customFormat="1" x14ac:dyDescent="0.25"/>
    <row r="240" s="11" customFormat="1" x14ac:dyDescent="0.25"/>
    <row r="241" s="11" customFormat="1" x14ac:dyDescent="0.25"/>
    <row r="242" s="11" customFormat="1" x14ac:dyDescent="0.25"/>
    <row r="243" s="11" customFormat="1" x14ac:dyDescent="0.25"/>
    <row r="244" s="11" customFormat="1" x14ac:dyDescent="0.25"/>
    <row r="245" s="11" customFormat="1" x14ac:dyDescent="0.25"/>
    <row r="246" s="11" customFormat="1" x14ac:dyDescent="0.25"/>
    <row r="247" s="11" customFormat="1" x14ac:dyDescent="0.25"/>
    <row r="248" s="11" customFormat="1" x14ac:dyDescent="0.25"/>
    <row r="249" s="11" customFormat="1" x14ac:dyDescent="0.25"/>
    <row r="250" s="11" customFormat="1" x14ac:dyDescent="0.25"/>
    <row r="251" s="11" customFormat="1" x14ac:dyDescent="0.25"/>
    <row r="252" s="11" customFormat="1" x14ac:dyDescent="0.25"/>
    <row r="253" s="11" customFormat="1" x14ac:dyDescent="0.25"/>
    <row r="254" s="11" customFormat="1" x14ac:dyDescent="0.25"/>
    <row r="255" s="11" customFormat="1" x14ac:dyDescent="0.25"/>
    <row r="256" s="11" customFormat="1" x14ac:dyDescent="0.25"/>
    <row r="257" s="11" customFormat="1" x14ac:dyDescent="0.25"/>
    <row r="258" s="11" customFormat="1" x14ac:dyDescent="0.25"/>
    <row r="259" s="11" customFormat="1" x14ac:dyDescent="0.25"/>
    <row r="260" s="11" customFormat="1" x14ac:dyDescent="0.25"/>
    <row r="261" s="11" customFormat="1" x14ac:dyDescent="0.25"/>
    <row r="262" s="11" customFormat="1" x14ac:dyDescent="0.25"/>
    <row r="263" s="11" customFormat="1" x14ac:dyDescent="0.25"/>
    <row r="264" s="11" customFormat="1" x14ac:dyDescent="0.25"/>
    <row r="265" s="11" customFormat="1" x14ac:dyDescent="0.25"/>
    <row r="266" s="11" customFormat="1" x14ac:dyDescent="0.25"/>
    <row r="267" s="11" customFormat="1" x14ac:dyDescent="0.25"/>
    <row r="268" s="11" customFormat="1" x14ac:dyDescent="0.25"/>
    <row r="269" s="11" customFormat="1" x14ac:dyDescent="0.25"/>
    <row r="270" s="11" customFormat="1" x14ac:dyDescent="0.25"/>
    <row r="271" s="11" customFormat="1" x14ac:dyDescent="0.25"/>
    <row r="272" s="11" customFormat="1" x14ac:dyDescent="0.25"/>
    <row r="273" s="11" customFormat="1" x14ac:dyDescent="0.25"/>
    <row r="274" s="11" customFormat="1" x14ac:dyDescent="0.25"/>
    <row r="275" s="11" customFormat="1" x14ac:dyDescent="0.25"/>
    <row r="276" s="11" customFormat="1" x14ac:dyDescent="0.25"/>
    <row r="277" s="11" customFormat="1" x14ac:dyDescent="0.25"/>
    <row r="278" s="11" customFormat="1" x14ac:dyDescent="0.25"/>
    <row r="279" s="11" customFormat="1" x14ac:dyDescent="0.25"/>
    <row r="280" s="11" customFormat="1" x14ac:dyDescent="0.25"/>
    <row r="281" s="11" customFormat="1" x14ac:dyDescent="0.25"/>
    <row r="282" s="11" customFormat="1" x14ac:dyDescent="0.25"/>
    <row r="283" s="11" customFormat="1" x14ac:dyDescent="0.25"/>
    <row r="284" s="11" customFormat="1" x14ac:dyDescent="0.25"/>
    <row r="285" s="11" customFormat="1" x14ac:dyDescent="0.25"/>
    <row r="286" s="11" customFormat="1" x14ac:dyDescent="0.25"/>
    <row r="287" s="11" customFormat="1" x14ac:dyDescent="0.25"/>
    <row r="288" s="11" customFormat="1" x14ac:dyDescent="0.25"/>
    <row r="289" s="11" customFormat="1" x14ac:dyDescent="0.25"/>
    <row r="290" s="11" customFormat="1" x14ac:dyDescent="0.25"/>
    <row r="291" s="11" customFormat="1" x14ac:dyDescent="0.25"/>
    <row r="292" s="11" customFormat="1" x14ac:dyDescent="0.25"/>
    <row r="293" s="11" customFormat="1" x14ac:dyDescent="0.25"/>
    <row r="294" s="11" customFormat="1" x14ac:dyDescent="0.25"/>
    <row r="295" s="11" customFormat="1" x14ac:dyDescent="0.25"/>
    <row r="296" s="11" customFormat="1" x14ac:dyDescent="0.25"/>
    <row r="297" s="11" customFormat="1" x14ac:dyDescent="0.25"/>
    <row r="298" s="11" customFormat="1" x14ac:dyDescent="0.25"/>
    <row r="299" s="11" customFormat="1" x14ac:dyDescent="0.25"/>
    <row r="300" s="11" customFormat="1" x14ac:dyDescent="0.25"/>
    <row r="301" s="11" customFormat="1" x14ac:dyDescent="0.25"/>
    <row r="302" s="11" customFormat="1" x14ac:dyDescent="0.25"/>
    <row r="303" s="11" customFormat="1" x14ac:dyDescent="0.25"/>
    <row r="304" s="11" customFormat="1" x14ac:dyDescent="0.25"/>
    <row r="305" s="11" customFormat="1" x14ac:dyDescent="0.25"/>
    <row r="306" s="11" customFormat="1" x14ac:dyDescent="0.25"/>
    <row r="307" s="11" customFormat="1" x14ac:dyDescent="0.25"/>
    <row r="308" s="11" customFormat="1" x14ac:dyDescent="0.25"/>
    <row r="309" s="11" customFormat="1" x14ac:dyDescent="0.25"/>
    <row r="310" s="11" customFormat="1" x14ac:dyDescent="0.25"/>
    <row r="311" s="11" customFormat="1" x14ac:dyDescent="0.25"/>
    <row r="312" s="11" customFormat="1" x14ac:dyDescent="0.25"/>
    <row r="313" s="11" customFormat="1" x14ac:dyDescent="0.25"/>
    <row r="314" s="11" customFormat="1" x14ac:dyDescent="0.25"/>
    <row r="315" s="11" customFormat="1" x14ac:dyDescent="0.25"/>
    <row r="316" s="11" customFormat="1" x14ac:dyDescent="0.25"/>
    <row r="317" s="11" customFormat="1" x14ac:dyDescent="0.25"/>
    <row r="318" s="11" customFormat="1" x14ac:dyDescent="0.25"/>
    <row r="319" s="11" customFormat="1" x14ac:dyDescent="0.25"/>
    <row r="320" s="11" customFormat="1" x14ac:dyDescent="0.25"/>
    <row r="321" s="11" customFormat="1" x14ac:dyDescent="0.25"/>
    <row r="322" s="11" customFormat="1" x14ac:dyDescent="0.25"/>
    <row r="323" s="11" customFormat="1" x14ac:dyDescent="0.25"/>
    <row r="324" s="11" customFormat="1" x14ac:dyDescent="0.25"/>
    <row r="325" s="11" customFormat="1" x14ac:dyDescent="0.25"/>
    <row r="326" s="11" customFormat="1" x14ac:dyDescent="0.25"/>
    <row r="327" s="11" customFormat="1" x14ac:dyDescent="0.25"/>
    <row r="328" s="11" customFormat="1" x14ac:dyDescent="0.25"/>
    <row r="329" s="11" customFormat="1" x14ac:dyDescent="0.25"/>
    <row r="330" s="11" customFormat="1" x14ac:dyDescent="0.25"/>
    <row r="331" s="11" customFormat="1" x14ac:dyDescent="0.25"/>
    <row r="332" s="11" customFormat="1" x14ac:dyDescent="0.25"/>
    <row r="333" s="11" customFormat="1" x14ac:dyDescent="0.25"/>
    <row r="334" s="11" customFormat="1" x14ac:dyDescent="0.25"/>
    <row r="335" s="11" customFormat="1" x14ac:dyDescent="0.25"/>
    <row r="336" s="11" customFormat="1" x14ac:dyDescent="0.25"/>
    <row r="337" s="11" customFormat="1" x14ac:dyDescent="0.25"/>
    <row r="338" s="11" customFormat="1" x14ac:dyDescent="0.25"/>
    <row r="339" s="11" customFormat="1" x14ac:dyDescent="0.25"/>
    <row r="340" s="11" customFormat="1" x14ac:dyDescent="0.25"/>
    <row r="341" s="11" customFormat="1" x14ac:dyDescent="0.25"/>
    <row r="342" s="11" customFormat="1" x14ac:dyDescent="0.25"/>
    <row r="343" s="11" customFormat="1" x14ac:dyDescent="0.25"/>
    <row r="344" s="11" customFormat="1" x14ac:dyDescent="0.25"/>
    <row r="345" s="11" customFormat="1" x14ac:dyDescent="0.25"/>
    <row r="346" s="11" customFormat="1" x14ac:dyDescent="0.25"/>
    <row r="347" s="11" customFormat="1" x14ac:dyDescent="0.25"/>
    <row r="348" s="11" customFormat="1" x14ac:dyDescent="0.25"/>
    <row r="349" s="11" customFormat="1" x14ac:dyDescent="0.25"/>
    <row r="350" s="11" customFormat="1" x14ac:dyDescent="0.25"/>
    <row r="351" s="11" customFormat="1" x14ac:dyDescent="0.25"/>
    <row r="352" s="11" customFormat="1" x14ac:dyDescent="0.25"/>
    <row r="353" s="11" customFormat="1" x14ac:dyDescent="0.25"/>
    <row r="354" s="11" customFormat="1" x14ac:dyDescent="0.25"/>
    <row r="355" s="11" customFormat="1" x14ac:dyDescent="0.25"/>
    <row r="356" s="11" customFormat="1" x14ac:dyDescent="0.25"/>
    <row r="357" s="11" customFormat="1" x14ac:dyDescent="0.25"/>
    <row r="358" s="11" customFormat="1" x14ac:dyDescent="0.25"/>
    <row r="359" s="11" customFormat="1" x14ac:dyDescent="0.25"/>
    <row r="360" s="11" customFormat="1" x14ac:dyDescent="0.25"/>
    <row r="361" s="11" customFormat="1" x14ac:dyDescent="0.25"/>
    <row r="362" s="11" customFormat="1" x14ac:dyDescent="0.25"/>
    <row r="363" s="11" customFormat="1" x14ac:dyDescent="0.25"/>
    <row r="364" s="11" customFormat="1" x14ac:dyDescent="0.25"/>
    <row r="365" s="11" customFormat="1" x14ac:dyDescent="0.25"/>
    <row r="366" s="11" customFormat="1" x14ac:dyDescent="0.25"/>
    <row r="367" s="11" customFormat="1" x14ac:dyDescent="0.25"/>
    <row r="368" s="11" customFormat="1" x14ac:dyDescent="0.25"/>
    <row r="369" s="11" customFormat="1" x14ac:dyDescent="0.25"/>
    <row r="370" s="11" customFormat="1" x14ac:dyDescent="0.25"/>
    <row r="371" s="11" customFormat="1" x14ac:dyDescent="0.25"/>
    <row r="372" s="11" customFormat="1" x14ac:dyDescent="0.25"/>
    <row r="373" s="11" customFormat="1" x14ac:dyDescent="0.25"/>
    <row r="374" s="11" customFormat="1" x14ac:dyDescent="0.25"/>
    <row r="375" s="11" customFormat="1" x14ac:dyDescent="0.25"/>
    <row r="376" s="11" customFormat="1" x14ac:dyDescent="0.25"/>
    <row r="377" s="11" customFormat="1" x14ac:dyDescent="0.25"/>
    <row r="378" s="11" customFormat="1" x14ac:dyDescent="0.25"/>
    <row r="379" s="11" customFormat="1" x14ac:dyDescent="0.25"/>
    <row r="380" s="11" customFormat="1" x14ac:dyDescent="0.25"/>
    <row r="381" s="11" customFormat="1" x14ac:dyDescent="0.25"/>
    <row r="382" s="11" customFormat="1" x14ac:dyDescent="0.25"/>
    <row r="383" s="11" customFormat="1" x14ac:dyDescent="0.25"/>
    <row r="384" s="11" customFormat="1" x14ac:dyDescent="0.25"/>
    <row r="385" s="11" customFormat="1" x14ac:dyDescent="0.25"/>
    <row r="386" s="11" customFormat="1" x14ac:dyDescent="0.25"/>
    <row r="387" s="11" customFormat="1" x14ac:dyDescent="0.25"/>
    <row r="388" s="11" customFormat="1" x14ac:dyDescent="0.25"/>
    <row r="389" s="11" customFormat="1" x14ac:dyDescent="0.25"/>
    <row r="390" s="11" customFormat="1" x14ac:dyDescent="0.25"/>
    <row r="391" s="11" customFormat="1" x14ac:dyDescent="0.25"/>
    <row r="392" s="11" customFormat="1" x14ac:dyDescent="0.25"/>
    <row r="393" s="11" customFormat="1" x14ac:dyDescent="0.25"/>
    <row r="394" s="11" customFormat="1" x14ac:dyDescent="0.25"/>
    <row r="395" s="11" customFormat="1" x14ac:dyDescent="0.25"/>
    <row r="396" s="11" customFormat="1" x14ac:dyDescent="0.25"/>
    <row r="397" s="11" customFormat="1" x14ac:dyDescent="0.25"/>
    <row r="398" s="11" customFormat="1" x14ac:dyDescent="0.25"/>
    <row r="399" s="11" customFormat="1" x14ac:dyDescent="0.25"/>
    <row r="400" s="11" customFormat="1" x14ac:dyDescent="0.25"/>
    <row r="401" s="11" customFormat="1" x14ac:dyDescent="0.25"/>
    <row r="402" s="11" customFormat="1" x14ac:dyDescent="0.25"/>
    <row r="403" s="11" customFormat="1" x14ac:dyDescent="0.25"/>
    <row r="404" s="11" customFormat="1" x14ac:dyDescent="0.25"/>
    <row r="405" s="11" customFormat="1" x14ac:dyDescent="0.25"/>
    <row r="406" s="11" customFormat="1" x14ac:dyDescent="0.25"/>
    <row r="407" s="11" customFormat="1" x14ac:dyDescent="0.25"/>
    <row r="408" s="11" customFormat="1" x14ac:dyDescent="0.25"/>
    <row r="409" s="11" customFormat="1" x14ac:dyDescent="0.25"/>
    <row r="410" s="11" customFormat="1" x14ac:dyDescent="0.25"/>
    <row r="411" s="11" customFormat="1" x14ac:dyDescent="0.25"/>
    <row r="412" s="11" customFormat="1" x14ac:dyDescent="0.25"/>
    <row r="413" s="11" customFormat="1" x14ac:dyDescent="0.25"/>
    <row r="414" s="11" customFormat="1" x14ac:dyDescent="0.25"/>
    <row r="415" s="11" customFormat="1" x14ac:dyDescent="0.25"/>
    <row r="416" s="11" customFormat="1" x14ac:dyDescent="0.25"/>
    <row r="417" s="11" customFormat="1" x14ac:dyDescent="0.25"/>
    <row r="418" s="11" customFormat="1" x14ac:dyDescent="0.25"/>
    <row r="419" s="11" customFormat="1" x14ac:dyDescent="0.25"/>
    <row r="420" s="11" customFormat="1" x14ac:dyDescent="0.25"/>
    <row r="421" s="11" customFormat="1" x14ac:dyDescent="0.25"/>
    <row r="422" s="11" customFormat="1" x14ac:dyDescent="0.25"/>
    <row r="423" s="11" customFormat="1" x14ac:dyDescent="0.25"/>
    <row r="424" s="11" customFormat="1" x14ac:dyDescent="0.25"/>
    <row r="425" s="11" customFormat="1" x14ac:dyDescent="0.25"/>
    <row r="426" s="11" customFormat="1" x14ac:dyDescent="0.25"/>
    <row r="427" s="11" customFormat="1" x14ac:dyDescent="0.25"/>
    <row r="428" s="11" customFormat="1" x14ac:dyDescent="0.25"/>
    <row r="429" s="11" customFormat="1" x14ac:dyDescent="0.25"/>
    <row r="430" s="11" customFormat="1" x14ac:dyDescent="0.25"/>
    <row r="431" s="11" customFormat="1" x14ac:dyDescent="0.25"/>
    <row r="432" s="11" customFormat="1" x14ac:dyDescent="0.25"/>
    <row r="433" s="11" customFormat="1" x14ac:dyDescent="0.25"/>
    <row r="434" s="11" customFormat="1" x14ac:dyDescent="0.25"/>
    <row r="435" s="11" customFormat="1" x14ac:dyDescent="0.25"/>
    <row r="436" s="11" customFormat="1" x14ac:dyDescent="0.25"/>
    <row r="437" s="11" customFormat="1" x14ac:dyDescent="0.25"/>
    <row r="438" s="11" customFormat="1" x14ac:dyDescent="0.25"/>
    <row r="439" s="11" customFormat="1" x14ac:dyDescent="0.25"/>
    <row r="440" s="11" customFormat="1" x14ac:dyDescent="0.25"/>
    <row r="441" s="11" customFormat="1" x14ac:dyDescent="0.25"/>
    <row r="442" s="11" customFormat="1" x14ac:dyDescent="0.25"/>
    <row r="443" s="11" customFormat="1" x14ac:dyDescent="0.25"/>
    <row r="444" s="11" customFormat="1" x14ac:dyDescent="0.25"/>
    <row r="445" s="11" customFormat="1" x14ac:dyDescent="0.25"/>
    <row r="446" s="11" customFormat="1" x14ac:dyDescent="0.25"/>
    <row r="447" s="11" customFormat="1" x14ac:dyDescent="0.25"/>
    <row r="448" s="11" customFormat="1" x14ac:dyDescent="0.25"/>
    <row r="449" s="11" customFormat="1" x14ac:dyDescent="0.25"/>
    <row r="450" s="11" customFormat="1" x14ac:dyDescent="0.25"/>
    <row r="451" s="11" customFormat="1" x14ac:dyDescent="0.25"/>
    <row r="452" s="11" customFormat="1" x14ac:dyDescent="0.25"/>
    <row r="453" s="11" customFormat="1" x14ac:dyDescent="0.25"/>
    <row r="454" s="11" customFormat="1" x14ac:dyDescent="0.25"/>
    <row r="455" s="11" customFormat="1" x14ac:dyDescent="0.25"/>
    <row r="456" s="11" customFormat="1" x14ac:dyDescent="0.25"/>
    <row r="457" s="11" customFormat="1" x14ac:dyDescent="0.25"/>
    <row r="458" s="11" customFormat="1" x14ac:dyDescent="0.25"/>
    <row r="459" s="11" customFormat="1" x14ac:dyDescent="0.25"/>
    <row r="460" s="11" customFormat="1" x14ac:dyDescent="0.25"/>
    <row r="461" s="11" customFormat="1" x14ac:dyDescent="0.25"/>
    <row r="462" s="11" customFormat="1" x14ac:dyDescent="0.25"/>
    <row r="463" s="11" customFormat="1" x14ac:dyDescent="0.25"/>
    <row r="464" s="11" customFormat="1" x14ac:dyDescent="0.25"/>
    <row r="465" s="11" customFormat="1" x14ac:dyDescent="0.25"/>
    <row r="466" s="11" customFormat="1" x14ac:dyDescent="0.25"/>
    <row r="467" s="11" customFormat="1" x14ac:dyDescent="0.25"/>
    <row r="468" s="11" customFormat="1" x14ac:dyDescent="0.25"/>
    <row r="469" s="11" customFormat="1" x14ac:dyDescent="0.25"/>
    <row r="470" s="11" customFormat="1" x14ac:dyDescent="0.25"/>
    <row r="471" s="11" customFormat="1" x14ac:dyDescent="0.25"/>
    <row r="472" s="11" customFormat="1" x14ac:dyDescent="0.25"/>
    <row r="473" s="11" customFormat="1" x14ac:dyDescent="0.25"/>
    <row r="474" s="11" customFormat="1" x14ac:dyDescent="0.25"/>
    <row r="475" s="11" customFormat="1" x14ac:dyDescent="0.25"/>
    <row r="476" s="11" customFormat="1" x14ac:dyDescent="0.25"/>
    <row r="477" s="11" customFormat="1" x14ac:dyDescent="0.25"/>
    <row r="478" s="11" customFormat="1" x14ac:dyDescent="0.25"/>
    <row r="479" s="11" customFormat="1" x14ac:dyDescent="0.25"/>
    <row r="480" s="11" customFormat="1" x14ac:dyDescent="0.25"/>
    <row r="481" spans="2:25" s="11" customFormat="1" x14ac:dyDescent="0.25"/>
    <row r="482" spans="2:25" s="11" customFormat="1" x14ac:dyDescent="0.25"/>
    <row r="483" spans="2:25" s="11" customFormat="1" x14ac:dyDescent="0.25"/>
    <row r="484" spans="2:25" s="11" customFormat="1" x14ac:dyDescent="0.25"/>
    <row r="485" spans="2:25" s="11" customFormat="1" x14ac:dyDescent="0.25"/>
    <row r="486" spans="2:25" s="11" customFormat="1" x14ac:dyDescent="0.25"/>
    <row r="487" spans="2:25" s="11" customFormat="1" x14ac:dyDescent="0.25"/>
    <row r="488" spans="2:25" s="11" customFormat="1" x14ac:dyDescent="0.25"/>
    <row r="489" spans="2:25" s="11" customFormat="1" x14ac:dyDescent="0.25"/>
    <row r="490" spans="2:25" s="11" customFormat="1" x14ac:dyDescent="0.25"/>
    <row r="491" spans="2:25" s="11" customFormat="1" x14ac:dyDescent="0.25"/>
    <row r="492" spans="2:25" s="11" customFormat="1" x14ac:dyDescent="0.25"/>
    <row r="493" spans="2:25" s="11" customFormat="1" x14ac:dyDescent="0.25"/>
    <row r="494" spans="2:25" s="11" customFormat="1" x14ac:dyDescent="0.25">
      <c r="B494" s="5"/>
      <c r="C494" s="5"/>
      <c r="D494" s="5"/>
      <c r="E494" s="5"/>
      <c r="F494" s="5"/>
      <c r="G494" s="5"/>
      <c r="H494" s="5"/>
      <c r="I494" s="5"/>
      <c r="J494" s="5"/>
      <c r="K494" s="5"/>
      <c r="L494" s="5"/>
      <c r="N494" s="5"/>
      <c r="O494" s="5"/>
      <c r="P494" s="5"/>
      <c r="Q494" s="5"/>
      <c r="R494" s="5"/>
      <c r="S494" s="5"/>
      <c r="T494" s="5"/>
      <c r="U494" s="5"/>
      <c r="V494" s="5"/>
      <c r="W494" s="5"/>
      <c r="X494" s="5"/>
      <c r="Y494" s="5"/>
    </row>
    <row r="495" spans="2:25" s="5" customFormat="1" x14ac:dyDescent="0.25"/>
    <row r="496" spans="2:25" s="5" customFormat="1" x14ac:dyDescent="0.25"/>
    <row r="497" spans="2:25" s="5" customFormat="1" x14ac:dyDescent="0.25"/>
    <row r="498" spans="2:25" s="5" customFormat="1" x14ac:dyDescent="0.25"/>
    <row r="499" spans="2:25" s="5" customFormat="1" x14ac:dyDescent="0.25"/>
    <row r="500" spans="2:25" s="5" customFormat="1" x14ac:dyDescent="0.25"/>
    <row r="501" spans="2:25" s="5" customFormat="1" x14ac:dyDescent="0.25"/>
    <row r="502" spans="2:25" s="5" customFormat="1" x14ac:dyDescent="0.25"/>
    <row r="503" spans="2:25" s="5" customFormat="1" x14ac:dyDescent="0.25"/>
    <row r="504" spans="2:25" s="5" customFormat="1" x14ac:dyDescent="0.25">
      <c r="B504"/>
      <c r="C504"/>
      <c r="D504"/>
      <c r="E504"/>
      <c r="F504"/>
      <c r="G504"/>
      <c r="H504"/>
      <c r="I504"/>
      <c r="J504"/>
      <c r="K504"/>
      <c r="L504"/>
      <c r="N504"/>
      <c r="O504"/>
      <c r="P504"/>
      <c r="Q504"/>
      <c r="R504"/>
      <c r="S504"/>
      <c r="T504"/>
      <c r="U504"/>
      <c r="V504"/>
      <c r="W504"/>
      <c r="X504"/>
      <c r="Y504"/>
    </row>
  </sheetData>
  <sheetProtection password="D997" sheet="1" objects="1" scenarios="1" selectLockedCells="1"/>
  <mergeCells count="19">
    <mergeCell ref="V30:W30"/>
    <mergeCell ref="A1:U3"/>
    <mergeCell ref="A4:W4"/>
    <mergeCell ref="O9:R9"/>
    <mergeCell ref="O10:R10"/>
    <mergeCell ref="O11:R11"/>
    <mergeCell ref="O12:R12"/>
    <mergeCell ref="O13:R13"/>
    <mergeCell ref="O14:R14"/>
    <mergeCell ref="O15:R15"/>
    <mergeCell ref="O18:R18"/>
    <mergeCell ref="O23:R23"/>
    <mergeCell ref="O24:R24"/>
    <mergeCell ref="S18:V18"/>
    <mergeCell ref="O20:R20"/>
    <mergeCell ref="O21:R21"/>
    <mergeCell ref="O22:R22"/>
    <mergeCell ref="U28:W28"/>
    <mergeCell ref="V29:W29"/>
  </mergeCells>
  <conditionalFormatting sqref="T21">
    <cfRule type="cellIs" dxfId="31" priority="51" operator="equal">
      <formula>"OK"</formula>
    </cfRule>
    <cfRule type="cellIs" dxfId="30" priority="52" operator="equal">
      <formula>"OVERLOAD"</formula>
    </cfRule>
  </conditionalFormatting>
  <conditionalFormatting sqref="T22">
    <cfRule type="cellIs" dxfId="29" priority="49" operator="equal">
      <formula>"OK"</formula>
    </cfRule>
    <cfRule type="cellIs" dxfId="28" priority="50" operator="equal">
      <formula>"OVERLOAD"</formula>
    </cfRule>
  </conditionalFormatting>
  <conditionalFormatting sqref="T23">
    <cfRule type="cellIs" dxfId="27" priority="15" operator="equal">
      <formula>"OK"</formula>
    </cfRule>
    <cfRule type="cellIs" dxfId="26" priority="16" operator="equal">
      <formula>"SATURATED"</formula>
    </cfRule>
  </conditionalFormatting>
  <conditionalFormatting sqref="U23">
    <cfRule type="cellIs" dxfId="25" priority="13" operator="equal">
      <formula>"OK"</formula>
    </cfRule>
    <cfRule type="cellIs" dxfId="24" priority="14" operator="equal">
      <formula>"SATURATED"</formula>
    </cfRule>
  </conditionalFormatting>
  <conditionalFormatting sqref="T24:U24">
    <cfRule type="cellIs" dxfId="23" priority="11" operator="equal">
      <formula>"OK"</formula>
    </cfRule>
    <cfRule type="cellIs" dxfId="22" priority="12" operator="equal">
      <formula>"WARNING"</formula>
    </cfRule>
  </conditionalFormatting>
  <conditionalFormatting sqref="U21">
    <cfRule type="cellIs" dxfId="21" priority="5" operator="equal">
      <formula>"OK"</formula>
    </cfRule>
    <cfRule type="cellIs" dxfId="20" priority="6" operator="equal">
      <formula>"OVERLOAD"</formula>
    </cfRule>
  </conditionalFormatting>
  <conditionalFormatting sqref="U22">
    <cfRule type="cellIs" dxfId="19" priority="3" operator="equal">
      <formula>"OK"</formula>
    </cfRule>
    <cfRule type="cellIs" dxfId="18" priority="4" operator="equal">
      <formula>"OVERLOAD"</formula>
    </cfRule>
  </conditionalFormatting>
  <pageMargins left="0.7" right="0.7" top="0.75" bottom="0.75" header="0.3" footer="0.3"/>
  <pageSetup paperSize="9" orientation="portrait" r:id="rId1"/>
  <ignoredErrors>
    <ignoredError sqref="D13" unlocked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03"/>
  <sheetViews>
    <sheetView showGridLines="0" showRowColHeaders="0" topLeftCell="A5" zoomScale="90" zoomScaleNormal="90" workbookViewId="0">
      <selection activeCell="C40" sqref="C40"/>
    </sheetView>
  </sheetViews>
  <sheetFormatPr defaultRowHeight="15" x14ac:dyDescent="0.25"/>
  <cols>
    <col min="1" max="1" width="9.140625" style="11"/>
    <col min="4" max="23" width="5.7109375" customWidth="1"/>
    <col min="25" max="26" width="9.140625" style="11"/>
    <col min="27" max="27" width="14.42578125" style="11" customWidth="1"/>
    <col min="28" max="28" width="15.5703125" style="11" customWidth="1"/>
    <col min="29" max="140" width="9.140625" style="11"/>
  </cols>
  <sheetData>
    <row r="1" spans="1:32" s="11" customFormat="1" x14ac:dyDescent="0.25">
      <c r="A1" s="145"/>
      <c r="B1" s="145"/>
      <c r="C1" s="145"/>
      <c r="D1" s="145"/>
      <c r="E1" s="145"/>
      <c r="F1" s="145"/>
      <c r="G1" s="145"/>
      <c r="H1" s="145"/>
      <c r="I1" s="145"/>
      <c r="J1" s="145"/>
      <c r="K1" s="145"/>
      <c r="L1" s="145"/>
      <c r="M1" s="145"/>
      <c r="N1" s="145"/>
      <c r="O1" s="145"/>
      <c r="P1" s="145"/>
      <c r="Q1" s="145"/>
      <c r="R1" s="145"/>
      <c r="S1" s="145"/>
      <c r="T1" s="145"/>
      <c r="U1" s="145"/>
    </row>
    <row r="2" spans="1:32" s="11" customFormat="1" x14ac:dyDescent="0.25">
      <c r="A2" s="145"/>
      <c r="B2" s="145"/>
      <c r="C2" s="145"/>
      <c r="D2" s="145"/>
      <c r="E2" s="145"/>
      <c r="F2" s="145"/>
      <c r="G2" s="145"/>
      <c r="H2" s="145"/>
      <c r="I2" s="145"/>
      <c r="J2" s="145"/>
      <c r="K2" s="145"/>
      <c r="L2" s="145"/>
      <c r="M2" s="145"/>
      <c r="N2" s="145"/>
      <c r="O2" s="145"/>
      <c r="P2" s="145"/>
      <c r="Q2" s="145"/>
      <c r="R2" s="145"/>
      <c r="S2" s="145"/>
      <c r="T2" s="145"/>
      <c r="U2" s="145"/>
    </row>
    <row r="3" spans="1:32" s="11" customFormat="1" x14ac:dyDescent="0.25">
      <c r="A3" s="145"/>
      <c r="B3" s="145"/>
      <c r="C3" s="145"/>
      <c r="D3" s="145"/>
      <c r="E3" s="145"/>
      <c r="F3" s="145"/>
      <c r="G3" s="145"/>
      <c r="H3" s="145"/>
      <c r="I3" s="145"/>
      <c r="J3" s="145"/>
      <c r="K3" s="145"/>
      <c r="L3" s="145"/>
      <c r="M3" s="145"/>
      <c r="N3" s="145"/>
      <c r="O3" s="145"/>
      <c r="P3" s="145"/>
      <c r="Q3" s="145"/>
      <c r="R3" s="145"/>
      <c r="S3" s="145"/>
      <c r="T3" s="145"/>
      <c r="U3" s="145"/>
    </row>
    <row r="4" spans="1:32" s="27" customFormat="1" x14ac:dyDescent="0.25">
      <c r="A4" s="146"/>
      <c r="B4" s="146"/>
      <c r="C4" s="146"/>
      <c r="D4" s="146"/>
      <c r="E4" s="146"/>
      <c r="F4" s="146"/>
      <c r="G4" s="146"/>
      <c r="H4" s="146"/>
      <c r="I4" s="146"/>
      <c r="J4" s="146"/>
      <c r="K4" s="146"/>
      <c r="L4" s="146"/>
      <c r="M4" s="146"/>
      <c r="N4" s="146"/>
      <c r="O4" s="146"/>
      <c r="P4" s="146"/>
      <c r="Q4" s="146"/>
      <c r="R4" s="146"/>
      <c r="S4" s="146"/>
      <c r="T4" s="146"/>
      <c r="U4" s="146"/>
      <c r="V4" s="146"/>
      <c r="W4" s="146"/>
      <c r="X4" s="146"/>
    </row>
    <row r="5" spans="1:32" s="15" customFormat="1" x14ac:dyDescent="0.25"/>
    <row r="6" spans="1:32" s="15" customFormat="1" ht="18.75" x14ac:dyDescent="0.3">
      <c r="B6" s="71" t="s">
        <v>125</v>
      </c>
      <c r="C6" s="71"/>
      <c r="D6" s="72"/>
      <c r="E6" s="72"/>
      <c r="F6" s="72"/>
      <c r="G6" s="72"/>
      <c r="H6" s="72"/>
      <c r="I6" s="72"/>
      <c r="J6" s="72"/>
      <c r="K6" s="72"/>
      <c r="L6" s="73"/>
      <c r="M6" s="73"/>
      <c r="N6" s="73"/>
      <c r="O6" s="73"/>
      <c r="P6" s="73"/>
      <c r="Q6" s="73"/>
      <c r="R6" s="73"/>
      <c r="S6" s="73"/>
      <c r="T6" s="73"/>
      <c r="U6" s="73"/>
      <c r="V6" s="73"/>
      <c r="W6" s="73"/>
      <c r="X6" s="73"/>
      <c r="Z6" s="163" t="s">
        <v>75</v>
      </c>
      <c r="AA6" s="163"/>
      <c r="AB6" s="163"/>
      <c r="AC6" s="163"/>
      <c r="AD6" s="163"/>
      <c r="AE6" s="163"/>
      <c r="AF6" s="163"/>
    </row>
    <row r="7" spans="1:32" s="15" customFormat="1" x14ac:dyDescent="0.25">
      <c r="A7" s="11"/>
      <c r="B7" s="67"/>
      <c r="C7" s="67"/>
      <c r="D7" s="67"/>
      <c r="E7" s="67"/>
      <c r="F7" s="67"/>
      <c r="G7" s="67"/>
      <c r="H7" s="67"/>
      <c r="I7" s="67"/>
      <c r="J7" s="67"/>
      <c r="K7" s="67"/>
      <c r="L7" s="67"/>
      <c r="M7" s="67"/>
      <c r="N7" s="67"/>
      <c r="O7" s="67"/>
      <c r="P7" s="67"/>
      <c r="Q7" s="67"/>
      <c r="R7" s="67"/>
      <c r="S7" s="67"/>
      <c r="T7" s="67"/>
      <c r="U7" s="67"/>
      <c r="V7" s="67"/>
      <c r="W7" s="67"/>
      <c r="X7" s="67"/>
      <c r="Z7" s="127" t="s">
        <v>76</v>
      </c>
      <c r="AA7" s="160" t="s">
        <v>182</v>
      </c>
      <c r="AB7" s="161"/>
      <c r="AC7" s="161"/>
      <c r="AD7" s="161"/>
      <c r="AE7" s="161"/>
      <c r="AF7" s="162"/>
    </row>
    <row r="8" spans="1:32" x14ac:dyDescent="0.25">
      <c r="B8" s="67"/>
      <c r="C8" s="67"/>
      <c r="D8" s="67"/>
      <c r="E8" s="67"/>
      <c r="F8" s="67"/>
      <c r="G8" s="67"/>
      <c r="H8" s="67"/>
      <c r="I8" s="67"/>
      <c r="J8" s="67"/>
      <c r="K8" s="67"/>
      <c r="L8" s="67"/>
      <c r="M8" s="67"/>
      <c r="N8" s="67"/>
      <c r="O8" s="67"/>
      <c r="P8" s="67"/>
      <c r="Q8" s="67"/>
      <c r="R8" s="67"/>
      <c r="S8" s="67"/>
      <c r="T8" s="67"/>
      <c r="U8" s="67"/>
      <c r="V8" s="67"/>
      <c r="W8" s="67"/>
      <c r="X8" s="67"/>
      <c r="Z8" s="128" t="s">
        <v>76</v>
      </c>
      <c r="AA8" s="160" t="s">
        <v>180</v>
      </c>
      <c r="AB8" s="161"/>
      <c r="AC8" s="161"/>
      <c r="AD8" s="161"/>
      <c r="AE8" s="161"/>
      <c r="AF8" s="162"/>
    </row>
    <row r="9" spans="1:32" ht="15.75" customHeight="1" x14ac:dyDescent="0.25">
      <c r="B9" s="67"/>
      <c r="C9" s="67"/>
      <c r="D9" s="74">
        <v>0.1</v>
      </c>
      <c r="E9" s="74">
        <v>0.2</v>
      </c>
      <c r="F9" s="74">
        <v>0.3</v>
      </c>
      <c r="G9" s="74">
        <v>0.4</v>
      </c>
      <c r="H9" s="74">
        <v>0.5</v>
      </c>
      <c r="I9" s="74">
        <v>0.6</v>
      </c>
      <c r="J9" s="74">
        <v>0.7</v>
      </c>
      <c r="K9" s="74">
        <v>0.8</v>
      </c>
      <c r="L9" s="74">
        <v>0.9</v>
      </c>
      <c r="M9" s="74">
        <v>1</v>
      </c>
      <c r="N9" s="74">
        <v>1.1000000000000001</v>
      </c>
      <c r="O9" s="74">
        <v>1.2</v>
      </c>
      <c r="P9" s="74">
        <v>1.3</v>
      </c>
      <c r="Q9" s="74">
        <v>1.4</v>
      </c>
      <c r="R9" s="74">
        <v>1.5</v>
      </c>
      <c r="S9" s="74">
        <v>1.6</v>
      </c>
      <c r="T9" s="74">
        <v>1.7</v>
      </c>
      <c r="U9" s="74">
        <v>1.8</v>
      </c>
      <c r="V9" s="74">
        <v>1.9</v>
      </c>
      <c r="W9" s="74">
        <v>2</v>
      </c>
      <c r="X9" s="74"/>
      <c r="Z9" s="157" t="s">
        <v>76</v>
      </c>
      <c r="AA9" s="148" t="s">
        <v>183</v>
      </c>
      <c r="AB9" s="149"/>
      <c r="AC9" s="149"/>
      <c r="AD9" s="149"/>
      <c r="AE9" s="149"/>
      <c r="AF9" s="150"/>
    </row>
    <row r="10" spans="1:32" x14ac:dyDescent="0.25">
      <c r="B10" s="67"/>
      <c r="C10" s="74">
        <v>3</v>
      </c>
      <c r="D10" s="118">
        <f>MIN((($C10-$C10/2-0.1)/(D$9*0.001*CCgain*GainDiffAmp)),((($C10-0.2)/(D$9*0.001*CCgain))-Rmax))</f>
        <v>286.88524590163934</v>
      </c>
      <c r="E10" s="118">
        <f t="shared" ref="D10:M19" si="0">MIN((($C10-$C10/2-0.1)/(E$9*0.001*CCgain*GainDiffAmp)),((($C10-0.2)/(E$9*0.001*CCgain))-Rmax))</f>
        <v>143.44262295081967</v>
      </c>
      <c r="F10" s="118">
        <f t="shared" si="0"/>
        <v>95.62841530054645</v>
      </c>
      <c r="G10" s="118">
        <f t="shared" si="0"/>
        <v>71.721311475409834</v>
      </c>
      <c r="H10" s="118">
        <f t="shared" si="0"/>
        <v>57.377049180327873</v>
      </c>
      <c r="I10" s="118">
        <f t="shared" si="0"/>
        <v>47.814207650273225</v>
      </c>
      <c r="J10" s="118">
        <f t="shared" si="0"/>
        <v>40.983606557377051</v>
      </c>
      <c r="K10" s="118">
        <f t="shared" si="0"/>
        <v>35.860655737704917</v>
      </c>
      <c r="L10" s="118">
        <f t="shared" si="0"/>
        <v>31.876138433515479</v>
      </c>
      <c r="M10" s="118">
        <f t="shared" si="0"/>
        <v>28.688524590163937</v>
      </c>
      <c r="N10" s="118">
        <f t="shared" ref="N10:W19" si="1">MIN((($C10-$C10/2-0.1)/(N$9*0.001*CCgain*GainDiffAmp)),((($C10-0.2)/(N$9*0.001*CCgain))-Rmax))</f>
        <v>26.08047690014903</v>
      </c>
      <c r="O10" s="118">
        <f>MIN((($C10-$C10/2-0.1)/(O$9*0.001*CCgain*GainDiffAmp)),((($C10-0.2)/(O$9*0.001*CCgain))-Rmax))</f>
        <v>23.907103825136613</v>
      </c>
      <c r="P10" s="118">
        <f t="shared" si="1"/>
        <v>14.208766708701091</v>
      </c>
      <c r="Q10" s="118">
        <f t="shared" si="1"/>
        <v>1.5984262295081919</v>
      </c>
      <c r="R10" s="118">
        <f t="shared" si="1"/>
        <v>-9.3305355191257036</v>
      </c>
      <c r="S10" s="118">
        <f t="shared" si="1"/>
        <v>-18.893377049180344</v>
      </c>
      <c r="T10" s="118">
        <f t="shared" si="1"/>
        <v>-27.331178399228548</v>
      </c>
      <c r="U10" s="118">
        <f t="shared" si="1"/>
        <v>-34.831446265938098</v>
      </c>
      <c r="V10" s="118">
        <f t="shared" si="1"/>
        <v>-41.542212251941351</v>
      </c>
      <c r="W10" s="118">
        <f t="shared" si="1"/>
        <v>-47.581901639344267</v>
      </c>
      <c r="X10" s="74"/>
      <c r="Z10" s="158"/>
      <c r="AA10" s="151"/>
      <c r="AB10" s="152"/>
      <c r="AC10" s="152"/>
      <c r="AD10" s="152"/>
      <c r="AE10" s="152"/>
      <c r="AF10" s="153"/>
    </row>
    <row r="11" spans="1:32" x14ac:dyDescent="0.25">
      <c r="B11" s="67"/>
      <c r="C11" s="74">
        <f t="shared" ref="C11:C35" si="2">C10+0.1</f>
        <v>3.1</v>
      </c>
      <c r="D11" s="118">
        <f t="shared" si="0"/>
        <v>297.13114754098359</v>
      </c>
      <c r="E11" s="118">
        <f t="shared" si="0"/>
        <v>148.5655737704918</v>
      </c>
      <c r="F11" s="118">
        <f t="shared" si="0"/>
        <v>99.043715846994544</v>
      </c>
      <c r="G11" s="118">
        <f t="shared" si="0"/>
        <v>74.282786885245898</v>
      </c>
      <c r="H11" s="118">
        <f t="shared" si="0"/>
        <v>59.426229508196727</v>
      </c>
      <c r="I11" s="118">
        <f t="shared" si="0"/>
        <v>49.521857923497272</v>
      </c>
      <c r="J11" s="118">
        <f t="shared" si="0"/>
        <v>42.44730679156909</v>
      </c>
      <c r="K11" s="118">
        <f t="shared" si="0"/>
        <v>37.141393442622949</v>
      </c>
      <c r="L11" s="118">
        <f t="shared" si="0"/>
        <v>33.014571948998174</v>
      </c>
      <c r="M11" s="118">
        <f t="shared" si="0"/>
        <v>29.713114754098363</v>
      </c>
      <c r="N11" s="118">
        <f t="shared" si="1"/>
        <v>27.011922503725781</v>
      </c>
      <c r="O11" s="118">
        <f t="shared" si="1"/>
        <v>24.760928961748636</v>
      </c>
      <c r="P11" s="118">
        <f t="shared" si="1"/>
        <v>20.513936948297555</v>
      </c>
      <c r="Q11" s="118">
        <f t="shared" si="1"/>
        <v>7.4532271662763492</v>
      </c>
      <c r="R11" s="118">
        <f t="shared" si="1"/>
        <v>-3.86605464480877</v>
      </c>
      <c r="S11" s="118">
        <f t="shared" si="1"/>
        <v>-13.770426229508217</v>
      </c>
      <c r="T11" s="118">
        <f t="shared" si="1"/>
        <v>-22.509577627772416</v>
      </c>
      <c r="U11" s="118">
        <f t="shared" si="1"/>
        <v>-30.277712204007315</v>
      </c>
      <c r="V11" s="118">
        <f t="shared" si="1"/>
        <v>-37.228148403796382</v>
      </c>
      <c r="W11" s="118">
        <f t="shared" si="1"/>
        <v>-43.483540983606559</v>
      </c>
      <c r="X11" s="74"/>
      <c r="Z11" s="158"/>
      <c r="AA11" s="151"/>
      <c r="AB11" s="152"/>
      <c r="AC11" s="152"/>
      <c r="AD11" s="152"/>
      <c r="AE11" s="152"/>
      <c r="AF11" s="153"/>
    </row>
    <row r="12" spans="1:32" x14ac:dyDescent="0.25">
      <c r="B12" s="67"/>
      <c r="C12" s="74">
        <f t="shared" si="2"/>
        <v>3.2</v>
      </c>
      <c r="D12" s="118">
        <f t="shared" si="0"/>
        <v>307.3770491803279</v>
      </c>
      <c r="E12" s="118">
        <f t="shared" si="0"/>
        <v>153.68852459016395</v>
      </c>
      <c r="F12" s="118">
        <f t="shared" si="0"/>
        <v>102.45901639344264</v>
      </c>
      <c r="G12" s="118">
        <f t="shared" si="0"/>
        <v>76.844262295081975</v>
      </c>
      <c r="H12" s="118">
        <f t="shared" si="0"/>
        <v>61.47540983606558</v>
      </c>
      <c r="I12" s="118">
        <f t="shared" si="0"/>
        <v>51.229508196721319</v>
      </c>
      <c r="J12" s="118">
        <f t="shared" si="0"/>
        <v>43.91100702576113</v>
      </c>
      <c r="K12" s="118">
        <f t="shared" si="0"/>
        <v>38.422131147540988</v>
      </c>
      <c r="L12" s="118">
        <f t="shared" si="0"/>
        <v>34.153005464480877</v>
      </c>
      <c r="M12" s="118">
        <f t="shared" si="0"/>
        <v>30.73770491803279</v>
      </c>
      <c r="N12" s="118">
        <f t="shared" si="1"/>
        <v>27.943368107302533</v>
      </c>
      <c r="O12" s="118">
        <f t="shared" si="1"/>
        <v>25.61475409836066</v>
      </c>
      <c r="P12" s="118">
        <f t="shared" si="1"/>
        <v>23.644388398486754</v>
      </c>
      <c r="Q12" s="118">
        <f t="shared" si="1"/>
        <v>13.308028103044506</v>
      </c>
      <c r="R12" s="118">
        <f t="shared" si="1"/>
        <v>1.5984262295081919</v>
      </c>
      <c r="S12" s="118">
        <f t="shared" si="1"/>
        <v>-8.647475409836062</v>
      </c>
      <c r="T12" s="118">
        <f t="shared" si="1"/>
        <v>-17.687976856316283</v>
      </c>
      <c r="U12" s="118">
        <f t="shared" si="1"/>
        <v>-25.723978142076504</v>
      </c>
      <c r="V12" s="118">
        <f t="shared" si="1"/>
        <v>-32.914084555651442</v>
      </c>
      <c r="W12" s="118">
        <f t="shared" si="1"/>
        <v>-39.385180327868852</v>
      </c>
      <c r="X12" s="74"/>
      <c r="Z12" s="158"/>
      <c r="AA12" s="151"/>
      <c r="AB12" s="152"/>
      <c r="AC12" s="152"/>
      <c r="AD12" s="152"/>
      <c r="AE12" s="152"/>
      <c r="AF12" s="153"/>
    </row>
    <row r="13" spans="1:32" ht="15" customHeight="1" x14ac:dyDescent="0.25">
      <c r="B13" s="67"/>
      <c r="C13" s="74">
        <f t="shared" si="2"/>
        <v>3.3000000000000003</v>
      </c>
      <c r="D13" s="118">
        <f t="shared" si="0"/>
        <v>317.62295081967216</v>
      </c>
      <c r="E13" s="118">
        <f t="shared" si="0"/>
        <v>158.81147540983608</v>
      </c>
      <c r="F13" s="118">
        <f t="shared" si="0"/>
        <v>105.87431693989072</v>
      </c>
      <c r="G13" s="118">
        <f t="shared" si="0"/>
        <v>79.405737704918039</v>
      </c>
      <c r="H13" s="118">
        <f t="shared" si="0"/>
        <v>63.524590163934434</v>
      </c>
      <c r="I13" s="118">
        <f t="shared" si="0"/>
        <v>52.937158469945359</v>
      </c>
      <c r="J13" s="118">
        <f t="shared" si="0"/>
        <v>45.374707259953169</v>
      </c>
      <c r="K13" s="118">
        <f t="shared" si="0"/>
        <v>39.702868852459019</v>
      </c>
      <c r="L13" s="118">
        <f t="shared" si="0"/>
        <v>35.291438979963573</v>
      </c>
      <c r="M13" s="118">
        <f t="shared" si="0"/>
        <v>31.762295081967217</v>
      </c>
      <c r="N13" s="118">
        <f t="shared" si="1"/>
        <v>28.874813710879287</v>
      </c>
      <c r="O13" s="118">
        <f t="shared" si="1"/>
        <v>26.46857923497268</v>
      </c>
      <c r="P13" s="118">
        <f t="shared" si="1"/>
        <v>24.432534678436316</v>
      </c>
      <c r="Q13" s="118">
        <f t="shared" si="1"/>
        <v>19.162829039812664</v>
      </c>
      <c r="R13" s="118">
        <f t="shared" si="1"/>
        <v>7.0629071038251254</v>
      </c>
      <c r="S13" s="118">
        <f t="shared" si="1"/>
        <v>-3.524524590163935</v>
      </c>
      <c r="T13" s="118">
        <f t="shared" si="1"/>
        <v>-12.866376084860178</v>
      </c>
      <c r="U13" s="118">
        <f t="shared" si="1"/>
        <v>-21.170244080145721</v>
      </c>
      <c r="V13" s="118">
        <f t="shared" si="1"/>
        <v>-28.600020707506474</v>
      </c>
      <c r="W13" s="118">
        <f t="shared" si="1"/>
        <v>-35.286819672131145</v>
      </c>
      <c r="X13" s="74"/>
      <c r="Z13" s="158"/>
      <c r="AA13" s="151"/>
      <c r="AB13" s="152"/>
      <c r="AC13" s="152"/>
      <c r="AD13" s="152"/>
      <c r="AE13" s="152"/>
      <c r="AF13" s="153"/>
    </row>
    <row r="14" spans="1:32" x14ac:dyDescent="0.25">
      <c r="B14" s="67"/>
      <c r="C14" s="74">
        <f t="shared" si="2"/>
        <v>3.4000000000000004</v>
      </c>
      <c r="D14" s="118">
        <f t="shared" si="0"/>
        <v>327.86885245901641</v>
      </c>
      <c r="E14" s="118">
        <f t="shared" si="0"/>
        <v>163.9344262295082</v>
      </c>
      <c r="F14" s="118">
        <f t="shared" si="0"/>
        <v>109.28961748633881</v>
      </c>
      <c r="G14" s="118">
        <f t="shared" si="0"/>
        <v>81.967213114754102</v>
      </c>
      <c r="H14" s="118">
        <f t="shared" si="0"/>
        <v>65.573770491803288</v>
      </c>
      <c r="I14" s="118">
        <f t="shared" si="0"/>
        <v>54.644808743169406</v>
      </c>
      <c r="J14" s="118">
        <f t="shared" si="0"/>
        <v>46.838407494145208</v>
      </c>
      <c r="K14" s="118">
        <f t="shared" si="0"/>
        <v>40.983606557377051</v>
      </c>
      <c r="L14" s="118">
        <f t="shared" si="0"/>
        <v>36.429872495446268</v>
      </c>
      <c r="M14" s="118">
        <f t="shared" si="0"/>
        <v>32.786885245901644</v>
      </c>
      <c r="N14" s="118">
        <f t="shared" si="1"/>
        <v>29.806259314456039</v>
      </c>
      <c r="O14" s="118">
        <f t="shared" si="1"/>
        <v>27.322404371584703</v>
      </c>
      <c r="P14" s="118">
        <f t="shared" si="1"/>
        <v>25.220680958385874</v>
      </c>
      <c r="Q14" s="118">
        <f t="shared" si="1"/>
        <v>23.419203747072604</v>
      </c>
      <c r="R14" s="118">
        <f t="shared" si="1"/>
        <v>12.527387978142059</v>
      </c>
      <c r="S14" s="118">
        <f t="shared" si="1"/>
        <v>1.5984262295081919</v>
      </c>
      <c r="T14" s="118">
        <f t="shared" si="1"/>
        <v>-8.0447753134040454</v>
      </c>
      <c r="U14" s="118">
        <f t="shared" si="1"/>
        <v>-16.616510018214939</v>
      </c>
      <c r="V14" s="118">
        <f t="shared" si="1"/>
        <v>-24.285956859361505</v>
      </c>
      <c r="W14" s="118">
        <f t="shared" si="1"/>
        <v>-31.188459016393438</v>
      </c>
      <c r="X14" s="74"/>
      <c r="Z14" s="159"/>
      <c r="AA14" s="154"/>
      <c r="AB14" s="155"/>
      <c r="AC14" s="155"/>
      <c r="AD14" s="155"/>
      <c r="AE14" s="155"/>
      <c r="AF14" s="156"/>
    </row>
    <row r="15" spans="1:32" x14ac:dyDescent="0.25">
      <c r="B15" s="67"/>
      <c r="C15" s="74">
        <f t="shared" si="2"/>
        <v>3.5000000000000004</v>
      </c>
      <c r="D15" s="118">
        <f t="shared" si="0"/>
        <v>338.11475409836072</v>
      </c>
      <c r="E15" s="118">
        <f t="shared" si="0"/>
        <v>169.05737704918036</v>
      </c>
      <c r="F15" s="118">
        <f t="shared" si="0"/>
        <v>112.70491803278691</v>
      </c>
      <c r="G15" s="118">
        <f t="shared" si="0"/>
        <v>84.52868852459018</v>
      </c>
      <c r="H15" s="118">
        <f t="shared" si="0"/>
        <v>67.622950819672141</v>
      </c>
      <c r="I15" s="118">
        <f t="shared" si="0"/>
        <v>56.352459016393453</v>
      </c>
      <c r="J15" s="118">
        <f t="shared" si="0"/>
        <v>48.302107728337248</v>
      </c>
      <c r="K15" s="118">
        <f t="shared" si="0"/>
        <v>42.26434426229509</v>
      </c>
      <c r="L15" s="118">
        <f t="shared" si="0"/>
        <v>37.568306010928964</v>
      </c>
      <c r="M15" s="118">
        <f t="shared" si="0"/>
        <v>33.811475409836071</v>
      </c>
      <c r="N15" s="118">
        <f t="shared" si="1"/>
        <v>30.73770491803279</v>
      </c>
      <c r="O15" s="118">
        <f t="shared" si="1"/>
        <v>28.176229508196727</v>
      </c>
      <c r="P15" s="118">
        <f t="shared" si="1"/>
        <v>26.008827238335432</v>
      </c>
      <c r="Q15" s="118">
        <f t="shared" si="1"/>
        <v>24.151053864168624</v>
      </c>
      <c r="R15" s="118">
        <f t="shared" si="1"/>
        <v>17.991868852459021</v>
      </c>
      <c r="S15" s="118">
        <f t="shared" si="1"/>
        <v>6.7213770491803473</v>
      </c>
      <c r="T15" s="118">
        <f t="shared" si="1"/>
        <v>-3.2231745419479125</v>
      </c>
      <c r="U15" s="118">
        <f t="shared" si="1"/>
        <v>-12.062775956284156</v>
      </c>
      <c r="V15" s="118">
        <f t="shared" si="1"/>
        <v>-19.971893011216565</v>
      </c>
      <c r="W15" s="118">
        <f t="shared" si="1"/>
        <v>-27.09009836065573</v>
      </c>
      <c r="X15" s="74"/>
      <c r="Z15" s="129" t="s">
        <v>76</v>
      </c>
      <c r="AA15" s="147" t="s">
        <v>179</v>
      </c>
      <c r="AB15" s="147"/>
      <c r="AC15" s="147"/>
      <c r="AD15" s="147"/>
      <c r="AE15" s="147"/>
      <c r="AF15" s="147"/>
    </row>
    <row r="16" spans="1:32" x14ac:dyDescent="0.25">
      <c r="B16" s="67"/>
      <c r="C16" s="74">
        <f t="shared" si="2"/>
        <v>3.6000000000000005</v>
      </c>
      <c r="D16" s="118">
        <f t="shared" si="0"/>
        <v>348.36065573770497</v>
      </c>
      <c r="E16" s="118">
        <f t="shared" si="0"/>
        <v>174.18032786885249</v>
      </c>
      <c r="F16" s="118">
        <f t="shared" si="0"/>
        <v>116.120218579235</v>
      </c>
      <c r="G16" s="118">
        <f t="shared" si="0"/>
        <v>87.090163934426243</v>
      </c>
      <c r="H16" s="118">
        <f t="shared" si="0"/>
        <v>69.672131147540995</v>
      </c>
      <c r="I16" s="118">
        <f t="shared" si="0"/>
        <v>58.0601092896175</v>
      </c>
      <c r="J16" s="118">
        <f t="shared" si="0"/>
        <v>49.765807962529287</v>
      </c>
      <c r="K16" s="118">
        <f t="shared" si="0"/>
        <v>43.545081967213122</v>
      </c>
      <c r="L16" s="118">
        <f t="shared" si="0"/>
        <v>38.70673952641166</v>
      </c>
      <c r="M16" s="118">
        <f t="shared" si="0"/>
        <v>34.836065573770497</v>
      </c>
      <c r="N16" s="118">
        <f t="shared" si="1"/>
        <v>31.669150521609541</v>
      </c>
      <c r="O16" s="118">
        <f t="shared" si="1"/>
        <v>29.03005464480875</v>
      </c>
      <c r="P16" s="118">
        <f t="shared" si="1"/>
        <v>26.796973518284993</v>
      </c>
      <c r="Q16" s="118">
        <f t="shared" si="1"/>
        <v>24.882903981264644</v>
      </c>
      <c r="R16" s="118">
        <f t="shared" si="1"/>
        <v>23.224043715846996</v>
      </c>
      <c r="S16" s="118">
        <f t="shared" si="1"/>
        <v>11.844327868852474</v>
      </c>
      <c r="T16" s="118">
        <f t="shared" si="1"/>
        <v>1.5984262295082203</v>
      </c>
      <c r="U16" s="118">
        <f t="shared" si="1"/>
        <v>-7.5090418943533734</v>
      </c>
      <c r="V16" s="118">
        <f t="shared" si="1"/>
        <v>-15.657829163071597</v>
      </c>
      <c r="W16" s="118">
        <f t="shared" si="1"/>
        <v>-22.991737704918023</v>
      </c>
      <c r="X16" s="74"/>
    </row>
    <row r="17" spans="2:24" x14ac:dyDescent="0.25">
      <c r="B17" s="67"/>
      <c r="C17" s="74">
        <f t="shared" si="2"/>
        <v>3.7000000000000006</v>
      </c>
      <c r="D17" s="118">
        <f t="shared" si="0"/>
        <v>358.60655737704923</v>
      </c>
      <c r="E17" s="118">
        <f t="shared" si="0"/>
        <v>179.30327868852461</v>
      </c>
      <c r="F17" s="118">
        <f t="shared" si="0"/>
        <v>119.53551912568308</v>
      </c>
      <c r="G17" s="118">
        <f t="shared" si="0"/>
        <v>89.651639344262307</v>
      </c>
      <c r="H17" s="118">
        <f t="shared" si="0"/>
        <v>71.721311475409848</v>
      </c>
      <c r="I17" s="118">
        <f t="shared" si="0"/>
        <v>59.76775956284154</v>
      </c>
      <c r="J17" s="118">
        <f t="shared" si="0"/>
        <v>51.229508196721326</v>
      </c>
      <c r="K17" s="118">
        <f t="shared" si="0"/>
        <v>44.825819672131153</v>
      </c>
      <c r="L17" s="118">
        <f t="shared" si="0"/>
        <v>39.845173041894355</v>
      </c>
      <c r="M17" s="118">
        <f t="shared" si="0"/>
        <v>35.860655737704924</v>
      </c>
      <c r="N17" s="118">
        <f t="shared" si="1"/>
        <v>32.600596125186293</v>
      </c>
      <c r="O17" s="118">
        <f t="shared" si="1"/>
        <v>29.88387978142077</v>
      </c>
      <c r="P17" s="118">
        <f t="shared" si="1"/>
        <v>27.585119798234551</v>
      </c>
      <c r="Q17" s="118">
        <f t="shared" si="1"/>
        <v>25.614754098360663</v>
      </c>
      <c r="R17" s="118">
        <f t="shared" si="1"/>
        <v>23.907103825136616</v>
      </c>
      <c r="S17" s="118">
        <f t="shared" si="1"/>
        <v>16.967278688524601</v>
      </c>
      <c r="T17" s="118">
        <f t="shared" si="1"/>
        <v>6.4200270009643532</v>
      </c>
      <c r="U17" s="118">
        <f t="shared" si="1"/>
        <v>-2.9553078324225908</v>
      </c>
      <c r="V17" s="118">
        <f t="shared" si="1"/>
        <v>-11.343765314926657</v>
      </c>
      <c r="W17" s="118">
        <f t="shared" si="1"/>
        <v>-18.893377049180316</v>
      </c>
      <c r="X17" s="74"/>
    </row>
    <row r="18" spans="2:24" x14ac:dyDescent="0.25">
      <c r="B18" s="67"/>
      <c r="C18" s="74">
        <f t="shared" si="2"/>
        <v>3.8000000000000007</v>
      </c>
      <c r="D18" s="118">
        <f t="shared" si="0"/>
        <v>368.85245901639354</v>
      </c>
      <c r="E18" s="118">
        <f t="shared" si="0"/>
        <v>184.42622950819677</v>
      </c>
      <c r="F18" s="118">
        <f t="shared" si="0"/>
        <v>122.95081967213117</v>
      </c>
      <c r="G18" s="118">
        <f t="shared" si="0"/>
        <v>92.213114754098385</v>
      </c>
      <c r="H18" s="118">
        <f t="shared" si="0"/>
        <v>73.770491803278702</v>
      </c>
      <c r="I18" s="118">
        <f t="shared" si="0"/>
        <v>61.475409836065587</v>
      </c>
      <c r="J18" s="118">
        <f t="shared" si="0"/>
        <v>52.693208430913366</v>
      </c>
      <c r="K18" s="118">
        <f t="shared" si="0"/>
        <v>46.106557377049192</v>
      </c>
      <c r="L18" s="118">
        <f t="shared" si="0"/>
        <v>40.983606557377051</v>
      </c>
      <c r="M18" s="118">
        <f t="shared" si="0"/>
        <v>36.885245901639351</v>
      </c>
      <c r="N18" s="118">
        <f t="shared" si="1"/>
        <v>33.532041728763048</v>
      </c>
      <c r="O18" s="118">
        <f t="shared" si="1"/>
        <v>30.737704918032794</v>
      </c>
      <c r="P18" s="118">
        <f t="shared" si="1"/>
        <v>28.373266078184109</v>
      </c>
      <c r="Q18" s="118">
        <f t="shared" si="1"/>
        <v>26.346604215456683</v>
      </c>
      <c r="R18" s="118">
        <f t="shared" si="1"/>
        <v>24.590163934426233</v>
      </c>
      <c r="S18" s="118">
        <f t="shared" si="1"/>
        <v>22.090229508196757</v>
      </c>
      <c r="T18" s="118">
        <f t="shared" si="1"/>
        <v>11.241627772420486</v>
      </c>
      <c r="U18" s="118">
        <f t="shared" si="1"/>
        <v>1.5984262295081919</v>
      </c>
      <c r="V18" s="118">
        <f t="shared" si="1"/>
        <v>-7.0297014667816882</v>
      </c>
      <c r="W18" s="118">
        <f t="shared" si="1"/>
        <v>-14.795016393442609</v>
      </c>
      <c r="X18" s="74"/>
    </row>
    <row r="19" spans="2:24" x14ac:dyDescent="0.25">
      <c r="B19" s="67"/>
      <c r="C19" s="74">
        <f t="shared" si="2"/>
        <v>3.9000000000000008</v>
      </c>
      <c r="D19" s="118">
        <f t="shared" si="0"/>
        <v>379.09836065573779</v>
      </c>
      <c r="E19" s="118">
        <f t="shared" si="0"/>
        <v>189.5491803278689</v>
      </c>
      <c r="F19" s="118">
        <f t="shared" si="0"/>
        <v>126.36612021857927</v>
      </c>
      <c r="G19" s="118">
        <f t="shared" si="0"/>
        <v>94.774590163934448</v>
      </c>
      <c r="H19" s="118">
        <f t="shared" si="0"/>
        <v>75.819672131147556</v>
      </c>
      <c r="I19" s="118">
        <f t="shared" si="0"/>
        <v>63.183060109289634</v>
      </c>
      <c r="J19" s="118">
        <f t="shared" si="0"/>
        <v>54.156908665105405</v>
      </c>
      <c r="K19" s="118">
        <f t="shared" si="0"/>
        <v>47.387295081967224</v>
      </c>
      <c r="L19" s="118">
        <f t="shared" si="0"/>
        <v>42.122040072859754</v>
      </c>
      <c r="M19" s="118">
        <f t="shared" si="0"/>
        <v>37.909836065573778</v>
      </c>
      <c r="N19" s="118">
        <f t="shared" si="1"/>
        <v>34.463487332339795</v>
      </c>
      <c r="O19" s="118">
        <f t="shared" si="1"/>
        <v>31.591530054644817</v>
      </c>
      <c r="P19" s="118">
        <f t="shared" si="1"/>
        <v>29.161412358133671</v>
      </c>
      <c r="Q19" s="118">
        <f t="shared" si="1"/>
        <v>27.078454332552703</v>
      </c>
      <c r="R19" s="118">
        <f t="shared" si="1"/>
        <v>25.27322404371585</v>
      </c>
      <c r="S19" s="118">
        <f t="shared" si="1"/>
        <v>23.693647540983612</v>
      </c>
      <c r="T19" s="118">
        <f t="shared" si="1"/>
        <v>16.06322854387659</v>
      </c>
      <c r="U19" s="118">
        <f t="shared" si="1"/>
        <v>6.152160291439003</v>
      </c>
      <c r="V19" s="118">
        <f t="shared" si="1"/>
        <v>-2.7156376186367481</v>
      </c>
      <c r="W19" s="118">
        <f t="shared" si="1"/>
        <v>-10.696655737704901</v>
      </c>
      <c r="X19" s="74"/>
    </row>
    <row r="20" spans="2:24" x14ac:dyDescent="0.25">
      <c r="B20" s="67"/>
      <c r="C20" s="74">
        <f t="shared" si="2"/>
        <v>4.0000000000000009</v>
      </c>
      <c r="D20" s="118">
        <f t="shared" ref="D20:M29" si="3">MIN((($C20-$C20/2-0.1)/(D$9*0.001*CCgain*GainDiffAmp)),((($C20-0.2)/(D$9*0.001*CCgain))-Rmax))</f>
        <v>389.34426229508205</v>
      </c>
      <c r="E20" s="118">
        <f t="shared" si="3"/>
        <v>194.67213114754102</v>
      </c>
      <c r="F20" s="118">
        <f t="shared" si="3"/>
        <v>129.78142076502735</v>
      </c>
      <c r="G20" s="118">
        <f t="shared" si="3"/>
        <v>97.336065573770512</v>
      </c>
      <c r="H20" s="118">
        <f t="shared" si="3"/>
        <v>77.868852459016409</v>
      </c>
      <c r="I20" s="118">
        <f t="shared" si="3"/>
        <v>64.890710382513674</v>
      </c>
      <c r="J20" s="118">
        <f t="shared" si="3"/>
        <v>55.620608899297444</v>
      </c>
      <c r="K20" s="118">
        <f t="shared" si="3"/>
        <v>48.668032786885256</v>
      </c>
      <c r="L20" s="118">
        <f t="shared" si="3"/>
        <v>43.26047358834245</v>
      </c>
      <c r="M20" s="118">
        <f t="shared" si="3"/>
        <v>38.934426229508205</v>
      </c>
      <c r="N20" s="118">
        <f t="shared" ref="N20:W29" si="4">MIN((($C20-$C20/2-0.1)/(N$9*0.001*CCgain*GainDiffAmp)),((($C20-0.2)/(N$9*0.001*CCgain))-Rmax))</f>
        <v>35.39493293591655</v>
      </c>
      <c r="O20" s="118">
        <f t="shared" si="4"/>
        <v>32.445355191256837</v>
      </c>
      <c r="P20" s="118">
        <f t="shared" si="4"/>
        <v>29.949558638083229</v>
      </c>
      <c r="Q20" s="118">
        <f t="shared" si="4"/>
        <v>27.810304449648722</v>
      </c>
      <c r="R20" s="118">
        <f t="shared" si="4"/>
        <v>25.95628415300547</v>
      </c>
      <c r="S20" s="118">
        <f t="shared" si="4"/>
        <v>24.334016393442628</v>
      </c>
      <c r="T20" s="118">
        <f t="shared" si="4"/>
        <v>20.884829315332723</v>
      </c>
      <c r="U20" s="118">
        <f t="shared" si="4"/>
        <v>10.705894353369786</v>
      </c>
      <c r="V20" s="118">
        <f t="shared" si="4"/>
        <v>1.5984262295082203</v>
      </c>
      <c r="W20" s="118">
        <f t="shared" si="4"/>
        <v>-6.5982950819671942</v>
      </c>
      <c r="X20" s="74"/>
    </row>
    <row r="21" spans="2:24" x14ac:dyDescent="0.25">
      <c r="B21" s="67"/>
      <c r="C21" s="74">
        <f t="shared" si="2"/>
        <v>4.1000000000000005</v>
      </c>
      <c r="D21" s="118">
        <f t="shared" si="3"/>
        <v>399.5901639344263</v>
      </c>
      <c r="E21" s="118">
        <f t="shared" si="3"/>
        <v>199.79508196721315</v>
      </c>
      <c r="F21" s="118">
        <f t="shared" si="3"/>
        <v>133.19672131147544</v>
      </c>
      <c r="G21" s="118">
        <f t="shared" si="3"/>
        <v>99.897540983606575</v>
      </c>
      <c r="H21" s="118">
        <f t="shared" si="3"/>
        <v>79.918032786885263</v>
      </c>
      <c r="I21" s="118">
        <f t="shared" si="3"/>
        <v>66.598360655737721</v>
      </c>
      <c r="J21" s="118">
        <f t="shared" si="3"/>
        <v>57.084309133489477</v>
      </c>
      <c r="K21" s="118">
        <f t="shared" si="3"/>
        <v>49.948770491803288</v>
      </c>
      <c r="L21" s="118">
        <f t="shared" si="3"/>
        <v>44.398907103825138</v>
      </c>
      <c r="M21" s="118">
        <f t="shared" si="3"/>
        <v>39.959016393442631</v>
      </c>
      <c r="N21" s="118">
        <f t="shared" si="4"/>
        <v>36.326378539493298</v>
      </c>
      <c r="O21" s="118">
        <f t="shared" si="4"/>
        <v>33.299180327868861</v>
      </c>
      <c r="P21" s="118">
        <f t="shared" si="4"/>
        <v>30.737704918032783</v>
      </c>
      <c r="Q21" s="118">
        <f t="shared" si="4"/>
        <v>28.542154566744738</v>
      </c>
      <c r="R21" s="118">
        <f t="shared" si="4"/>
        <v>26.639344262295083</v>
      </c>
      <c r="S21" s="118">
        <f t="shared" si="4"/>
        <v>24.974385245901644</v>
      </c>
      <c r="T21" s="118">
        <f t="shared" si="4"/>
        <v>23.505303760848605</v>
      </c>
      <c r="U21" s="118">
        <f t="shared" si="4"/>
        <v>15.25962841530054</v>
      </c>
      <c r="V21" s="118">
        <f t="shared" si="4"/>
        <v>5.9124900776531604</v>
      </c>
      <c r="W21" s="118">
        <f t="shared" si="4"/>
        <v>-2.4999344262294869</v>
      </c>
      <c r="X21" s="74"/>
    </row>
    <row r="22" spans="2:24" x14ac:dyDescent="0.25">
      <c r="B22" s="67"/>
      <c r="C22" s="74">
        <f t="shared" si="2"/>
        <v>4.2</v>
      </c>
      <c r="D22" s="118">
        <f t="shared" si="3"/>
        <v>409.8360655737705</v>
      </c>
      <c r="E22" s="118">
        <f t="shared" si="3"/>
        <v>204.91803278688525</v>
      </c>
      <c r="F22" s="118">
        <f t="shared" si="3"/>
        <v>136.61202185792351</v>
      </c>
      <c r="G22" s="118">
        <f t="shared" si="3"/>
        <v>102.45901639344262</v>
      </c>
      <c r="H22" s="118">
        <f t="shared" si="3"/>
        <v>81.967213114754102</v>
      </c>
      <c r="I22" s="118">
        <f t="shared" si="3"/>
        <v>68.306010928961754</v>
      </c>
      <c r="J22" s="118">
        <f t="shared" si="3"/>
        <v>58.548009367681509</v>
      </c>
      <c r="K22" s="118">
        <f t="shared" si="3"/>
        <v>51.229508196721312</v>
      </c>
      <c r="L22" s="118">
        <f t="shared" si="3"/>
        <v>45.537340619307834</v>
      </c>
      <c r="M22" s="118">
        <f t="shared" si="3"/>
        <v>40.983606557377051</v>
      </c>
      <c r="N22" s="118">
        <f t="shared" si="4"/>
        <v>37.257824143070046</v>
      </c>
      <c r="O22" s="118">
        <f t="shared" si="4"/>
        <v>34.153005464480877</v>
      </c>
      <c r="P22" s="118">
        <f t="shared" si="4"/>
        <v>31.525851197982341</v>
      </c>
      <c r="Q22" s="118">
        <f t="shared" si="4"/>
        <v>29.274004683840754</v>
      </c>
      <c r="R22" s="118">
        <f t="shared" si="4"/>
        <v>27.3224043715847</v>
      </c>
      <c r="S22" s="118">
        <f t="shared" si="4"/>
        <v>25.614754098360656</v>
      </c>
      <c r="T22" s="118">
        <f t="shared" si="4"/>
        <v>24.108003857280618</v>
      </c>
      <c r="U22" s="118">
        <f t="shared" si="4"/>
        <v>19.813362477231323</v>
      </c>
      <c r="V22" s="118">
        <f t="shared" si="4"/>
        <v>10.2265539257981</v>
      </c>
      <c r="W22" s="118">
        <f t="shared" si="4"/>
        <v>1.5984262295081919</v>
      </c>
      <c r="X22" s="74"/>
    </row>
    <row r="23" spans="2:24" x14ac:dyDescent="0.25">
      <c r="B23" s="67"/>
      <c r="C23" s="74">
        <f t="shared" si="2"/>
        <v>4.3</v>
      </c>
      <c r="D23" s="118">
        <f t="shared" si="3"/>
        <v>420.08196721311475</v>
      </c>
      <c r="E23" s="118">
        <f t="shared" si="3"/>
        <v>210.04098360655738</v>
      </c>
      <c r="F23" s="118">
        <f t="shared" si="3"/>
        <v>140.02732240437157</v>
      </c>
      <c r="G23" s="118">
        <f t="shared" si="3"/>
        <v>105.02049180327869</v>
      </c>
      <c r="H23" s="118">
        <f t="shared" si="3"/>
        <v>84.016393442622956</v>
      </c>
      <c r="I23" s="118">
        <f t="shared" si="3"/>
        <v>70.013661202185787</v>
      </c>
      <c r="J23" s="118">
        <f t="shared" si="3"/>
        <v>60.011709601873541</v>
      </c>
      <c r="K23" s="118">
        <f t="shared" si="3"/>
        <v>52.510245901639344</v>
      </c>
      <c r="L23" s="118">
        <f t="shared" si="3"/>
        <v>46.675774134790522</v>
      </c>
      <c r="M23" s="118">
        <f t="shared" si="3"/>
        <v>42.008196721311478</v>
      </c>
      <c r="N23" s="118">
        <f t="shared" si="4"/>
        <v>38.189269746646794</v>
      </c>
      <c r="O23" s="118">
        <f t="shared" si="4"/>
        <v>35.006830601092894</v>
      </c>
      <c r="P23" s="118">
        <f t="shared" si="4"/>
        <v>32.313997477931899</v>
      </c>
      <c r="Q23" s="118">
        <f t="shared" si="4"/>
        <v>30.00585480093677</v>
      </c>
      <c r="R23" s="118">
        <f t="shared" si="4"/>
        <v>28.005464480874313</v>
      </c>
      <c r="S23" s="118">
        <f t="shared" si="4"/>
        <v>26.255122950819672</v>
      </c>
      <c r="T23" s="118">
        <f t="shared" si="4"/>
        <v>24.710703953712631</v>
      </c>
      <c r="U23" s="118">
        <f t="shared" si="4"/>
        <v>23.337887067395261</v>
      </c>
      <c r="V23" s="118">
        <f t="shared" si="4"/>
        <v>14.54061777394304</v>
      </c>
      <c r="W23" s="118">
        <f t="shared" si="4"/>
        <v>5.6967868852458992</v>
      </c>
      <c r="X23" s="74"/>
    </row>
    <row r="24" spans="2:24" x14ac:dyDescent="0.25">
      <c r="B24" s="67"/>
      <c r="C24" s="74">
        <f t="shared" si="2"/>
        <v>4.3999999999999995</v>
      </c>
      <c r="D24" s="118">
        <f t="shared" si="3"/>
        <v>430.32786885245895</v>
      </c>
      <c r="E24" s="118">
        <f t="shared" si="3"/>
        <v>215.16393442622947</v>
      </c>
      <c r="F24" s="118">
        <f t="shared" si="3"/>
        <v>143.44262295081967</v>
      </c>
      <c r="G24" s="118">
        <f t="shared" si="3"/>
        <v>107.58196721311474</v>
      </c>
      <c r="H24" s="118">
        <f t="shared" si="3"/>
        <v>86.065573770491795</v>
      </c>
      <c r="I24" s="118">
        <f t="shared" si="3"/>
        <v>71.721311475409834</v>
      </c>
      <c r="J24" s="118">
        <f t="shared" si="3"/>
        <v>61.475409836065573</v>
      </c>
      <c r="K24" s="118">
        <f t="shared" si="3"/>
        <v>53.790983606557369</v>
      </c>
      <c r="L24" s="118">
        <f t="shared" si="3"/>
        <v>47.814207650273218</v>
      </c>
      <c r="M24" s="118">
        <f t="shared" si="3"/>
        <v>43.032786885245898</v>
      </c>
      <c r="N24" s="118">
        <f t="shared" si="4"/>
        <v>39.120715350223541</v>
      </c>
      <c r="O24" s="118">
        <f t="shared" si="4"/>
        <v>35.860655737704917</v>
      </c>
      <c r="P24" s="118">
        <f t="shared" si="4"/>
        <v>33.10214375788145</v>
      </c>
      <c r="Q24" s="118">
        <f t="shared" si="4"/>
        <v>30.737704918032787</v>
      </c>
      <c r="R24" s="118">
        <f t="shared" si="4"/>
        <v>28.688524590163929</v>
      </c>
      <c r="S24" s="118">
        <f t="shared" si="4"/>
        <v>26.895491803278684</v>
      </c>
      <c r="T24" s="118">
        <f t="shared" si="4"/>
        <v>25.313404050144648</v>
      </c>
      <c r="U24" s="118">
        <f t="shared" si="4"/>
        <v>23.907103825136609</v>
      </c>
      <c r="V24" s="118">
        <f t="shared" si="4"/>
        <v>18.85468162208798</v>
      </c>
      <c r="W24" s="118">
        <f t="shared" si="4"/>
        <v>9.795147540983578</v>
      </c>
      <c r="X24" s="74"/>
    </row>
    <row r="25" spans="2:24" x14ac:dyDescent="0.25">
      <c r="B25" s="67"/>
      <c r="C25" s="74">
        <f t="shared" si="2"/>
        <v>4.4999999999999991</v>
      </c>
      <c r="D25" s="118">
        <f t="shared" si="3"/>
        <v>440.5737704918032</v>
      </c>
      <c r="E25" s="118">
        <f t="shared" si="3"/>
        <v>220.2868852459016</v>
      </c>
      <c r="F25" s="118">
        <f t="shared" si="3"/>
        <v>146.85792349726773</v>
      </c>
      <c r="G25" s="118">
        <f t="shared" si="3"/>
        <v>110.1434426229508</v>
      </c>
      <c r="H25" s="118">
        <f t="shared" si="3"/>
        <v>88.114754098360635</v>
      </c>
      <c r="I25" s="118">
        <f t="shared" si="3"/>
        <v>73.428961748633867</v>
      </c>
      <c r="J25" s="118">
        <f t="shared" si="3"/>
        <v>62.939110070257605</v>
      </c>
      <c r="K25" s="118">
        <f t="shared" si="3"/>
        <v>55.0717213114754</v>
      </c>
      <c r="L25" s="118">
        <f t="shared" si="3"/>
        <v>48.952641165755907</v>
      </c>
      <c r="M25" s="118">
        <f t="shared" si="3"/>
        <v>44.057377049180317</v>
      </c>
      <c r="N25" s="118">
        <f t="shared" si="4"/>
        <v>40.052160953800289</v>
      </c>
      <c r="O25" s="118">
        <f t="shared" si="4"/>
        <v>36.714480874316934</v>
      </c>
      <c r="P25" s="118">
        <f t="shared" si="4"/>
        <v>33.890290037831008</v>
      </c>
      <c r="Q25" s="118">
        <f t="shared" si="4"/>
        <v>31.469555035128803</v>
      </c>
      <c r="R25" s="118">
        <f t="shared" si="4"/>
        <v>29.371584699453543</v>
      </c>
      <c r="S25" s="118">
        <f t="shared" si="4"/>
        <v>27.5358606557377</v>
      </c>
      <c r="T25" s="118">
        <f t="shared" si="4"/>
        <v>25.916104146576661</v>
      </c>
      <c r="U25" s="118">
        <f t="shared" si="4"/>
        <v>24.476320582877953</v>
      </c>
      <c r="V25" s="118">
        <f t="shared" si="4"/>
        <v>23.168745470232921</v>
      </c>
      <c r="W25" s="118">
        <f t="shared" si="4"/>
        <v>13.893508196721257</v>
      </c>
      <c r="X25" s="74"/>
    </row>
    <row r="26" spans="2:24" x14ac:dyDescent="0.25">
      <c r="B26" s="67"/>
      <c r="C26" s="74">
        <f t="shared" si="2"/>
        <v>4.5999999999999988</v>
      </c>
      <c r="D26" s="118">
        <f t="shared" si="3"/>
        <v>450.8196721311474</v>
      </c>
      <c r="E26" s="118">
        <f t="shared" si="3"/>
        <v>225.4098360655737</v>
      </c>
      <c r="F26" s="118">
        <f t="shared" si="3"/>
        <v>150.2732240437158</v>
      </c>
      <c r="G26" s="118">
        <f t="shared" si="3"/>
        <v>112.70491803278685</v>
      </c>
      <c r="H26" s="118">
        <f t="shared" si="3"/>
        <v>90.163934426229488</v>
      </c>
      <c r="I26" s="118">
        <f t="shared" si="3"/>
        <v>75.1366120218579</v>
      </c>
      <c r="J26" s="118">
        <f t="shared" si="3"/>
        <v>64.402810304449631</v>
      </c>
      <c r="K26" s="118">
        <f t="shared" si="3"/>
        <v>56.352459016393425</v>
      </c>
      <c r="L26" s="118">
        <f t="shared" si="3"/>
        <v>50.091074681238595</v>
      </c>
      <c r="M26" s="118">
        <f t="shared" si="3"/>
        <v>45.081967213114744</v>
      </c>
      <c r="N26" s="118">
        <f t="shared" si="4"/>
        <v>40.983606557377037</v>
      </c>
      <c r="O26" s="118">
        <f t="shared" si="4"/>
        <v>37.56830601092895</v>
      </c>
      <c r="P26" s="118">
        <f t="shared" si="4"/>
        <v>34.678436317780566</v>
      </c>
      <c r="Q26" s="118">
        <f t="shared" si="4"/>
        <v>32.201405152224815</v>
      </c>
      <c r="R26" s="118">
        <f t="shared" si="4"/>
        <v>30.054644808743159</v>
      </c>
      <c r="S26" s="118">
        <f t="shared" si="4"/>
        <v>28.176229508196712</v>
      </c>
      <c r="T26" s="118">
        <f t="shared" si="4"/>
        <v>26.518804243008674</v>
      </c>
      <c r="U26" s="118">
        <f t="shared" si="4"/>
        <v>25.045537340619298</v>
      </c>
      <c r="V26" s="118">
        <f t="shared" si="4"/>
        <v>23.727351164797231</v>
      </c>
      <c r="W26" s="118">
        <f t="shared" si="4"/>
        <v>17.991868852458964</v>
      </c>
      <c r="X26" s="74"/>
    </row>
    <row r="27" spans="2:24" x14ac:dyDescent="0.25">
      <c r="B27" s="67"/>
      <c r="C27" s="74">
        <f t="shared" si="2"/>
        <v>4.6999999999999984</v>
      </c>
      <c r="D27" s="118">
        <f t="shared" si="3"/>
        <v>461.06557377049165</v>
      </c>
      <c r="E27" s="118">
        <f t="shared" si="3"/>
        <v>230.53278688524583</v>
      </c>
      <c r="F27" s="118">
        <f t="shared" si="3"/>
        <v>153.68852459016389</v>
      </c>
      <c r="G27" s="118">
        <f t="shared" si="3"/>
        <v>115.26639344262291</v>
      </c>
      <c r="H27" s="118">
        <f t="shared" si="3"/>
        <v>92.213114754098328</v>
      </c>
      <c r="I27" s="118">
        <f t="shared" si="3"/>
        <v>76.844262295081947</v>
      </c>
      <c r="J27" s="118">
        <f t="shared" si="3"/>
        <v>65.866510538641663</v>
      </c>
      <c r="K27" s="118">
        <f t="shared" si="3"/>
        <v>57.633196721311457</v>
      </c>
      <c r="L27" s="118">
        <f t="shared" si="3"/>
        <v>51.229508196721291</v>
      </c>
      <c r="M27" s="118">
        <f t="shared" si="3"/>
        <v>46.106557377049164</v>
      </c>
      <c r="N27" s="118">
        <f t="shared" si="4"/>
        <v>41.915052160953785</v>
      </c>
      <c r="O27" s="118">
        <f t="shared" si="4"/>
        <v>38.422131147540973</v>
      </c>
      <c r="P27" s="118">
        <f t="shared" si="4"/>
        <v>35.466582597730117</v>
      </c>
      <c r="Q27" s="118">
        <f t="shared" si="4"/>
        <v>32.933255269320831</v>
      </c>
      <c r="R27" s="118">
        <f t="shared" si="4"/>
        <v>30.737704918032776</v>
      </c>
      <c r="S27" s="118">
        <f t="shared" si="4"/>
        <v>28.816598360655728</v>
      </c>
      <c r="T27" s="118">
        <f t="shared" si="4"/>
        <v>27.121504339440687</v>
      </c>
      <c r="U27" s="118">
        <f t="shared" si="4"/>
        <v>25.614754098360645</v>
      </c>
      <c r="V27" s="118">
        <f t="shared" si="4"/>
        <v>24.266609145815348</v>
      </c>
      <c r="W27" s="118">
        <f t="shared" si="4"/>
        <v>22.090229508196643</v>
      </c>
      <c r="X27" s="74"/>
    </row>
    <row r="28" spans="2:24" x14ac:dyDescent="0.25">
      <c r="B28" s="67"/>
      <c r="C28" s="74">
        <f t="shared" si="2"/>
        <v>4.799999999999998</v>
      </c>
      <c r="D28" s="118">
        <f t="shared" si="3"/>
        <v>471.31147540983585</v>
      </c>
      <c r="E28" s="118">
        <f t="shared" si="3"/>
        <v>235.65573770491793</v>
      </c>
      <c r="F28" s="118">
        <f t="shared" si="3"/>
        <v>157.10382513661196</v>
      </c>
      <c r="G28" s="118">
        <f t="shared" si="3"/>
        <v>117.82786885245896</v>
      </c>
      <c r="H28" s="118">
        <f t="shared" si="3"/>
        <v>94.262295081967181</v>
      </c>
      <c r="I28" s="118">
        <f t="shared" si="3"/>
        <v>78.55191256830598</v>
      </c>
      <c r="J28" s="118">
        <f t="shared" si="3"/>
        <v>67.330210772833695</v>
      </c>
      <c r="K28" s="118">
        <f t="shared" si="3"/>
        <v>58.913934426229481</v>
      </c>
      <c r="L28" s="118">
        <f t="shared" si="3"/>
        <v>52.367941712203979</v>
      </c>
      <c r="M28" s="118">
        <f t="shared" si="3"/>
        <v>47.131147540983591</v>
      </c>
      <c r="N28" s="118">
        <f t="shared" si="4"/>
        <v>42.846497764530532</v>
      </c>
      <c r="O28" s="118">
        <f t="shared" si="4"/>
        <v>39.27595628415299</v>
      </c>
      <c r="P28" s="118">
        <f t="shared" si="4"/>
        <v>36.254728877679675</v>
      </c>
      <c r="Q28" s="118">
        <f t="shared" si="4"/>
        <v>33.665105386416847</v>
      </c>
      <c r="R28" s="118">
        <f t="shared" si="4"/>
        <v>31.420765027322389</v>
      </c>
      <c r="S28" s="118">
        <f t="shared" si="4"/>
        <v>29.456967213114741</v>
      </c>
      <c r="T28" s="118">
        <f t="shared" si="4"/>
        <v>27.7242044358727</v>
      </c>
      <c r="U28" s="118">
        <f t="shared" si="4"/>
        <v>26.18397085610199</v>
      </c>
      <c r="V28" s="118">
        <f t="shared" si="4"/>
        <v>24.805867126833466</v>
      </c>
      <c r="W28" s="118">
        <f t="shared" si="4"/>
        <v>23.565573770491795</v>
      </c>
      <c r="X28" s="74"/>
    </row>
    <row r="29" spans="2:24" x14ac:dyDescent="0.25">
      <c r="B29" s="67"/>
      <c r="C29" s="74">
        <f t="shared" si="2"/>
        <v>4.8999999999999977</v>
      </c>
      <c r="D29" s="118">
        <f t="shared" si="3"/>
        <v>481.5573770491801</v>
      </c>
      <c r="E29" s="118">
        <f t="shared" si="3"/>
        <v>240.77868852459005</v>
      </c>
      <c r="F29" s="118">
        <f t="shared" si="3"/>
        <v>160.51912568306005</v>
      </c>
      <c r="G29" s="118">
        <f t="shared" si="3"/>
        <v>120.38934426229503</v>
      </c>
      <c r="H29" s="118">
        <f t="shared" si="3"/>
        <v>96.311475409836021</v>
      </c>
      <c r="I29" s="118">
        <f t="shared" si="3"/>
        <v>80.259562841530027</v>
      </c>
      <c r="J29" s="118">
        <f t="shared" si="3"/>
        <v>68.793911007025727</v>
      </c>
      <c r="K29" s="118">
        <f t="shared" si="3"/>
        <v>60.194672131147513</v>
      </c>
      <c r="L29" s="118">
        <f t="shared" si="3"/>
        <v>53.506375227686675</v>
      </c>
      <c r="M29" s="118">
        <f t="shared" si="3"/>
        <v>48.15573770491801</v>
      </c>
      <c r="N29" s="118">
        <f t="shared" si="4"/>
        <v>43.77794336810728</v>
      </c>
      <c r="O29" s="118">
        <f t="shared" si="4"/>
        <v>40.129781420765013</v>
      </c>
      <c r="P29" s="118">
        <f t="shared" si="4"/>
        <v>37.042875157629233</v>
      </c>
      <c r="Q29" s="118">
        <f t="shared" si="4"/>
        <v>34.396955503512864</v>
      </c>
      <c r="R29" s="118">
        <f t="shared" si="4"/>
        <v>32.103825136612002</v>
      </c>
      <c r="S29" s="118">
        <f t="shared" si="4"/>
        <v>30.097336065573757</v>
      </c>
      <c r="T29" s="118">
        <f t="shared" si="4"/>
        <v>28.326904532304713</v>
      </c>
      <c r="U29" s="118">
        <f t="shared" si="4"/>
        <v>26.753187613843338</v>
      </c>
      <c r="V29" s="118">
        <f t="shared" si="4"/>
        <v>25.345125107851583</v>
      </c>
      <c r="W29" s="118">
        <f t="shared" si="4"/>
        <v>24.077868852459005</v>
      </c>
      <c r="X29" s="74"/>
    </row>
    <row r="30" spans="2:24" x14ac:dyDescent="0.25">
      <c r="B30" s="67"/>
      <c r="C30" s="74">
        <f t="shared" si="2"/>
        <v>4.9999999999999973</v>
      </c>
      <c r="D30" s="118">
        <f t="shared" ref="D30:M35" si="5">MIN((($C30-$C30/2-0.1)/(D$9*0.001*CCgain*GainDiffAmp)),((($C30-0.2)/(D$9*0.001*CCgain))-Rmax))</f>
        <v>491.8032786885243</v>
      </c>
      <c r="E30" s="118">
        <f t="shared" si="5"/>
        <v>245.90163934426215</v>
      </c>
      <c r="F30" s="118">
        <f t="shared" si="5"/>
        <v>163.93442622950812</v>
      </c>
      <c r="G30" s="118">
        <f t="shared" si="5"/>
        <v>122.95081967213108</v>
      </c>
      <c r="H30" s="118">
        <f t="shared" si="5"/>
        <v>98.360655737704874</v>
      </c>
      <c r="I30" s="118">
        <f t="shared" si="5"/>
        <v>81.96721311475406</v>
      </c>
      <c r="J30" s="118">
        <f t="shared" si="5"/>
        <v>70.257611241217759</v>
      </c>
      <c r="K30" s="118">
        <f t="shared" si="5"/>
        <v>61.475409836065538</v>
      </c>
      <c r="L30" s="118">
        <f t="shared" si="5"/>
        <v>54.644808743169364</v>
      </c>
      <c r="M30" s="118">
        <f t="shared" si="5"/>
        <v>49.180327868852437</v>
      </c>
      <c r="N30" s="118">
        <f t="shared" ref="N30:W35" si="6">MIN((($C30-$C30/2-0.1)/(N$9*0.001*CCgain*GainDiffAmp)),((($C30-0.2)/(N$9*0.001*CCgain))-Rmax))</f>
        <v>44.709388971684028</v>
      </c>
      <c r="O30" s="118">
        <f t="shared" si="6"/>
        <v>40.98360655737703</v>
      </c>
      <c r="P30" s="118">
        <f t="shared" si="6"/>
        <v>37.831021437578784</v>
      </c>
      <c r="Q30" s="118">
        <f t="shared" si="6"/>
        <v>35.12880562060888</v>
      </c>
      <c r="R30" s="118">
        <f t="shared" si="6"/>
        <v>32.786885245901622</v>
      </c>
      <c r="S30" s="118">
        <f t="shared" si="6"/>
        <v>30.737704918032769</v>
      </c>
      <c r="T30" s="118">
        <f t="shared" si="6"/>
        <v>28.929604628736726</v>
      </c>
      <c r="U30" s="118">
        <f t="shared" si="6"/>
        <v>27.322404371584682</v>
      </c>
      <c r="V30" s="118">
        <f t="shared" si="6"/>
        <v>25.884383088869701</v>
      </c>
      <c r="W30" s="118">
        <f t="shared" si="6"/>
        <v>24.590163934426219</v>
      </c>
      <c r="X30" s="74"/>
    </row>
    <row r="31" spans="2:24" x14ac:dyDescent="0.25">
      <c r="B31" s="67"/>
      <c r="C31" s="74">
        <f t="shared" si="2"/>
        <v>5.099999999999997</v>
      </c>
      <c r="D31" s="118">
        <f t="shared" si="5"/>
        <v>502.04918032786856</v>
      </c>
      <c r="E31" s="118">
        <f t="shared" si="5"/>
        <v>251.02459016393428</v>
      </c>
      <c r="F31" s="118">
        <f t="shared" si="5"/>
        <v>167.34972677595619</v>
      </c>
      <c r="G31" s="118">
        <f t="shared" si="5"/>
        <v>125.51229508196714</v>
      </c>
      <c r="H31" s="118">
        <f t="shared" si="5"/>
        <v>100.40983606557371</v>
      </c>
      <c r="I31" s="118">
        <f t="shared" si="5"/>
        <v>83.674863387978093</v>
      </c>
      <c r="J31" s="118">
        <f t="shared" si="5"/>
        <v>71.721311475409792</v>
      </c>
      <c r="K31" s="118">
        <f t="shared" si="5"/>
        <v>62.756147540983569</v>
      </c>
      <c r="L31" s="118">
        <f t="shared" si="5"/>
        <v>55.783242258652059</v>
      </c>
      <c r="M31" s="118">
        <f t="shared" si="5"/>
        <v>50.204918032786857</v>
      </c>
      <c r="N31" s="118">
        <f t="shared" si="6"/>
        <v>45.640834575260776</v>
      </c>
      <c r="O31" s="118">
        <f t="shared" si="6"/>
        <v>41.837431693989046</v>
      </c>
      <c r="P31" s="118">
        <f t="shared" si="6"/>
        <v>38.619167717528342</v>
      </c>
      <c r="Q31" s="118">
        <f t="shared" si="6"/>
        <v>35.860655737704896</v>
      </c>
      <c r="R31" s="118">
        <f t="shared" si="6"/>
        <v>33.469945355191236</v>
      </c>
      <c r="S31" s="118">
        <f t="shared" si="6"/>
        <v>31.378073770491785</v>
      </c>
      <c r="T31" s="118">
        <f t="shared" si="6"/>
        <v>29.532304725168739</v>
      </c>
      <c r="U31" s="118">
        <f t="shared" si="6"/>
        <v>27.89162112932603</v>
      </c>
      <c r="V31" s="118">
        <f t="shared" si="6"/>
        <v>26.423641069887818</v>
      </c>
      <c r="W31" s="118">
        <f t="shared" si="6"/>
        <v>25.102459016393428</v>
      </c>
      <c r="X31" s="74"/>
    </row>
    <row r="32" spans="2:24" x14ac:dyDescent="0.25">
      <c r="B32" s="67"/>
      <c r="C32" s="74">
        <f t="shared" si="2"/>
        <v>5.1999999999999966</v>
      </c>
      <c r="D32" s="118">
        <f t="shared" si="5"/>
        <v>512.29508196721281</v>
      </c>
      <c r="E32" s="118">
        <f t="shared" si="5"/>
        <v>256.1475409836064</v>
      </c>
      <c r="F32" s="118">
        <f t="shared" si="5"/>
        <v>170.76502732240428</v>
      </c>
      <c r="G32" s="118">
        <f t="shared" si="5"/>
        <v>128.0737704918032</v>
      </c>
      <c r="H32" s="118">
        <f t="shared" si="5"/>
        <v>102.45901639344255</v>
      </c>
      <c r="I32" s="118">
        <f t="shared" si="5"/>
        <v>85.38251366120214</v>
      </c>
      <c r="J32" s="118">
        <f t="shared" si="5"/>
        <v>73.185011709601824</v>
      </c>
      <c r="K32" s="118">
        <f t="shared" si="5"/>
        <v>64.036885245901601</v>
      </c>
      <c r="L32" s="118">
        <f t="shared" si="5"/>
        <v>56.921675774134748</v>
      </c>
      <c r="M32" s="118">
        <f t="shared" si="5"/>
        <v>51.229508196721277</v>
      </c>
      <c r="N32" s="118">
        <f t="shared" si="6"/>
        <v>46.572280178837524</v>
      </c>
      <c r="O32" s="118">
        <f t="shared" si="6"/>
        <v>42.69125683060107</v>
      </c>
      <c r="P32" s="118">
        <f t="shared" si="6"/>
        <v>39.4073139974779</v>
      </c>
      <c r="Q32" s="118">
        <f t="shared" si="6"/>
        <v>36.592505854800912</v>
      </c>
      <c r="R32" s="118">
        <f t="shared" si="6"/>
        <v>34.153005464480849</v>
      </c>
      <c r="S32" s="118">
        <f t="shared" si="6"/>
        <v>32.018442622950801</v>
      </c>
      <c r="T32" s="118">
        <f t="shared" si="6"/>
        <v>30.135004821600752</v>
      </c>
      <c r="U32" s="118">
        <f t="shared" si="6"/>
        <v>28.460837887067374</v>
      </c>
      <c r="V32" s="118">
        <f t="shared" si="6"/>
        <v>26.962899050905936</v>
      </c>
      <c r="W32" s="118">
        <f t="shared" si="6"/>
        <v>25.614754098360638</v>
      </c>
      <c r="X32" s="74"/>
    </row>
    <row r="33" spans="2:24" x14ac:dyDescent="0.25">
      <c r="B33" s="67"/>
      <c r="C33" s="74">
        <f t="shared" si="2"/>
        <v>5.2999999999999963</v>
      </c>
      <c r="D33" s="118">
        <f t="shared" si="5"/>
        <v>522.54098360655701</v>
      </c>
      <c r="E33" s="118">
        <f t="shared" si="5"/>
        <v>261.2704918032785</v>
      </c>
      <c r="F33" s="118">
        <f t="shared" si="5"/>
        <v>174.18032786885234</v>
      </c>
      <c r="G33" s="118">
        <f t="shared" si="5"/>
        <v>130.63524590163925</v>
      </c>
      <c r="H33" s="118">
        <f t="shared" si="5"/>
        <v>104.50819672131141</v>
      </c>
      <c r="I33" s="118">
        <f t="shared" si="5"/>
        <v>87.090163934426172</v>
      </c>
      <c r="J33" s="118">
        <f t="shared" si="5"/>
        <v>74.648711943793856</v>
      </c>
      <c r="K33" s="118">
        <f t="shared" si="5"/>
        <v>65.317622950819626</v>
      </c>
      <c r="L33" s="118">
        <f t="shared" si="5"/>
        <v>58.060109289617444</v>
      </c>
      <c r="M33" s="118">
        <f t="shared" si="5"/>
        <v>52.254098360655703</v>
      </c>
      <c r="N33" s="118">
        <f t="shared" si="6"/>
        <v>47.503725782414271</v>
      </c>
      <c r="O33" s="118">
        <f t="shared" si="6"/>
        <v>43.545081967213086</v>
      </c>
      <c r="P33" s="118">
        <f t="shared" si="6"/>
        <v>40.195460277427451</v>
      </c>
      <c r="Q33" s="118">
        <f t="shared" si="6"/>
        <v>37.324355971896928</v>
      </c>
      <c r="R33" s="118">
        <f t="shared" si="6"/>
        <v>34.836065573770462</v>
      </c>
      <c r="S33" s="118">
        <f t="shared" si="6"/>
        <v>32.658811475409813</v>
      </c>
      <c r="T33" s="118">
        <f t="shared" si="6"/>
        <v>30.737704918032765</v>
      </c>
      <c r="U33" s="118">
        <f t="shared" si="6"/>
        <v>29.030054644808722</v>
      </c>
      <c r="V33" s="118">
        <f t="shared" si="6"/>
        <v>27.502157031924053</v>
      </c>
      <c r="W33" s="118">
        <f t="shared" si="6"/>
        <v>26.127049180327852</v>
      </c>
      <c r="X33" s="74"/>
    </row>
    <row r="34" spans="2:24" x14ac:dyDescent="0.25">
      <c r="B34" s="67"/>
      <c r="C34" s="74">
        <f t="shared" si="2"/>
        <v>5.3999999999999959</v>
      </c>
      <c r="D34" s="118">
        <f t="shared" si="5"/>
        <v>532.7868852459012</v>
      </c>
      <c r="E34" s="118">
        <f t="shared" si="5"/>
        <v>266.3934426229506</v>
      </c>
      <c r="F34" s="118">
        <f t="shared" si="5"/>
        <v>177.59562841530041</v>
      </c>
      <c r="G34" s="118">
        <f t="shared" si="5"/>
        <v>133.1967213114753</v>
      </c>
      <c r="H34" s="118">
        <f t="shared" si="5"/>
        <v>106.55737704918025</v>
      </c>
      <c r="I34" s="118">
        <f t="shared" si="5"/>
        <v>88.797814207650205</v>
      </c>
      <c r="J34" s="118">
        <f t="shared" si="5"/>
        <v>76.112412177985888</v>
      </c>
      <c r="K34" s="118">
        <f t="shared" si="5"/>
        <v>66.59836065573765</v>
      </c>
      <c r="L34" s="118">
        <f t="shared" si="5"/>
        <v>59.198542805100132</v>
      </c>
      <c r="M34" s="118">
        <f t="shared" si="5"/>
        <v>53.278688524590123</v>
      </c>
      <c r="N34" s="118">
        <f t="shared" si="6"/>
        <v>48.435171385991019</v>
      </c>
      <c r="O34" s="118">
        <f t="shared" si="6"/>
        <v>44.398907103825103</v>
      </c>
      <c r="P34" s="118">
        <f t="shared" si="6"/>
        <v>40.983606557377009</v>
      </c>
      <c r="Q34" s="118">
        <f t="shared" si="6"/>
        <v>38.056206088992944</v>
      </c>
      <c r="R34" s="118">
        <f t="shared" si="6"/>
        <v>35.519125683060082</v>
      </c>
      <c r="S34" s="118">
        <f t="shared" si="6"/>
        <v>33.299180327868825</v>
      </c>
      <c r="T34" s="118">
        <f t="shared" si="6"/>
        <v>31.340405014464778</v>
      </c>
      <c r="U34" s="118">
        <f t="shared" si="6"/>
        <v>29.599271402550066</v>
      </c>
      <c r="V34" s="118">
        <f t="shared" si="6"/>
        <v>28.041415012942171</v>
      </c>
      <c r="W34" s="118">
        <f t="shared" si="6"/>
        <v>26.639344262295062</v>
      </c>
      <c r="X34" s="74"/>
    </row>
    <row r="35" spans="2:24" x14ac:dyDescent="0.25">
      <c r="B35" s="67"/>
      <c r="C35" s="74">
        <f t="shared" si="2"/>
        <v>5.4999999999999956</v>
      </c>
      <c r="D35" s="118">
        <f t="shared" si="5"/>
        <v>543.0327868852454</v>
      </c>
      <c r="E35" s="118">
        <f t="shared" si="5"/>
        <v>271.5163934426227</v>
      </c>
      <c r="F35" s="118">
        <f t="shared" si="5"/>
        <v>181.0109289617485</v>
      </c>
      <c r="G35" s="118">
        <f t="shared" si="5"/>
        <v>135.75819672131135</v>
      </c>
      <c r="H35" s="118">
        <f t="shared" si="5"/>
        <v>108.6065573770491</v>
      </c>
      <c r="I35" s="118">
        <f t="shared" si="5"/>
        <v>90.505464480874252</v>
      </c>
      <c r="J35" s="118">
        <f t="shared" si="5"/>
        <v>77.576112412177935</v>
      </c>
      <c r="K35" s="118">
        <f t="shared" si="5"/>
        <v>67.879098360655675</v>
      </c>
      <c r="L35" s="118">
        <f t="shared" si="5"/>
        <v>60.336976320582828</v>
      </c>
      <c r="M35" s="118">
        <f t="shared" si="5"/>
        <v>54.30327868852455</v>
      </c>
      <c r="N35" s="118">
        <f t="shared" si="6"/>
        <v>49.366616989567767</v>
      </c>
      <c r="O35" s="118">
        <f t="shared" si="6"/>
        <v>45.252732240437126</v>
      </c>
      <c r="P35" s="118">
        <f t="shared" si="6"/>
        <v>41.771752837326567</v>
      </c>
      <c r="Q35" s="118">
        <f t="shared" si="6"/>
        <v>38.788056206088967</v>
      </c>
      <c r="R35" s="118">
        <f t="shared" si="6"/>
        <v>36.202185792349695</v>
      </c>
      <c r="S35" s="118">
        <f t="shared" si="6"/>
        <v>33.939549180327838</v>
      </c>
      <c r="T35" s="118">
        <f t="shared" si="6"/>
        <v>31.943105110896791</v>
      </c>
      <c r="U35" s="118">
        <f t="shared" si="6"/>
        <v>30.168488160291414</v>
      </c>
      <c r="V35" s="118">
        <f t="shared" si="6"/>
        <v>28.580672993960288</v>
      </c>
      <c r="W35" s="118">
        <f t="shared" si="6"/>
        <v>27.151639344262275</v>
      </c>
      <c r="X35" s="74"/>
    </row>
    <row r="36" spans="2:24" x14ac:dyDescent="0.25">
      <c r="B36" s="67"/>
      <c r="C36" s="67"/>
      <c r="D36" s="74"/>
      <c r="E36" s="74"/>
      <c r="F36" s="74"/>
      <c r="G36" s="74"/>
      <c r="H36" s="74"/>
      <c r="I36" s="74"/>
      <c r="J36" s="74"/>
      <c r="K36" s="74"/>
      <c r="L36" s="74"/>
      <c r="M36" s="74"/>
      <c r="N36" s="74"/>
      <c r="O36" s="74"/>
      <c r="P36" s="74"/>
      <c r="Q36" s="74"/>
      <c r="R36" s="74"/>
      <c r="S36" s="74"/>
      <c r="T36" s="74"/>
      <c r="U36" s="74"/>
      <c r="V36" s="74"/>
      <c r="W36" s="74"/>
      <c r="X36" s="74"/>
    </row>
    <row r="37" spans="2:24" x14ac:dyDescent="0.25">
      <c r="B37" s="67"/>
      <c r="C37" s="67"/>
      <c r="D37" s="74"/>
      <c r="E37" s="74"/>
      <c r="F37" s="74"/>
      <c r="G37" s="74"/>
      <c r="H37" s="74"/>
      <c r="I37" s="74"/>
      <c r="J37" s="74"/>
      <c r="K37" s="74"/>
      <c r="L37" s="74"/>
      <c r="M37" s="74"/>
      <c r="N37" s="74"/>
      <c r="O37" s="74"/>
      <c r="P37" s="74"/>
      <c r="Q37" s="74"/>
      <c r="R37" s="74"/>
      <c r="S37" s="74"/>
      <c r="T37" s="74"/>
      <c r="U37" s="74"/>
      <c r="V37" s="74"/>
      <c r="W37" s="74"/>
      <c r="X37" s="74"/>
    </row>
    <row r="38" spans="2:24" ht="9.75" customHeight="1" x14ac:dyDescent="0.25">
      <c r="B38" s="11"/>
      <c r="C38" s="11"/>
      <c r="D38" s="11"/>
      <c r="E38" s="11"/>
      <c r="F38" s="11"/>
      <c r="G38" s="11"/>
      <c r="H38" s="11"/>
      <c r="I38" s="11"/>
      <c r="J38" s="11"/>
      <c r="K38" s="11"/>
      <c r="L38" s="11"/>
      <c r="M38" s="11"/>
      <c r="N38" s="11"/>
      <c r="O38" s="11"/>
      <c r="P38" s="11"/>
      <c r="Q38" s="11"/>
      <c r="R38" s="11"/>
      <c r="S38" s="11"/>
      <c r="T38" s="11"/>
      <c r="U38" s="11"/>
      <c r="V38" s="11"/>
      <c r="W38" s="11"/>
      <c r="X38" s="11"/>
    </row>
    <row r="39" spans="2:24" x14ac:dyDescent="0.25">
      <c r="B39" s="74"/>
      <c r="C39" s="74"/>
      <c r="D39" s="74"/>
      <c r="E39" s="74"/>
      <c r="F39" s="74"/>
      <c r="G39" s="74"/>
      <c r="H39" s="74"/>
      <c r="I39" s="74"/>
      <c r="J39" s="74"/>
      <c r="K39" s="74"/>
      <c r="L39" s="74"/>
      <c r="M39" s="74"/>
      <c r="N39" s="74"/>
      <c r="O39" s="74"/>
      <c r="P39" s="74"/>
      <c r="Q39" s="74"/>
      <c r="R39" s="74"/>
      <c r="S39" s="74"/>
      <c r="T39" s="74"/>
      <c r="U39" s="74"/>
      <c r="V39" s="74"/>
      <c r="W39" s="74"/>
      <c r="X39" s="74"/>
    </row>
    <row r="40" spans="2:24" x14ac:dyDescent="0.25">
      <c r="B40" s="67" t="s">
        <v>126</v>
      </c>
      <c r="C40" s="112">
        <v>1.65</v>
      </c>
      <c r="D40" s="75" t="s">
        <v>13</v>
      </c>
      <c r="E40" s="67"/>
      <c r="F40" s="67"/>
      <c r="G40" s="67"/>
      <c r="H40" s="67"/>
      <c r="I40" s="67"/>
      <c r="J40" s="67"/>
      <c r="K40" s="67"/>
      <c r="L40" s="67"/>
      <c r="M40" s="67"/>
      <c r="N40" s="67"/>
      <c r="O40" s="67"/>
      <c r="P40" s="67"/>
      <c r="Q40" s="67"/>
      <c r="R40" s="67"/>
      <c r="S40" s="67"/>
      <c r="T40" s="67"/>
      <c r="U40" s="67"/>
      <c r="V40" s="67"/>
      <c r="W40" s="67"/>
      <c r="X40" s="67"/>
    </row>
    <row r="41" spans="2:24" x14ac:dyDescent="0.25">
      <c r="B41" s="67"/>
      <c r="C41" s="74"/>
      <c r="D41" s="75"/>
      <c r="E41" s="67"/>
      <c r="F41" s="67"/>
      <c r="G41" s="67"/>
      <c r="H41" s="67"/>
      <c r="I41" s="67"/>
      <c r="J41" s="67"/>
      <c r="K41" s="67"/>
      <c r="L41" s="67"/>
      <c r="M41" s="67"/>
      <c r="N41" s="67"/>
      <c r="O41" s="67"/>
      <c r="P41" s="67"/>
      <c r="Q41" s="67"/>
      <c r="R41" s="67"/>
      <c r="S41" s="67"/>
      <c r="T41" s="67"/>
      <c r="U41" s="67"/>
      <c r="V41" s="67"/>
      <c r="W41" s="67"/>
      <c r="X41" s="67"/>
    </row>
    <row r="42" spans="2:24" x14ac:dyDescent="0.25">
      <c r="B42" s="74"/>
      <c r="C42" s="74"/>
      <c r="D42" s="74">
        <v>0.1</v>
      </c>
      <c r="E42" s="74">
        <v>0.2</v>
      </c>
      <c r="F42" s="74">
        <v>0.3</v>
      </c>
      <c r="G42" s="74">
        <v>0.4</v>
      </c>
      <c r="H42" s="74">
        <v>0.5</v>
      </c>
      <c r="I42" s="74">
        <v>0.6</v>
      </c>
      <c r="J42" s="74">
        <v>0.7</v>
      </c>
      <c r="K42" s="74">
        <v>0.8</v>
      </c>
      <c r="L42" s="74">
        <v>0.9</v>
      </c>
      <c r="M42" s="74">
        <v>1</v>
      </c>
      <c r="N42" s="74">
        <v>1.1000000000000001</v>
      </c>
      <c r="O42" s="74">
        <v>1.2</v>
      </c>
      <c r="P42" s="74">
        <v>1.3</v>
      </c>
      <c r="Q42" s="74">
        <v>1.4</v>
      </c>
      <c r="R42" s="74">
        <v>1.5</v>
      </c>
      <c r="S42" s="74">
        <v>1.6</v>
      </c>
      <c r="T42" s="74">
        <v>1.7</v>
      </c>
      <c r="U42" s="74">
        <v>1.8</v>
      </c>
      <c r="V42" s="74">
        <v>1.9</v>
      </c>
      <c r="W42" s="74">
        <v>2</v>
      </c>
      <c r="X42" s="74"/>
    </row>
    <row r="43" spans="2:24" x14ac:dyDescent="0.25">
      <c r="B43" s="74"/>
      <c r="C43" s="74">
        <v>3</v>
      </c>
      <c r="D43" s="118">
        <f t="shared" ref="D43:M52" si="7">MIN(((MIN($C43-$C$40,$C$40)-0.1)/(D$42*0.001*CCgain*GainDiffAmp)),(((2*MIN($C43-$C$40,$C$40)-0.2)/(D$42*0.001*CCgain))-Rmax))</f>
        <v>256.14754098360658</v>
      </c>
      <c r="E43" s="118">
        <f t="shared" si="7"/>
        <v>128.07377049180329</v>
      </c>
      <c r="F43" s="118">
        <f t="shared" si="7"/>
        <v>85.382513661202196</v>
      </c>
      <c r="G43" s="118">
        <f t="shared" si="7"/>
        <v>64.036885245901644</v>
      </c>
      <c r="H43" s="118">
        <f t="shared" si="7"/>
        <v>51.229508196721312</v>
      </c>
      <c r="I43" s="118">
        <f t="shared" si="7"/>
        <v>42.691256830601098</v>
      </c>
      <c r="J43" s="118">
        <f t="shared" si="7"/>
        <v>36.59250585480094</v>
      </c>
      <c r="K43" s="118">
        <f t="shared" si="7"/>
        <v>32.018442622950822</v>
      </c>
      <c r="L43" s="118">
        <f t="shared" si="7"/>
        <v>28.460837887067395</v>
      </c>
      <c r="M43" s="118">
        <f t="shared" si="7"/>
        <v>25.614754098360656</v>
      </c>
      <c r="N43" s="118">
        <f t="shared" ref="N43:W52" si="8">MIN(((MIN($C43-$C$40,$C$40)-0.1)/(N$42*0.001*CCgain*GainDiffAmp)),(((2*MIN($C43-$C$40,$C$40)-0.2)/(N$42*0.001*CCgain))-Rmax))</f>
        <v>23.28614008941878</v>
      </c>
      <c r="O43" s="118">
        <f t="shared" si="8"/>
        <v>8.4290273224043801</v>
      </c>
      <c r="P43" s="118">
        <f t="shared" si="8"/>
        <v>-4.7067440100883005</v>
      </c>
      <c r="Q43" s="118">
        <f t="shared" si="8"/>
        <v>-15.965976580796251</v>
      </c>
      <c r="R43" s="118">
        <f t="shared" si="8"/>
        <v>-25.723978142076504</v>
      </c>
      <c r="S43" s="118">
        <f t="shared" si="8"/>
        <v>-34.262229508196725</v>
      </c>
      <c r="T43" s="118">
        <f t="shared" si="8"/>
        <v>-41.795980713596919</v>
      </c>
      <c r="U43" s="118">
        <f t="shared" si="8"/>
        <v>-48.492648451730432</v>
      </c>
      <c r="V43" s="118">
        <f t="shared" si="8"/>
        <v>-54.484403796376199</v>
      </c>
      <c r="W43" s="118">
        <f t="shared" si="8"/>
        <v>-59.876983606557388</v>
      </c>
      <c r="X43" s="74"/>
    </row>
    <row r="44" spans="2:24" x14ac:dyDescent="0.25">
      <c r="B44" s="74"/>
      <c r="C44" s="74">
        <f t="shared" ref="C44:C68" si="9">C43+0.1</f>
        <v>3.1</v>
      </c>
      <c r="D44" s="118">
        <f t="shared" si="7"/>
        <v>276.63934426229514</v>
      </c>
      <c r="E44" s="118">
        <f t="shared" si="7"/>
        <v>138.31967213114757</v>
      </c>
      <c r="F44" s="118">
        <f t="shared" si="7"/>
        <v>92.21311475409837</v>
      </c>
      <c r="G44" s="118">
        <f t="shared" si="7"/>
        <v>69.159836065573785</v>
      </c>
      <c r="H44" s="118">
        <f t="shared" si="7"/>
        <v>55.327868852459027</v>
      </c>
      <c r="I44" s="118">
        <f t="shared" si="7"/>
        <v>46.106557377049185</v>
      </c>
      <c r="J44" s="118">
        <f t="shared" si="7"/>
        <v>39.519906323185019</v>
      </c>
      <c r="K44" s="118">
        <f t="shared" si="7"/>
        <v>34.579918032786892</v>
      </c>
      <c r="L44" s="118">
        <f t="shared" si="7"/>
        <v>30.73770491803279</v>
      </c>
      <c r="M44" s="118">
        <f t="shared" si="7"/>
        <v>27.663934426229513</v>
      </c>
      <c r="N44" s="118">
        <f t="shared" si="8"/>
        <v>25.149031296572282</v>
      </c>
      <c r="O44" s="118">
        <f t="shared" si="8"/>
        <v>22.090229508196728</v>
      </c>
      <c r="P44" s="118">
        <f t="shared" si="8"/>
        <v>7.9035964691046274</v>
      </c>
      <c r="Q44" s="118">
        <f t="shared" si="8"/>
        <v>-4.2563747072599369</v>
      </c>
      <c r="R44" s="118">
        <f t="shared" si="8"/>
        <v>-14.795016393442637</v>
      </c>
      <c r="S44" s="118">
        <f t="shared" si="8"/>
        <v>-24.016327868852443</v>
      </c>
      <c r="T44" s="118">
        <f t="shared" si="8"/>
        <v>-32.152779170684653</v>
      </c>
      <c r="U44" s="118">
        <f t="shared" si="8"/>
        <v>-39.385180327868852</v>
      </c>
      <c r="V44" s="118">
        <f t="shared" si="8"/>
        <v>-45.856276100086276</v>
      </c>
      <c r="W44" s="118">
        <f t="shared" si="8"/>
        <v>-51.68026229508196</v>
      </c>
      <c r="X44" s="74"/>
    </row>
    <row r="45" spans="2:24" x14ac:dyDescent="0.25">
      <c r="B45" s="74"/>
      <c r="C45" s="74">
        <f t="shared" si="9"/>
        <v>3.2</v>
      </c>
      <c r="D45" s="118">
        <f t="shared" si="7"/>
        <v>297.13114754098365</v>
      </c>
      <c r="E45" s="118">
        <f t="shared" si="7"/>
        <v>148.56557377049182</v>
      </c>
      <c r="F45" s="118">
        <f t="shared" si="7"/>
        <v>99.043715846994559</v>
      </c>
      <c r="G45" s="118">
        <f t="shared" si="7"/>
        <v>74.282786885245912</v>
      </c>
      <c r="H45" s="118">
        <f t="shared" si="7"/>
        <v>59.426229508196734</v>
      </c>
      <c r="I45" s="118">
        <f t="shared" si="7"/>
        <v>49.521857923497279</v>
      </c>
      <c r="J45" s="118">
        <f t="shared" si="7"/>
        <v>42.447306791569098</v>
      </c>
      <c r="K45" s="118">
        <f t="shared" si="7"/>
        <v>37.141393442622956</v>
      </c>
      <c r="L45" s="118">
        <f t="shared" si="7"/>
        <v>33.014571948998181</v>
      </c>
      <c r="M45" s="118">
        <f t="shared" si="7"/>
        <v>29.713114754098367</v>
      </c>
      <c r="N45" s="118">
        <f t="shared" si="8"/>
        <v>27.011922503725785</v>
      </c>
      <c r="O45" s="118">
        <f t="shared" si="8"/>
        <v>24.76092896174864</v>
      </c>
      <c r="P45" s="118">
        <f t="shared" si="8"/>
        <v>20.513936948297584</v>
      </c>
      <c r="Q45" s="118">
        <f t="shared" si="8"/>
        <v>7.4532271662763776</v>
      </c>
      <c r="R45" s="118">
        <f t="shared" si="8"/>
        <v>-3.8660546448087416</v>
      </c>
      <c r="S45" s="118">
        <f t="shared" si="8"/>
        <v>-13.770426229508189</v>
      </c>
      <c r="T45" s="118">
        <f t="shared" si="8"/>
        <v>-22.509577627772416</v>
      </c>
      <c r="U45" s="118">
        <f t="shared" si="8"/>
        <v>-30.277712204007287</v>
      </c>
      <c r="V45" s="118">
        <f t="shared" si="8"/>
        <v>-37.228148403796368</v>
      </c>
      <c r="W45" s="118">
        <f t="shared" si="8"/>
        <v>-43.483540983606545</v>
      </c>
      <c r="X45" s="74"/>
    </row>
    <row r="46" spans="2:24" x14ac:dyDescent="0.25">
      <c r="B46" s="74"/>
      <c r="C46" s="74">
        <f t="shared" si="9"/>
        <v>3.3000000000000003</v>
      </c>
      <c r="D46" s="118">
        <f t="shared" si="7"/>
        <v>317.6229508196721</v>
      </c>
      <c r="E46" s="118">
        <f t="shared" si="7"/>
        <v>158.81147540983605</v>
      </c>
      <c r="F46" s="118">
        <f t="shared" si="7"/>
        <v>105.8743169398907</v>
      </c>
      <c r="G46" s="118">
        <f t="shared" si="7"/>
        <v>79.405737704918025</v>
      </c>
      <c r="H46" s="118">
        <f t="shared" si="7"/>
        <v>63.524590163934427</v>
      </c>
      <c r="I46" s="118">
        <f t="shared" si="7"/>
        <v>52.937158469945352</v>
      </c>
      <c r="J46" s="118">
        <f t="shared" si="7"/>
        <v>45.374707259953162</v>
      </c>
      <c r="K46" s="118">
        <f t="shared" si="7"/>
        <v>39.702868852459012</v>
      </c>
      <c r="L46" s="118">
        <f t="shared" si="7"/>
        <v>35.291438979963566</v>
      </c>
      <c r="M46" s="118">
        <f t="shared" si="7"/>
        <v>31.762295081967213</v>
      </c>
      <c r="N46" s="118">
        <f t="shared" si="8"/>
        <v>28.87481371087928</v>
      </c>
      <c r="O46" s="118">
        <f t="shared" si="8"/>
        <v>26.468579234972676</v>
      </c>
      <c r="P46" s="118">
        <f t="shared" si="8"/>
        <v>24.432534678436312</v>
      </c>
      <c r="Q46" s="118">
        <f t="shared" si="8"/>
        <v>19.162829039812635</v>
      </c>
      <c r="R46" s="118">
        <f t="shared" si="8"/>
        <v>7.062907103825097</v>
      </c>
      <c r="S46" s="118">
        <f t="shared" si="8"/>
        <v>-3.5245245901639635</v>
      </c>
      <c r="T46" s="118">
        <f t="shared" si="8"/>
        <v>-12.866376084860178</v>
      </c>
      <c r="U46" s="118">
        <f t="shared" si="8"/>
        <v>-21.17024408014575</v>
      </c>
      <c r="V46" s="118">
        <f t="shared" si="8"/>
        <v>-28.600020707506502</v>
      </c>
      <c r="W46" s="118">
        <f t="shared" si="8"/>
        <v>-35.286819672131159</v>
      </c>
      <c r="X46" s="74"/>
    </row>
    <row r="47" spans="2:24" x14ac:dyDescent="0.25">
      <c r="B47" s="74"/>
      <c r="C47" s="74">
        <f t="shared" si="9"/>
        <v>3.4000000000000004</v>
      </c>
      <c r="D47" s="118">
        <f t="shared" si="7"/>
        <v>317.6229508196721</v>
      </c>
      <c r="E47" s="118">
        <f t="shared" si="7"/>
        <v>158.81147540983605</v>
      </c>
      <c r="F47" s="118">
        <f t="shared" si="7"/>
        <v>105.8743169398907</v>
      </c>
      <c r="G47" s="118">
        <f t="shared" si="7"/>
        <v>79.405737704918025</v>
      </c>
      <c r="H47" s="118">
        <f t="shared" si="7"/>
        <v>63.524590163934427</v>
      </c>
      <c r="I47" s="118">
        <f t="shared" si="7"/>
        <v>52.937158469945352</v>
      </c>
      <c r="J47" s="118">
        <f t="shared" si="7"/>
        <v>45.374707259953162</v>
      </c>
      <c r="K47" s="118">
        <f t="shared" si="7"/>
        <v>39.702868852459012</v>
      </c>
      <c r="L47" s="118">
        <f t="shared" si="7"/>
        <v>35.291438979963566</v>
      </c>
      <c r="M47" s="118">
        <f t="shared" si="7"/>
        <v>31.762295081967213</v>
      </c>
      <c r="N47" s="118">
        <f t="shared" si="8"/>
        <v>28.87481371087928</v>
      </c>
      <c r="O47" s="118">
        <f t="shared" si="8"/>
        <v>26.468579234972676</v>
      </c>
      <c r="P47" s="118">
        <f t="shared" si="8"/>
        <v>24.432534678436312</v>
      </c>
      <c r="Q47" s="118">
        <f t="shared" si="8"/>
        <v>19.162829039812635</v>
      </c>
      <c r="R47" s="118">
        <f t="shared" si="8"/>
        <v>7.062907103825097</v>
      </c>
      <c r="S47" s="118">
        <f t="shared" si="8"/>
        <v>-3.5245245901639635</v>
      </c>
      <c r="T47" s="118">
        <f t="shared" si="8"/>
        <v>-12.866376084860178</v>
      </c>
      <c r="U47" s="118">
        <f t="shared" si="8"/>
        <v>-21.17024408014575</v>
      </c>
      <c r="V47" s="118">
        <f t="shared" si="8"/>
        <v>-28.600020707506502</v>
      </c>
      <c r="W47" s="118">
        <f t="shared" si="8"/>
        <v>-35.286819672131159</v>
      </c>
      <c r="X47" s="74"/>
    </row>
    <row r="48" spans="2:24" x14ac:dyDescent="0.25">
      <c r="B48" s="74"/>
      <c r="C48" s="74">
        <f t="shared" si="9"/>
        <v>3.5000000000000004</v>
      </c>
      <c r="D48" s="118">
        <f t="shared" si="7"/>
        <v>317.6229508196721</v>
      </c>
      <c r="E48" s="118">
        <f t="shared" si="7"/>
        <v>158.81147540983605</v>
      </c>
      <c r="F48" s="118">
        <f t="shared" si="7"/>
        <v>105.8743169398907</v>
      </c>
      <c r="G48" s="118">
        <f t="shared" si="7"/>
        <v>79.405737704918025</v>
      </c>
      <c r="H48" s="118">
        <f t="shared" si="7"/>
        <v>63.524590163934427</v>
      </c>
      <c r="I48" s="118">
        <f t="shared" si="7"/>
        <v>52.937158469945352</v>
      </c>
      <c r="J48" s="118">
        <f t="shared" si="7"/>
        <v>45.374707259953162</v>
      </c>
      <c r="K48" s="118">
        <f t="shared" si="7"/>
        <v>39.702868852459012</v>
      </c>
      <c r="L48" s="118">
        <f t="shared" si="7"/>
        <v>35.291438979963566</v>
      </c>
      <c r="M48" s="118">
        <f t="shared" si="7"/>
        <v>31.762295081967213</v>
      </c>
      <c r="N48" s="118">
        <f t="shared" si="8"/>
        <v>28.87481371087928</v>
      </c>
      <c r="O48" s="118">
        <f t="shared" si="8"/>
        <v>26.468579234972676</v>
      </c>
      <c r="P48" s="118">
        <f t="shared" si="8"/>
        <v>24.432534678436312</v>
      </c>
      <c r="Q48" s="118">
        <f t="shared" si="8"/>
        <v>19.162829039812635</v>
      </c>
      <c r="R48" s="118">
        <f t="shared" si="8"/>
        <v>7.062907103825097</v>
      </c>
      <c r="S48" s="118">
        <f t="shared" si="8"/>
        <v>-3.5245245901639635</v>
      </c>
      <c r="T48" s="118">
        <f t="shared" si="8"/>
        <v>-12.866376084860178</v>
      </c>
      <c r="U48" s="118">
        <f t="shared" si="8"/>
        <v>-21.17024408014575</v>
      </c>
      <c r="V48" s="118">
        <f t="shared" si="8"/>
        <v>-28.600020707506502</v>
      </c>
      <c r="W48" s="118">
        <f t="shared" si="8"/>
        <v>-35.286819672131159</v>
      </c>
      <c r="X48" s="74"/>
    </row>
    <row r="49" spans="2:24" x14ac:dyDescent="0.25">
      <c r="B49" s="74"/>
      <c r="C49" s="74">
        <f t="shared" si="9"/>
        <v>3.6000000000000005</v>
      </c>
      <c r="D49" s="118">
        <f t="shared" si="7"/>
        <v>317.6229508196721</v>
      </c>
      <c r="E49" s="118">
        <f t="shared" si="7"/>
        <v>158.81147540983605</v>
      </c>
      <c r="F49" s="118">
        <f t="shared" si="7"/>
        <v>105.8743169398907</v>
      </c>
      <c r="G49" s="118">
        <f t="shared" si="7"/>
        <v>79.405737704918025</v>
      </c>
      <c r="H49" s="118">
        <f t="shared" si="7"/>
        <v>63.524590163934427</v>
      </c>
      <c r="I49" s="118">
        <f t="shared" si="7"/>
        <v>52.937158469945352</v>
      </c>
      <c r="J49" s="118">
        <f t="shared" si="7"/>
        <v>45.374707259953162</v>
      </c>
      <c r="K49" s="118">
        <f t="shared" si="7"/>
        <v>39.702868852459012</v>
      </c>
      <c r="L49" s="118">
        <f t="shared" si="7"/>
        <v>35.291438979963566</v>
      </c>
      <c r="M49" s="118">
        <f t="shared" si="7"/>
        <v>31.762295081967213</v>
      </c>
      <c r="N49" s="118">
        <f t="shared" si="8"/>
        <v>28.87481371087928</v>
      </c>
      <c r="O49" s="118">
        <f t="shared" si="8"/>
        <v>26.468579234972676</v>
      </c>
      <c r="P49" s="118">
        <f t="shared" si="8"/>
        <v>24.432534678436312</v>
      </c>
      <c r="Q49" s="118">
        <f t="shared" si="8"/>
        <v>19.162829039812635</v>
      </c>
      <c r="R49" s="118">
        <f t="shared" si="8"/>
        <v>7.062907103825097</v>
      </c>
      <c r="S49" s="118">
        <f t="shared" si="8"/>
        <v>-3.5245245901639635</v>
      </c>
      <c r="T49" s="118">
        <f t="shared" si="8"/>
        <v>-12.866376084860178</v>
      </c>
      <c r="U49" s="118">
        <f t="shared" si="8"/>
        <v>-21.17024408014575</v>
      </c>
      <c r="V49" s="118">
        <f t="shared" si="8"/>
        <v>-28.600020707506502</v>
      </c>
      <c r="W49" s="118">
        <f t="shared" si="8"/>
        <v>-35.286819672131159</v>
      </c>
      <c r="X49" s="74"/>
    </row>
    <row r="50" spans="2:24" x14ac:dyDescent="0.25">
      <c r="B50" s="74"/>
      <c r="C50" s="74">
        <f t="shared" si="9"/>
        <v>3.7000000000000006</v>
      </c>
      <c r="D50" s="118">
        <f t="shared" si="7"/>
        <v>317.6229508196721</v>
      </c>
      <c r="E50" s="118">
        <f t="shared" si="7"/>
        <v>158.81147540983605</v>
      </c>
      <c r="F50" s="118">
        <f t="shared" si="7"/>
        <v>105.8743169398907</v>
      </c>
      <c r="G50" s="118">
        <f t="shared" si="7"/>
        <v>79.405737704918025</v>
      </c>
      <c r="H50" s="118">
        <f t="shared" si="7"/>
        <v>63.524590163934427</v>
      </c>
      <c r="I50" s="118">
        <f t="shared" si="7"/>
        <v>52.937158469945352</v>
      </c>
      <c r="J50" s="118">
        <f t="shared" si="7"/>
        <v>45.374707259953162</v>
      </c>
      <c r="K50" s="118">
        <f t="shared" si="7"/>
        <v>39.702868852459012</v>
      </c>
      <c r="L50" s="118">
        <f t="shared" si="7"/>
        <v>35.291438979963566</v>
      </c>
      <c r="M50" s="118">
        <f t="shared" si="7"/>
        <v>31.762295081967213</v>
      </c>
      <c r="N50" s="118">
        <f t="shared" si="8"/>
        <v>28.87481371087928</v>
      </c>
      <c r="O50" s="118">
        <f t="shared" si="8"/>
        <v>26.468579234972676</v>
      </c>
      <c r="P50" s="118">
        <f t="shared" si="8"/>
        <v>24.432534678436312</v>
      </c>
      <c r="Q50" s="118">
        <f t="shared" si="8"/>
        <v>19.162829039812635</v>
      </c>
      <c r="R50" s="118">
        <f t="shared" si="8"/>
        <v>7.062907103825097</v>
      </c>
      <c r="S50" s="118">
        <f t="shared" si="8"/>
        <v>-3.5245245901639635</v>
      </c>
      <c r="T50" s="118">
        <f t="shared" si="8"/>
        <v>-12.866376084860178</v>
      </c>
      <c r="U50" s="118">
        <f t="shared" si="8"/>
        <v>-21.17024408014575</v>
      </c>
      <c r="V50" s="118">
        <f t="shared" si="8"/>
        <v>-28.600020707506502</v>
      </c>
      <c r="W50" s="118">
        <f t="shared" si="8"/>
        <v>-35.286819672131159</v>
      </c>
      <c r="X50" s="74"/>
    </row>
    <row r="51" spans="2:24" x14ac:dyDescent="0.25">
      <c r="B51" s="74"/>
      <c r="C51" s="74">
        <f t="shared" si="9"/>
        <v>3.8000000000000007</v>
      </c>
      <c r="D51" s="118">
        <f t="shared" si="7"/>
        <v>317.6229508196721</v>
      </c>
      <c r="E51" s="118">
        <f t="shared" si="7"/>
        <v>158.81147540983605</v>
      </c>
      <c r="F51" s="118">
        <f t="shared" si="7"/>
        <v>105.8743169398907</v>
      </c>
      <c r="G51" s="118">
        <f t="shared" si="7"/>
        <v>79.405737704918025</v>
      </c>
      <c r="H51" s="118">
        <f t="shared" si="7"/>
        <v>63.524590163934427</v>
      </c>
      <c r="I51" s="118">
        <f t="shared" si="7"/>
        <v>52.937158469945352</v>
      </c>
      <c r="J51" s="118">
        <f t="shared" si="7"/>
        <v>45.374707259953162</v>
      </c>
      <c r="K51" s="118">
        <f t="shared" si="7"/>
        <v>39.702868852459012</v>
      </c>
      <c r="L51" s="118">
        <f t="shared" si="7"/>
        <v>35.291438979963566</v>
      </c>
      <c r="M51" s="118">
        <f t="shared" si="7"/>
        <v>31.762295081967213</v>
      </c>
      <c r="N51" s="118">
        <f t="shared" si="8"/>
        <v>28.87481371087928</v>
      </c>
      <c r="O51" s="118">
        <f t="shared" si="8"/>
        <v>26.468579234972676</v>
      </c>
      <c r="P51" s="118">
        <f t="shared" si="8"/>
        <v>24.432534678436312</v>
      </c>
      <c r="Q51" s="118">
        <f t="shared" si="8"/>
        <v>19.162829039812635</v>
      </c>
      <c r="R51" s="118">
        <f t="shared" si="8"/>
        <v>7.062907103825097</v>
      </c>
      <c r="S51" s="118">
        <f t="shared" si="8"/>
        <v>-3.5245245901639635</v>
      </c>
      <c r="T51" s="118">
        <f t="shared" si="8"/>
        <v>-12.866376084860178</v>
      </c>
      <c r="U51" s="118">
        <f t="shared" si="8"/>
        <v>-21.17024408014575</v>
      </c>
      <c r="V51" s="118">
        <f t="shared" si="8"/>
        <v>-28.600020707506502</v>
      </c>
      <c r="W51" s="118">
        <f t="shared" si="8"/>
        <v>-35.286819672131159</v>
      </c>
      <c r="X51" s="74"/>
    </row>
    <row r="52" spans="2:24" x14ac:dyDescent="0.25">
      <c r="B52" s="74"/>
      <c r="C52" s="74">
        <f t="shared" si="9"/>
        <v>3.9000000000000008</v>
      </c>
      <c r="D52" s="118">
        <f t="shared" si="7"/>
        <v>317.6229508196721</v>
      </c>
      <c r="E52" s="118">
        <f t="shared" si="7"/>
        <v>158.81147540983605</v>
      </c>
      <c r="F52" s="118">
        <f t="shared" si="7"/>
        <v>105.8743169398907</v>
      </c>
      <c r="G52" s="118">
        <f t="shared" si="7"/>
        <v>79.405737704918025</v>
      </c>
      <c r="H52" s="118">
        <f t="shared" si="7"/>
        <v>63.524590163934427</v>
      </c>
      <c r="I52" s="118">
        <f t="shared" si="7"/>
        <v>52.937158469945352</v>
      </c>
      <c r="J52" s="118">
        <f t="shared" si="7"/>
        <v>45.374707259953162</v>
      </c>
      <c r="K52" s="118">
        <f t="shared" si="7"/>
        <v>39.702868852459012</v>
      </c>
      <c r="L52" s="118">
        <f t="shared" si="7"/>
        <v>35.291438979963566</v>
      </c>
      <c r="M52" s="118">
        <f t="shared" si="7"/>
        <v>31.762295081967213</v>
      </c>
      <c r="N52" s="118">
        <f t="shared" si="8"/>
        <v>28.87481371087928</v>
      </c>
      <c r="O52" s="118">
        <f t="shared" si="8"/>
        <v>26.468579234972676</v>
      </c>
      <c r="P52" s="118">
        <f t="shared" si="8"/>
        <v>24.432534678436312</v>
      </c>
      <c r="Q52" s="118">
        <f t="shared" si="8"/>
        <v>19.162829039812635</v>
      </c>
      <c r="R52" s="118">
        <f t="shared" si="8"/>
        <v>7.062907103825097</v>
      </c>
      <c r="S52" s="118">
        <f t="shared" si="8"/>
        <v>-3.5245245901639635</v>
      </c>
      <c r="T52" s="118">
        <f t="shared" si="8"/>
        <v>-12.866376084860178</v>
      </c>
      <c r="U52" s="118">
        <f t="shared" si="8"/>
        <v>-21.17024408014575</v>
      </c>
      <c r="V52" s="118">
        <f t="shared" si="8"/>
        <v>-28.600020707506502</v>
      </c>
      <c r="W52" s="118">
        <f t="shared" si="8"/>
        <v>-35.286819672131159</v>
      </c>
      <c r="X52" s="74"/>
    </row>
    <row r="53" spans="2:24" x14ac:dyDescent="0.25">
      <c r="B53" s="74"/>
      <c r="C53" s="74">
        <f t="shared" si="9"/>
        <v>4.0000000000000009</v>
      </c>
      <c r="D53" s="118">
        <f t="shared" ref="D53:M62" si="10">MIN(((MIN($C53-$C$40,$C$40)-0.1)/(D$42*0.001*CCgain*GainDiffAmp)),(((2*MIN($C53-$C$40,$C$40)-0.2)/(D$42*0.001*CCgain))-Rmax))</f>
        <v>317.6229508196721</v>
      </c>
      <c r="E53" s="118">
        <f t="shared" si="10"/>
        <v>158.81147540983605</v>
      </c>
      <c r="F53" s="118">
        <f t="shared" si="10"/>
        <v>105.8743169398907</v>
      </c>
      <c r="G53" s="118">
        <f t="shared" si="10"/>
        <v>79.405737704918025</v>
      </c>
      <c r="H53" s="118">
        <f t="shared" si="10"/>
        <v>63.524590163934427</v>
      </c>
      <c r="I53" s="118">
        <f t="shared" si="10"/>
        <v>52.937158469945352</v>
      </c>
      <c r="J53" s="118">
        <f t="shared" si="10"/>
        <v>45.374707259953162</v>
      </c>
      <c r="K53" s="118">
        <f t="shared" si="10"/>
        <v>39.702868852459012</v>
      </c>
      <c r="L53" s="118">
        <f t="shared" si="10"/>
        <v>35.291438979963566</v>
      </c>
      <c r="M53" s="118">
        <f t="shared" si="10"/>
        <v>31.762295081967213</v>
      </c>
      <c r="N53" s="118">
        <f t="shared" ref="N53:W62" si="11">MIN(((MIN($C53-$C$40,$C$40)-0.1)/(N$42*0.001*CCgain*GainDiffAmp)),(((2*MIN($C53-$C$40,$C$40)-0.2)/(N$42*0.001*CCgain))-Rmax))</f>
        <v>28.87481371087928</v>
      </c>
      <c r="O53" s="118">
        <f t="shared" si="11"/>
        <v>26.468579234972676</v>
      </c>
      <c r="P53" s="118">
        <f t="shared" si="11"/>
        <v>24.432534678436312</v>
      </c>
      <c r="Q53" s="118">
        <f t="shared" si="11"/>
        <v>19.162829039812635</v>
      </c>
      <c r="R53" s="118">
        <f t="shared" si="11"/>
        <v>7.062907103825097</v>
      </c>
      <c r="S53" s="118">
        <f t="shared" si="11"/>
        <v>-3.5245245901639635</v>
      </c>
      <c r="T53" s="118">
        <f t="shared" si="11"/>
        <v>-12.866376084860178</v>
      </c>
      <c r="U53" s="118">
        <f t="shared" si="11"/>
        <v>-21.17024408014575</v>
      </c>
      <c r="V53" s="118">
        <f t="shared" si="11"/>
        <v>-28.600020707506502</v>
      </c>
      <c r="W53" s="118">
        <f t="shared" si="11"/>
        <v>-35.286819672131159</v>
      </c>
      <c r="X53" s="74"/>
    </row>
    <row r="54" spans="2:24" x14ac:dyDescent="0.25">
      <c r="B54" s="74"/>
      <c r="C54" s="74">
        <f t="shared" si="9"/>
        <v>4.1000000000000005</v>
      </c>
      <c r="D54" s="118">
        <f t="shared" si="10"/>
        <v>317.6229508196721</v>
      </c>
      <c r="E54" s="118">
        <f t="shared" si="10"/>
        <v>158.81147540983605</v>
      </c>
      <c r="F54" s="118">
        <f t="shared" si="10"/>
        <v>105.8743169398907</v>
      </c>
      <c r="G54" s="118">
        <f t="shared" si="10"/>
        <v>79.405737704918025</v>
      </c>
      <c r="H54" s="118">
        <f t="shared" si="10"/>
        <v>63.524590163934427</v>
      </c>
      <c r="I54" s="118">
        <f t="shared" si="10"/>
        <v>52.937158469945352</v>
      </c>
      <c r="J54" s="118">
        <f t="shared" si="10"/>
        <v>45.374707259953162</v>
      </c>
      <c r="K54" s="118">
        <f t="shared" si="10"/>
        <v>39.702868852459012</v>
      </c>
      <c r="L54" s="118">
        <f t="shared" si="10"/>
        <v>35.291438979963566</v>
      </c>
      <c r="M54" s="118">
        <f t="shared" si="10"/>
        <v>31.762295081967213</v>
      </c>
      <c r="N54" s="118">
        <f t="shared" si="11"/>
        <v>28.87481371087928</v>
      </c>
      <c r="O54" s="118">
        <f t="shared" si="11"/>
        <v>26.468579234972676</v>
      </c>
      <c r="P54" s="118">
        <f t="shared" si="11"/>
        <v>24.432534678436312</v>
      </c>
      <c r="Q54" s="118">
        <f t="shared" si="11"/>
        <v>19.162829039812635</v>
      </c>
      <c r="R54" s="118">
        <f t="shared" si="11"/>
        <v>7.062907103825097</v>
      </c>
      <c r="S54" s="118">
        <f t="shared" si="11"/>
        <v>-3.5245245901639635</v>
      </c>
      <c r="T54" s="118">
        <f t="shared" si="11"/>
        <v>-12.866376084860178</v>
      </c>
      <c r="U54" s="118">
        <f t="shared" si="11"/>
        <v>-21.17024408014575</v>
      </c>
      <c r="V54" s="118">
        <f t="shared" si="11"/>
        <v>-28.600020707506502</v>
      </c>
      <c r="W54" s="118">
        <f t="shared" si="11"/>
        <v>-35.286819672131159</v>
      </c>
      <c r="X54" s="74"/>
    </row>
    <row r="55" spans="2:24" x14ac:dyDescent="0.25">
      <c r="B55" s="74"/>
      <c r="C55" s="74">
        <f t="shared" si="9"/>
        <v>4.2</v>
      </c>
      <c r="D55" s="118">
        <f t="shared" si="10"/>
        <v>317.6229508196721</v>
      </c>
      <c r="E55" s="118">
        <f t="shared" si="10"/>
        <v>158.81147540983605</v>
      </c>
      <c r="F55" s="118">
        <f t="shared" si="10"/>
        <v>105.8743169398907</v>
      </c>
      <c r="G55" s="118">
        <f t="shared" si="10"/>
        <v>79.405737704918025</v>
      </c>
      <c r="H55" s="118">
        <f t="shared" si="10"/>
        <v>63.524590163934427</v>
      </c>
      <c r="I55" s="118">
        <f t="shared" si="10"/>
        <v>52.937158469945352</v>
      </c>
      <c r="J55" s="118">
        <f t="shared" si="10"/>
        <v>45.374707259953162</v>
      </c>
      <c r="K55" s="118">
        <f t="shared" si="10"/>
        <v>39.702868852459012</v>
      </c>
      <c r="L55" s="118">
        <f t="shared" si="10"/>
        <v>35.291438979963566</v>
      </c>
      <c r="M55" s="118">
        <f t="shared" si="10"/>
        <v>31.762295081967213</v>
      </c>
      <c r="N55" s="118">
        <f t="shared" si="11"/>
        <v>28.87481371087928</v>
      </c>
      <c r="O55" s="118">
        <f t="shared" si="11"/>
        <v>26.468579234972676</v>
      </c>
      <c r="P55" s="118">
        <f t="shared" si="11"/>
        <v>24.432534678436312</v>
      </c>
      <c r="Q55" s="118">
        <f t="shared" si="11"/>
        <v>19.162829039812635</v>
      </c>
      <c r="R55" s="118">
        <f t="shared" si="11"/>
        <v>7.062907103825097</v>
      </c>
      <c r="S55" s="118">
        <f t="shared" si="11"/>
        <v>-3.5245245901639635</v>
      </c>
      <c r="T55" s="118">
        <f t="shared" si="11"/>
        <v>-12.866376084860178</v>
      </c>
      <c r="U55" s="118">
        <f t="shared" si="11"/>
        <v>-21.17024408014575</v>
      </c>
      <c r="V55" s="118">
        <f t="shared" si="11"/>
        <v>-28.600020707506502</v>
      </c>
      <c r="W55" s="118">
        <f t="shared" si="11"/>
        <v>-35.286819672131159</v>
      </c>
      <c r="X55" s="74"/>
    </row>
    <row r="56" spans="2:24" x14ac:dyDescent="0.25">
      <c r="B56" s="74"/>
      <c r="C56" s="74">
        <f t="shared" si="9"/>
        <v>4.3</v>
      </c>
      <c r="D56" s="118">
        <f t="shared" si="10"/>
        <v>317.6229508196721</v>
      </c>
      <c r="E56" s="118">
        <f t="shared" si="10"/>
        <v>158.81147540983605</v>
      </c>
      <c r="F56" s="118">
        <f t="shared" si="10"/>
        <v>105.8743169398907</v>
      </c>
      <c r="G56" s="118">
        <f t="shared" si="10"/>
        <v>79.405737704918025</v>
      </c>
      <c r="H56" s="118">
        <f t="shared" si="10"/>
        <v>63.524590163934427</v>
      </c>
      <c r="I56" s="118">
        <f t="shared" si="10"/>
        <v>52.937158469945352</v>
      </c>
      <c r="J56" s="118">
        <f t="shared" si="10"/>
        <v>45.374707259953162</v>
      </c>
      <c r="K56" s="118">
        <f t="shared" si="10"/>
        <v>39.702868852459012</v>
      </c>
      <c r="L56" s="118">
        <f t="shared" si="10"/>
        <v>35.291438979963566</v>
      </c>
      <c r="M56" s="118">
        <f t="shared" si="10"/>
        <v>31.762295081967213</v>
      </c>
      <c r="N56" s="118">
        <f t="shared" si="11"/>
        <v>28.87481371087928</v>
      </c>
      <c r="O56" s="118">
        <f t="shared" si="11"/>
        <v>26.468579234972676</v>
      </c>
      <c r="P56" s="118">
        <f t="shared" si="11"/>
        <v>24.432534678436312</v>
      </c>
      <c r="Q56" s="118">
        <f t="shared" si="11"/>
        <v>19.162829039812635</v>
      </c>
      <c r="R56" s="118">
        <f t="shared" si="11"/>
        <v>7.062907103825097</v>
      </c>
      <c r="S56" s="118">
        <f t="shared" si="11"/>
        <v>-3.5245245901639635</v>
      </c>
      <c r="T56" s="118">
        <f t="shared" si="11"/>
        <v>-12.866376084860178</v>
      </c>
      <c r="U56" s="118">
        <f t="shared" si="11"/>
        <v>-21.17024408014575</v>
      </c>
      <c r="V56" s="118">
        <f t="shared" si="11"/>
        <v>-28.600020707506502</v>
      </c>
      <c r="W56" s="118">
        <f t="shared" si="11"/>
        <v>-35.286819672131159</v>
      </c>
      <c r="X56" s="74"/>
    </row>
    <row r="57" spans="2:24" x14ac:dyDescent="0.25">
      <c r="B57" s="74"/>
      <c r="C57" s="74">
        <f t="shared" si="9"/>
        <v>4.3999999999999995</v>
      </c>
      <c r="D57" s="118">
        <f t="shared" si="10"/>
        <v>317.6229508196721</v>
      </c>
      <c r="E57" s="118">
        <f t="shared" si="10"/>
        <v>158.81147540983605</v>
      </c>
      <c r="F57" s="118">
        <f t="shared" si="10"/>
        <v>105.8743169398907</v>
      </c>
      <c r="G57" s="118">
        <f t="shared" si="10"/>
        <v>79.405737704918025</v>
      </c>
      <c r="H57" s="118">
        <f t="shared" si="10"/>
        <v>63.524590163934427</v>
      </c>
      <c r="I57" s="118">
        <f t="shared" si="10"/>
        <v>52.937158469945352</v>
      </c>
      <c r="J57" s="118">
        <f t="shared" si="10"/>
        <v>45.374707259953162</v>
      </c>
      <c r="K57" s="118">
        <f t="shared" si="10"/>
        <v>39.702868852459012</v>
      </c>
      <c r="L57" s="118">
        <f t="shared" si="10"/>
        <v>35.291438979963566</v>
      </c>
      <c r="M57" s="118">
        <f t="shared" si="10"/>
        <v>31.762295081967213</v>
      </c>
      <c r="N57" s="118">
        <f t="shared" si="11"/>
        <v>28.87481371087928</v>
      </c>
      <c r="O57" s="118">
        <f t="shared" si="11"/>
        <v>26.468579234972676</v>
      </c>
      <c r="P57" s="118">
        <f t="shared" si="11"/>
        <v>24.432534678436312</v>
      </c>
      <c r="Q57" s="118">
        <f t="shared" si="11"/>
        <v>19.162829039812635</v>
      </c>
      <c r="R57" s="118">
        <f t="shared" si="11"/>
        <v>7.062907103825097</v>
      </c>
      <c r="S57" s="118">
        <f t="shared" si="11"/>
        <v>-3.5245245901639635</v>
      </c>
      <c r="T57" s="118">
        <f t="shared" si="11"/>
        <v>-12.866376084860178</v>
      </c>
      <c r="U57" s="118">
        <f t="shared" si="11"/>
        <v>-21.17024408014575</v>
      </c>
      <c r="V57" s="118">
        <f t="shared" si="11"/>
        <v>-28.600020707506502</v>
      </c>
      <c r="W57" s="118">
        <f t="shared" si="11"/>
        <v>-35.286819672131159</v>
      </c>
      <c r="X57" s="74"/>
    </row>
    <row r="58" spans="2:24" x14ac:dyDescent="0.25">
      <c r="B58" s="74"/>
      <c r="C58" s="74">
        <f t="shared" si="9"/>
        <v>4.4999999999999991</v>
      </c>
      <c r="D58" s="118">
        <f t="shared" si="10"/>
        <v>317.6229508196721</v>
      </c>
      <c r="E58" s="118">
        <f t="shared" si="10"/>
        <v>158.81147540983605</v>
      </c>
      <c r="F58" s="118">
        <f t="shared" si="10"/>
        <v>105.8743169398907</v>
      </c>
      <c r="G58" s="118">
        <f t="shared" si="10"/>
        <v>79.405737704918025</v>
      </c>
      <c r="H58" s="118">
        <f t="shared" si="10"/>
        <v>63.524590163934427</v>
      </c>
      <c r="I58" s="118">
        <f t="shared" si="10"/>
        <v>52.937158469945352</v>
      </c>
      <c r="J58" s="118">
        <f t="shared" si="10"/>
        <v>45.374707259953162</v>
      </c>
      <c r="K58" s="118">
        <f t="shared" si="10"/>
        <v>39.702868852459012</v>
      </c>
      <c r="L58" s="118">
        <f t="shared" si="10"/>
        <v>35.291438979963566</v>
      </c>
      <c r="M58" s="118">
        <f t="shared" si="10"/>
        <v>31.762295081967213</v>
      </c>
      <c r="N58" s="118">
        <f t="shared" si="11"/>
        <v>28.87481371087928</v>
      </c>
      <c r="O58" s="118">
        <f t="shared" si="11"/>
        <v>26.468579234972676</v>
      </c>
      <c r="P58" s="118">
        <f t="shared" si="11"/>
        <v>24.432534678436312</v>
      </c>
      <c r="Q58" s="118">
        <f t="shared" si="11"/>
        <v>19.162829039812635</v>
      </c>
      <c r="R58" s="118">
        <f t="shared" si="11"/>
        <v>7.062907103825097</v>
      </c>
      <c r="S58" s="118">
        <f t="shared" si="11"/>
        <v>-3.5245245901639635</v>
      </c>
      <c r="T58" s="118">
        <f t="shared" si="11"/>
        <v>-12.866376084860178</v>
      </c>
      <c r="U58" s="118">
        <f t="shared" si="11"/>
        <v>-21.17024408014575</v>
      </c>
      <c r="V58" s="118">
        <f t="shared" si="11"/>
        <v>-28.600020707506502</v>
      </c>
      <c r="W58" s="118">
        <f t="shared" si="11"/>
        <v>-35.286819672131159</v>
      </c>
      <c r="X58" s="74"/>
    </row>
    <row r="59" spans="2:24" x14ac:dyDescent="0.25">
      <c r="B59" s="74"/>
      <c r="C59" s="74">
        <f t="shared" si="9"/>
        <v>4.5999999999999988</v>
      </c>
      <c r="D59" s="118">
        <f t="shared" si="10"/>
        <v>317.6229508196721</v>
      </c>
      <c r="E59" s="118">
        <f t="shared" si="10"/>
        <v>158.81147540983605</v>
      </c>
      <c r="F59" s="118">
        <f t="shared" si="10"/>
        <v>105.8743169398907</v>
      </c>
      <c r="G59" s="118">
        <f t="shared" si="10"/>
        <v>79.405737704918025</v>
      </c>
      <c r="H59" s="118">
        <f t="shared" si="10"/>
        <v>63.524590163934427</v>
      </c>
      <c r="I59" s="118">
        <f t="shared" si="10"/>
        <v>52.937158469945352</v>
      </c>
      <c r="J59" s="118">
        <f t="shared" si="10"/>
        <v>45.374707259953162</v>
      </c>
      <c r="K59" s="118">
        <f t="shared" si="10"/>
        <v>39.702868852459012</v>
      </c>
      <c r="L59" s="118">
        <f t="shared" si="10"/>
        <v>35.291438979963566</v>
      </c>
      <c r="M59" s="118">
        <f t="shared" si="10"/>
        <v>31.762295081967213</v>
      </c>
      <c r="N59" s="118">
        <f t="shared" si="11"/>
        <v>28.87481371087928</v>
      </c>
      <c r="O59" s="118">
        <f t="shared" si="11"/>
        <v>26.468579234972676</v>
      </c>
      <c r="P59" s="118">
        <f t="shared" si="11"/>
        <v>24.432534678436312</v>
      </c>
      <c r="Q59" s="118">
        <f t="shared" si="11"/>
        <v>19.162829039812635</v>
      </c>
      <c r="R59" s="118">
        <f t="shared" si="11"/>
        <v>7.062907103825097</v>
      </c>
      <c r="S59" s="118">
        <f t="shared" si="11"/>
        <v>-3.5245245901639635</v>
      </c>
      <c r="T59" s="118">
        <f t="shared" si="11"/>
        <v>-12.866376084860178</v>
      </c>
      <c r="U59" s="118">
        <f t="shared" si="11"/>
        <v>-21.17024408014575</v>
      </c>
      <c r="V59" s="118">
        <f t="shared" si="11"/>
        <v>-28.600020707506502</v>
      </c>
      <c r="W59" s="118">
        <f t="shared" si="11"/>
        <v>-35.286819672131159</v>
      </c>
      <c r="X59" s="74"/>
    </row>
    <row r="60" spans="2:24" x14ac:dyDescent="0.25">
      <c r="B60" s="74"/>
      <c r="C60" s="74">
        <f t="shared" si="9"/>
        <v>4.6999999999999984</v>
      </c>
      <c r="D60" s="118">
        <f t="shared" si="10"/>
        <v>317.6229508196721</v>
      </c>
      <c r="E60" s="118">
        <f t="shared" si="10"/>
        <v>158.81147540983605</v>
      </c>
      <c r="F60" s="118">
        <f t="shared" si="10"/>
        <v>105.8743169398907</v>
      </c>
      <c r="G60" s="118">
        <f t="shared" si="10"/>
        <v>79.405737704918025</v>
      </c>
      <c r="H60" s="118">
        <f t="shared" si="10"/>
        <v>63.524590163934427</v>
      </c>
      <c r="I60" s="118">
        <f t="shared" si="10"/>
        <v>52.937158469945352</v>
      </c>
      <c r="J60" s="118">
        <f t="shared" si="10"/>
        <v>45.374707259953162</v>
      </c>
      <c r="K60" s="118">
        <f t="shared" si="10"/>
        <v>39.702868852459012</v>
      </c>
      <c r="L60" s="118">
        <f t="shared" si="10"/>
        <v>35.291438979963566</v>
      </c>
      <c r="M60" s="118">
        <f t="shared" si="10"/>
        <v>31.762295081967213</v>
      </c>
      <c r="N60" s="118">
        <f t="shared" si="11"/>
        <v>28.87481371087928</v>
      </c>
      <c r="O60" s="118">
        <f t="shared" si="11"/>
        <v>26.468579234972676</v>
      </c>
      <c r="P60" s="118">
        <f t="shared" si="11"/>
        <v>24.432534678436312</v>
      </c>
      <c r="Q60" s="118">
        <f t="shared" si="11"/>
        <v>19.162829039812635</v>
      </c>
      <c r="R60" s="118">
        <f t="shared" si="11"/>
        <v>7.062907103825097</v>
      </c>
      <c r="S60" s="118">
        <f t="shared" si="11"/>
        <v>-3.5245245901639635</v>
      </c>
      <c r="T60" s="118">
        <f t="shared" si="11"/>
        <v>-12.866376084860178</v>
      </c>
      <c r="U60" s="118">
        <f t="shared" si="11"/>
        <v>-21.17024408014575</v>
      </c>
      <c r="V60" s="118">
        <f t="shared" si="11"/>
        <v>-28.600020707506502</v>
      </c>
      <c r="W60" s="118">
        <f t="shared" si="11"/>
        <v>-35.286819672131159</v>
      </c>
      <c r="X60" s="74"/>
    </row>
    <row r="61" spans="2:24" x14ac:dyDescent="0.25">
      <c r="B61" s="74"/>
      <c r="C61" s="74">
        <f t="shared" si="9"/>
        <v>4.799999999999998</v>
      </c>
      <c r="D61" s="118">
        <f t="shared" si="10"/>
        <v>317.6229508196721</v>
      </c>
      <c r="E61" s="118">
        <f t="shared" si="10"/>
        <v>158.81147540983605</v>
      </c>
      <c r="F61" s="118">
        <f t="shared" si="10"/>
        <v>105.8743169398907</v>
      </c>
      <c r="G61" s="118">
        <f t="shared" si="10"/>
        <v>79.405737704918025</v>
      </c>
      <c r="H61" s="118">
        <f t="shared" si="10"/>
        <v>63.524590163934427</v>
      </c>
      <c r="I61" s="118">
        <f t="shared" si="10"/>
        <v>52.937158469945352</v>
      </c>
      <c r="J61" s="118">
        <f t="shared" si="10"/>
        <v>45.374707259953162</v>
      </c>
      <c r="K61" s="118">
        <f t="shared" si="10"/>
        <v>39.702868852459012</v>
      </c>
      <c r="L61" s="118">
        <f t="shared" si="10"/>
        <v>35.291438979963566</v>
      </c>
      <c r="M61" s="118">
        <f t="shared" si="10"/>
        <v>31.762295081967213</v>
      </c>
      <c r="N61" s="118">
        <f t="shared" si="11"/>
        <v>28.87481371087928</v>
      </c>
      <c r="O61" s="118">
        <f t="shared" si="11"/>
        <v>26.468579234972676</v>
      </c>
      <c r="P61" s="118">
        <f t="shared" si="11"/>
        <v>24.432534678436312</v>
      </c>
      <c r="Q61" s="118">
        <f t="shared" si="11"/>
        <v>19.162829039812635</v>
      </c>
      <c r="R61" s="118">
        <f t="shared" si="11"/>
        <v>7.062907103825097</v>
      </c>
      <c r="S61" s="118">
        <f t="shared" si="11"/>
        <v>-3.5245245901639635</v>
      </c>
      <c r="T61" s="118">
        <f t="shared" si="11"/>
        <v>-12.866376084860178</v>
      </c>
      <c r="U61" s="118">
        <f t="shared" si="11"/>
        <v>-21.17024408014575</v>
      </c>
      <c r="V61" s="118">
        <f t="shared" si="11"/>
        <v>-28.600020707506502</v>
      </c>
      <c r="W61" s="118">
        <f t="shared" si="11"/>
        <v>-35.286819672131159</v>
      </c>
      <c r="X61" s="74"/>
    </row>
    <row r="62" spans="2:24" x14ac:dyDescent="0.25">
      <c r="B62" s="74"/>
      <c r="C62" s="74">
        <f t="shared" si="9"/>
        <v>4.8999999999999977</v>
      </c>
      <c r="D62" s="118">
        <f t="shared" si="10"/>
        <v>317.6229508196721</v>
      </c>
      <c r="E62" s="118">
        <f t="shared" si="10"/>
        <v>158.81147540983605</v>
      </c>
      <c r="F62" s="118">
        <f t="shared" si="10"/>
        <v>105.8743169398907</v>
      </c>
      <c r="G62" s="118">
        <f t="shared" si="10"/>
        <v>79.405737704918025</v>
      </c>
      <c r="H62" s="118">
        <f t="shared" si="10"/>
        <v>63.524590163934427</v>
      </c>
      <c r="I62" s="118">
        <f t="shared" si="10"/>
        <v>52.937158469945352</v>
      </c>
      <c r="J62" s="118">
        <f t="shared" si="10"/>
        <v>45.374707259953162</v>
      </c>
      <c r="K62" s="118">
        <f t="shared" si="10"/>
        <v>39.702868852459012</v>
      </c>
      <c r="L62" s="118">
        <f t="shared" si="10"/>
        <v>35.291438979963566</v>
      </c>
      <c r="M62" s="118">
        <f t="shared" si="10"/>
        <v>31.762295081967213</v>
      </c>
      <c r="N62" s="118">
        <f t="shared" si="11"/>
        <v>28.87481371087928</v>
      </c>
      <c r="O62" s="118">
        <f t="shared" si="11"/>
        <v>26.468579234972676</v>
      </c>
      <c r="P62" s="118">
        <f t="shared" si="11"/>
        <v>24.432534678436312</v>
      </c>
      <c r="Q62" s="118">
        <f t="shared" si="11"/>
        <v>19.162829039812635</v>
      </c>
      <c r="R62" s="118">
        <f t="shared" si="11"/>
        <v>7.062907103825097</v>
      </c>
      <c r="S62" s="118">
        <f t="shared" si="11"/>
        <v>-3.5245245901639635</v>
      </c>
      <c r="T62" s="118">
        <f t="shared" si="11"/>
        <v>-12.866376084860178</v>
      </c>
      <c r="U62" s="118">
        <f t="shared" si="11"/>
        <v>-21.17024408014575</v>
      </c>
      <c r="V62" s="118">
        <f t="shared" si="11"/>
        <v>-28.600020707506502</v>
      </c>
      <c r="W62" s="118">
        <f t="shared" si="11"/>
        <v>-35.286819672131159</v>
      </c>
      <c r="X62" s="74"/>
    </row>
    <row r="63" spans="2:24" x14ac:dyDescent="0.25">
      <c r="B63" s="74"/>
      <c r="C63" s="74">
        <f t="shared" si="9"/>
        <v>4.9999999999999973</v>
      </c>
      <c r="D63" s="118">
        <f t="shared" ref="D63:M68" si="12">MIN(((MIN($C63-$C$40,$C$40)-0.1)/(D$42*0.001*CCgain*GainDiffAmp)),(((2*MIN($C63-$C$40,$C$40)-0.2)/(D$42*0.001*CCgain))-Rmax))</f>
        <v>317.6229508196721</v>
      </c>
      <c r="E63" s="118">
        <f t="shared" si="12"/>
        <v>158.81147540983605</v>
      </c>
      <c r="F63" s="118">
        <f t="shared" si="12"/>
        <v>105.8743169398907</v>
      </c>
      <c r="G63" s="118">
        <f t="shared" si="12"/>
        <v>79.405737704918025</v>
      </c>
      <c r="H63" s="118">
        <f t="shared" si="12"/>
        <v>63.524590163934427</v>
      </c>
      <c r="I63" s="118">
        <f t="shared" si="12"/>
        <v>52.937158469945352</v>
      </c>
      <c r="J63" s="118">
        <f t="shared" si="12"/>
        <v>45.374707259953162</v>
      </c>
      <c r="K63" s="118">
        <f t="shared" si="12"/>
        <v>39.702868852459012</v>
      </c>
      <c r="L63" s="118">
        <f t="shared" si="12"/>
        <v>35.291438979963566</v>
      </c>
      <c r="M63" s="118">
        <f t="shared" si="12"/>
        <v>31.762295081967213</v>
      </c>
      <c r="N63" s="118">
        <f t="shared" ref="N63:W68" si="13">MIN(((MIN($C63-$C$40,$C$40)-0.1)/(N$42*0.001*CCgain*GainDiffAmp)),(((2*MIN($C63-$C$40,$C$40)-0.2)/(N$42*0.001*CCgain))-Rmax))</f>
        <v>28.87481371087928</v>
      </c>
      <c r="O63" s="118">
        <f t="shared" si="13"/>
        <v>26.468579234972676</v>
      </c>
      <c r="P63" s="118">
        <f t="shared" si="13"/>
        <v>24.432534678436312</v>
      </c>
      <c r="Q63" s="118">
        <f t="shared" si="13"/>
        <v>19.162829039812635</v>
      </c>
      <c r="R63" s="118">
        <f t="shared" si="13"/>
        <v>7.062907103825097</v>
      </c>
      <c r="S63" s="118">
        <f t="shared" si="13"/>
        <v>-3.5245245901639635</v>
      </c>
      <c r="T63" s="118">
        <f t="shared" si="13"/>
        <v>-12.866376084860178</v>
      </c>
      <c r="U63" s="118">
        <f t="shared" si="13"/>
        <v>-21.17024408014575</v>
      </c>
      <c r="V63" s="118">
        <f t="shared" si="13"/>
        <v>-28.600020707506502</v>
      </c>
      <c r="W63" s="118">
        <f t="shared" si="13"/>
        <v>-35.286819672131159</v>
      </c>
      <c r="X63" s="74"/>
    </row>
    <row r="64" spans="2:24" x14ac:dyDescent="0.25">
      <c r="B64" s="74"/>
      <c r="C64" s="74">
        <f t="shared" si="9"/>
        <v>5.099999999999997</v>
      </c>
      <c r="D64" s="118">
        <f t="shared" si="12"/>
        <v>317.6229508196721</v>
      </c>
      <c r="E64" s="118">
        <f t="shared" si="12"/>
        <v>158.81147540983605</v>
      </c>
      <c r="F64" s="118">
        <f t="shared" si="12"/>
        <v>105.8743169398907</v>
      </c>
      <c r="G64" s="118">
        <f t="shared" si="12"/>
        <v>79.405737704918025</v>
      </c>
      <c r="H64" s="118">
        <f t="shared" si="12"/>
        <v>63.524590163934427</v>
      </c>
      <c r="I64" s="118">
        <f t="shared" si="12"/>
        <v>52.937158469945352</v>
      </c>
      <c r="J64" s="118">
        <f t="shared" si="12"/>
        <v>45.374707259953162</v>
      </c>
      <c r="K64" s="118">
        <f t="shared" si="12"/>
        <v>39.702868852459012</v>
      </c>
      <c r="L64" s="118">
        <f t="shared" si="12"/>
        <v>35.291438979963566</v>
      </c>
      <c r="M64" s="118">
        <f t="shared" si="12"/>
        <v>31.762295081967213</v>
      </c>
      <c r="N64" s="118">
        <f t="shared" si="13"/>
        <v>28.87481371087928</v>
      </c>
      <c r="O64" s="118">
        <f t="shared" si="13"/>
        <v>26.468579234972676</v>
      </c>
      <c r="P64" s="118">
        <f t="shared" si="13"/>
        <v>24.432534678436312</v>
      </c>
      <c r="Q64" s="118">
        <f t="shared" si="13"/>
        <v>19.162829039812635</v>
      </c>
      <c r="R64" s="118">
        <f t="shared" si="13"/>
        <v>7.062907103825097</v>
      </c>
      <c r="S64" s="118">
        <f t="shared" si="13"/>
        <v>-3.5245245901639635</v>
      </c>
      <c r="T64" s="118">
        <f t="shared" si="13"/>
        <v>-12.866376084860178</v>
      </c>
      <c r="U64" s="118">
        <f t="shared" si="13"/>
        <v>-21.17024408014575</v>
      </c>
      <c r="V64" s="118">
        <f t="shared" si="13"/>
        <v>-28.600020707506502</v>
      </c>
      <c r="W64" s="118">
        <f t="shared" si="13"/>
        <v>-35.286819672131159</v>
      </c>
      <c r="X64" s="74"/>
    </row>
    <row r="65" spans="2:24" x14ac:dyDescent="0.25">
      <c r="B65" s="74"/>
      <c r="C65" s="74">
        <f t="shared" si="9"/>
        <v>5.1999999999999966</v>
      </c>
      <c r="D65" s="118">
        <f t="shared" si="12"/>
        <v>317.6229508196721</v>
      </c>
      <c r="E65" s="118">
        <f t="shared" si="12"/>
        <v>158.81147540983605</v>
      </c>
      <c r="F65" s="118">
        <f t="shared" si="12"/>
        <v>105.8743169398907</v>
      </c>
      <c r="G65" s="118">
        <f t="shared" si="12"/>
        <v>79.405737704918025</v>
      </c>
      <c r="H65" s="118">
        <f t="shared" si="12"/>
        <v>63.524590163934427</v>
      </c>
      <c r="I65" s="118">
        <f t="shared" si="12"/>
        <v>52.937158469945352</v>
      </c>
      <c r="J65" s="118">
        <f t="shared" si="12"/>
        <v>45.374707259953162</v>
      </c>
      <c r="K65" s="118">
        <f t="shared" si="12"/>
        <v>39.702868852459012</v>
      </c>
      <c r="L65" s="118">
        <f t="shared" si="12"/>
        <v>35.291438979963566</v>
      </c>
      <c r="M65" s="118">
        <f t="shared" si="12"/>
        <v>31.762295081967213</v>
      </c>
      <c r="N65" s="118">
        <f t="shared" si="13"/>
        <v>28.87481371087928</v>
      </c>
      <c r="O65" s="118">
        <f t="shared" si="13"/>
        <v>26.468579234972676</v>
      </c>
      <c r="P65" s="118">
        <f t="shared" si="13"/>
        <v>24.432534678436312</v>
      </c>
      <c r="Q65" s="118">
        <f t="shared" si="13"/>
        <v>19.162829039812635</v>
      </c>
      <c r="R65" s="118">
        <f t="shared" si="13"/>
        <v>7.062907103825097</v>
      </c>
      <c r="S65" s="118">
        <f t="shared" si="13"/>
        <v>-3.5245245901639635</v>
      </c>
      <c r="T65" s="118">
        <f t="shared" si="13"/>
        <v>-12.866376084860178</v>
      </c>
      <c r="U65" s="118">
        <f t="shared" si="13"/>
        <v>-21.17024408014575</v>
      </c>
      <c r="V65" s="118">
        <f t="shared" si="13"/>
        <v>-28.600020707506502</v>
      </c>
      <c r="W65" s="118">
        <f t="shared" si="13"/>
        <v>-35.286819672131159</v>
      </c>
      <c r="X65" s="74"/>
    </row>
    <row r="66" spans="2:24" x14ac:dyDescent="0.25">
      <c r="B66" s="74"/>
      <c r="C66" s="74">
        <f t="shared" si="9"/>
        <v>5.2999999999999963</v>
      </c>
      <c r="D66" s="118">
        <f t="shared" si="12"/>
        <v>317.6229508196721</v>
      </c>
      <c r="E66" s="118">
        <f t="shared" si="12"/>
        <v>158.81147540983605</v>
      </c>
      <c r="F66" s="118">
        <f t="shared" si="12"/>
        <v>105.8743169398907</v>
      </c>
      <c r="G66" s="118">
        <f t="shared" si="12"/>
        <v>79.405737704918025</v>
      </c>
      <c r="H66" s="118">
        <f t="shared" si="12"/>
        <v>63.524590163934427</v>
      </c>
      <c r="I66" s="118">
        <f t="shared" si="12"/>
        <v>52.937158469945352</v>
      </c>
      <c r="J66" s="118">
        <f t="shared" si="12"/>
        <v>45.374707259953162</v>
      </c>
      <c r="K66" s="118">
        <f t="shared" si="12"/>
        <v>39.702868852459012</v>
      </c>
      <c r="L66" s="118">
        <f t="shared" si="12"/>
        <v>35.291438979963566</v>
      </c>
      <c r="M66" s="118">
        <f t="shared" si="12"/>
        <v>31.762295081967213</v>
      </c>
      <c r="N66" s="118">
        <f t="shared" si="13"/>
        <v>28.87481371087928</v>
      </c>
      <c r="O66" s="118">
        <f t="shared" si="13"/>
        <v>26.468579234972676</v>
      </c>
      <c r="P66" s="118">
        <f t="shared" si="13"/>
        <v>24.432534678436312</v>
      </c>
      <c r="Q66" s="118">
        <f t="shared" si="13"/>
        <v>19.162829039812635</v>
      </c>
      <c r="R66" s="118">
        <f t="shared" si="13"/>
        <v>7.062907103825097</v>
      </c>
      <c r="S66" s="118">
        <f t="shared" si="13"/>
        <v>-3.5245245901639635</v>
      </c>
      <c r="T66" s="118">
        <f t="shared" si="13"/>
        <v>-12.866376084860178</v>
      </c>
      <c r="U66" s="118">
        <f t="shared" si="13"/>
        <v>-21.17024408014575</v>
      </c>
      <c r="V66" s="118">
        <f t="shared" si="13"/>
        <v>-28.600020707506502</v>
      </c>
      <c r="W66" s="118">
        <f t="shared" si="13"/>
        <v>-35.286819672131159</v>
      </c>
      <c r="X66" s="74"/>
    </row>
    <row r="67" spans="2:24" x14ac:dyDescent="0.25">
      <c r="B67" s="74"/>
      <c r="C67" s="74">
        <f t="shared" si="9"/>
        <v>5.3999999999999959</v>
      </c>
      <c r="D67" s="118">
        <f t="shared" si="12"/>
        <v>317.6229508196721</v>
      </c>
      <c r="E67" s="118">
        <f t="shared" si="12"/>
        <v>158.81147540983605</v>
      </c>
      <c r="F67" s="118">
        <f t="shared" si="12"/>
        <v>105.8743169398907</v>
      </c>
      <c r="G67" s="118">
        <f t="shared" si="12"/>
        <v>79.405737704918025</v>
      </c>
      <c r="H67" s="118">
        <f t="shared" si="12"/>
        <v>63.524590163934427</v>
      </c>
      <c r="I67" s="118">
        <f t="shared" si="12"/>
        <v>52.937158469945352</v>
      </c>
      <c r="J67" s="118">
        <f t="shared" si="12"/>
        <v>45.374707259953162</v>
      </c>
      <c r="K67" s="118">
        <f t="shared" si="12"/>
        <v>39.702868852459012</v>
      </c>
      <c r="L67" s="118">
        <f t="shared" si="12"/>
        <v>35.291438979963566</v>
      </c>
      <c r="M67" s="118">
        <f t="shared" si="12"/>
        <v>31.762295081967213</v>
      </c>
      <c r="N67" s="118">
        <f t="shared" si="13"/>
        <v>28.87481371087928</v>
      </c>
      <c r="O67" s="118">
        <f t="shared" si="13"/>
        <v>26.468579234972676</v>
      </c>
      <c r="P67" s="118">
        <f t="shared" si="13"/>
        <v>24.432534678436312</v>
      </c>
      <c r="Q67" s="118">
        <f t="shared" si="13"/>
        <v>19.162829039812635</v>
      </c>
      <c r="R67" s="118">
        <f t="shared" si="13"/>
        <v>7.062907103825097</v>
      </c>
      <c r="S67" s="118">
        <f t="shared" si="13"/>
        <v>-3.5245245901639635</v>
      </c>
      <c r="T67" s="118">
        <f t="shared" si="13"/>
        <v>-12.866376084860178</v>
      </c>
      <c r="U67" s="118">
        <f t="shared" si="13"/>
        <v>-21.17024408014575</v>
      </c>
      <c r="V67" s="118">
        <f t="shared" si="13"/>
        <v>-28.600020707506502</v>
      </c>
      <c r="W67" s="118">
        <f t="shared" si="13"/>
        <v>-35.286819672131159</v>
      </c>
      <c r="X67" s="74"/>
    </row>
    <row r="68" spans="2:24" x14ac:dyDescent="0.25">
      <c r="B68" s="74"/>
      <c r="C68" s="74">
        <f t="shared" si="9"/>
        <v>5.4999999999999956</v>
      </c>
      <c r="D68" s="118">
        <f t="shared" si="12"/>
        <v>317.6229508196721</v>
      </c>
      <c r="E68" s="118">
        <f t="shared" si="12"/>
        <v>158.81147540983605</v>
      </c>
      <c r="F68" s="118">
        <f t="shared" si="12"/>
        <v>105.8743169398907</v>
      </c>
      <c r="G68" s="118">
        <f t="shared" si="12"/>
        <v>79.405737704918025</v>
      </c>
      <c r="H68" s="118">
        <f t="shared" si="12"/>
        <v>63.524590163934427</v>
      </c>
      <c r="I68" s="118">
        <f t="shared" si="12"/>
        <v>52.937158469945352</v>
      </c>
      <c r="J68" s="118">
        <f t="shared" si="12"/>
        <v>45.374707259953162</v>
      </c>
      <c r="K68" s="118">
        <f t="shared" si="12"/>
        <v>39.702868852459012</v>
      </c>
      <c r="L68" s="118">
        <f t="shared" si="12"/>
        <v>35.291438979963566</v>
      </c>
      <c r="M68" s="118">
        <f t="shared" si="12"/>
        <v>31.762295081967213</v>
      </c>
      <c r="N68" s="118">
        <f t="shared" si="13"/>
        <v>28.87481371087928</v>
      </c>
      <c r="O68" s="118">
        <f t="shared" si="13"/>
        <v>26.468579234972676</v>
      </c>
      <c r="P68" s="118">
        <f t="shared" si="13"/>
        <v>24.432534678436312</v>
      </c>
      <c r="Q68" s="118">
        <f t="shared" si="13"/>
        <v>19.162829039812635</v>
      </c>
      <c r="R68" s="118">
        <f t="shared" si="13"/>
        <v>7.062907103825097</v>
      </c>
      <c r="S68" s="118">
        <f t="shared" si="13"/>
        <v>-3.5245245901639635</v>
      </c>
      <c r="T68" s="118">
        <f t="shared" si="13"/>
        <v>-12.866376084860178</v>
      </c>
      <c r="U68" s="118">
        <f t="shared" si="13"/>
        <v>-21.17024408014575</v>
      </c>
      <c r="V68" s="118">
        <f t="shared" si="13"/>
        <v>-28.600020707506502</v>
      </c>
      <c r="W68" s="118">
        <f t="shared" si="13"/>
        <v>-35.286819672131159</v>
      </c>
      <c r="X68" s="74"/>
    </row>
    <row r="69" spans="2:24" x14ac:dyDescent="0.25">
      <c r="B69" s="74"/>
      <c r="C69" s="74"/>
      <c r="D69" s="74"/>
      <c r="E69" s="74"/>
      <c r="F69" s="74"/>
      <c r="G69" s="74"/>
      <c r="H69" s="74"/>
      <c r="I69" s="74"/>
      <c r="J69" s="74"/>
      <c r="K69" s="74"/>
      <c r="L69" s="74"/>
      <c r="M69" s="74"/>
      <c r="N69" s="74"/>
      <c r="O69" s="74"/>
      <c r="P69" s="74"/>
      <c r="Q69" s="74"/>
      <c r="R69" s="74"/>
      <c r="S69" s="74"/>
      <c r="T69" s="74"/>
      <c r="U69" s="74"/>
      <c r="V69" s="74"/>
      <c r="W69" s="74"/>
      <c r="X69" s="74"/>
    </row>
    <row r="70" spans="2:24" x14ac:dyDescent="0.25">
      <c r="B70" s="74"/>
      <c r="C70" s="74"/>
      <c r="D70" s="74"/>
      <c r="E70" s="74"/>
      <c r="F70" s="74"/>
      <c r="G70" s="74"/>
      <c r="H70" s="74"/>
      <c r="I70" s="74"/>
      <c r="J70" s="74"/>
      <c r="K70" s="74"/>
      <c r="L70" s="74"/>
      <c r="M70" s="74"/>
      <c r="N70" s="74"/>
      <c r="O70" s="74"/>
      <c r="P70" s="74"/>
      <c r="Q70" s="74"/>
      <c r="R70" s="74"/>
      <c r="S70" s="74"/>
      <c r="T70" s="74"/>
      <c r="U70" s="74"/>
      <c r="V70" s="74"/>
      <c r="W70" s="74"/>
      <c r="X70" s="74"/>
    </row>
    <row r="71" spans="2:24" x14ac:dyDescent="0.25">
      <c r="B71" s="11"/>
      <c r="C71" s="11"/>
      <c r="D71" s="11"/>
      <c r="E71" s="11"/>
      <c r="F71" s="11"/>
      <c r="G71" s="11"/>
      <c r="H71" s="11"/>
      <c r="I71" s="11"/>
      <c r="J71" s="11"/>
      <c r="K71" s="11"/>
      <c r="L71" s="11"/>
      <c r="M71" s="11"/>
      <c r="N71" s="11"/>
      <c r="O71" s="11"/>
      <c r="P71" s="11"/>
      <c r="Q71" s="11"/>
      <c r="R71" s="11"/>
      <c r="S71" s="11"/>
      <c r="T71" s="11"/>
      <c r="U71" s="11"/>
      <c r="V71" s="11"/>
      <c r="W71" s="11"/>
      <c r="X71" s="11"/>
    </row>
    <row r="72" spans="2:24" x14ac:dyDescent="0.25">
      <c r="B72" s="74"/>
      <c r="C72" s="74"/>
      <c r="D72" s="74"/>
      <c r="E72" s="74"/>
      <c r="F72" s="74"/>
      <c r="G72" s="74"/>
      <c r="H72" s="74"/>
      <c r="I72" s="74"/>
      <c r="J72" s="74"/>
      <c r="K72" s="74"/>
      <c r="L72" s="74"/>
      <c r="M72" s="74"/>
      <c r="N72" s="74"/>
      <c r="O72" s="74"/>
      <c r="P72" s="74"/>
      <c r="Q72" s="74"/>
      <c r="R72" s="74"/>
      <c r="S72" s="74"/>
      <c r="T72" s="74"/>
      <c r="U72" s="74"/>
      <c r="V72" s="74"/>
      <c r="W72" s="74"/>
      <c r="X72" s="74"/>
    </row>
    <row r="73" spans="2:24" x14ac:dyDescent="0.25">
      <c r="B73" s="74" t="s">
        <v>126</v>
      </c>
      <c r="C73" s="112">
        <v>2.5</v>
      </c>
      <c r="D73" s="76" t="s">
        <v>13</v>
      </c>
      <c r="E73" s="74"/>
      <c r="F73" s="74"/>
      <c r="G73" s="74"/>
      <c r="H73" s="74"/>
      <c r="I73" s="74"/>
      <c r="J73" s="74"/>
      <c r="K73" s="74"/>
      <c r="L73" s="74"/>
      <c r="M73" s="74"/>
      <c r="N73" s="74"/>
      <c r="O73" s="74"/>
      <c r="P73" s="74"/>
      <c r="Q73" s="74"/>
      <c r="R73" s="74"/>
      <c r="S73" s="74"/>
      <c r="T73" s="74"/>
      <c r="U73" s="74"/>
      <c r="V73" s="74"/>
      <c r="W73" s="74"/>
      <c r="X73" s="74"/>
    </row>
    <row r="74" spans="2:24" x14ac:dyDescent="0.25">
      <c r="B74" s="74"/>
      <c r="C74" s="74"/>
      <c r="D74" s="76"/>
      <c r="E74" s="74"/>
      <c r="F74" s="74"/>
      <c r="G74" s="74"/>
      <c r="H74" s="74"/>
      <c r="I74" s="74"/>
      <c r="J74" s="74"/>
      <c r="K74" s="74"/>
      <c r="L74" s="74"/>
      <c r="M74" s="74"/>
      <c r="N74" s="74"/>
      <c r="O74" s="74"/>
      <c r="P74" s="74"/>
      <c r="Q74" s="74"/>
      <c r="R74" s="74"/>
      <c r="S74" s="74"/>
      <c r="T74" s="74"/>
      <c r="U74" s="74"/>
      <c r="V74" s="74"/>
      <c r="W74" s="74"/>
      <c r="X74" s="74"/>
    </row>
    <row r="75" spans="2:24" x14ac:dyDescent="0.25">
      <c r="B75" s="74"/>
      <c r="C75" s="74"/>
      <c r="D75" s="74">
        <v>0.1</v>
      </c>
      <c r="E75" s="74">
        <v>0.2</v>
      </c>
      <c r="F75" s="74">
        <v>0.3</v>
      </c>
      <c r="G75" s="74">
        <v>0.4</v>
      </c>
      <c r="H75" s="74">
        <v>0.5</v>
      </c>
      <c r="I75" s="74">
        <v>0.6</v>
      </c>
      <c r="J75" s="74">
        <v>0.7</v>
      </c>
      <c r="K75" s="74">
        <v>0.8</v>
      </c>
      <c r="L75" s="74">
        <v>0.9</v>
      </c>
      <c r="M75" s="74">
        <v>1</v>
      </c>
      <c r="N75" s="74">
        <v>1.1000000000000001</v>
      </c>
      <c r="O75" s="74">
        <v>1.2</v>
      </c>
      <c r="P75" s="74">
        <v>1.3</v>
      </c>
      <c r="Q75" s="74">
        <v>1.4</v>
      </c>
      <c r="R75" s="74">
        <v>1.5</v>
      </c>
      <c r="S75" s="74">
        <v>1.6</v>
      </c>
      <c r="T75" s="74">
        <v>1.7</v>
      </c>
      <c r="U75" s="74">
        <v>1.8</v>
      </c>
      <c r="V75" s="74">
        <v>1.9</v>
      </c>
      <c r="W75" s="74">
        <v>2</v>
      </c>
      <c r="X75" s="74"/>
    </row>
    <row r="76" spans="2:24" x14ac:dyDescent="0.25">
      <c r="B76" s="74"/>
      <c r="C76" s="74">
        <v>3</v>
      </c>
      <c r="D76" s="118">
        <f t="shared" ref="D76:M85" si="14">MIN(((MIN($C76-$C$73,$C$73)-0.1)/(D$75*0.001*CCgain*GainDiffAmp)),(((2*(MIN($C76-$C$73,$C$73)-0.2))/(D$75*0.001*CCgain))-Rmax))</f>
        <v>81.967213114754102</v>
      </c>
      <c r="E76" s="118">
        <f t="shared" si="14"/>
        <v>40.983606557377051</v>
      </c>
      <c r="F76" s="118">
        <f t="shared" si="14"/>
        <v>1.5984262295081919</v>
      </c>
      <c r="G76" s="118">
        <f t="shared" si="14"/>
        <v>-39.385180327868866</v>
      </c>
      <c r="H76" s="118">
        <f t="shared" si="14"/>
        <v>-63.975344262295096</v>
      </c>
      <c r="I76" s="118">
        <f t="shared" si="14"/>
        <v>-80.36878688524591</v>
      </c>
      <c r="J76" s="118">
        <f t="shared" si="14"/>
        <v>-92.078388758782211</v>
      </c>
      <c r="K76" s="118">
        <f t="shared" si="14"/>
        <v>-100.86059016393443</v>
      </c>
      <c r="L76" s="118">
        <f t="shared" si="14"/>
        <v>-107.69119125683062</v>
      </c>
      <c r="M76" s="118">
        <f t="shared" si="14"/>
        <v>-113.15567213114755</v>
      </c>
      <c r="N76" s="118">
        <f t="shared" ref="N76:W85" si="15">MIN(((MIN($C76-$C$73,$C$73)-0.1)/(N$75*0.001*CCgain*GainDiffAmp)),(((2*(MIN($C76-$C$73,$C$73)-0.2))/(N$75*0.001*CCgain))-Rmax))</f>
        <v>-117.62661102831595</v>
      </c>
      <c r="O76" s="118">
        <f t="shared" si="15"/>
        <v>-121.35239344262297</v>
      </c>
      <c r="P76" s="118">
        <f t="shared" si="15"/>
        <v>-124.5049785624212</v>
      </c>
      <c r="Q76" s="118">
        <f t="shared" si="15"/>
        <v>-127.20719437939111</v>
      </c>
      <c r="R76" s="118">
        <f t="shared" si="15"/>
        <v>-129.54911475409838</v>
      </c>
      <c r="S76" s="118">
        <f t="shared" si="15"/>
        <v>-131.59829508196722</v>
      </c>
      <c r="T76" s="118">
        <f t="shared" si="15"/>
        <v>-133.40639537126327</v>
      </c>
      <c r="U76" s="118">
        <f t="shared" si="15"/>
        <v>-135.01359562841532</v>
      </c>
      <c r="V76" s="118">
        <f t="shared" si="15"/>
        <v>-136.45161691113029</v>
      </c>
      <c r="W76" s="118">
        <f t="shared" si="15"/>
        <v>-137.74583606557377</v>
      </c>
      <c r="X76" s="74"/>
    </row>
    <row r="77" spans="2:24" x14ac:dyDescent="0.25">
      <c r="B77" s="74"/>
      <c r="C77" s="74">
        <f t="shared" ref="C77:C101" si="16">C76+0.1</f>
        <v>3.1</v>
      </c>
      <c r="D77" s="118">
        <f t="shared" si="14"/>
        <v>102.45901639344265</v>
      </c>
      <c r="E77" s="118">
        <f t="shared" si="14"/>
        <v>51.229508196721326</v>
      </c>
      <c r="F77" s="118">
        <f t="shared" si="14"/>
        <v>34.153005464480884</v>
      </c>
      <c r="G77" s="118">
        <f t="shared" si="14"/>
        <v>1.5984262295082203</v>
      </c>
      <c r="H77" s="118">
        <f t="shared" si="14"/>
        <v>-31.188459016393409</v>
      </c>
      <c r="I77" s="118">
        <f t="shared" si="14"/>
        <v>-53.046382513661186</v>
      </c>
      <c r="J77" s="118">
        <f t="shared" si="14"/>
        <v>-68.659185011709582</v>
      </c>
      <c r="K77" s="118">
        <f t="shared" si="14"/>
        <v>-80.368786885245896</v>
      </c>
      <c r="L77" s="118">
        <f t="shared" si="14"/>
        <v>-89.476255009107462</v>
      </c>
      <c r="M77" s="118">
        <f t="shared" si="14"/>
        <v>-96.762229508196711</v>
      </c>
      <c r="N77" s="118">
        <f t="shared" si="15"/>
        <v>-102.72348137108793</v>
      </c>
      <c r="O77" s="118">
        <f t="shared" si="15"/>
        <v>-107.69119125683059</v>
      </c>
      <c r="P77" s="118">
        <f t="shared" si="15"/>
        <v>-111.89463808322826</v>
      </c>
      <c r="Q77" s="118">
        <f t="shared" si="15"/>
        <v>-115.4975925058548</v>
      </c>
      <c r="R77" s="118">
        <f t="shared" si="15"/>
        <v>-118.62015300546449</v>
      </c>
      <c r="S77" s="118">
        <f t="shared" si="15"/>
        <v>-121.35239344262295</v>
      </c>
      <c r="T77" s="118">
        <f t="shared" si="15"/>
        <v>-123.76319382835101</v>
      </c>
      <c r="U77" s="118">
        <f t="shared" si="15"/>
        <v>-125.90612750455374</v>
      </c>
      <c r="V77" s="118">
        <f t="shared" si="15"/>
        <v>-127.82348921484038</v>
      </c>
      <c r="W77" s="118">
        <f t="shared" si="15"/>
        <v>-129.54911475409835</v>
      </c>
      <c r="X77" s="74"/>
    </row>
    <row r="78" spans="2:24" x14ac:dyDescent="0.25">
      <c r="B78" s="74"/>
      <c r="C78" s="74">
        <f t="shared" si="16"/>
        <v>3.2</v>
      </c>
      <c r="D78" s="118">
        <f t="shared" si="14"/>
        <v>122.95081967213119</v>
      </c>
      <c r="E78" s="118">
        <f t="shared" si="14"/>
        <v>61.475409836065595</v>
      </c>
      <c r="F78" s="118">
        <f t="shared" si="14"/>
        <v>40.983606557377065</v>
      </c>
      <c r="G78" s="118">
        <f t="shared" si="14"/>
        <v>30.737704918032797</v>
      </c>
      <c r="H78" s="118">
        <f t="shared" si="14"/>
        <v>1.5984262295082772</v>
      </c>
      <c r="I78" s="118">
        <f t="shared" si="14"/>
        <v>-25.723978142076447</v>
      </c>
      <c r="J78" s="118">
        <f t="shared" si="14"/>
        <v>-45.239981264636953</v>
      </c>
      <c r="K78" s="118">
        <f t="shared" si="14"/>
        <v>-59.876983606557346</v>
      </c>
      <c r="L78" s="118">
        <f t="shared" si="14"/>
        <v>-71.261318761384302</v>
      </c>
      <c r="M78" s="118">
        <f t="shared" si="14"/>
        <v>-80.368786885245868</v>
      </c>
      <c r="N78" s="118">
        <f t="shared" si="15"/>
        <v>-87.820351713859893</v>
      </c>
      <c r="O78" s="118">
        <f t="shared" si="15"/>
        <v>-94.02998907103823</v>
      </c>
      <c r="P78" s="118">
        <f t="shared" si="15"/>
        <v>-99.284297604035302</v>
      </c>
      <c r="Q78" s="118">
        <f t="shared" si="15"/>
        <v>-103.78799063231848</v>
      </c>
      <c r="R78" s="118">
        <f t="shared" si="15"/>
        <v>-107.69119125683059</v>
      </c>
      <c r="S78" s="118">
        <f t="shared" si="15"/>
        <v>-111.10649180327869</v>
      </c>
      <c r="T78" s="118">
        <f t="shared" si="15"/>
        <v>-114.11999228543876</v>
      </c>
      <c r="U78" s="118">
        <f t="shared" si="15"/>
        <v>-116.79865938069216</v>
      </c>
      <c r="V78" s="118">
        <f t="shared" si="15"/>
        <v>-119.19536151855047</v>
      </c>
      <c r="W78" s="118">
        <f t="shared" si="15"/>
        <v>-121.35239344262294</v>
      </c>
      <c r="X78" s="74"/>
    </row>
    <row r="79" spans="2:24" x14ac:dyDescent="0.25">
      <c r="B79" s="74"/>
      <c r="C79" s="74">
        <f t="shared" si="16"/>
        <v>3.3000000000000003</v>
      </c>
      <c r="D79" s="118">
        <f t="shared" si="14"/>
        <v>143.44262295081973</v>
      </c>
      <c r="E79" s="118">
        <f t="shared" si="14"/>
        <v>71.721311475409863</v>
      </c>
      <c r="F79" s="118">
        <f t="shared" si="14"/>
        <v>47.814207650273246</v>
      </c>
      <c r="G79" s="118">
        <f t="shared" si="14"/>
        <v>35.860655737704931</v>
      </c>
      <c r="H79" s="118">
        <f t="shared" si="14"/>
        <v>28.688524590163947</v>
      </c>
      <c r="I79" s="118">
        <f t="shared" si="14"/>
        <v>1.5984262295082772</v>
      </c>
      <c r="J79" s="118">
        <f t="shared" si="14"/>
        <v>-21.820777517564323</v>
      </c>
      <c r="K79" s="118">
        <f t="shared" si="14"/>
        <v>-39.385180327868795</v>
      </c>
      <c r="L79" s="118">
        <f t="shared" si="14"/>
        <v>-53.046382513661158</v>
      </c>
      <c r="M79" s="118">
        <f t="shared" si="14"/>
        <v>-63.975344262295039</v>
      </c>
      <c r="N79" s="118">
        <f t="shared" si="15"/>
        <v>-72.917222056631857</v>
      </c>
      <c r="O79" s="118">
        <f t="shared" si="15"/>
        <v>-80.368786885245868</v>
      </c>
      <c r="P79" s="118">
        <f t="shared" si="15"/>
        <v>-86.67395712484236</v>
      </c>
      <c r="Q79" s="118">
        <f t="shared" si="15"/>
        <v>-92.078388758782168</v>
      </c>
      <c r="R79" s="118">
        <f t="shared" si="15"/>
        <v>-96.762229508196697</v>
      </c>
      <c r="S79" s="118">
        <f t="shared" si="15"/>
        <v>-100.8605901639344</v>
      </c>
      <c r="T79" s="118">
        <f t="shared" si="15"/>
        <v>-104.4767907425265</v>
      </c>
      <c r="U79" s="118">
        <f t="shared" si="15"/>
        <v>-107.69119125683059</v>
      </c>
      <c r="V79" s="118">
        <f t="shared" si="15"/>
        <v>-110.56723382226056</v>
      </c>
      <c r="W79" s="118">
        <f t="shared" si="15"/>
        <v>-113.15567213114753</v>
      </c>
      <c r="X79" s="74"/>
    </row>
    <row r="80" spans="2:24" x14ac:dyDescent="0.25">
      <c r="B80" s="74"/>
      <c r="C80" s="74">
        <f t="shared" si="16"/>
        <v>3.4000000000000004</v>
      </c>
      <c r="D80" s="118">
        <f t="shared" si="14"/>
        <v>163.93442622950829</v>
      </c>
      <c r="E80" s="118">
        <f t="shared" si="14"/>
        <v>81.967213114754145</v>
      </c>
      <c r="F80" s="118">
        <f t="shared" si="14"/>
        <v>54.644808743169428</v>
      </c>
      <c r="G80" s="118">
        <f t="shared" si="14"/>
        <v>40.983606557377072</v>
      </c>
      <c r="H80" s="118">
        <f t="shared" si="14"/>
        <v>32.786885245901658</v>
      </c>
      <c r="I80" s="118">
        <f t="shared" si="14"/>
        <v>27.322404371584714</v>
      </c>
      <c r="J80" s="118">
        <f t="shared" si="14"/>
        <v>1.5984262295083056</v>
      </c>
      <c r="K80" s="118">
        <f t="shared" si="14"/>
        <v>-18.893377049180259</v>
      </c>
      <c r="L80" s="118">
        <f t="shared" si="14"/>
        <v>-34.831446265938013</v>
      </c>
      <c r="M80" s="118">
        <f t="shared" si="14"/>
        <v>-47.581901639344196</v>
      </c>
      <c r="N80" s="118">
        <f t="shared" si="15"/>
        <v>-58.014092399403822</v>
      </c>
      <c r="O80" s="118">
        <f t="shared" si="15"/>
        <v>-66.707584699453506</v>
      </c>
      <c r="P80" s="118">
        <f t="shared" si="15"/>
        <v>-74.063616645649404</v>
      </c>
      <c r="Q80" s="118">
        <f t="shared" si="15"/>
        <v>-80.368786885245854</v>
      </c>
      <c r="R80" s="118">
        <f t="shared" si="15"/>
        <v>-85.833267759562816</v>
      </c>
      <c r="S80" s="118">
        <f t="shared" si="15"/>
        <v>-90.614688524590136</v>
      </c>
      <c r="T80" s="118">
        <f t="shared" si="15"/>
        <v>-94.833589199614238</v>
      </c>
      <c r="U80" s="118">
        <f t="shared" si="15"/>
        <v>-98.583723132969013</v>
      </c>
      <c r="V80" s="118">
        <f t="shared" si="15"/>
        <v>-101.93910612597064</v>
      </c>
      <c r="W80" s="118">
        <f t="shared" si="15"/>
        <v>-104.95895081967211</v>
      </c>
      <c r="X80" s="74"/>
    </row>
    <row r="81" spans="2:24" x14ac:dyDescent="0.25">
      <c r="B81" s="74"/>
      <c r="C81" s="74">
        <f t="shared" si="16"/>
        <v>3.5000000000000004</v>
      </c>
      <c r="D81" s="118">
        <f t="shared" si="14"/>
        <v>184.42622950819683</v>
      </c>
      <c r="E81" s="118">
        <f t="shared" si="14"/>
        <v>92.213114754098413</v>
      </c>
      <c r="F81" s="118">
        <f t="shared" si="14"/>
        <v>61.475409836065609</v>
      </c>
      <c r="G81" s="118">
        <f t="shared" si="14"/>
        <v>46.106557377049207</v>
      </c>
      <c r="H81" s="118">
        <f t="shared" si="14"/>
        <v>36.885245901639365</v>
      </c>
      <c r="I81" s="118">
        <f t="shared" si="14"/>
        <v>30.737704918032804</v>
      </c>
      <c r="J81" s="118">
        <f t="shared" si="14"/>
        <v>25.017629976580906</v>
      </c>
      <c r="K81" s="118">
        <f t="shared" si="14"/>
        <v>1.5984262295082772</v>
      </c>
      <c r="L81" s="118">
        <f t="shared" si="14"/>
        <v>-16.616510018214854</v>
      </c>
      <c r="M81" s="118">
        <f t="shared" si="14"/>
        <v>-31.188459016393352</v>
      </c>
      <c r="N81" s="118">
        <f t="shared" si="15"/>
        <v>-43.110962742175801</v>
      </c>
      <c r="O81" s="118">
        <f t="shared" si="15"/>
        <v>-53.046382513661143</v>
      </c>
      <c r="P81" s="118">
        <f t="shared" si="15"/>
        <v>-61.453276166456462</v>
      </c>
      <c r="Q81" s="118">
        <f t="shared" si="15"/>
        <v>-68.659185011709553</v>
      </c>
      <c r="R81" s="118">
        <f t="shared" si="15"/>
        <v>-74.90430601092892</v>
      </c>
      <c r="S81" s="118">
        <f t="shared" si="15"/>
        <v>-80.368786885245868</v>
      </c>
      <c r="T81" s="118">
        <f t="shared" si="15"/>
        <v>-85.190387656701986</v>
      </c>
      <c r="U81" s="118">
        <f t="shared" si="15"/>
        <v>-89.476255009107433</v>
      </c>
      <c r="V81" s="118">
        <f t="shared" si="15"/>
        <v>-93.310978429680731</v>
      </c>
      <c r="W81" s="118">
        <f t="shared" si="15"/>
        <v>-96.762229508196683</v>
      </c>
      <c r="X81" s="74"/>
    </row>
    <row r="82" spans="2:24" x14ac:dyDescent="0.25">
      <c r="B82" s="74"/>
      <c r="C82" s="74">
        <f t="shared" si="16"/>
        <v>3.6000000000000005</v>
      </c>
      <c r="D82" s="118">
        <f t="shared" si="14"/>
        <v>204.91803278688533</v>
      </c>
      <c r="E82" s="118">
        <f t="shared" si="14"/>
        <v>102.45901639344267</v>
      </c>
      <c r="F82" s="118">
        <f t="shared" si="14"/>
        <v>68.306010928961783</v>
      </c>
      <c r="G82" s="118">
        <f t="shared" si="14"/>
        <v>51.229508196721333</v>
      </c>
      <c r="H82" s="118">
        <f t="shared" si="14"/>
        <v>40.983606557377072</v>
      </c>
      <c r="I82" s="118">
        <f t="shared" si="14"/>
        <v>34.153005464480891</v>
      </c>
      <c r="J82" s="118">
        <f t="shared" si="14"/>
        <v>29.274004683840765</v>
      </c>
      <c r="K82" s="118">
        <f t="shared" si="14"/>
        <v>22.090229508196842</v>
      </c>
      <c r="L82" s="118">
        <f t="shared" si="14"/>
        <v>1.5984262295082772</v>
      </c>
      <c r="M82" s="118">
        <f t="shared" si="14"/>
        <v>-14.795016393442523</v>
      </c>
      <c r="N82" s="118">
        <f t="shared" si="15"/>
        <v>-28.207833084947765</v>
      </c>
      <c r="O82" s="118">
        <f t="shared" si="15"/>
        <v>-39.385180327868767</v>
      </c>
      <c r="P82" s="118">
        <f t="shared" si="15"/>
        <v>-48.84293568726352</v>
      </c>
      <c r="Q82" s="118">
        <f t="shared" si="15"/>
        <v>-56.949583138173239</v>
      </c>
      <c r="R82" s="118">
        <f t="shared" si="15"/>
        <v>-63.975344262295039</v>
      </c>
      <c r="S82" s="118">
        <f t="shared" si="15"/>
        <v>-70.122885245901585</v>
      </c>
      <c r="T82" s="118">
        <f t="shared" si="15"/>
        <v>-75.547186113789721</v>
      </c>
      <c r="U82" s="118">
        <f t="shared" si="15"/>
        <v>-80.368786885245868</v>
      </c>
      <c r="V82" s="118">
        <f t="shared" si="15"/>
        <v>-84.682850733390808</v>
      </c>
      <c r="W82" s="118">
        <f t="shared" si="15"/>
        <v>-88.565508196721268</v>
      </c>
      <c r="X82" s="74"/>
    </row>
    <row r="83" spans="2:24" x14ac:dyDescent="0.25">
      <c r="B83" s="74"/>
      <c r="C83" s="74">
        <f t="shared" si="16"/>
        <v>3.7000000000000006</v>
      </c>
      <c r="D83" s="118">
        <f t="shared" si="14"/>
        <v>225.4098360655739</v>
      </c>
      <c r="E83" s="118">
        <f t="shared" si="14"/>
        <v>112.70491803278695</v>
      </c>
      <c r="F83" s="118">
        <f t="shared" si="14"/>
        <v>75.136612021857971</v>
      </c>
      <c r="G83" s="118">
        <f t="shared" si="14"/>
        <v>56.352459016393475</v>
      </c>
      <c r="H83" s="118">
        <f t="shared" si="14"/>
        <v>45.08196721311478</v>
      </c>
      <c r="I83" s="118">
        <f t="shared" si="14"/>
        <v>37.568306010928985</v>
      </c>
      <c r="J83" s="118">
        <f t="shared" si="14"/>
        <v>32.201405152224844</v>
      </c>
      <c r="K83" s="118">
        <f t="shared" si="14"/>
        <v>28.176229508196737</v>
      </c>
      <c r="L83" s="118">
        <f t="shared" si="14"/>
        <v>19.813362477231436</v>
      </c>
      <c r="M83" s="118">
        <f t="shared" si="14"/>
        <v>1.5984262295083056</v>
      </c>
      <c r="N83" s="118">
        <f t="shared" si="15"/>
        <v>-13.304703427719744</v>
      </c>
      <c r="O83" s="118">
        <f t="shared" si="15"/>
        <v>-25.723978142076419</v>
      </c>
      <c r="P83" s="118">
        <f t="shared" si="15"/>
        <v>-36.232595208070563</v>
      </c>
      <c r="Q83" s="118">
        <f t="shared" si="15"/>
        <v>-45.239981264636924</v>
      </c>
      <c r="R83" s="118">
        <f t="shared" si="15"/>
        <v>-53.046382513661143</v>
      </c>
      <c r="S83" s="118">
        <f t="shared" si="15"/>
        <v>-59.876983606557317</v>
      </c>
      <c r="T83" s="118">
        <f t="shared" si="15"/>
        <v>-65.903984570877469</v>
      </c>
      <c r="U83" s="118">
        <f t="shared" si="15"/>
        <v>-71.261318761384288</v>
      </c>
      <c r="V83" s="118">
        <f t="shared" si="15"/>
        <v>-76.054723037100899</v>
      </c>
      <c r="W83" s="118">
        <f t="shared" si="15"/>
        <v>-80.368786885245854</v>
      </c>
      <c r="X83" s="74"/>
    </row>
    <row r="84" spans="2:24" x14ac:dyDescent="0.25">
      <c r="B84" s="74"/>
      <c r="C84" s="74">
        <f t="shared" si="16"/>
        <v>3.8000000000000007</v>
      </c>
      <c r="D84" s="118">
        <f t="shared" si="14"/>
        <v>245.90163934426243</v>
      </c>
      <c r="E84" s="118">
        <f t="shared" si="14"/>
        <v>122.95081967213122</v>
      </c>
      <c r="F84" s="118">
        <f t="shared" si="14"/>
        <v>81.967213114754145</v>
      </c>
      <c r="G84" s="118">
        <f t="shared" si="14"/>
        <v>61.475409836065609</v>
      </c>
      <c r="H84" s="118">
        <f t="shared" si="14"/>
        <v>49.180327868852487</v>
      </c>
      <c r="I84" s="118">
        <f t="shared" si="14"/>
        <v>40.983606557377072</v>
      </c>
      <c r="J84" s="118">
        <f t="shared" si="14"/>
        <v>35.128805620608922</v>
      </c>
      <c r="K84" s="118">
        <f t="shared" si="14"/>
        <v>30.737704918032804</v>
      </c>
      <c r="L84" s="118">
        <f t="shared" si="14"/>
        <v>27.322404371584714</v>
      </c>
      <c r="M84" s="118">
        <f t="shared" si="14"/>
        <v>17.991868852459135</v>
      </c>
      <c r="N84" s="118">
        <f t="shared" si="15"/>
        <v>1.5984262295083056</v>
      </c>
      <c r="O84" s="118">
        <f t="shared" si="15"/>
        <v>-12.062775956284042</v>
      </c>
      <c r="P84" s="118">
        <f t="shared" si="15"/>
        <v>-23.622254728877607</v>
      </c>
      <c r="Q84" s="118">
        <f t="shared" si="15"/>
        <v>-33.53037939110061</v>
      </c>
      <c r="R84" s="118">
        <f t="shared" si="15"/>
        <v>-42.117420765027248</v>
      </c>
      <c r="S84" s="118">
        <f t="shared" si="15"/>
        <v>-49.631081967213049</v>
      </c>
      <c r="T84" s="118">
        <f t="shared" si="15"/>
        <v>-56.260783027965218</v>
      </c>
      <c r="U84" s="118">
        <f t="shared" si="15"/>
        <v>-62.153850637522709</v>
      </c>
      <c r="V84" s="118">
        <f t="shared" si="15"/>
        <v>-67.426595340810991</v>
      </c>
      <c r="W84" s="118">
        <f t="shared" si="15"/>
        <v>-72.172065573770439</v>
      </c>
      <c r="X84" s="74"/>
    </row>
    <row r="85" spans="2:24" x14ac:dyDescent="0.25">
      <c r="B85" s="74"/>
      <c r="C85" s="74">
        <f t="shared" si="16"/>
        <v>3.9000000000000008</v>
      </c>
      <c r="D85" s="118">
        <f t="shared" si="14"/>
        <v>266.393442622951</v>
      </c>
      <c r="E85" s="118">
        <f t="shared" si="14"/>
        <v>133.1967213114755</v>
      </c>
      <c r="F85" s="118">
        <f t="shared" si="14"/>
        <v>88.797814207650333</v>
      </c>
      <c r="G85" s="118">
        <f t="shared" si="14"/>
        <v>66.59836065573775</v>
      </c>
      <c r="H85" s="118">
        <f t="shared" si="14"/>
        <v>53.278688524590194</v>
      </c>
      <c r="I85" s="118">
        <f t="shared" si="14"/>
        <v>44.398907103825167</v>
      </c>
      <c r="J85" s="118">
        <f t="shared" si="14"/>
        <v>38.056206088993001</v>
      </c>
      <c r="K85" s="118">
        <f t="shared" si="14"/>
        <v>33.299180327868875</v>
      </c>
      <c r="L85" s="118">
        <f t="shared" si="14"/>
        <v>29.599271402550105</v>
      </c>
      <c r="M85" s="118">
        <f t="shared" si="14"/>
        <v>26.639344262295097</v>
      </c>
      <c r="N85" s="118">
        <f t="shared" si="15"/>
        <v>16.501555886736327</v>
      </c>
      <c r="O85" s="118">
        <f t="shared" si="15"/>
        <v>1.5984262295083056</v>
      </c>
      <c r="P85" s="118">
        <f t="shared" si="15"/>
        <v>-11.011914249684679</v>
      </c>
      <c r="Q85" s="118">
        <f t="shared" si="15"/>
        <v>-21.820777517564295</v>
      </c>
      <c r="R85" s="118">
        <f t="shared" si="15"/>
        <v>-31.188459016393352</v>
      </c>
      <c r="S85" s="118">
        <f t="shared" si="15"/>
        <v>-39.385180327868767</v>
      </c>
      <c r="T85" s="118">
        <f t="shared" si="15"/>
        <v>-46.617581485052952</v>
      </c>
      <c r="U85" s="118">
        <f t="shared" si="15"/>
        <v>-53.046382513661143</v>
      </c>
      <c r="V85" s="118">
        <f t="shared" si="15"/>
        <v>-58.798467644521082</v>
      </c>
      <c r="W85" s="118">
        <f t="shared" si="15"/>
        <v>-63.975344262295025</v>
      </c>
      <c r="X85" s="74"/>
    </row>
    <row r="86" spans="2:24" x14ac:dyDescent="0.25">
      <c r="B86" s="74"/>
      <c r="C86" s="74">
        <f t="shared" si="16"/>
        <v>4.0000000000000009</v>
      </c>
      <c r="D86" s="118">
        <f t="shared" ref="D86:M95" si="17">MIN(((MIN($C86-$C$73,$C$73)-0.1)/(D$75*0.001*CCgain*GainDiffAmp)),(((2*(MIN($C86-$C$73,$C$73)-0.2))/(D$75*0.001*CCgain))-Rmax))</f>
        <v>286.88524590163951</v>
      </c>
      <c r="E86" s="118">
        <f t="shared" si="17"/>
        <v>143.44262295081975</v>
      </c>
      <c r="F86" s="118">
        <f t="shared" si="17"/>
        <v>95.628415300546507</v>
      </c>
      <c r="G86" s="118">
        <f t="shared" si="17"/>
        <v>71.721311475409877</v>
      </c>
      <c r="H86" s="118">
        <f t="shared" si="17"/>
        <v>57.377049180327909</v>
      </c>
      <c r="I86" s="118">
        <f t="shared" si="17"/>
        <v>47.814207650273254</v>
      </c>
      <c r="J86" s="118">
        <f t="shared" si="17"/>
        <v>40.98360655737708</v>
      </c>
      <c r="K86" s="118">
        <f t="shared" si="17"/>
        <v>35.860655737704938</v>
      </c>
      <c r="L86" s="118">
        <f t="shared" si="17"/>
        <v>31.8761384335155</v>
      </c>
      <c r="M86" s="118">
        <f t="shared" si="17"/>
        <v>28.688524590163954</v>
      </c>
      <c r="N86" s="118">
        <f t="shared" ref="N86:W95" si="18">MIN(((MIN($C86-$C$73,$C$73)-0.1)/(N$75*0.001*CCgain*GainDiffAmp)),(((2*(MIN($C86-$C$73,$C$73)-0.2))/(N$75*0.001*CCgain))-Rmax))</f>
        <v>26.080476900149048</v>
      </c>
      <c r="O86" s="118">
        <f t="shared" si="18"/>
        <v>15.259628415300682</v>
      </c>
      <c r="P86" s="118">
        <f t="shared" si="18"/>
        <v>1.5984262295082772</v>
      </c>
      <c r="Q86" s="118">
        <f t="shared" si="18"/>
        <v>-10.111175644027981</v>
      </c>
      <c r="R86" s="118">
        <f t="shared" si="18"/>
        <v>-20.259497267759485</v>
      </c>
      <c r="S86" s="118">
        <f t="shared" si="18"/>
        <v>-29.139278688524513</v>
      </c>
      <c r="T86" s="118">
        <f t="shared" si="18"/>
        <v>-36.9743799421407</v>
      </c>
      <c r="U86" s="118">
        <f t="shared" si="18"/>
        <v>-43.938914389799564</v>
      </c>
      <c r="V86" s="118">
        <f t="shared" si="18"/>
        <v>-50.17033994823116</v>
      </c>
      <c r="W86" s="118">
        <f t="shared" si="18"/>
        <v>-55.778622950819596</v>
      </c>
      <c r="X86" s="74"/>
    </row>
    <row r="87" spans="2:24" x14ac:dyDescent="0.25">
      <c r="B87" s="74"/>
      <c r="C87" s="74">
        <f t="shared" si="16"/>
        <v>4.1000000000000005</v>
      </c>
      <c r="D87" s="118">
        <f t="shared" si="17"/>
        <v>307.37704918032796</v>
      </c>
      <c r="E87" s="118">
        <f t="shared" si="17"/>
        <v>153.68852459016398</v>
      </c>
      <c r="F87" s="118">
        <f t="shared" si="17"/>
        <v>102.45901639344267</v>
      </c>
      <c r="G87" s="118">
        <f t="shared" si="17"/>
        <v>76.84426229508199</v>
      </c>
      <c r="H87" s="118">
        <f t="shared" si="17"/>
        <v>61.475409836065595</v>
      </c>
      <c r="I87" s="118">
        <f t="shared" si="17"/>
        <v>51.229508196721333</v>
      </c>
      <c r="J87" s="118">
        <f t="shared" si="17"/>
        <v>43.911007025761144</v>
      </c>
      <c r="K87" s="118">
        <f t="shared" si="17"/>
        <v>38.422131147540995</v>
      </c>
      <c r="L87" s="118">
        <f t="shared" si="17"/>
        <v>34.153005464480884</v>
      </c>
      <c r="M87" s="118">
        <f t="shared" si="17"/>
        <v>30.737704918032797</v>
      </c>
      <c r="N87" s="118">
        <f t="shared" si="18"/>
        <v>27.943368107302543</v>
      </c>
      <c r="O87" s="118">
        <f t="shared" si="18"/>
        <v>25.614754098360667</v>
      </c>
      <c r="P87" s="118">
        <f t="shared" si="18"/>
        <v>14.208766708701177</v>
      </c>
      <c r="Q87" s="118">
        <f t="shared" si="18"/>
        <v>1.5984262295082772</v>
      </c>
      <c r="R87" s="118">
        <f t="shared" si="18"/>
        <v>-9.3305355191256467</v>
      </c>
      <c r="S87" s="118">
        <f t="shared" si="18"/>
        <v>-18.893377049180287</v>
      </c>
      <c r="T87" s="118">
        <f t="shared" si="18"/>
        <v>-27.331178399228492</v>
      </c>
      <c r="U87" s="118">
        <f t="shared" si="18"/>
        <v>-34.831446265938027</v>
      </c>
      <c r="V87" s="118">
        <f t="shared" si="18"/>
        <v>-41.542212251941294</v>
      </c>
      <c r="W87" s="118">
        <f t="shared" si="18"/>
        <v>-47.581901639344224</v>
      </c>
      <c r="X87" s="74"/>
    </row>
    <row r="88" spans="2:24" x14ac:dyDescent="0.25">
      <c r="B88" s="74"/>
      <c r="C88" s="74">
        <f t="shared" si="16"/>
        <v>4.2</v>
      </c>
      <c r="D88" s="118">
        <f t="shared" si="17"/>
        <v>327.86885245901641</v>
      </c>
      <c r="E88" s="118">
        <f t="shared" si="17"/>
        <v>163.9344262295082</v>
      </c>
      <c r="F88" s="118">
        <f t="shared" si="17"/>
        <v>109.28961748633881</v>
      </c>
      <c r="G88" s="118">
        <f t="shared" si="17"/>
        <v>81.967213114754102</v>
      </c>
      <c r="H88" s="118">
        <f t="shared" si="17"/>
        <v>65.573770491803288</v>
      </c>
      <c r="I88" s="118">
        <f t="shared" si="17"/>
        <v>54.644808743169406</v>
      </c>
      <c r="J88" s="118">
        <f t="shared" si="17"/>
        <v>46.838407494145208</v>
      </c>
      <c r="K88" s="118">
        <f t="shared" si="17"/>
        <v>40.983606557377051</v>
      </c>
      <c r="L88" s="118">
        <f t="shared" si="17"/>
        <v>36.429872495446268</v>
      </c>
      <c r="M88" s="118">
        <f t="shared" si="17"/>
        <v>32.786885245901644</v>
      </c>
      <c r="N88" s="118">
        <f t="shared" si="18"/>
        <v>29.806259314456039</v>
      </c>
      <c r="O88" s="118">
        <f t="shared" si="18"/>
        <v>27.322404371584703</v>
      </c>
      <c r="P88" s="118">
        <f t="shared" si="18"/>
        <v>25.220680958385874</v>
      </c>
      <c r="Q88" s="118">
        <f t="shared" si="18"/>
        <v>13.308028103044535</v>
      </c>
      <c r="R88" s="118">
        <f t="shared" si="18"/>
        <v>1.5984262295081919</v>
      </c>
      <c r="S88" s="118">
        <f t="shared" si="18"/>
        <v>-8.647475409836062</v>
      </c>
      <c r="T88" s="118">
        <f t="shared" si="18"/>
        <v>-17.687976856316283</v>
      </c>
      <c r="U88" s="118">
        <f t="shared" si="18"/>
        <v>-25.723978142076504</v>
      </c>
      <c r="V88" s="118">
        <f t="shared" si="18"/>
        <v>-32.914084555651414</v>
      </c>
      <c r="W88" s="118">
        <f t="shared" si="18"/>
        <v>-39.385180327868838</v>
      </c>
      <c r="X88" s="74"/>
    </row>
    <row r="89" spans="2:24" x14ac:dyDescent="0.25">
      <c r="B89" s="74"/>
      <c r="C89" s="74">
        <f t="shared" si="16"/>
        <v>4.3</v>
      </c>
      <c r="D89" s="118">
        <f t="shared" si="17"/>
        <v>348.36065573770486</v>
      </c>
      <c r="E89" s="118">
        <f t="shared" si="17"/>
        <v>174.18032786885243</v>
      </c>
      <c r="F89" s="118">
        <f t="shared" si="17"/>
        <v>116.12021857923497</v>
      </c>
      <c r="G89" s="118">
        <f t="shared" si="17"/>
        <v>87.090163934426215</v>
      </c>
      <c r="H89" s="118">
        <f t="shared" si="17"/>
        <v>69.672131147540981</v>
      </c>
      <c r="I89" s="118">
        <f t="shared" si="17"/>
        <v>58.060109289617486</v>
      </c>
      <c r="J89" s="118">
        <f t="shared" si="17"/>
        <v>49.765807962529273</v>
      </c>
      <c r="K89" s="118">
        <f t="shared" si="17"/>
        <v>43.545081967213108</v>
      </c>
      <c r="L89" s="118">
        <f t="shared" si="17"/>
        <v>38.706739526411653</v>
      </c>
      <c r="M89" s="118">
        <f t="shared" si="17"/>
        <v>34.83606557377049</v>
      </c>
      <c r="N89" s="118">
        <f t="shared" si="18"/>
        <v>31.669150521609534</v>
      </c>
      <c r="O89" s="118">
        <f t="shared" si="18"/>
        <v>29.030054644808743</v>
      </c>
      <c r="P89" s="118">
        <f t="shared" si="18"/>
        <v>26.796973518284986</v>
      </c>
      <c r="Q89" s="118">
        <f t="shared" si="18"/>
        <v>24.882903981264636</v>
      </c>
      <c r="R89" s="118">
        <f t="shared" si="18"/>
        <v>12.527387978142059</v>
      </c>
      <c r="S89" s="118">
        <f t="shared" si="18"/>
        <v>1.5984262295081635</v>
      </c>
      <c r="T89" s="118">
        <f t="shared" si="18"/>
        <v>-8.0447753134040738</v>
      </c>
      <c r="U89" s="118">
        <f t="shared" si="18"/>
        <v>-16.616510018214967</v>
      </c>
      <c r="V89" s="118">
        <f t="shared" si="18"/>
        <v>-24.285956859361534</v>
      </c>
      <c r="W89" s="118">
        <f t="shared" si="18"/>
        <v>-31.188459016393466</v>
      </c>
      <c r="X89" s="74"/>
    </row>
    <row r="90" spans="2:24" x14ac:dyDescent="0.25">
      <c r="B90" s="74"/>
      <c r="C90" s="74">
        <f t="shared" si="16"/>
        <v>4.3999999999999995</v>
      </c>
      <c r="D90" s="118">
        <f t="shared" si="17"/>
        <v>368.85245901639331</v>
      </c>
      <c r="E90" s="118">
        <f t="shared" si="17"/>
        <v>184.42622950819666</v>
      </c>
      <c r="F90" s="118">
        <f t="shared" si="17"/>
        <v>122.95081967213112</v>
      </c>
      <c r="G90" s="118">
        <f t="shared" si="17"/>
        <v>92.213114754098328</v>
      </c>
      <c r="H90" s="118">
        <f t="shared" si="17"/>
        <v>73.770491803278674</v>
      </c>
      <c r="I90" s="118">
        <f t="shared" si="17"/>
        <v>61.475409836065559</v>
      </c>
      <c r="J90" s="118">
        <f t="shared" si="17"/>
        <v>52.693208430913337</v>
      </c>
      <c r="K90" s="118">
        <f t="shared" si="17"/>
        <v>46.106557377049164</v>
      </c>
      <c r="L90" s="118">
        <f t="shared" si="17"/>
        <v>40.983606557377037</v>
      </c>
      <c r="M90" s="118">
        <f t="shared" si="17"/>
        <v>36.885245901639337</v>
      </c>
      <c r="N90" s="118">
        <f t="shared" si="18"/>
        <v>33.532041728763026</v>
      </c>
      <c r="O90" s="118">
        <f t="shared" si="18"/>
        <v>30.737704918032779</v>
      </c>
      <c r="P90" s="118">
        <f t="shared" si="18"/>
        <v>28.373266078184095</v>
      </c>
      <c r="Q90" s="118">
        <f t="shared" si="18"/>
        <v>26.346604215456669</v>
      </c>
      <c r="R90" s="118">
        <f t="shared" si="18"/>
        <v>23.456349726775898</v>
      </c>
      <c r="S90" s="118">
        <f t="shared" si="18"/>
        <v>11.844327868852417</v>
      </c>
      <c r="T90" s="118">
        <f t="shared" si="18"/>
        <v>1.5984262295081635</v>
      </c>
      <c r="U90" s="118">
        <f t="shared" si="18"/>
        <v>-7.5090418943534303</v>
      </c>
      <c r="V90" s="118">
        <f t="shared" si="18"/>
        <v>-15.657829163071654</v>
      </c>
      <c r="W90" s="118">
        <f t="shared" si="18"/>
        <v>-22.99173770491808</v>
      </c>
      <c r="X90" s="74"/>
    </row>
    <row r="91" spans="2:24" x14ac:dyDescent="0.25">
      <c r="B91" s="74"/>
      <c r="C91" s="74">
        <f t="shared" si="16"/>
        <v>4.4999999999999991</v>
      </c>
      <c r="D91" s="118">
        <f t="shared" si="17"/>
        <v>389.34426229508176</v>
      </c>
      <c r="E91" s="118">
        <f t="shared" si="17"/>
        <v>194.67213114754088</v>
      </c>
      <c r="F91" s="118">
        <f t="shared" si="17"/>
        <v>129.78142076502726</v>
      </c>
      <c r="G91" s="118">
        <f t="shared" si="17"/>
        <v>97.336065573770441</v>
      </c>
      <c r="H91" s="118">
        <f t="shared" si="17"/>
        <v>77.868852459016352</v>
      </c>
      <c r="I91" s="118">
        <f t="shared" si="17"/>
        <v>64.890710382513632</v>
      </c>
      <c r="J91" s="118">
        <f t="shared" si="17"/>
        <v>55.620608899297402</v>
      </c>
      <c r="K91" s="118">
        <f t="shared" si="17"/>
        <v>48.66803278688522</v>
      </c>
      <c r="L91" s="118">
        <f t="shared" si="17"/>
        <v>43.260473588342421</v>
      </c>
      <c r="M91" s="118">
        <f t="shared" si="17"/>
        <v>38.934426229508176</v>
      </c>
      <c r="N91" s="118">
        <f t="shared" si="18"/>
        <v>35.394932935916522</v>
      </c>
      <c r="O91" s="118">
        <f t="shared" si="18"/>
        <v>32.445355191256816</v>
      </c>
      <c r="P91" s="118">
        <f t="shared" si="18"/>
        <v>29.949558638083207</v>
      </c>
      <c r="Q91" s="118">
        <f t="shared" si="18"/>
        <v>27.810304449648701</v>
      </c>
      <c r="R91" s="118">
        <f t="shared" si="18"/>
        <v>25.956284153005452</v>
      </c>
      <c r="S91" s="118">
        <f t="shared" si="18"/>
        <v>22.090229508196643</v>
      </c>
      <c r="T91" s="118">
        <f t="shared" si="18"/>
        <v>11.241627772420372</v>
      </c>
      <c r="U91" s="118">
        <f t="shared" si="18"/>
        <v>1.5984262295081066</v>
      </c>
      <c r="V91" s="118">
        <f t="shared" si="18"/>
        <v>-7.0297014667818019</v>
      </c>
      <c r="W91" s="118">
        <f t="shared" si="18"/>
        <v>-14.795016393442694</v>
      </c>
      <c r="X91" s="74"/>
    </row>
    <row r="92" spans="2:24" x14ac:dyDescent="0.25">
      <c r="B92" s="74"/>
      <c r="C92" s="74">
        <f t="shared" si="16"/>
        <v>4.5999999999999988</v>
      </c>
      <c r="D92" s="118">
        <f t="shared" si="17"/>
        <v>409.83606557377021</v>
      </c>
      <c r="E92" s="118">
        <f t="shared" si="17"/>
        <v>204.91803278688511</v>
      </c>
      <c r="F92" s="118">
        <f t="shared" si="17"/>
        <v>136.61202185792342</v>
      </c>
      <c r="G92" s="118">
        <f t="shared" si="17"/>
        <v>102.45901639344255</v>
      </c>
      <c r="H92" s="118">
        <f t="shared" si="17"/>
        <v>81.967213114754045</v>
      </c>
      <c r="I92" s="118">
        <f t="shared" si="17"/>
        <v>68.306010928961712</v>
      </c>
      <c r="J92" s="118">
        <f t="shared" si="17"/>
        <v>58.548009367681466</v>
      </c>
      <c r="K92" s="118">
        <f t="shared" si="17"/>
        <v>51.229508196721277</v>
      </c>
      <c r="L92" s="118">
        <f t="shared" si="17"/>
        <v>45.537340619307798</v>
      </c>
      <c r="M92" s="118">
        <f t="shared" si="17"/>
        <v>40.983606557377023</v>
      </c>
      <c r="N92" s="118">
        <f t="shared" si="18"/>
        <v>37.257824143070017</v>
      </c>
      <c r="O92" s="118">
        <f t="shared" si="18"/>
        <v>34.153005464480856</v>
      </c>
      <c r="P92" s="118">
        <f t="shared" si="18"/>
        <v>31.52585119798232</v>
      </c>
      <c r="Q92" s="118">
        <f t="shared" si="18"/>
        <v>29.274004683840733</v>
      </c>
      <c r="R92" s="118">
        <f t="shared" si="18"/>
        <v>27.322404371584682</v>
      </c>
      <c r="S92" s="118">
        <f t="shared" si="18"/>
        <v>25.614754098360638</v>
      </c>
      <c r="T92" s="118">
        <f t="shared" si="18"/>
        <v>20.884829315332581</v>
      </c>
      <c r="U92" s="118">
        <f t="shared" si="18"/>
        <v>10.705894353369644</v>
      </c>
      <c r="V92" s="118">
        <f t="shared" si="18"/>
        <v>1.5984262295080782</v>
      </c>
      <c r="W92" s="118">
        <f t="shared" si="18"/>
        <v>-6.5982950819673079</v>
      </c>
      <c r="X92" s="74"/>
    </row>
    <row r="93" spans="2:24" x14ac:dyDescent="0.25">
      <c r="B93" s="74"/>
      <c r="C93" s="74">
        <f t="shared" si="16"/>
        <v>4.6999999999999984</v>
      </c>
      <c r="D93" s="118">
        <f t="shared" si="17"/>
        <v>430.32786885245866</v>
      </c>
      <c r="E93" s="118">
        <f t="shared" si="17"/>
        <v>215.16393442622933</v>
      </c>
      <c r="F93" s="118">
        <f t="shared" si="17"/>
        <v>143.44262295081958</v>
      </c>
      <c r="G93" s="118">
        <f t="shared" si="17"/>
        <v>107.58196721311467</v>
      </c>
      <c r="H93" s="118">
        <f t="shared" si="17"/>
        <v>86.065573770491739</v>
      </c>
      <c r="I93" s="118">
        <f t="shared" si="17"/>
        <v>71.721311475409792</v>
      </c>
      <c r="J93" s="118">
        <f t="shared" si="17"/>
        <v>61.475409836065531</v>
      </c>
      <c r="K93" s="118">
        <f t="shared" si="17"/>
        <v>53.790983606557333</v>
      </c>
      <c r="L93" s="118">
        <f t="shared" si="17"/>
        <v>47.814207650273183</v>
      </c>
      <c r="M93" s="118">
        <f t="shared" si="17"/>
        <v>43.032786885245869</v>
      </c>
      <c r="N93" s="118">
        <f t="shared" si="18"/>
        <v>39.12071535022352</v>
      </c>
      <c r="O93" s="118">
        <f t="shared" si="18"/>
        <v>35.860655737704896</v>
      </c>
      <c r="P93" s="118">
        <f t="shared" si="18"/>
        <v>33.102143757881429</v>
      </c>
      <c r="Q93" s="118">
        <f t="shared" si="18"/>
        <v>30.737704918032765</v>
      </c>
      <c r="R93" s="118">
        <f t="shared" si="18"/>
        <v>28.688524590163912</v>
      </c>
      <c r="S93" s="118">
        <f t="shared" si="18"/>
        <v>26.895491803278667</v>
      </c>
      <c r="T93" s="118">
        <f t="shared" si="18"/>
        <v>25.31340405014463</v>
      </c>
      <c r="U93" s="118">
        <f t="shared" si="18"/>
        <v>19.81336247723118</v>
      </c>
      <c r="V93" s="118">
        <f t="shared" si="18"/>
        <v>10.226553925797958</v>
      </c>
      <c r="W93" s="118">
        <f t="shared" si="18"/>
        <v>1.5984262295080782</v>
      </c>
      <c r="X93" s="74"/>
    </row>
    <row r="94" spans="2:24" x14ac:dyDescent="0.25">
      <c r="B94" s="74"/>
      <c r="C94" s="74">
        <f t="shared" si="16"/>
        <v>4.799999999999998</v>
      </c>
      <c r="D94" s="118">
        <f t="shared" si="17"/>
        <v>450.81967213114712</v>
      </c>
      <c r="E94" s="118">
        <f t="shared" si="17"/>
        <v>225.40983606557356</v>
      </c>
      <c r="F94" s="118">
        <f t="shared" si="17"/>
        <v>150.27322404371571</v>
      </c>
      <c r="G94" s="118">
        <f t="shared" si="17"/>
        <v>112.70491803278678</v>
      </c>
      <c r="H94" s="118">
        <f t="shared" si="17"/>
        <v>90.163934426229432</v>
      </c>
      <c r="I94" s="118">
        <f t="shared" si="17"/>
        <v>75.136612021857857</v>
      </c>
      <c r="J94" s="118">
        <f t="shared" si="17"/>
        <v>64.402810304449602</v>
      </c>
      <c r="K94" s="118">
        <f t="shared" si="17"/>
        <v>56.352459016393389</v>
      </c>
      <c r="L94" s="118">
        <f t="shared" si="17"/>
        <v>50.091074681238567</v>
      </c>
      <c r="M94" s="118">
        <f t="shared" si="17"/>
        <v>45.081967213114716</v>
      </c>
      <c r="N94" s="118">
        <f t="shared" si="18"/>
        <v>40.983606557377016</v>
      </c>
      <c r="O94" s="118">
        <f t="shared" si="18"/>
        <v>37.568306010928929</v>
      </c>
      <c r="P94" s="118">
        <f t="shared" si="18"/>
        <v>34.678436317780545</v>
      </c>
      <c r="Q94" s="118">
        <f t="shared" si="18"/>
        <v>32.201405152224801</v>
      </c>
      <c r="R94" s="118">
        <f t="shared" si="18"/>
        <v>30.054644808743141</v>
      </c>
      <c r="S94" s="118">
        <f t="shared" si="18"/>
        <v>28.176229508196695</v>
      </c>
      <c r="T94" s="118">
        <f t="shared" si="18"/>
        <v>26.518804243008656</v>
      </c>
      <c r="U94" s="118">
        <f t="shared" si="18"/>
        <v>25.045537340619283</v>
      </c>
      <c r="V94" s="118">
        <f t="shared" si="18"/>
        <v>18.85468162208781</v>
      </c>
      <c r="W94" s="118">
        <f t="shared" si="18"/>
        <v>9.7951475409834359</v>
      </c>
      <c r="X94" s="74"/>
    </row>
    <row r="95" spans="2:24" x14ac:dyDescent="0.25">
      <c r="B95" s="74"/>
      <c r="C95" s="74">
        <f t="shared" si="16"/>
        <v>4.8999999999999977</v>
      </c>
      <c r="D95" s="118">
        <f t="shared" si="17"/>
        <v>471.31147540983557</v>
      </c>
      <c r="E95" s="118">
        <f t="shared" si="17"/>
        <v>235.65573770491778</v>
      </c>
      <c r="F95" s="118">
        <f t="shared" si="17"/>
        <v>157.10382513661187</v>
      </c>
      <c r="G95" s="118">
        <f t="shared" si="17"/>
        <v>117.82786885245889</v>
      </c>
      <c r="H95" s="118">
        <f t="shared" si="17"/>
        <v>94.262295081967125</v>
      </c>
      <c r="I95" s="118">
        <f t="shared" si="17"/>
        <v>78.551912568305937</v>
      </c>
      <c r="J95" s="118">
        <f t="shared" si="17"/>
        <v>67.330210772833667</v>
      </c>
      <c r="K95" s="118">
        <f t="shared" si="17"/>
        <v>58.913934426229446</v>
      </c>
      <c r="L95" s="118">
        <f t="shared" si="17"/>
        <v>52.367941712203951</v>
      </c>
      <c r="M95" s="118">
        <f t="shared" si="17"/>
        <v>47.131147540983562</v>
      </c>
      <c r="N95" s="118">
        <f t="shared" si="18"/>
        <v>42.846497764530511</v>
      </c>
      <c r="O95" s="118">
        <f t="shared" si="18"/>
        <v>39.275956284152969</v>
      </c>
      <c r="P95" s="118">
        <f t="shared" si="18"/>
        <v>36.254728877679653</v>
      </c>
      <c r="Q95" s="118">
        <f t="shared" si="18"/>
        <v>33.665105386416833</v>
      </c>
      <c r="R95" s="118">
        <f t="shared" si="18"/>
        <v>31.420765027322371</v>
      </c>
      <c r="S95" s="118">
        <f t="shared" si="18"/>
        <v>29.456967213114723</v>
      </c>
      <c r="T95" s="118">
        <f t="shared" si="18"/>
        <v>27.724204435872682</v>
      </c>
      <c r="U95" s="118">
        <f t="shared" si="18"/>
        <v>26.183970856101975</v>
      </c>
      <c r="V95" s="118">
        <f t="shared" si="18"/>
        <v>24.805867126833451</v>
      </c>
      <c r="W95" s="118">
        <f t="shared" si="18"/>
        <v>17.991868852458822</v>
      </c>
      <c r="X95" s="74"/>
    </row>
    <row r="96" spans="2:24" x14ac:dyDescent="0.25">
      <c r="B96" s="74"/>
      <c r="C96" s="74">
        <f t="shared" si="16"/>
        <v>4.9999999999999973</v>
      </c>
      <c r="D96" s="118">
        <f t="shared" ref="D96:M101" si="19">MIN(((MIN($C96-$C$73,$C$73)-0.1)/(D$75*0.001*CCgain*GainDiffAmp)),(((2*(MIN($C96-$C$73,$C$73)-0.2))/(D$75*0.001*CCgain))-Rmax))</f>
        <v>491.80327868852407</v>
      </c>
      <c r="E96" s="118">
        <f t="shared" si="19"/>
        <v>245.90163934426204</v>
      </c>
      <c r="F96" s="118">
        <f t="shared" si="19"/>
        <v>163.93442622950803</v>
      </c>
      <c r="G96" s="118">
        <f t="shared" si="19"/>
        <v>122.95081967213102</v>
      </c>
      <c r="H96" s="118">
        <f t="shared" si="19"/>
        <v>98.360655737704818</v>
      </c>
      <c r="I96" s="118">
        <f t="shared" si="19"/>
        <v>81.967213114754017</v>
      </c>
      <c r="J96" s="118">
        <f t="shared" si="19"/>
        <v>70.257611241217731</v>
      </c>
      <c r="K96" s="118">
        <f t="shared" si="19"/>
        <v>61.475409836065509</v>
      </c>
      <c r="L96" s="118">
        <f t="shared" si="19"/>
        <v>54.644808743169335</v>
      </c>
      <c r="M96" s="118">
        <f t="shared" si="19"/>
        <v>49.180327868852409</v>
      </c>
      <c r="N96" s="118">
        <f t="shared" ref="N96:W101" si="20">MIN(((MIN($C96-$C$73,$C$73)-0.1)/(N$75*0.001*CCgain*GainDiffAmp)),(((2*(MIN($C96-$C$73,$C$73)-0.2))/(N$75*0.001*CCgain))-Rmax))</f>
        <v>44.709388971684007</v>
      </c>
      <c r="O96" s="118">
        <f t="shared" si="20"/>
        <v>40.983606557377009</v>
      </c>
      <c r="P96" s="118">
        <f t="shared" si="20"/>
        <v>37.831021437578762</v>
      </c>
      <c r="Q96" s="118">
        <f t="shared" si="20"/>
        <v>35.128805620608865</v>
      </c>
      <c r="R96" s="118">
        <f t="shared" si="20"/>
        <v>32.786885245901601</v>
      </c>
      <c r="S96" s="118">
        <f t="shared" si="20"/>
        <v>30.737704918032755</v>
      </c>
      <c r="T96" s="118">
        <f t="shared" si="20"/>
        <v>28.929604628736712</v>
      </c>
      <c r="U96" s="118">
        <f t="shared" si="20"/>
        <v>27.322404371584668</v>
      </c>
      <c r="V96" s="118">
        <f t="shared" si="20"/>
        <v>25.884383088869686</v>
      </c>
      <c r="W96" s="118">
        <f t="shared" si="20"/>
        <v>24.590163934426204</v>
      </c>
      <c r="X96" s="74"/>
    </row>
    <row r="97" spans="2:24" x14ac:dyDescent="0.25">
      <c r="B97" s="74"/>
      <c r="C97" s="74">
        <f t="shared" si="16"/>
        <v>5.099999999999997</v>
      </c>
      <c r="D97" s="118">
        <f t="shared" si="19"/>
        <v>491.80327868852459</v>
      </c>
      <c r="E97" s="118">
        <f t="shared" si="19"/>
        <v>245.90163934426229</v>
      </c>
      <c r="F97" s="118">
        <f t="shared" si="19"/>
        <v>163.9344262295082</v>
      </c>
      <c r="G97" s="118">
        <f t="shared" si="19"/>
        <v>122.95081967213115</v>
      </c>
      <c r="H97" s="118">
        <f t="shared" si="19"/>
        <v>98.360655737704917</v>
      </c>
      <c r="I97" s="118">
        <f t="shared" si="19"/>
        <v>81.967213114754102</v>
      </c>
      <c r="J97" s="118">
        <f t="shared" si="19"/>
        <v>70.257611241217802</v>
      </c>
      <c r="K97" s="118">
        <f t="shared" si="19"/>
        <v>61.475409836065573</v>
      </c>
      <c r="L97" s="118">
        <f t="shared" si="19"/>
        <v>54.644808743169399</v>
      </c>
      <c r="M97" s="118">
        <f t="shared" si="19"/>
        <v>49.180327868852459</v>
      </c>
      <c r="N97" s="118">
        <f t="shared" si="20"/>
        <v>44.709388971684056</v>
      </c>
      <c r="O97" s="118">
        <f t="shared" si="20"/>
        <v>40.983606557377051</v>
      </c>
      <c r="P97" s="118">
        <f t="shared" si="20"/>
        <v>37.831021437578805</v>
      </c>
      <c r="Q97" s="118">
        <f t="shared" si="20"/>
        <v>35.128805620608901</v>
      </c>
      <c r="R97" s="118">
        <f t="shared" si="20"/>
        <v>32.786885245901637</v>
      </c>
      <c r="S97" s="118">
        <f t="shared" si="20"/>
        <v>30.737704918032787</v>
      </c>
      <c r="T97" s="118">
        <f t="shared" si="20"/>
        <v>28.929604628736744</v>
      </c>
      <c r="U97" s="118">
        <f t="shared" si="20"/>
        <v>27.3224043715847</v>
      </c>
      <c r="V97" s="118">
        <f t="shared" si="20"/>
        <v>25.884383088869715</v>
      </c>
      <c r="W97" s="118">
        <f t="shared" si="20"/>
        <v>24.590163934426229</v>
      </c>
      <c r="X97" s="74"/>
    </row>
    <row r="98" spans="2:24" x14ac:dyDescent="0.25">
      <c r="B98" s="74"/>
      <c r="C98" s="74">
        <f t="shared" si="16"/>
        <v>5.1999999999999966</v>
      </c>
      <c r="D98" s="118">
        <f t="shared" si="19"/>
        <v>491.80327868852459</v>
      </c>
      <c r="E98" s="118">
        <f t="shared" si="19"/>
        <v>245.90163934426229</v>
      </c>
      <c r="F98" s="118">
        <f t="shared" si="19"/>
        <v>163.9344262295082</v>
      </c>
      <c r="G98" s="118">
        <f t="shared" si="19"/>
        <v>122.95081967213115</v>
      </c>
      <c r="H98" s="118">
        <f t="shared" si="19"/>
        <v>98.360655737704917</v>
      </c>
      <c r="I98" s="118">
        <f t="shared" si="19"/>
        <v>81.967213114754102</v>
      </c>
      <c r="J98" s="118">
        <f t="shared" si="19"/>
        <v>70.257611241217802</v>
      </c>
      <c r="K98" s="118">
        <f t="shared" si="19"/>
        <v>61.475409836065573</v>
      </c>
      <c r="L98" s="118">
        <f t="shared" si="19"/>
        <v>54.644808743169399</v>
      </c>
      <c r="M98" s="118">
        <f t="shared" si="19"/>
        <v>49.180327868852459</v>
      </c>
      <c r="N98" s="118">
        <f t="shared" si="20"/>
        <v>44.709388971684056</v>
      </c>
      <c r="O98" s="118">
        <f t="shared" si="20"/>
        <v>40.983606557377051</v>
      </c>
      <c r="P98" s="118">
        <f t="shared" si="20"/>
        <v>37.831021437578805</v>
      </c>
      <c r="Q98" s="118">
        <f t="shared" si="20"/>
        <v>35.128805620608901</v>
      </c>
      <c r="R98" s="118">
        <f t="shared" si="20"/>
        <v>32.786885245901637</v>
      </c>
      <c r="S98" s="118">
        <f t="shared" si="20"/>
        <v>30.737704918032787</v>
      </c>
      <c r="T98" s="118">
        <f t="shared" si="20"/>
        <v>28.929604628736744</v>
      </c>
      <c r="U98" s="118">
        <f t="shared" si="20"/>
        <v>27.3224043715847</v>
      </c>
      <c r="V98" s="118">
        <f t="shared" si="20"/>
        <v>25.884383088869715</v>
      </c>
      <c r="W98" s="118">
        <f t="shared" si="20"/>
        <v>24.590163934426229</v>
      </c>
      <c r="X98" s="74"/>
    </row>
    <row r="99" spans="2:24" x14ac:dyDescent="0.25">
      <c r="B99" s="74"/>
      <c r="C99" s="74">
        <f t="shared" si="16"/>
        <v>5.2999999999999963</v>
      </c>
      <c r="D99" s="118">
        <f t="shared" si="19"/>
        <v>491.80327868852459</v>
      </c>
      <c r="E99" s="118">
        <f t="shared" si="19"/>
        <v>245.90163934426229</v>
      </c>
      <c r="F99" s="118">
        <f t="shared" si="19"/>
        <v>163.9344262295082</v>
      </c>
      <c r="G99" s="118">
        <f t="shared" si="19"/>
        <v>122.95081967213115</v>
      </c>
      <c r="H99" s="118">
        <f t="shared" si="19"/>
        <v>98.360655737704917</v>
      </c>
      <c r="I99" s="118">
        <f t="shared" si="19"/>
        <v>81.967213114754102</v>
      </c>
      <c r="J99" s="118">
        <f t="shared" si="19"/>
        <v>70.257611241217802</v>
      </c>
      <c r="K99" s="118">
        <f t="shared" si="19"/>
        <v>61.475409836065573</v>
      </c>
      <c r="L99" s="118">
        <f t="shared" si="19"/>
        <v>54.644808743169399</v>
      </c>
      <c r="M99" s="118">
        <f t="shared" si="19"/>
        <v>49.180327868852459</v>
      </c>
      <c r="N99" s="118">
        <f t="shared" si="20"/>
        <v>44.709388971684056</v>
      </c>
      <c r="O99" s="118">
        <f t="shared" si="20"/>
        <v>40.983606557377051</v>
      </c>
      <c r="P99" s="118">
        <f t="shared" si="20"/>
        <v>37.831021437578805</v>
      </c>
      <c r="Q99" s="118">
        <f t="shared" si="20"/>
        <v>35.128805620608901</v>
      </c>
      <c r="R99" s="118">
        <f t="shared" si="20"/>
        <v>32.786885245901637</v>
      </c>
      <c r="S99" s="118">
        <f t="shared" si="20"/>
        <v>30.737704918032787</v>
      </c>
      <c r="T99" s="118">
        <f t="shared" si="20"/>
        <v>28.929604628736744</v>
      </c>
      <c r="U99" s="118">
        <f t="shared" si="20"/>
        <v>27.3224043715847</v>
      </c>
      <c r="V99" s="118">
        <f t="shared" si="20"/>
        <v>25.884383088869715</v>
      </c>
      <c r="W99" s="118">
        <f t="shared" si="20"/>
        <v>24.590163934426229</v>
      </c>
      <c r="X99" s="74"/>
    </row>
    <row r="100" spans="2:24" x14ac:dyDescent="0.25">
      <c r="B100" s="74"/>
      <c r="C100" s="74">
        <f t="shared" si="16"/>
        <v>5.3999999999999959</v>
      </c>
      <c r="D100" s="118">
        <f t="shared" si="19"/>
        <v>491.80327868852459</v>
      </c>
      <c r="E100" s="118">
        <f t="shared" si="19"/>
        <v>245.90163934426229</v>
      </c>
      <c r="F100" s="118">
        <f t="shared" si="19"/>
        <v>163.9344262295082</v>
      </c>
      <c r="G100" s="118">
        <f t="shared" si="19"/>
        <v>122.95081967213115</v>
      </c>
      <c r="H100" s="118">
        <f t="shared" si="19"/>
        <v>98.360655737704917</v>
      </c>
      <c r="I100" s="118">
        <f t="shared" si="19"/>
        <v>81.967213114754102</v>
      </c>
      <c r="J100" s="118">
        <f t="shared" si="19"/>
        <v>70.257611241217802</v>
      </c>
      <c r="K100" s="118">
        <f t="shared" si="19"/>
        <v>61.475409836065573</v>
      </c>
      <c r="L100" s="118">
        <f t="shared" si="19"/>
        <v>54.644808743169399</v>
      </c>
      <c r="M100" s="118">
        <f t="shared" si="19"/>
        <v>49.180327868852459</v>
      </c>
      <c r="N100" s="118">
        <f t="shared" si="20"/>
        <v>44.709388971684056</v>
      </c>
      <c r="O100" s="118">
        <f t="shared" si="20"/>
        <v>40.983606557377051</v>
      </c>
      <c r="P100" s="118">
        <f t="shared" si="20"/>
        <v>37.831021437578805</v>
      </c>
      <c r="Q100" s="118">
        <f t="shared" si="20"/>
        <v>35.128805620608901</v>
      </c>
      <c r="R100" s="118">
        <f t="shared" si="20"/>
        <v>32.786885245901637</v>
      </c>
      <c r="S100" s="118">
        <f t="shared" si="20"/>
        <v>30.737704918032787</v>
      </c>
      <c r="T100" s="118">
        <f t="shared" si="20"/>
        <v>28.929604628736744</v>
      </c>
      <c r="U100" s="118">
        <f t="shared" si="20"/>
        <v>27.3224043715847</v>
      </c>
      <c r="V100" s="118">
        <f t="shared" si="20"/>
        <v>25.884383088869715</v>
      </c>
      <c r="W100" s="118">
        <f t="shared" si="20"/>
        <v>24.590163934426229</v>
      </c>
      <c r="X100" s="74"/>
    </row>
    <row r="101" spans="2:24" x14ac:dyDescent="0.25">
      <c r="B101" s="74"/>
      <c r="C101" s="74">
        <f t="shared" si="16"/>
        <v>5.4999999999999956</v>
      </c>
      <c r="D101" s="118">
        <f t="shared" si="19"/>
        <v>491.80327868852459</v>
      </c>
      <c r="E101" s="118">
        <f t="shared" si="19"/>
        <v>245.90163934426229</v>
      </c>
      <c r="F101" s="118">
        <f t="shared" si="19"/>
        <v>163.9344262295082</v>
      </c>
      <c r="G101" s="118">
        <f t="shared" si="19"/>
        <v>122.95081967213115</v>
      </c>
      <c r="H101" s="118">
        <f t="shared" si="19"/>
        <v>98.360655737704917</v>
      </c>
      <c r="I101" s="118">
        <f t="shared" si="19"/>
        <v>81.967213114754102</v>
      </c>
      <c r="J101" s="118">
        <f t="shared" si="19"/>
        <v>70.257611241217802</v>
      </c>
      <c r="K101" s="118">
        <f t="shared" si="19"/>
        <v>61.475409836065573</v>
      </c>
      <c r="L101" s="118">
        <f t="shared" si="19"/>
        <v>54.644808743169399</v>
      </c>
      <c r="M101" s="118">
        <f t="shared" si="19"/>
        <v>49.180327868852459</v>
      </c>
      <c r="N101" s="118">
        <f t="shared" si="20"/>
        <v>44.709388971684056</v>
      </c>
      <c r="O101" s="118">
        <f t="shared" si="20"/>
        <v>40.983606557377051</v>
      </c>
      <c r="P101" s="118">
        <f t="shared" si="20"/>
        <v>37.831021437578805</v>
      </c>
      <c r="Q101" s="118">
        <f t="shared" si="20"/>
        <v>35.128805620608901</v>
      </c>
      <c r="R101" s="118">
        <f t="shared" si="20"/>
        <v>32.786885245901637</v>
      </c>
      <c r="S101" s="118">
        <f t="shared" si="20"/>
        <v>30.737704918032787</v>
      </c>
      <c r="T101" s="118">
        <f t="shared" si="20"/>
        <v>28.929604628736744</v>
      </c>
      <c r="U101" s="118">
        <f t="shared" si="20"/>
        <v>27.3224043715847</v>
      </c>
      <c r="V101" s="118">
        <f t="shared" si="20"/>
        <v>25.884383088869715</v>
      </c>
      <c r="W101" s="118">
        <f t="shared" si="20"/>
        <v>24.590163934426229</v>
      </c>
      <c r="X101" s="74"/>
    </row>
    <row r="102" spans="2:24" x14ac:dyDescent="0.25">
      <c r="B102" s="74"/>
      <c r="C102" s="74"/>
      <c r="D102" s="74"/>
      <c r="E102" s="74"/>
      <c r="F102" s="74"/>
      <c r="G102" s="74"/>
      <c r="H102" s="74"/>
      <c r="I102" s="74"/>
      <c r="J102" s="74"/>
      <c r="K102" s="74"/>
      <c r="L102" s="74"/>
      <c r="M102" s="74"/>
      <c r="N102" s="74"/>
      <c r="O102" s="74"/>
      <c r="P102" s="74"/>
      <c r="Q102" s="74"/>
      <c r="R102" s="74"/>
      <c r="S102" s="74"/>
      <c r="T102" s="74"/>
      <c r="U102" s="74"/>
      <c r="V102" s="74"/>
      <c r="W102" s="74"/>
      <c r="X102" s="74"/>
    </row>
    <row r="103" spans="2:24" x14ac:dyDescent="0.25">
      <c r="B103" s="74"/>
      <c r="C103" s="74"/>
      <c r="D103" s="74"/>
      <c r="E103" s="74"/>
      <c r="F103" s="74"/>
      <c r="G103" s="74"/>
      <c r="H103" s="74"/>
      <c r="I103" s="74"/>
      <c r="J103" s="74"/>
      <c r="K103" s="74"/>
      <c r="L103" s="74"/>
      <c r="M103" s="74"/>
      <c r="N103" s="74"/>
      <c r="O103" s="74"/>
      <c r="P103" s="74"/>
      <c r="Q103" s="74"/>
      <c r="R103" s="74"/>
      <c r="S103" s="74"/>
      <c r="T103" s="74"/>
      <c r="U103" s="74"/>
      <c r="V103" s="74"/>
      <c r="W103" s="74"/>
      <c r="X103" s="74"/>
    </row>
  </sheetData>
  <sheetProtection password="D997" sheet="1" objects="1" scenarios="1" selectLockedCells="1"/>
  <mergeCells count="8">
    <mergeCell ref="AA15:AF15"/>
    <mergeCell ref="A1:U3"/>
    <mergeCell ref="A4:X4"/>
    <mergeCell ref="AA9:AF14"/>
    <mergeCell ref="Z9:Z14"/>
    <mergeCell ref="AA7:AF7"/>
    <mergeCell ref="Z6:AF6"/>
    <mergeCell ref="AA8:AF8"/>
  </mergeCells>
  <conditionalFormatting sqref="D10:W35">
    <cfRule type="cellIs" dxfId="17" priority="13" stopIfTrue="1" operator="lessThan">
      <formula>0</formula>
    </cfRule>
  </conditionalFormatting>
  <conditionalFormatting sqref="D44:W68 E43:W43">
    <cfRule type="cellIs" dxfId="16" priority="15" operator="lessThan">
      <formula>0</formula>
    </cfRule>
  </conditionalFormatting>
  <conditionalFormatting sqref="D44:W68 E43:W43">
    <cfRule type="cellIs" dxfId="15" priority="14" operator="between">
      <formula>0</formula>
      <formula>"(($O86-$O86/2-0.1)/(P$85*0.001*CCgain*GainDiffAmp))-0.1"</formula>
    </cfRule>
  </conditionalFormatting>
  <conditionalFormatting sqref="D10:W35">
    <cfRule type="cellIs" dxfId="14" priority="16" operator="lessThan">
      <formula>(($C10-$C10/2-0.1)/(D$9*0.001*CCgain*GainDiffAmp))</formula>
    </cfRule>
  </conditionalFormatting>
  <conditionalFormatting sqref="D10:W35">
    <cfRule type="cellIs" dxfId="13" priority="12" operator="equal">
      <formula>(($C10-$C10/2-0.1)/(D$9*0.001*CCgain*GainDiffAmp))</formula>
    </cfRule>
  </conditionalFormatting>
  <conditionalFormatting sqref="D43:W68">
    <cfRule type="cellIs" dxfId="12" priority="10" stopIfTrue="1" operator="lessThan">
      <formula>0</formula>
    </cfRule>
  </conditionalFormatting>
  <conditionalFormatting sqref="D43:W68">
    <cfRule type="cellIs" dxfId="11" priority="11" operator="lessThan">
      <formula>((MIN($C43-$C$40,$C$40)-0.1)/(D$42*0.001*CCgain*GainDiffAmp))</formula>
    </cfRule>
  </conditionalFormatting>
  <conditionalFormatting sqref="D43:W68">
    <cfRule type="cellIs" dxfId="10" priority="9" operator="equal">
      <formula>((MIN($C43-$C$40,$C$40)-0.1)/(D$42*0.001*CCgain*GainDiffAmp))</formula>
    </cfRule>
  </conditionalFormatting>
  <conditionalFormatting sqref="D77:W101 E76:W76">
    <cfRule type="cellIs" dxfId="9" priority="8" operator="lessThan">
      <formula>0</formula>
    </cfRule>
  </conditionalFormatting>
  <conditionalFormatting sqref="D77:W101 E76:W76">
    <cfRule type="cellIs" dxfId="8" priority="7" operator="between">
      <formula>0</formula>
      <formula>"(($O86-$O86/2-0.1)/(P$85*0.001*CCgain*GainDiffAmp))-0.1"</formula>
    </cfRule>
  </conditionalFormatting>
  <conditionalFormatting sqref="D76:W101">
    <cfRule type="cellIs" dxfId="7" priority="5" stopIfTrue="1" operator="lessThan">
      <formula>0</formula>
    </cfRule>
  </conditionalFormatting>
  <conditionalFormatting sqref="D76:W101">
    <cfRule type="cellIs" dxfId="6" priority="6" operator="lessThan">
      <formula>((MIN($C76-$C$73,$C$73)-0.1)/(D$75*0.001*CCgain*GainDiffAmp))</formula>
    </cfRule>
  </conditionalFormatting>
  <conditionalFormatting sqref="D76:W101">
    <cfRule type="cellIs" dxfId="5" priority="4" operator="equal">
      <formula>((MIN($C76-$C$73,$C$73)-0.1)/(D$75*0.001*CCgain*GainDiffAmp))</formula>
    </cfRule>
  </conditionalFormatting>
  <conditionalFormatting sqref="Z8">
    <cfRule type="cellIs" dxfId="4" priority="2" stopIfTrue="1" operator="lessThan">
      <formula>0</formula>
    </cfRule>
  </conditionalFormatting>
  <conditionalFormatting sqref="Z8">
    <cfRule type="cellIs" dxfId="3" priority="53" operator="lessThan">
      <formula>(($C12-$C12/2-0.1)/(#REF!*0.001*CCgain*GainDiffAmp))</formula>
    </cfRule>
  </conditionalFormatting>
  <conditionalFormatting sqref="Z8">
    <cfRule type="cellIs" dxfId="2" priority="54" operator="equal">
      <formula>(($C12-$C12/2-0.1)/(#REF!*0.001*CCgain*GainDiffAmp))</formula>
    </cfRule>
  </conditionalFormatting>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5"/>
  <sheetViews>
    <sheetView showGridLines="0" showRowColHeaders="0" zoomScale="90" zoomScaleNormal="90" workbookViewId="0">
      <selection activeCell="I10" sqref="I10"/>
    </sheetView>
  </sheetViews>
  <sheetFormatPr defaultColWidth="18.42578125" defaultRowHeight="15" x14ac:dyDescent="0.25"/>
  <cols>
    <col min="1" max="1" width="2.28515625" customWidth="1"/>
    <col min="2" max="2" width="2.85546875" customWidth="1"/>
    <col min="3" max="3" width="16.140625" customWidth="1"/>
    <col min="4" max="4" width="13.85546875" customWidth="1"/>
    <col min="5" max="5" width="10.7109375" customWidth="1"/>
    <col min="6" max="6" width="13.7109375" customWidth="1"/>
    <col min="7" max="7" width="13.28515625" customWidth="1"/>
    <col min="8" max="8" width="6.42578125" customWidth="1"/>
    <col min="16" max="16" width="3.5703125" customWidth="1"/>
  </cols>
  <sheetData>
    <row r="1" spans="2:26" s="11" customFormat="1" x14ac:dyDescent="0.25"/>
    <row r="2" spans="2:26" s="11" customFormat="1" x14ac:dyDescent="0.25"/>
    <row r="3" spans="2:26" s="11" customFormat="1" x14ac:dyDescent="0.25"/>
    <row r="4" spans="2:26" s="27" customFormat="1" x14ac:dyDescent="0.25">
      <c r="C4" s="146"/>
      <c r="D4" s="146"/>
      <c r="E4" s="146"/>
      <c r="F4" s="146"/>
      <c r="G4" s="146"/>
      <c r="H4" s="146"/>
      <c r="I4" s="146"/>
      <c r="J4" s="146"/>
      <c r="K4" s="146"/>
      <c r="L4" s="146"/>
      <c r="M4" s="146"/>
      <c r="N4" s="146"/>
      <c r="O4" s="146"/>
      <c r="P4" s="146"/>
      <c r="Q4" s="146"/>
      <c r="R4" s="146"/>
      <c r="S4" s="146"/>
      <c r="T4" s="146"/>
      <c r="U4" s="146"/>
      <c r="V4" s="146"/>
      <c r="W4" s="146"/>
      <c r="X4" s="146"/>
      <c r="Y4" s="146"/>
      <c r="Z4" s="146"/>
    </row>
    <row r="6" spans="2:26" ht="17.25" customHeight="1" x14ac:dyDescent="0.4">
      <c r="B6" s="80"/>
      <c r="C6" s="80" t="s">
        <v>127</v>
      </c>
      <c r="D6" s="28"/>
      <c r="E6" s="28"/>
      <c r="F6" s="28"/>
      <c r="G6" s="28"/>
      <c r="H6" s="28"/>
      <c r="I6" s="28"/>
      <c r="J6" s="28"/>
      <c r="K6" s="28"/>
      <c r="L6" s="28"/>
      <c r="M6" s="28"/>
      <c r="N6" s="28"/>
      <c r="O6" s="28"/>
      <c r="P6" s="28"/>
    </row>
    <row r="7" spans="2:26" x14ac:dyDescent="0.25">
      <c r="B7" s="67"/>
      <c r="C7" s="67"/>
      <c r="D7" s="67"/>
      <c r="E7" s="67"/>
      <c r="F7" s="67"/>
      <c r="G7" s="67"/>
      <c r="H7" s="67"/>
      <c r="I7" s="67"/>
      <c r="J7" s="67"/>
      <c r="K7" s="67"/>
      <c r="L7" s="67"/>
      <c r="M7" s="67"/>
      <c r="N7" s="67"/>
      <c r="O7" s="67"/>
      <c r="P7" s="67"/>
    </row>
    <row r="8" spans="2:26" ht="18" x14ac:dyDescent="0.25">
      <c r="B8" s="67"/>
      <c r="C8" s="131" t="s">
        <v>128</v>
      </c>
      <c r="D8" s="67"/>
      <c r="E8" s="67"/>
      <c r="F8" s="67"/>
      <c r="G8" s="67"/>
      <c r="H8" s="67"/>
      <c r="I8" s="67"/>
      <c r="J8" s="67"/>
      <c r="K8" s="67"/>
      <c r="L8" s="67"/>
      <c r="M8" s="67"/>
      <c r="N8" s="67"/>
      <c r="O8" s="67"/>
      <c r="P8" s="67"/>
    </row>
    <row r="9" spans="2:26" x14ac:dyDescent="0.25">
      <c r="B9" s="67"/>
      <c r="C9" s="67"/>
      <c r="D9" s="67"/>
      <c r="E9" s="67"/>
      <c r="F9" s="67"/>
      <c r="G9" s="67"/>
      <c r="H9" s="67"/>
      <c r="I9" s="67"/>
      <c r="J9" s="67"/>
      <c r="K9" s="67"/>
      <c r="L9" s="67"/>
      <c r="M9" s="67"/>
      <c r="N9" s="67"/>
      <c r="O9" s="67"/>
      <c r="P9" s="67"/>
    </row>
    <row r="10" spans="2:26" x14ac:dyDescent="0.25">
      <c r="B10" s="67"/>
      <c r="C10" s="67"/>
      <c r="D10" s="67"/>
      <c r="E10" s="67"/>
      <c r="F10" s="77" t="s">
        <v>11</v>
      </c>
      <c r="G10" s="77" t="s">
        <v>12</v>
      </c>
      <c r="H10" s="67"/>
      <c r="I10" s="67"/>
      <c r="J10" s="67"/>
      <c r="K10" s="67"/>
      <c r="L10" s="67"/>
      <c r="M10" s="67"/>
      <c r="N10" s="67"/>
      <c r="O10" s="67"/>
      <c r="P10" s="67"/>
    </row>
    <row r="11" spans="2:26" x14ac:dyDescent="0.25">
      <c r="B11" s="164" t="s">
        <v>133</v>
      </c>
      <c r="C11" s="164"/>
      <c r="D11" s="164"/>
      <c r="E11" s="165"/>
      <c r="F11" s="119">
        <f>Icomp_overload_temp</f>
        <v>26.690011530084981</v>
      </c>
      <c r="G11" s="78" t="s">
        <v>15</v>
      </c>
      <c r="H11" s="67"/>
      <c r="I11" s="67"/>
      <c r="J11" s="67"/>
      <c r="K11" s="67"/>
      <c r="L11" s="67"/>
      <c r="M11" s="67"/>
      <c r="N11" s="67"/>
      <c r="O11" s="67"/>
      <c r="P11" s="67"/>
    </row>
    <row r="12" spans="2:26" x14ac:dyDescent="0.25">
      <c r="B12" s="164" t="s">
        <v>134</v>
      </c>
      <c r="C12" s="164"/>
      <c r="D12" s="164"/>
      <c r="E12" s="165"/>
      <c r="F12" s="119">
        <f>MIN((Supply-Refin),Refin)</f>
        <v>2.5</v>
      </c>
      <c r="G12" s="78" t="s">
        <v>13</v>
      </c>
      <c r="H12" s="67"/>
      <c r="I12" s="67"/>
      <c r="J12" s="67"/>
      <c r="K12" s="67"/>
      <c r="L12" s="67"/>
      <c r="M12" s="67"/>
      <c r="N12" s="67"/>
      <c r="O12" s="67"/>
      <c r="P12" s="67"/>
    </row>
    <row r="13" spans="2:26" x14ac:dyDescent="0.25">
      <c r="B13" s="67"/>
      <c r="C13" s="67"/>
      <c r="D13" s="67"/>
      <c r="E13" s="67"/>
      <c r="F13" s="67"/>
      <c r="G13" s="67"/>
      <c r="H13" s="67"/>
      <c r="I13" s="67"/>
      <c r="J13" s="67"/>
      <c r="K13" s="67"/>
      <c r="L13" s="67"/>
      <c r="M13" s="67"/>
      <c r="N13" s="67"/>
      <c r="O13" s="67"/>
      <c r="P13" s="67"/>
    </row>
    <row r="14" spans="2:26" ht="30" x14ac:dyDescent="0.25">
      <c r="B14" s="67"/>
      <c r="C14" s="83" t="s">
        <v>132</v>
      </c>
      <c r="D14" s="83" t="s">
        <v>131</v>
      </c>
      <c r="E14" s="83" t="s">
        <v>130</v>
      </c>
      <c r="F14" s="83" t="s">
        <v>181</v>
      </c>
      <c r="G14" s="82" t="s">
        <v>129</v>
      </c>
      <c r="H14" s="67"/>
      <c r="I14" s="67"/>
      <c r="J14" s="67"/>
      <c r="K14" s="67"/>
      <c r="L14" s="67"/>
      <c r="M14" s="67"/>
      <c r="N14" s="67"/>
      <c r="O14" s="67"/>
      <c r="P14" s="67"/>
    </row>
    <row r="15" spans="2:26" x14ac:dyDescent="0.25">
      <c r="B15" s="67"/>
      <c r="C15" s="120">
        <v>0.1</v>
      </c>
      <c r="D15" s="121">
        <f t="shared" ref="D15:D46" si="0">IF((C15*CCgain&lt;Icomp_overload_temp), C15*CCgain,Icomp_overload_temp)</f>
        <v>1.22</v>
      </c>
      <c r="E15" s="121">
        <f t="shared" ref="E15:E46" si="1">MIN(D15*0.001*Shunt*GainDiffAmp,max_diffamp_swing)</f>
        <v>0.122</v>
      </c>
      <c r="F15" s="122">
        <f t="shared" ref="F15:F46" si="2">IF(E15&lt;(max_diffamp_swing-0.085),Supply,0)</f>
        <v>5</v>
      </c>
      <c r="G15" s="122">
        <f t="shared" ref="G15:G46" si="3">IF(C15-(Icomp_overload_temp/CCgain) &gt;1.7,0,Supply)</f>
        <v>5</v>
      </c>
      <c r="H15" s="67"/>
      <c r="I15" s="67"/>
      <c r="J15" s="67"/>
      <c r="K15" s="67"/>
      <c r="L15" s="67"/>
      <c r="M15" s="67"/>
      <c r="N15" s="67"/>
      <c r="O15" s="67"/>
      <c r="P15" s="67"/>
    </row>
    <row r="16" spans="2:26" x14ac:dyDescent="0.25">
      <c r="B16" s="67"/>
      <c r="C16" s="120">
        <v>0.2</v>
      </c>
      <c r="D16" s="121">
        <f t="shared" si="0"/>
        <v>2.44</v>
      </c>
      <c r="E16" s="121">
        <f t="shared" si="1"/>
        <v>0.24399999999999999</v>
      </c>
      <c r="F16" s="122">
        <f t="shared" si="2"/>
        <v>5</v>
      </c>
      <c r="G16" s="122">
        <f t="shared" si="3"/>
        <v>5</v>
      </c>
      <c r="H16" s="67"/>
      <c r="I16" s="67"/>
      <c r="J16" s="67"/>
      <c r="K16" s="67"/>
      <c r="L16" s="67"/>
      <c r="M16" s="67"/>
      <c r="N16" s="67"/>
      <c r="O16" s="67"/>
      <c r="P16" s="67"/>
    </row>
    <row r="17" spans="2:16" x14ac:dyDescent="0.25">
      <c r="B17" s="67"/>
      <c r="C17" s="120">
        <v>0.3</v>
      </c>
      <c r="D17" s="121">
        <f t="shared" si="0"/>
        <v>3.6599999999999997</v>
      </c>
      <c r="E17" s="121">
        <f t="shared" si="1"/>
        <v>0.36599999999999994</v>
      </c>
      <c r="F17" s="122">
        <f t="shared" si="2"/>
        <v>5</v>
      </c>
      <c r="G17" s="122">
        <f t="shared" si="3"/>
        <v>5</v>
      </c>
      <c r="H17" s="67"/>
      <c r="I17" s="67"/>
      <c r="J17" s="67"/>
      <c r="K17" s="67"/>
      <c r="L17" s="67"/>
      <c r="M17" s="67"/>
      <c r="N17" s="67"/>
      <c r="O17" s="67"/>
      <c r="P17" s="67"/>
    </row>
    <row r="18" spans="2:16" x14ac:dyDescent="0.25">
      <c r="B18" s="67"/>
      <c r="C18" s="120">
        <v>0.4</v>
      </c>
      <c r="D18" s="121">
        <f t="shared" si="0"/>
        <v>4.88</v>
      </c>
      <c r="E18" s="121">
        <f t="shared" si="1"/>
        <v>0.48799999999999999</v>
      </c>
      <c r="F18" s="122">
        <f t="shared" si="2"/>
        <v>5</v>
      </c>
      <c r="G18" s="122">
        <f t="shared" si="3"/>
        <v>5</v>
      </c>
      <c r="H18" s="67"/>
      <c r="I18" s="67"/>
      <c r="J18" s="67"/>
      <c r="K18" s="67"/>
      <c r="L18" s="67"/>
      <c r="M18" s="67"/>
      <c r="N18" s="67"/>
      <c r="O18" s="67"/>
      <c r="P18" s="67"/>
    </row>
    <row r="19" spans="2:16" x14ac:dyDescent="0.25">
      <c r="B19" s="67"/>
      <c r="C19" s="120">
        <v>0.5</v>
      </c>
      <c r="D19" s="121">
        <f t="shared" si="0"/>
        <v>6.1</v>
      </c>
      <c r="E19" s="121">
        <f t="shared" si="1"/>
        <v>0.61</v>
      </c>
      <c r="F19" s="122">
        <f t="shared" si="2"/>
        <v>5</v>
      </c>
      <c r="G19" s="122">
        <f t="shared" si="3"/>
        <v>5</v>
      </c>
      <c r="H19" s="67"/>
      <c r="I19" s="67"/>
      <c r="J19" s="67"/>
      <c r="K19" s="67"/>
      <c r="L19" s="67"/>
      <c r="M19" s="67"/>
      <c r="N19" s="67"/>
      <c r="O19" s="67"/>
      <c r="P19" s="67"/>
    </row>
    <row r="20" spans="2:16" x14ac:dyDescent="0.25">
      <c r="B20" s="67"/>
      <c r="C20" s="120">
        <v>0.6</v>
      </c>
      <c r="D20" s="121">
        <f t="shared" si="0"/>
        <v>7.3199999999999994</v>
      </c>
      <c r="E20" s="121">
        <f t="shared" si="1"/>
        <v>0.73199999999999987</v>
      </c>
      <c r="F20" s="122">
        <f t="shared" si="2"/>
        <v>5</v>
      </c>
      <c r="G20" s="122">
        <f t="shared" si="3"/>
        <v>5</v>
      </c>
      <c r="H20" s="67"/>
      <c r="I20" s="67"/>
      <c r="J20" s="67"/>
      <c r="K20" s="67"/>
      <c r="L20" s="67"/>
      <c r="M20" s="67"/>
      <c r="N20" s="67"/>
      <c r="O20" s="67"/>
      <c r="P20" s="67"/>
    </row>
    <row r="21" spans="2:16" x14ac:dyDescent="0.25">
      <c r="B21" s="67"/>
      <c r="C21" s="120">
        <v>0.7</v>
      </c>
      <c r="D21" s="121">
        <f t="shared" si="0"/>
        <v>8.5399999999999991</v>
      </c>
      <c r="E21" s="121">
        <f t="shared" si="1"/>
        <v>0.85399999999999987</v>
      </c>
      <c r="F21" s="122">
        <f t="shared" si="2"/>
        <v>5</v>
      </c>
      <c r="G21" s="122">
        <f t="shared" si="3"/>
        <v>5</v>
      </c>
      <c r="H21" s="67"/>
      <c r="I21" s="67"/>
      <c r="J21" s="67"/>
      <c r="K21" s="67"/>
      <c r="L21" s="67"/>
      <c r="M21" s="67"/>
      <c r="N21" s="67"/>
      <c r="O21" s="67"/>
      <c r="P21" s="67"/>
    </row>
    <row r="22" spans="2:16" x14ac:dyDescent="0.25">
      <c r="B22" s="67"/>
      <c r="C22" s="120">
        <v>0.8</v>
      </c>
      <c r="D22" s="121">
        <f t="shared" si="0"/>
        <v>9.76</v>
      </c>
      <c r="E22" s="121">
        <f t="shared" si="1"/>
        <v>0.97599999999999998</v>
      </c>
      <c r="F22" s="122">
        <f t="shared" si="2"/>
        <v>5</v>
      </c>
      <c r="G22" s="122">
        <f t="shared" si="3"/>
        <v>5</v>
      </c>
      <c r="H22" s="67"/>
      <c r="I22" s="67"/>
      <c r="J22" s="67"/>
      <c r="K22" s="67"/>
      <c r="L22" s="67"/>
      <c r="M22" s="67"/>
      <c r="N22" s="67"/>
      <c r="O22" s="67"/>
      <c r="P22" s="67"/>
    </row>
    <row r="23" spans="2:16" x14ac:dyDescent="0.25">
      <c r="B23" s="67"/>
      <c r="C23" s="120">
        <v>0.9</v>
      </c>
      <c r="D23" s="121">
        <f t="shared" si="0"/>
        <v>10.98</v>
      </c>
      <c r="E23" s="121">
        <f t="shared" si="1"/>
        <v>1.0980000000000001</v>
      </c>
      <c r="F23" s="122">
        <f t="shared" si="2"/>
        <v>5</v>
      </c>
      <c r="G23" s="122">
        <f t="shared" si="3"/>
        <v>5</v>
      </c>
      <c r="H23" s="67"/>
      <c r="I23" s="67"/>
      <c r="J23" s="67"/>
      <c r="K23" s="67"/>
      <c r="L23" s="67"/>
      <c r="M23" s="67"/>
      <c r="N23" s="67"/>
      <c r="O23" s="67"/>
      <c r="P23" s="67"/>
    </row>
    <row r="24" spans="2:16" x14ac:dyDescent="0.25">
      <c r="B24" s="67"/>
      <c r="C24" s="120">
        <v>1</v>
      </c>
      <c r="D24" s="121">
        <f t="shared" si="0"/>
        <v>12.2</v>
      </c>
      <c r="E24" s="121">
        <f t="shared" si="1"/>
        <v>1.22</v>
      </c>
      <c r="F24" s="122">
        <f t="shared" si="2"/>
        <v>5</v>
      </c>
      <c r="G24" s="122">
        <f t="shared" si="3"/>
        <v>5</v>
      </c>
      <c r="H24" s="67"/>
      <c r="I24" s="67"/>
      <c r="J24" s="67"/>
      <c r="K24" s="67"/>
      <c r="L24" s="67"/>
      <c r="M24" s="67"/>
      <c r="N24" s="67"/>
      <c r="O24" s="67"/>
      <c r="P24" s="67"/>
    </row>
    <row r="25" spans="2:16" x14ac:dyDescent="0.25">
      <c r="B25" s="67"/>
      <c r="C25" s="120">
        <v>1.1000000000000001</v>
      </c>
      <c r="D25" s="121">
        <f t="shared" si="0"/>
        <v>13.42</v>
      </c>
      <c r="E25" s="121">
        <f t="shared" si="1"/>
        <v>1.3419999999999999</v>
      </c>
      <c r="F25" s="122">
        <f t="shared" si="2"/>
        <v>5</v>
      </c>
      <c r="G25" s="122">
        <f t="shared" si="3"/>
        <v>5</v>
      </c>
      <c r="H25" s="67"/>
      <c r="I25" s="67"/>
      <c r="J25" s="67"/>
      <c r="K25" s="67"/>
      <c r="L25" s="67"/>
      <c r="M25" s="67"/>
      <c r="N25" s="67"/>
      <c r="O25" s="67"/>
      <c r="P25" s="67"/>
    </row>
    <row r="26" spans="2:16" x14ac:dyDescent="0.25">
      <c r="B26" s="67"/>
      <c r="C26" s="120">
        <v>1.2</v>
      </c>
      <c r="D26" s="121">
        <f t="shared" si="0"/>
        <v>14.639999999999999</v>
      </c>
      <c r="E26" s="121">
        <f t="shared" si="1"/>
        <v>1.4639999999999997</v>
      </c>
      <c r="F26" s="122">
        <f t="shared" si="2"/>
        <v>5</v>
      </c>
      <c r="G26" s="122">
        <f t="shared" si="3"/>
        <v>5</v>
      </c>
      <c r="H26" s="67"/>
      <c r="I26" s="67"/>
      <c r="J26" s="67"/>
      <c r="K26" s="67"/>
      <c r="L26" s="67"/>
      <c r="M26" s="67"/>
      <c r="N26" s="67"/>
      <c r="O26" s="67"/>
      <c r="P26" s="67"/>
    </row>
    <row r="27" spans="2:16" x14ac:dyDescent="0.25">
      <c r="B27" s="67"/>
      <c r="C27" s="120">
        <v>1.3</v>
      </c>
      <c r="D27" s="121">
        <f t="shared" si="0"/>
        <v>15.86</v>
      </c>
      <c r="E27" s="121">
        <f t="shared" si="1"/>
        <v>1.5859999999999999</v>
      </c>
      <c r="F27" s="122">
        <f t="shared" si="2"/>
        <v>5</v>
      </c>
      <c r="G27" s="122">
        <f t="shared" si="3"/>
        <v>5</v>
      </c>
      <c r="H27" s="67"/>
      <c r="I27" s="67"/>
      <c r="J27" s="67"/>
      <c r="K27" s="67"/>
      <c r="L27" s="67"/>
      <c r="M27" s="67"/>
      <c r="N27" s="67"/>
      <c r="O27" s="67"/>
      <c r="P27" s="67"/>
    </row>
    <row r="28" spans="2:16" x14ac:dyDescent="0.25">
      <c r="B28" s="67"/>
      <c r="C28" s="120">
        <v>1.4</v>
      </c>
      <c r="D28" s="121">
        <f t="shared" si="0"/>
        <v>17.079999999999998</v>
      </c>
      <c r="E28" s="121">
        <f t="shared" si="1"/>
        <v>1.7079999999999997</v>
      </c>
      <c r="F28" s="122">
        <f t="shared" si="2"/>
        <v>5</v>
      </c>
      <c r="G28" s="122">
        <f t="shared" si="3"/>
        <v>5</v>
      </c>
      <c r="H28" s="67"/>
      <c r="I28" s="67"/>
      <c r="J28" s="67"/>
      <c r="K28" s="67"/>
      <c r="L28" s="67"/>
      <c r="M28" s="67"/>
      <c r="N28" s="67"/>
      <c r="O28" s="67"/>
      <c r="P28" s="67"/>
    </row>
    <row r="29" spans="2:16" x14ac:dyDescent="0.25">
      <c r="B29" s="67"/>
      <c r="C29" s="120">
        <v>1.5</v>
      </c>
      <c r="D29" s="121">
        <f t="shared" si="0"/>
        <v>18.299999999999997</v>
      </c>
      <c r="E29" s="121">
        <f t="shared" si="1"/>
        <v>1.8299999999999996</v>
      </c>
      <c r="F29" s="122">
        <f t="shared" si="2"/>
        <v>5</v>
      </c>
      <c r="G29" s="122">
        <f t="shared" si="3"/>
        <v>5</v>
      </c>
      <c r="H29" s="67"/>
      <c r="I29" s="67"/>
      <c r="J29" s="67"/>
      <c r="K29" s="67"/>
      <c r="L29" s="67"/>
      <c r="M29" s="67"/>
      <c r="N29" s="67"/>
      <c r="O29" s="67"/>
      <c r="P29" s="67"/>
    </row>
    <row r="30" spans="2:16" x14ac:dyDescent="0.25">
      <c r="B30" s="67"/>
      <c r="C30" s="120">
        <v>1.6</v>
      </c>
      <c r="D30" s="121">
        <f t="shared" si="0"/>
        <v>19.52</v>
      </c>
      <c r="E30" s="121">
        <f t="shared" si="1"/>
        <v>1.952</v>
      </c>
      <c r="F30" s="122">
        <f t="shared" si="2"/>
        <v>5</v>
      </c>
      <c r="G30" s="122">
        <f t="shared" si="3"/>
        <v>5</v>
      </c>
      <c r="H30" s="67"/>
      <c r="I30" s="67"/>
      <c r="J30" s="67"/>
      <c r="K30" s="67"/>
      <c r="L30" s="67"/>
      <c r="M30" s="67"/>
      <c r="N30" s="67"/>
      <c r="O30" s="67"/>
      <c r="P30" s="67"/>
    </row>
    <row r="31" spans="2:16" x14ac:dyDescent="0.25">
      <c r="B31" s="67"/>
      <c r="C31" s="120">
        <v>1.7</v>
      </c>
      <c r="D31" s="121">
        <f t="shared" si="0"/>
        <v>20.74</v>
      </c>
      <c r="E31" s="121">
        <f t="shared" si="1"/>
        <v>2.0739999999999998</v>
      </c>
      <c r="F31" s="122">
        <f t="shared" si="2"/>
        <v>5</v>
      </c>
      <c r="G31" s="122">
        <f t="shared" si="3"/>
        <v>5</v>
      </c>
      <c r="H31" s="67"/>
      <c r="I31" s="67"/>
      <c r="J31" s="67"/>
      <c r="K31" s="67"/>
      <c r="L31" s="67"/>
      <c r="M31" s="67"/>
      <c r="N31" s="67"/>
      <c r="O31" s="67"/>
      <c r="P31" s="67"/>
    </row>
    <row r="32" spans="2:16" x14ac:dyDescent="0.25">
      <c r="B32" s="67"/>
      <c r="C32" s="120">
        <v>1.8</v>
      </c>
      <c r="D32" s="121">
        <f t="shared" si="0"/>
        <v>21.96</v>
      </c>
      <c r="E32" s="121">
        <f t="shared" si="1"/>
        <v>2.1960000000000002</v>
      </c>
      <c r="F32" s="122">
        <f t="shared" si="2"/>
        <v>5</v>
      </c>
      <c r="G32" s="122">
        <f t="shared" si="3"/>
        <v>5</v>
      </c>
      <c r="H32" s="67"/>
      <c r="I32" s="67"/>
      <c r="J32" s="67"/>
      <c r="K32" s="67"/>
      <c r="L32" s="67"/>
      <c r="M32" s="67"/>
      <c r="N32" s="67"/>
      <c r="O32" s="67"/>
      <c r="P32" s="67"/>
    </row>
    <row r="33" spans="2:16" x14ac:dyDescent="0.25">
      <c r="B33" s="67"/>
      <c r="C33" s="120">
        <v>1.9</v>
      </c>
      <c r="D33" s="121">
        <f t="shared" si="0"/>
        <v>23.179999999999996</v>
      </c>
      <c r="E33" s="121">
        <f t="shared" si="1"/>
        <v>2.3179999999999996</v>
      </c>
      <c r="F33" s="122">
        <f t="shared" si="2"/>
        <v>5</v>
      </c>
      <c r="G33" s="122">
        <f t="shared" si="3"/>
        <v>5</v>
      </c>
      <c r="H33" s="67"/>
      <c r="I33" s="67"/>
      <c r="J33" s="67"/>
      <c r="K33" s="67"/>
      <c r="L33" s="67"/>
      <c r="M33" s="67"/>
      <c r="N33" s="67"/>
      <c r="O33" s="67"/>
      <c r="P33" s="67"/>
    </row>
    <row r="34" spans="2:16" x14ac:dyDescent="0.25">
      <c r="B34" s="67"/>
      <c r="C34" s="120">
        <v>2</v>
      </c>
      <c r="D34" s="121">
        <f t="shared" si="0"/>
        <v>24.4</v>
      </c>
      <c r="E34" s="121">
        <f t="shared" si="1"/>
        <v>2.44</v>
      </c>
      <c r="F34" s="122">
        <f t="shared" si="2"/>
        <v>0</v>
      </c>
      <c r="G34" s="122">
        <f t="shared" si="3"/>
        <v>5</v>
      </c>
      <c r="H34" s="67"/>
      <c r="I34" s="67"/>
      <c r="J34" s="67"/>
      <c r="K34" s="67"/>
      <c r="L34" s="67"/>
      <c r="M34" s="67"/>
      <c r="N34" s="67"/>
      <c r="O34" s="67"/>
      <c r="P34" s="67"/>
    </row>
    <row r="35" spans="2:16" x14ac:dyDescent="0.25">
      <c r="B35" s="67"/>
      <c r="C35" s="120">
        <v>2.1</v>
      </c>
      <c r="D35" s="121">
        <f t="shared" si="0"/>
        <v>25.62</v>
      </c>
      <c r="E35" s="121">
        <f t="shared" si="1"/>
        <v>2.5</v>
      </c>
      <c r="F35" s="122">
        <f t="shared" si="2"/>
        <v>0</v>
      </c>
      <c r="G35" s="122">
        <f t="shared" si="3"/>
        <v>5</v>
      </c>
      <c r="H35" s="67"/>
      <c r="I35" s="67"/>
      <c r="J35" s="67"/>
      <c r="K35" s="67"/>
      <c r="L35" s="67"/>
      <c r="M35" s="67"/>
      <c r="N35" s="67"/>
      <c r="O35" s="67"/>
      <c r="P35" s="67"/>
    </row>
    <row r="36" spans="2:16" x14ac:dyDescent="0.25">
      <c r="B36" s="67"/>
      <c r="C36" s="120">
        <v>2.2000000000000002</v>
      </c>
      <c r="D36" s="121">
        <f t="shared" si="0"/>
        <v>26.690011530084981</v>
      </c>
      <c r="E36" s="121">
        <f t="shared" si="1"/>
        <v>2.5</v>
      </c>
      <c r="F36" s="122">
        <f t="shared" si="2"/>
        <v>0</v>
      </c>
      <c r="G36" s="122">
        <f t="shared" si="3"/>
        <v>5</v>
      </c>
      <c r="H36" s="67"/>
      <c r="I36" s="67"/>
      <c r="J36" s="67"/>
      <c r="K36" s="67"/>
      <c r="L36" s="67"/>
      <c r="M36" s="67"/>
      <c r="N36" s="67"/>
      <c r="O36" s="67"/>
      <c r="P36" s="67"/>
    </row>
    <row r="37" spans="2:16" x14ac:dyDescent="0.25">
      <c r="B37" s="67"/>
      <c r="C37" s="120">
        <v>2.2999999999999998</v>
      </c>
      <c r="D37" s="121">
        <f t="shared" si="0"/>
        <v>26.690011530084981</v>
      </c>
      <c r="E37" s="121">
        <f t="shared" si="1"/>
        <v>2.5</v>
      </c>
      <c r="F37" s="122">
        <f t="shared" si="2"/>
        <v>0</v>
      </c>
      <c r="G37" s="122">
        <f t="shared" si="3"/>
        <v>5</v>
      </c>
      <c r="H37" s="67"/>
      <c r="I37" s="67"/>
      <c r="J37" s="67"/>
      <c r="K37" s="67"/>
      <c r="L37" s="67"/>
      <c r="M37" s="67"/>
      <c r="N37" s="67"/>
      <c r="O37" s="67"/>
      <c r="P37" s="67"/>
    </row>
    <row r="38" spans="2:16" x14ac:dyDescent="0.25">
      <c r="B38" s="67"/>
      <c r="C38" s="120">
        <v>2.4</v>
      </c>
      <c r="D38" s="121">
        <f t="shared" si="0"/>
        <v>26.690011530084981</v>
      </c>
      <c r="E38" s="121">
        <f t="shared" si="1"/>
        <v>2.5</v>
      </c>
      <c r="F38" s="122">
        <f t="shared" si="2"/>
        <v>0</v>
      </c>
      <c r="G38" s="122">
        <f t="shared" si="3"/>
        <v>5</v>
      </c>
      <c r="H38" s="67"/>
      <c r="I38" s="67"/>
      <c r="J38" s="67"/>
      <c r="K38" s="67"/>
      <c r="L38" s="67"/>
      <c r="M38" s="67"/>
      <c r="N38" s="67"/>
      <c r="O38" s="67"/>
      <c r="P38" s="67"/>
    </row>
    <row r="39" spans="2:16" x14ac:dyDescent="0.25">
      <c r="B39" s="67"/>
      <c r="C39" s="120">
        <v>2.5</v>
      </c>
      <c r="D39" s="121">
        <f t="shared" si="0"/>
        <v>26.690011530084981</v>
      </c>
      <c r="E39" s="121">
        <f t="shared" si="1"/>
        <v>2.5</v>
      </c>
      <c r="F39" s="122">
        <f t="shared" si="2"/>
        <v>0</v>
      </c>
      <c r="G39" s="122">
        <f t="shared" si="3"/>
        <v>5</v>
      </c>
      <c r="H39" s="67"/>
      <c r="I39" s="67"/>
      <c r="J39" s="67"/>
      <c r="K39" s="67"/>
      <c r="L39" s="67"/>
      <c r="M39" s="67"/>
      <c r="N39" s="67"/>
      <c r="O39" s="67"/>
      <c r="P39" s="67"/>
    </row>
    <row r="40" spans="2:16" x14ac:dyDescent="0.25">
      <c r="B40" s="67"/>
      <c r="C40" s="120">
        <v>2.6</v>
      </c>
      <c r="D40" s="121">
        <f t="shared" si="0"/>
        <v>26.690011530084981</v>
      </c>
      <c r="E40" s="121">
        <f t="shared" si="1"/>
        <v>2.5</v>
      </c>
      <c r="F40" s="122">
        <f t="shared" si="2"/>
        <v>0</v>
      </c>
      <c r="G40" s="122">
        <f t="shared" si="3"/>
        <v>5</v>
      </c>
      <c r="H40" s="67"/>
      <c r="I40" s="67"/>
      <c r="J40" s="67"/>
      <c r="K40" s="67"/>
      <c r="L40" s="67"/>
      <c r="M40" s="67"/>
      <c r="N40" s="67"/>
      <c r="O40" s="67"/>
      <c r="P40" s="67"/>
    </row>
    <row r="41" spans="2:16" x14ac:dyDescent="0.25">
      <c r="B41" s="67"/>
      <c r="C41" s="120">
        <v>2.7</v>
      </c>
      <c r="D41" s="121">
        <f t="shared" si="0"/>
        <v>26.690011530084981</v>
      </c>
      <c r="E41" s="121">
        <f t="shared" si="1"/>
        <v>2.5</v>
      </c>
      <c r="F41" s="122">
        <f t="shared" si="2"/>
        <v>0</v>
      </c>
      <c r="G41" s="122">
        <f t="shared" si="3"/>
        <v>5</v>
      </c>
      <c r="H41" s="67"/>
      <c r="I41" s="67"/>
      <c r="J41" s="67"/>
      <c r="K41" s="67"/>
      <c r="L41" s="67"/>
      <c r="M41" s="67"/>
      <c r="N41" s="67"/>
      <c r="O41" s="67"/>
      <c r="P41" s="67"/>
    </row>
    <row r="42" spans="2:16" x14ac:dyDescent="0.25">
      <c r="B42" s="67"/>
      <c r="C42" s="120">
        <v>2.8</v>
      </c>
      <c r="D42" s="121">
        <f t="shared" si="0"/>
        <v>26.690011530084981</v>
      </c>
      <c r="E42" s="121">
        <f t="shared" si="1"/>
        <v>2.5</v>
      </c>
      <c r="F42" s="122">
        <f t="shared" si="2"/>
        <v>0</v>
      </c>
      <c r="G42" s="122">
        <f t="shared" si="3"/>
        <v>5</v>
      </c>
      <c r="H42" s="67"/>
      <c r="I42" s="67"/>
      <c r="J42" s="67"/>
      <c r="K42" s="67"/>
      <c r="L42" s="67"/>
      <c r="M42" s="67"/>
      <c r="N42" s="67"/>
      <c r="O42" s="67"/>
      <c r="P42" s="67"/>
    </row>
    <row r="43" spans="2:16" x14ac:dyDescent="0.25">
      <c r="B43" s="67"/>
      <c r="C43" s="120">
        <v>2.9</v>
      </c>
      <c r="D43" s="121">
        <f t="shared" si="0"/>
        <v>26.690011530084981</v>
      </c>
      <c r="E43" s="121">
        <f t="shared" si="1"/>
        <v>2.5</v>
      </c>
      <c r="F43" s="122">
        <f t="shared" si="2"/>
        <v>0</v>
      </c>
      <c r="G43" s="122">
        <f t="shared" si="3"/>
        <v>5</v>
      </c>
      <c r="H43" s="67"/>
      <c r="I43" s="67"/>
      <c r="J43" s="67"/>
      <c r="K43" s="67"/>
      <c r="L43" s="67"/>
      <c r="M43" s="67"/>
      <c r="N43" s="67"/>
      <c r="O43" s="67"/>
      <c r="P43" s="67"/>
    </row>
    <row r="44" spans="2:16" x14ac:dyDescent="0.25">
      <c r="B44" s="67"/>
      <c r="C44" s="120">
        <v>3</v>
      </c>
      <c r="D44" s="121">
        <f t="shared" si="0"/>
        <v>26.690011530084981</v>
      </c>
      <c r="E44" s="121">
        <f t="shared" si="1"/>
        <v>2.5</v>
      </c>
      <c r="F44" s="122">
        <f t="shared" si="2"/>
        <v>0</v>
      </c>
      <c r="G44" s="122">
        <f t="shared" si="3"/>
        <v>5</v>
      </c>
      <c r="H44" s="67"/>
      <c r="I44" s="67"/>
      <c r="J44" s="67"/>
      <c r="K44" s="67"/>
      <c r="L44" s="67"/>
      <c r="M44" s="67"/>
      <c r="N44" s="67"/>
      <c r="O44" s="67"/>
      <c r="P44" s="67"/>
    </row>
    <row r="45" spans="2:16" x14ac:dyDescent="0.25">
      <c r="B45" s="67"/>
      <c r="C45" s="120">
        <v>3.1</v>
      </c>
      <c r="D45" s="121">
        <f t="shared" si="0"/>
        <v>26.690011530084981</v>
      </c>
      <c r="E45" s="121">
        <f t="shared" si="1"/>
        <v>2.5</v>
      </c>
      <c r="F45" s="122">
        <f t="shared" si="2"/>
        <v>0</v>
      </c>
      <c r="G45" s="122">
        <f t="shared" si="3"/>
        <v>5</v>
      </c>
      <c r="H45" s="67"/>
      <c r="I45" s="67"/>
      <c r="J45" s="67"/>
      <c r="K45" s="67"/>
      <c r="L45" s="67"/>
      <c r="M45" s="67"/>
      <c r="N45" s="67"/>
      <c r="O45" s="67"/>
      <c r="P45" s="67"/>
    </row>
    <row r="46" spans="2:16" x14ac:dyDescent="0.25">
      <c r="B46" s="67"/>
      <c r="C46" s="120">
        <v>3.2</v>
      </c>
      <c r="D46" s="121">
        <f t="shared" si="0"/>
        <v>26.690011530084981</v>
      </c>
      <c r="E46" s="121">
        <f t="shared" si="1"/>
        <v>2.5</v>
      </c>
      <c r="F46" s="122">
        <f t="shared" si="2"/>
        <v>0</v>
      </c>
      <c r="G46" s="122">
        <f t="shared" si="3"/>
        <v>5</v>
      </c>
      <c r="H46" s="67"/>
      <c r="I46" s="67"/>
      <c r="J46" s="67"/>
      <c r="K46" s="67"/>
      <c r="L46" s="67"/>
      <c r="M46" s="67"/>
      <c r="N46" s="67"/>
      <c r="O46" s="67"/>
      <c r="P46" s="67"/>
    </row>
    <row r="47" spans="2:16" x14ac:dyDescent="0.25">
      <c r="B47" s="67"/>
      <c r="C47" s="120">
        <v>3.3</v>
      </c>
      <c r="D47" s="121">
        <f t="shared" ref="D47:D74" si="4">IF((C47*CCgain&lt;Icomp_overload_temp), C47*CCgain,Icomp_overload_temp)</f>
        <v>26.690011530084981</v>
      </c>
      <c r="E47" s="121">
        <f t="shared" ref="E47:E74" si="5">MIN(D47*0.001*Shunt*GainDiffAmp,max_diffamp_swing)</f>
        <v>2.5</v>
      </c>
      <c r="F47" s="122">
        <f t="shared" ref="F47:F74" si="6">IF(E47&lt;(max_diffamp_swing-0.085),Supply,0)</f>
        <v>0</v>
      </c>
      <c r="G47" s="122">
        <f t="shared" ref="G47:G74" si="7">IF(C47-(Icomp_overload_temp/CCgain) &gt;1.7,0,Supply)</f>
        <v>5</v>
      </c>
      <c r="H47" s="67"/>
      <c r="I47" s="67"/>
      <c r="J47" s="67"/>
      <c r="K47" s="67"/>
      <c r="L47" s="67"/>
      <c r="M47" s="67"/>
      <c r="N47" s="67"/>
      <c r="O47" s="67"/>
      <c r="P47" s="67"/>
    </row>
    <row r="48" spans="2:16" x14ac:dyDescent="0.25">
      <c r="B48" s="67"/>
      <c r="C48" s="120">
        <v>3.4</v>
      </c>
      <c r="D48" s="121">
        <f t="shared" si="4"/>
        <v>26.690011530084981</v>
      </c>
      <c r="E48" s="121">
        <f t="shared" si="5"/>
        <v>2.5</v>
      </c>
      <c r="F48" s="122">
        <f t="shared" si="6"/>
        <v>0</v>
      </c>
      <c r="G48" s="122">
        <f t="shared" si="7"/>
        <v>5</v>
      </c>
      <c r="H48" s="67"/>
      <c r="I48" s="67"/>
      <c r="J48" s="67"/>
      <c r="K48" s="67"/>
      <c r="L48" s="67"/>
      <c r="M48" s="67"/>
      <c r="N48" s="67"/>
      <c r="O48" s="67"/>
      <c r="P48" s="67"/>
    </row>
    <row r="49" spans="2:16" x14ac:dyDescent="0.25">
      <c r="B49" s="67"/>
      <c r="C49" s="120">
        <v>3.5</v>
      </c>
      <c r="D49" s="121">
        <f t="shared" si="4"/>
        <v>26.690011530084981</v>
      </c>
      <c r="E49" s="121">
        <f t="shared" si="5"/>
        <v>2.5</v>
      </c>
      <c r="F49" s="122">
        <f t="shared" si="6"/>
        <v>0</v>
      </c>
      <c r="G49" s="122">
        <f t="shared" si="7"/>
        <v>5</v>
      </c>
      <c r="H49" s="67"/>
      <c r="I49" s="67"/>
      <c r="J49" s="67"/>
      <c r="K49" s="67"/>
      <c r="L49" s="67"/>
      <c r="M49" s="67"/>
      <c r="N49" s="67"/>
      <c r="O49" s="67"/>
      <c r="P49" s="67"/>
    </row>
    <row r="50" spans="2:16" x14ac:dyDescent="0.25">
      <c r="B50" s="67"/>
      <c r="C50" s="120">
        <v>3.6</v>
      </c>
      <c r="D50" s="121">
        <f t="shared" si="4"/>
        <v>26.690011530084981</v>
      </c>
      <c r="E50" s="121">
        <f t="shared" si="5"/>
        <v>2.5</v>
      </c>
      <c r="F50" s="122">
        <f t="shared" si="6"/>
        <v>0</v>
      </c>
      <c r="G50" s="122">
        <f t="shared" si="7"/>
        <v>5</v>
      </c>
      <c r="H50" s="67"/>
      <c r="I50" s="67"/>
      <c r="J50" s="67"/>
      <c r="K50" s="67"/>
      <c r="L50" s="67"/>
      <c r="M50" s="67"/>
      <c r="N50" s="67"/>
      <c r="O50" s="67"/>
      <c r="P50" s="67"/>
    </row>
    <row r="51" spans="2:16" x14ac:dyDescent="0.25">
      <c r="B51" s="67"/>
      <c r="C51" s="120">
        <v>3.7</v>
      </c>
      <c r="D51" s="121">
        <f t="shared" si="4"/>
        <v>26.690011530084981</v>
      </c>
      <c r="E51" s="121">
        <f t="shared" si="5"/>
        <v>2.5</v>
      </c>
      <c r="F51" s="122">
        <f t="shared" si="6"/>
        <v>0</v>
      </c>
      <c r="G51" s="122">
        <f t="shared" si="7"/>
        <v>5</v>
      </c>
      <c r="H51" s="67"/>
      <c r="I51" s="67"/>
      <c r="J51" s="67"/>
      <c r="K51" s="67"/>
      <c r="L51" s="67"/>
      <c r="M51" s="67"/>
      <c r="N51" s="67"/>
      <c r="O51" s="67"/>
      <c r="P51" s="67"/>
    </row>
    <row r="52" spans="2:16" x14ac:dyDescent="0.25">
      <c r="B52" s="67"/>
      <c r="C52" s="120">
        <v>3.8</v>
      </c>
      <c r="D52" s="121">
        <f t="shared" si="4"/>
        <v>26.690011530084981</v>
      </c>
      <c r="E52" s="121">
        <f t="shared" si="5"/>
        <v>2.5</v>
      </c>
      <c r="F52" s="122">
        <f t="shared" si="6"/>
        <v>0</v>
      </c>
      <c r="G52" s="122">
        <f t="shared" si="7"/>
        <v>5</v>
      </c>
      <c r="H52" s="67"/>
      <c r="I52" s="67"/>
      <c r="J52" s="67"/>
      <c r="K52" s="67"/>
      <c r="L52" s="67"/>
      <c r="M52" s="67"/>
      <c r="N52" s="67"/>
      <c r="O52" s="67"/>
      <c r="P52" s="67"/>
    </row>
    <row r="53" spans="2:16" x14ac:dyDescent="0.25">
      <c r="B53" s="67"/>
      <c r="C53" s="120">
        <v>3.9</v>
      </c>
      <c r="D53" s="121">
        <f t="shared" si="4"/>
        <v>26.690011530084981</v>
      </c>
      <c r="E53" s="121">
        <f t="shared" si="5"/>
        <v>2.5</v>
      </c>
      <c r="F53" s="122">
        <f t="shared" si="6"/>
        <v>0</v>
      </c>
      <c r="G53" s="122">
        <f t="shared" si="7"/>
        <v>0</v>
      </c>
      <c r="H53" s="67"/>
      <c r="I53" s="67"/>
      <c r="J53" s="67"/>
      <c r="K53" s="67"/>
      <c r="L53" s="67"/>
      <c r="M53" s="67"/>
      <c r="N53" s="67"/>
      <c r="O53" s="67"/>
      <c r="P53" s="67"/>
    </row>
    <row r="54" spans="2:16" x14ac:dyDescent="0.25">
      <c r="B54" s="67"/>
      <c r="C54" s="120">
        <v>4</v>
      </c>
      <c r="D54" s="121">
        <f t="shared" si="4"/>
        <v>26.690011530084981</v>
      </c>
      <c r="E54" s="121">
        <f t="shared" si="5"/>
        <v>2.5</v>
      </c>
      <c r="F54" s="122">
        <f t="shared" si="6"/>
        <v>0</v>
      </c>
      <c r="G54" s="122">
        <f t="shared" si="7"/>
        <v>0</v>
      </c>
      <c r="H54" s="67"/>
      <c r="I54" s="67"/>
      <c r="J54" s="67"/>
      <c r="K54" s="67"/>
      <c r="L54" s="67"/>
      <c r="M54" s="67"/>
      <c r="N54" s="67"/>
      <c r="O54" s="67"/>
      <c r="P54" s="67"/>
    </row>
    <row r="55" spans="2:16" x14ac:dyDescent="0.25">
      <c r="B55" s="67"/>
      <c r="C55" s="120">
        <v>4.0999999999999996</v>
      </c>
      <c r="D55" s="121">
        <f t="shared" si="4"/>
        <v>26.690011530084981</v>
      </c>
      <c r="E55" s="121">
        <f t="shared" si="5"/>
        <v>2.5</v>
      </c>
      <c r="F55" s="122">
        <f t="shared" si="6"/>
        <v>0</v>
      </c>
      <c r="G55" s="122">
        <f t="shared" si="7"/>
        <v>0</v>
      </c>
      <c r="H55" s="67"/>
      <c r="I55" s="67"/>
      <c r="J55" s="67"/>
      <c r="K55" s="67"/>
      <c r="L55" s="67"/>
      <c r="M55" s="67"/>
      <c r="N55" s="67"/>
      <c r="O55" s="67"/>
      <c r="P55" s="67"/>
    </row>
    <row r="56" spans="2:16" x14ac:dyDescent="0.25">
      <c r="B56" s="67"/>
      <c r="C56" s="120">
        <v>4.2</v>
      </c>
      <c r="D56" s="121">
        <f t="shared" si="4"/>
        <v>26.690011530084981</v>
      </c>
      <c r="E56" s="121">
        <f t="shared" si="5"/>
        <v>2.5</v>
      </c>
      <c r="F56" s="122">
        <f t="shared" si="6"/>
        <v>0</v>
      </c>
      <c r="G56" s="122">
        <f t="shared" si="7"/>
        <v>0</v>
      </c>
      <c r="H56" s="67"/>
      <c r="I56" s="67"/>
      <c r="J56" s="67"/>
      <c r="K56" s="67"/>
      <c r="L56" s="67"/>
      <c r="M56" s="67"/>
      <c r="N56" s="67"/>
      <c r="O56" s="67"/>
      <c r="P56" s="67"/>
    </row>
    <row r="57" spans="2:16" x14ac:dyDescent="0.25">
      <c r="B57" s="67"/>
      <c r="C57" s="120">
        <v>4.3</v>
      </c>
      <c r="D57" s="121">
        <f t="shared" si="4"/>
        <v>26.690011530084981</v>
      </c>
      <c r="E57" s="121">
        <f t="shared" si="5"/>
        <v>2.5</v>
      </c>
      <c r="F57" s="122">
        <f t="shared" si="6"/>
        <v>0</v>
      </c>
      <c r="G57" s="122">
        <f t="shared" si="7"/>
        <v>0</v>
      </c>
      <c r="H57" s="67"/>
      <c r="I57" s="67"/>
      <c r="J57" s="67"/>
      <c r="K57" s="67"/>
      <c r="L57" s="67"/>
      <c r="M57" s="67"/>
      <c r="N57" s="67"/>
      <c r="O57" s="67"/>
      <c r="P57" s="67"/>
    </row>
    <row r="58" spans="2:16" x14ac:dyDescent="0.25">
      <c r="B58" s="67"/>
      <c r="C58" s="120">
        <v>4.4000000000000004</v>
      </c>
      <c r="D58" s="121">
        <f t="shared" si="4"/>
        <v>26.690011530084981</v>
      </c>
      <c r="E58" s="121">
        <f t="shared" si="5"/>
        <v>2.5</v>
      </c>
      <c r="F58" s="122">
        <f t="shared" si="6"/>
        <v>0</v>
      </c>
      <c r="G58" s="122">
        <f t="shared" si="7"/>
        <v>0</v>
      </c>
      <c r="H58" s="67"/>
      <c r="I58" s="67"/>
      <c r="J58" s="67"/>
      <c r="K58" s="67"/>
      <c r="L58" s="67"/>
      <c r="M58" s="67"/>
      <c r="N58" s="67"/>
      <c r="O58" s="67"/>
      <c r="P58" s="67"/>
    </row>
    <row r="59" spans="2:16" x14ac:dyDescent="0.25">
      <c r="B59" s="67"/>
      <c r="C59" s="120">
        <v>4.5</v>
      </c>
      <c r="D59" s="121">
        <f t="shared" si="4"/>
        <v>26.690011530084981</v>
      </c>
      <c r="E59" s="121">
        <f t="shared" si="5"/>
        <v>2.5</v>
      </c>
      <c r="F59" s="122">
        <f t="shared" si="6"/>
        <v>0</v>
      </c>
      <c r="G59" s="122">
        <f t="shared" si="7"/>
        <v>0</v>
      </c>
      <c r="H59" s="67"/>
      <c r="I59" s="67"/>
      <c r="J59" s="67"/>
      <c r="K59" s="67"/>
      <c r="L59" s="67"/>
      <c r="M59" s="67"/>
      <c r="N59" s="67"/>
      <c r="O59" s="67"/>
      <c r="P59" s="67"/>
    </row>
    <row r="60" spans="2:16" x14ac:dyDescent="0.25">
      <c r="B60" s="67"/>
      <c r="C60" s="120">
        <v>4.5999999999999996</v>
      </c>
      <c r="D60" s="121">
        <f t="shared" si="4"/>
        <v>26.690011530084981</v>
      </c>
      <c r="E60" s="121">
        <f t="shared" si="5"/>
        <v>2.5</v>
      </c>
      <c r="F60" s="122">
        <f t="shared" si="6"/>
        <v>0</v>
      </c>
      <c r="G60" s="122">
        <f t="shared" si="7"/>
        <v>0</v>
      </c>
      <c r="H60" s="67"/>
      <c r="I60" s="67"/>
      <c r="J60" s="67"/>
      <c r="K60" s="67"/>
      <c r="L60" s="67"/>
      <c r="M60" s="67"/>
      <c r="N60" s="67"/>
      <c r="O60" s="67"/>
      <c r="P60" s="67"/>
    </row>
    <row r="61" spans="2:16" x14ac:dyDescent="0.25">
      <c r="B61" s="67"/>
      <c r="C61" s="120">
        <v>4.7</v>
      </c>
      <c r="D61" s="121">
        <f t="shared" si="4"/>
        <v>26.690011530084981</v>
      </c>
      <c r="E61" s="121">
        <f t="shared" si="5"/>
        <v>2.5</v>
      </c>
      <c r="F61" s="122">
        <f t="shared" si="6"/>
        <v>0</v>
      </c>
      <c r="G61" s="122">
        <f t="shared" si="7"/>
        <v>0</v>
      </c>
      <c r="H61" s="67"/>
      <c r="I61" s="67"/>
      <c r="J61" s="67"/>
      <c r="K61" s="67"/>
      <c r="L61" s="67"/>
      <c r="M61" s="67"/>
      <c r="N61" s="67"/>
      <c r="O61" s="67"/>
      <c r="P61" s="67"/>
    </row>
    <row r="62" spans="2:16" x14ac:dyDescent="0.25">
      <c r="B62" s="67"/>
      <c r="C62" s="120">
        <v>4.8</v>
      </c>
      <c r="D62" s="121">
        <f t="shared" si="4"/>
        <v>26.690011530084981</v>
      </c>
      <c r="E62" s="121">
        <f t="shared" si="5"/>
        <v>2.5</v>
      </c>
      <c r="F62" s="122">
        <f t="shared" si="6"/>
        <v>0</v>
      </c>
      <c r="G62" s="122">
        <f t="shared" si="7"/>
        <v>0</v>
      </c>
      <c r="H62" s="67"/>
      <c r="I62" s="67"/>
      <c r="J62" s="67"/>
      <c r="K62" s="67"/>
      <c r="L62" s="67"/>
      <c r="M62" s="67"/>
      <c r="N62" s="67"/>
      <c r="O62" s="67"/>
      <c r="P62" s="67"/>
    </row>
    <row r="63" spans="2:16" x14ac:dyDescent="0.25">
      <c r="B63" s="67"/>
      <c r="C63" s="120">
        <v>4.9000000000000004</v>
      </c>
      <c r="D63" s="121">
        <f t="shared" si="4"/>
        <v>26.690011530084981</v>
      </c>
      <c r="E63" s="121">
        <f t="shared" si="5"/>
        <v>2.5</v>
      </c>
      <c r="F63" s="122">
        <f t="shared" si="6"/>
        <v>0</v>
      </c>
      <c r="G63" s="122">
        <f t="shared" si="7"/>
        <v>0</v>
      </c>
      <c r="H63" s="67"/>
      <c r="I63" s="67"/>
      <c r="J63" s="67"/>
      <c r="K63" s="67"/>
      <c r="L63" s="67"/>
      <c r="M63" s="67"/>
      <c r="N63" s="67"/>
      <c r="O63" s="67"/>
      <c r="P63" s="67"/>
    </row>
    <row r="64" spans="2:16" x14ac:dyDescent="0.25">
      <c r="B64" s="67"/>
      <c r="C64" s="120">
        <v>5</v>
      </c>
      <c r="D64" s="121">
        <f t="shared" si="4"/>
        <v>26.690011530084981</v>
      </c>
      <c r="E64" s="121">
        <f t="shared" si="5"/>
        <v>2.5</v>
      </c>
      <c r="F64" s="122">
        <f t="shared" si="6"/>
        <v>0</v>
      </c>
      <c r="G64" s="122">
        <f t="shared" si="7"/>
        <v>0</v>
      </c>
      <c r="H64" s="67"/>
      <c r="I64" s="67"/>
      <c r="J64" s="67"/>
      <c r="K64" s="67"/>
      <c r="L64" s="67"/>
      <c r="M64" s="67"/>
      <c r="N64" s="67"/>
      <c r="O64" s="67"/>
      <c r="P64" s="67"/>
    </row>
    <row r="65" spans="2:16" x14ac:dyDescent="0.25">
      <c r="B65" s="67"/>
      <c r="C65" s="120">
        <v>5.0999999999999996</v>
      </c>
      <c r="D65" s="121">
        <f t="shared" si="4"/>
        <v>26.690011530084981</v>
      </c>
      <c r="E65" s="121">
        <f t="shared" si="5"/>
        <v>2.5</v>
      </c>
      <c r="F65" s="122">
        <f t="shared" si="6"/>
        <v>0</v>
      </c>
      <c r="G65" s="122">
        <f t="shared" si="7"/>
        <v>0</v>
      </c>
      <c r="H65" s="67"/>
      <c r="I65" s="67"/>
      <c r="J65" s="67"/>
      <c r="K65" s="67"/>
      <c r="L65" s="67"/>
      <c r="M65" s="67"/>
      <c r="N65" s="67"/>
      <c r="O65" s="67"/>
      <c r="P65" s="67"/>
    </row>
    <row r="66" spans="2:16" x14ac:dyDescent="0.25">
      <c r="B66" s="67"/>
      <c r="C66" s="120">
        <v>5.2</v>
      </c>
      <c r="D66" s="121">
        <f t="shared" si="4"/>
        <v>26.690011530084981</v>
      </c>
      <c r="E66" s="121">
        <f t="shared" si="5"/>
        <v>2.5</v>
      </c>
      <c r="F66" s="122">
        <f t="shared" si="6"/>
        <v>0</v>
      </c>
      <c r="G66" s="122">
        <f t="shared" si="7"/>
        <v>0</v>
      </c>
      <c r="H66" s="67"/>
      <c r="I66" s="67"/>
      <c r="J66" s="67"/>
      <c r="K66" s="67"/>
      <c r="L66" s="67"/>
      <c r="M66" s="67"/>
      <c r="N66" s="67"/>
      <c r="O66" s="67"/>
      <c r="P66" s="67"/>
    </row>
    <row r="67" spans="2:16" x14ac:dyDescent="0.25">
      <c r="B67" s="67"/>
      <c r="C67" s="120">
        <v>5.3</v>
      </c>
      <c r="D67" s="121">
        <f t="shared" si="4"/>
        <v>26.690011530084981</v>
      </c>
      <c r="E67" s="121">
        <f t="shared" si="5"/>
        <v>2.5</v>
      </c>
      <c r="F67" s="122">
        <f t="shared" si="6"/>
        <v>0</v>
      </c>
      <c r="G67" s="122">
        <f t="shared" si="7"/>
        <v>0</v>
      </c>
      <c r="H67" s="67"/>
      <c r="I67" s="67"/>
      <c r="J67" s="67"/>
      <c r="K67" s="67"/>
      <c r="L67" s="67"/>
      <c r="M67" s="67"/>
      <c r="N67" s="67"/>
      <c r="O67" s="67"/>
      <c r="P67" s="67"/>
    </row>
    <row r="68" spans="2:16" x14ac:dyDescent="0.25">
      <c r="B68" s="67"/>
      <c r="C68" s="120">
        <v>5.4</v>
      </c>
      <c r="D68" s="121">
        <f t="shared" si="4"/>
        <v>26.690011530084981</v>
      </c>
      <c r="E68" s="121">
        <f t="shared" si="5"/>
        <v>2.5</v>
      </c>
      <c r="F68" s="122">
        <f t="shared" si="6"/>
        <v>0</v>
      </c>
      <c r="G68" s="122">
        <f t="shared" si="7"/>
        <v>0</v>
      </c>
      <c r="H68" s="67"/>
      <c r="I68" s="67"/>
      <c r="J68" s="67"/>
      <c r="K68" s="67"/>
      <c r="L68" s="67"/>
      <c r="M68" s="67"/>
      <c r="N68" s="67"/>
      <c r="O68" s="67"/>
      <c r="P68" s="67"/>
    </row>
    <row r="69" spans="2:16" x14ac:dyDescent="0.25">
      <c r="B69" s="67"/>
      <c r="C69" s="120">
        <v>5.5</v>
      </c>
      <c r="D69" s="121">
        <f t="shared" si="4"/>
        <v>26.690011530084981</v>
      </c>
      <c r="E69" s="121">
        <f t="shared" si="5"/>
        <v>2.5</v>
      </c>
      <c r="F69" s="122">
        <f t="shared" si="6"/>
        <v>0</v>
      </c>
      <c r="G69" s="122">
        <f t="shared" si="7"/>
        <v>0</v>
      </c>
      <c r="H69" s="67"/>
      <c r="I69" s="67"/>
      <c r="J69" s="67"/>
      <c r="K69" s="67"/>
      <c r="L69" s="67"/>
      <c r="M69" s="67"/>
      <c r="N69" s="67"/>
      <c r="O69" s="67"/>
      <c r="P69" s="67"/>
    </row>
    <row r="70" spans="2:16" x14ac:dyDescent="0.25">
      <c r="B70" s="67"/>
      <c r="C70" s="120">
        <v>5.6</v>
      </c>
      <c r="D70" s="121">
        <f t="shared" si="4"/>
        <v>26.690011530084981</v>
      </c>
      <c r="E70" s="121">
        <f t="shared" si="5"/>
        <v>2.5</v>
      </c>
      <c r="F70" s="122">
        <f t="shared" si="6"/>
        <v>0</v>
      </c>
      <c r="G70" s="122">
        <f t="shared" si="7"/>
        <v>0</v>
      </c>
      <c r="H70" s="67"/>
      <c r="I70" s="67"/>
      <c r="J70" s="67"/>
      <c r="K70" s="67"/>
      <c r="L70" s="67"/>
      <c r="M70" s="67"/>
      <c r="N70" s="67"/>
      <c r="O70" s="67"/>
      <c r="P70" s="67"/>
    </row>
    <row r="71" spans="2:16" x14ac:dyDescent="0.25">
      <c r="B71" s="67"/>
      <c r="C71" s="120">
        <v>5.7</v>
      </c>
      <c r="D71" s="121">
        <f t="shared" si="4"/>
        <v>26.690011530084981</v>
      </c>
      <c r="E71" s="121">
        <f t="shared" si="5"/>
        <v>2.5</v>
      </c>
      <c r="F71" s="122">
        <f t="shared" si="6"/>
        <v>0</v>
      </c>
      <c r="G71" s="122">
        <f t="shared" si="7"/>
        <v>0</v>
      </c>
      <c r="H71" s="67"/>
      <c r="I71" s="67"/>
      <c r="J71" s="67"/>
      <c r="K71" s="67"/>
      <c r="L71" s="67"/>
      <c r="M71" s="67"/>
      <c r="N71" s="67"/>
      <c r="O71" s="67"/>
      <c r="P71" s="67"/>
    </row>
    <row r="72" spans="2:16" x14ac:dyDescent="0.25">
      <c r="B72" s="67"/>
      <c r="C72" s="120">
        <v>5.8</v>
      </c>
      <c r="D72" s="121">
        <f t="shared" si="4"/>
        <v>26.690011530084981</v>
      </c>
      <c r="E72" s="121">
        <f t="shared" si="5"/>
        <v>2.5</v>
      </c>
      <c r="F72" s="122">
        <f t="shared" si="6"/>
        <v>0</v>
      </c>
      <c r="G72" s="122">
        <f t="shared" si="7"/>
        <v>0</v>
      </c>
      <c r="H72" s="67"/>
      <c r="I72" s="67"/>
      <c r="J72" s="67"/>
      <c r="K72" s="67"/>
      <c r="L72" s="67"/>
      <c r="M72" s="67"/>
      <c r="N72" s="67"/>
      <c r="O72" s="67"/>
      <c r="P72" s="67"/>
    </row>
    <row r="73" spans="2:16" x14ac:dyDescent="0.25">
      <c r="B73" s="67"/>
      <c r="C73" s="120">
        <v>5.9</v>
      </c>
      <c r="D73" s="121">
        <f t="shared" si="4"/>
        <v>26.690011530084981</v>
      </c>
      <c r="E73" s="121">
        <f t="shared" si="5"/>
        <v>2.5</v>
      </c>
      <c r="F73" s="122">
        <f t="shared" si="6"/>
        <v>0</v>
      </c>
      <c r="G73" s="122">
        <f t="shared" si="7"/>
        <v>0</v>
      </c>
      <c r="H73" s="67"/>
      <c r="I73" s="67"/>
      <c r="J73" s="67"/>
      <c r="K73" s="67"/>
      <c r="L73" s="67"/>
      <c r="M73" s="67"/>
      <c r="N73" s="67"/>
      <c r="O73" s="67"/>
      <c r="P73" s="67"/>
    </row>
    <row r="74" spans="2:16" x14ac:dyDescent="0.25">
      <c r="B74" s="67"/>
      <c r="C74" s="120">
        <v>6</v>
      </c>
      <c r="D74" s="121">
        <f t="shared" si="4"/>
        <v>26.690011530084981</v>
      </c>
      <c r="E74" s="121">
        <f t="shared" si="5"/>
        <v>2.5</v>
      </c>
      <c r="F74" s="122">
        <f t="shared" si="6"/>
        <v>0</v>
      </c>
      <c r="G74" s="122">
        <f t="shared" si="7"/>
        <v>0</v>
      </c>
      <c r="H74" s="67"/>
      <c r="I74" s="67"/>
      <c r="J74" s="67"/>
      <c r="K74" s="67"/>
      <c r="L74" s="67"/>
      <c r="M74" s="67"/>
      <c r="N74" s="67"/>
      <c r="O74" s="67"/>
      <c r="P74" s="67"/>
    </row>
    <row r="75" spans="2:16" x14ac:dyDescent="0.25">
      <c r="B75" s="67"/>
      <c r="C75" s="67"/>
      <c r="D75" s="67"/>
      <c r="E75" s="67"/>
      <c r="F75" s="67"/>
      <c r="G75" s="67"/>
      <c r="H75" s="67"/>
      <c r="I75" s="67"/>
      <c r="J75" s="67"/>
      <c r="K75" s="67"/>
      <c r="L75" s="67"/>
      <c r="M75" s="67"/>
      <c r="N75" s="67"/>
      <c r="O75" s="67"/>
      <c r="P75" s="67"/>
    </row>
  </sheetData>
  <sheetProtection password="D997" sheet="1" objects="1" scenarios="1" selectLockedCells="1"/>
  <mergeCells count="3">
    <mergeCell ref="C4:Z4"/>
    <mergeCell ref="B11:E11"/>
    <mergeCell ref="B12:E1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566"/>
  <sheetViews>
    <sheetView showGridLines="0" showRowColHeaders="0" zoomScale="90" zoomScaleNormal="90" workbookViewId="0">
      <selection activeCell="E9" sqref="E9"/>
    </sheetView>
  </sheetViews>
  <sheetFormatPr defaultRowHeight="15" x14ac:dyDescent="0.25"/>
  <cols>
    <col min="2" max="2" width="15" customWidth="1"/>
    <col min="3" max="3" width="39.5703125" customWidth="1"/>
    <col min="8" max="8" width="6.85546875" customWidth="1"/>
    <col min="9" max="9" width="5.140625" customWidth="1"/>
    <col min="10" max="10" width="4.28515625" customWidth="1"/>
    <col min="14" max="14" width="4.42578125" customWidth="1"/>
  </cols>
  <sheetData>
    <row r="1" spans="1:121" s="11" customFormat="1" x14ac:dyDescent="0.25">
      <c r="A1" s="145"/>
      <c r="B1" s="145"/>
      <c r="C1" s="145"/>
      <c r="D1" s="145"/>
      <c r="E1" s="145"/>
      <c r="F1" s="145"/>
      <c r="G1" s="145"/>
      <c r="H1" s="145"/>
      <c r="I1" s="145"/>
      <c r="J1" s="145"/>
      <c r="K1" s="145"/>
      <c r="L1" s="145"/>
      <c r="M1" s="145"/>
      <c r="N1" s="145"/>
      <c r="O1" s="145"/>
      <c r="P1" s="145"/>
      <c r="Q1" s="145"/>
      <c r="R1" s="145"/>
      <c r="S1" s="145"/>
      <c r="T1" s="145"/>
      <c r="U1" s="145"/>
      <c r="V1" s="145"/>
    </row>
    <row r="2" spans="1:121" s="11" customFormat="1" x14ac:dyDescent="0.25">
      <c r="A2" s="145"/>
      <c r="B2" s="145"/>
      <c r="C2" s="145"/>
      <c r="D2" s="145"/>
      <c r="E2" s="145"/>
      <c r="F2" s="145"/>
      <c r="G2" s="145"/>
      <c r="H2" s="145"/>
      <c r="I2" s="145"/>
      <c r="J2" s="145"/>
      <c r="K2" s="145"/>
      <c r="L2" s="145"/>
      <c r="M2" s="145"/>
      <c r="N2" s="145"/>
      <c r="O2" s="145"/>
      <c r="P2" s="145"/>
      <c r="Q2" s="145"/>
      <c r="R2" s="145"/>
      <c r="S2" s="145"/>
      <c r="T2" s="145"/>
      <c r="U2" s="145"/>
      <c r="V2" s="145"/>
    </row>
    <row r="3" spans="1:121" s="11" customFormat="1" x14ac:dyDescent="0.25">
      <c r="A3" s="145"/>
      <c r="B3" s="145"/>
      <c r="C3" s="145"/>
      <c r="D3" s="145"/>
      <c r="E3" s="145"/>
      <c r="F3" s="145"/>
      <c r="G3" s="145"/>
      <c r="H3" s="145"/>
      <c r="I3" s="145"/>
      <c r="J3" s="145"/>
      <c r="K3" s="145"/>
      <c r="L3" s="145"/>
      <c r="M3" s="145"/>
      <c r="N3" s="145"/>
      <c r="O3" s="145"/>
      <c r="P3" s="145"/>
      <c r="Q3" s="145"/>
      <c r="R3" s="145"/>
      <c r="S3" s="145"/>
      <c r="T3" s="145"/>
      <c r="U3" s="145"/>
      <c r="V3" s="145"/>
    </row>
    <row r="4" spans="1:121" s="27" customFormat="1" x14ac:dyDescent="0.25">
      <c r="A4" s="146"/>
      <c r="B4" s="146"/>
      <c r="C4" s="146"/>
      <c r="D4" s="146"/>
      <c r="E4" s="146"/>
      <c r="F4" s="146"/>
      <c r="G4" s="146"/>
      <c r="H4" s="146"/>
      <c r="I4" s="146"/>
      <c r="J4" s="146"/>
      <c r="K4" s="146"/>
      <c r="L4" s="146"/>
      <c r="M4" s="146"/>
      <c r="N4" s="146"/>
      <c r="O4" s="146"/>
      <c r="P4" s="146"/>
      <c r="Q4" s="146"/>
      <c r="R4" s="146"/>
      <c r="S4" s="146"/>
      <c r="T4" s="146"/>
      <c r="U4" s="146"/>
      <c r="V4" s="146"/>
      <c r="W4" s="146"/>
      <c r="X4" s="146"/>
      <c r="Y4" s="146"/>
    </row>
    <row r="5" spans="1:121" x14ac:dyDescent="0.2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row>
    <row r="6" spans="1:121" ht="18" x14ac:dyDescent="0.25">
      <c r="A6" s="11"/>
      <c r="B6" s="31" t="s">
        <v>79</v>
      </c>
      <c r="C6" s="29"/>
      <c r="D6" s="29"/>
      <c r="E6" s="29"/>
      <c r="F6" s="29"/>
      <c r="G6" s="29"/>
      <c r="H6" s="32"/>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row>
    <row r="7" spans="1:121" x14ac:dyDescent="0.25">
      <c r="A7" s="11"/>
      <c r="B7" s="33"/>
      <c r="C7" s="33"/>
      <c r="D7" s="34"/>
      <c r="E7" s="34"/>
      <c r="F7" s="34"/>
      <c r="G7" s="33"/>
      <c r="H7" s="35"/>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row>
    <row r="8" spans="1:121" ht="16.5" thickBot="1" x14ac:dyDescent="0.3">
      <c r="A8" s="11"/>
      <c r="B8" s="36"/>
      <c r="C8" s="168" t="s">
        <v>81</v>
      </c>
      <c r="D8" s="169"/>
      <c r="E8" s="59" t="s">
        <v>11</v>
      </c>
      <c r="F8" s="84" t="s">
        <v>12</v>
      </c>
      <c r="G8" s="35"/>
      <c r="H8" s="35"/>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row>
    <row r="9" spans="1:121" ht="15.75" x14ac:dyDescent="0.25">
      <c r="A9" s="11"/>
      <c r="B9" s="166" t="s">
        <v>82</v>
      </c>
      <c r="C9" s="166"/>
      <c r="D9" s="167"/>
      <c r="E9" s="123">
        <v>100</v>
      </c>
      <c r="F9" s="37" t="s">
        <v>98</v>
      </c>
      <c r="G9" s="35"/>
      <c r="H9" s="35"/>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row>
    <row r="10" spans="1:121" ht="15.75" x14ac:dyDescent="0.25">
      <c r="A10" s="11"/>
      <c r="B10" s="166" t="s">
        <v>135</v>
      </c>
      <c r="C10" s="166"/>
      <c r="D10" s="167"/>
      <c r="E10" s="123">
        <v>1000</v>
      </c>
      <c r="F10" s="37" t="s">
        <v>40</v>
      </c>
      <c r="G10" s="35"/>
      <c r="H10" s="35"/>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row>
    <row r="11" spans="1:121" ht="18.75" x14ac:dyDescent="0.3">
      <c r="A11" s="11"/>
      <c r="B11" s="33"/>
      <c r="C11" s="42"/>
      <c r="D11" s="33"/>
      <c r="E11" s="33"/>
      <c r="F11" s="33"/>
      <c r="G11" s="33"/>
      <c r="H11" s="33"/>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row>
    <row r="12" spans="1:121" ht="15.75" x14ac:dyDescent="0.25">
      <c r="A12" s="11"/>
      <c r="B12" s="45"/>
      <c r="C12" s="45"/>
      <c r="D12" s="46"/>
      <c r="E12" s="47"/>
      <c r="F12" s="47"/>
      <c r="G12" s="48"/>
      <c r="H12" s="49"/>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row>
    <row r="13" spans="1:121" ht="18" x14ac:dyDescent="0.25">
      <c r="A13" s="11"/>
      <c r="B13" s="31" t="s">
        <v>79</v>
      </c>
      <c r="C13" s="29"/>
      <c r="D13" s="29"/>
      <c r="E13" s="29"/>
      <c r="F13" s="29"/>
      <c r="G13" s="29"/>
      <c r="H13" s="32"/>
      <c r="I13" s="11"/>
      <c r="J13" s="31"/>
      <c r="K13" s="31" t="s">
        <v>136</v>
      </c>
      <c r="L13" s="31"/>
      <c r="M13" s="31"/>
      <c r="N13" s="3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row>
    <row r="14" spans="1:121" x14ac:dyDescent="0.25">
      <c r="A14" s="11"/>
      <c r="B14" s="33"/>
      <c r="C14" s="33"/>
      <c r="D14" s="34"/>
      <c r="E14" s="34"/>
      <c r="F14" s="34"/>
      <c r="G14" s="33"/>
      <c r="H14" s="35"/>
      <c r="I14" s="11"/>
      <c r="J14" s="35"/>
      <c r="K14" s="35"/>
      <c r="L14" s="35"/>
      <c r="M14" s="35"/>
      <c r="N14" s="35"/>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row>
    <row r="15" spans="1:121" ht="16.5" thickBot="1" x14ac:dyDescent="0.3">
      <c r="A15" s="11"/>
      <c r="B15" s="36"/>
      <c r="C15" s="168" t="s">
        <v>61</v>
      </c>
      <c r="D15" s="169"/>
      <c r="E15" s="84" t="s">
        <v>62</v>
      </c>
      <c r="F15" s="84" t="s">
        <v>63</v>
      </c>
      <c r="G15" s="85" t="s">
        <v>12</v>
      </c>
      <c r="H15" s="35"/>
      <c r="I15" s="11"/>
      <c r="J15" s="35"/>
      <c r="K15" s="84" t="s">
        <v>62</v>
      </c>
      <c r="L15" s="84" t="s">
        <v>63</v>
      </c>
      <c r="M15" s="85" t="s">
        <v>12</v>
      </c>
      <c r="N15" s="35"/>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row>
    <row r="16" spans="1:121" ht="15.75" x14ac:dyDescent="0.25">
      <c r="A16" s="11"/>
      <c r="B16" s="166" t="s">
        <v>64</v>
      </c>
      <c r="C16" s="166"/>
      <c r="D16" s="167"/>
      <c r="E16" s="86">
        <v>2</v>
      </c>
      <c r="F16" s="87">
        <v>8</v>
      </c>
      <c r="G16" s="88" t="s">
        <v>80</v>
      </c>
      <c r="H16" s="35"/>
      <c r="I16" s="11"/>
      <c r="J16" s="35"/>
      <c r="K16" s="95" t="s">
        <v>138</v>
      </c>
      <c r="L16" s="95" t="s">
        <v>139</v>
      </c>
      <c r="M16" s="88" t="s">
        <v>80</v>
      </c>
      <c r="N16" s="35"/>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row>
    <row r="17" spans="1:121" ht="15.75" x14ac:dyDescent="0.25">
      <c r="A17" s="11"/>
      <c r="B17" s="166" t="s">
        <v>65</v>
      </c>
      <c r="C17" s="166"/>
      <c r="D17" s="167"/>
      <c r="E17" s="89">
        <f>1000000*(E9)*0.000000005</f>
        <v>0.5</v>
      </c>
      <c r="F17" s="89">
        <f>1000000*(E9)*0.00000002</f>
        <v>2</v>
      </c>
      <c r="G17" s="88" t="s">
        <v>80</v>
      </c>
      <c r="H17" s="35"/>
      <c r="I17" s="11"/>
      <c r="J17" s="35"/>
      <c r="K17" s="90" t="s">
        <v>140</v>
      </c>
      <c r="L17" s="124"/>
      <c r="M17" s="88" t="s">
        <v>141</v>
      </c>
      <c r="N17" s="35"/>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row>
    <row r="18" spans="1:121" ht="15.75" x14ac:dyDescent="0.25">
      <c r="A18" s="11"/>
      <c r="B18" s="166" t="s">
        <v>66</v>
      </c>
      <c r="C18" s="166"/>
      <c r="D18" s="167"/>
      <c r="E18" s="90">
        <f>6*(5*0.001*(LN(IF(E10&gt;10,10,E10))-LN(0.1))+1.5*0.001*SQRT(E10))</f>
        <v>0.42276009499479683</v>
      </c>
      <c r="F18" s="91"/>
      <c r="G18" s="58" t="s">
        <v>83</v>
      </c>
      <c r="H18" s="35"/>
      <c r="I18" s="11"/>
      <c r="J18" s="35"/>
      <c r="K18" s="90">
        <v>17</v>
      </c>
      <c r="L18" s="124"/>
      <c r="M18" s="88" t="s">
        <v>137</v>
      </c>
      <c r="N18" s="35"/>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row>
    <row r="19" spans="1:121" ht="15.75" x14ac:dyDescent="0.25">
      <c r="A19" s="11"/>
      <c r="B19" s="38"/>
      <c r="C19" s="39"/>
      <c r="D19" s="40" t="s">
        <v>67</v>
      </c>
      <c r="E19" s="91"/>
      <c r="F19" s="91"/>
      <c r="G19" s="92"/>
      <c r="H19" s="35"/>
      <c r="I19" s="11"/>
      <c r="J19" s="35"/>
      <c r="K19" s="124"/>
      <c r="L19" s="124"/>
      <c r="M19" s="88"/>
      <c r="N19" s="35"/>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row>
    <row r="20" spans="1:121" ht="15.75" x14ac:dyDescent="0.25">
      <c r="A20" s="11"/>
      <c r="B20" s="166" t="s">
        <v>68</v>
      </c>
      <c r="C20" s="166"/>
      <c r="D20" s="167"/>
      <c r="E20" s="90">
        <f>(K20/Shunt)/CCgain</f>
        <v>3.2786885245901641E-2</v>
      </c>
      <c r="F20" s="90">
        <f>(L20/Shunt)/CCgain</f>
        <v>0.24590163934426232</v>
      </c>
      <c r="G20" s="58" t="s">
        <v>80</v>
      </c>
      <c r="H20" s="35"/>
      <c r="I20" s="11"/>
      <c r="J20" s="35"/>
      <c r="K20" s="90">
        <v>10</v>
      </c>
      <c r="L20" s="90">
        <v>75</v>
      </c>
      <c r="M20" s="88" t="s">
        <v>84</v>
      </c>
      <c r="N20" s="35"/>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row>
    <row r="21" spans="1:121" ht="15.75" x14ac:dyDescent="0.25">
      <c r="A21" s="11"/>
      <c r="B21" s="166" t="s">
        <v>69</v>
      </c>
      <c r="C21" s="166"/>
      <c r="D21" s="167"/>
      <c r="E21" s="90">
        <f>(K21*$E$9/Shunt)/CCgain</f>
        <v>0.13114754098360656</v>
      </c>
      <c r="F21" s="90">
        <f>(L21*$E$9/Shunt)/CCgain</f>
        <v>0.65573770491803285</v>
      </c>
      <c r="G21" s="58" t="s">
        <v>80</v>
      </c>
      <c r="H21" s="35"/>
      <c r="I21" s="11"/>
      <c r="J21" s="35"/>
      <c r="K21" s="90">
        <v>0.4</v>
      </c>
      <c r="L21" s="90">
        <v>2</v>
      </c>
      <c r="M21" s="88" t="s">
        <v>85</v>
      </c>
      <c r="N21" s="35"/>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row>
    <row r="22" spans="1:121" ht="15.75" x14ac:dyDescent="0.25">
      <c r="A22" s="11"/>
      <c r="B22" s="166" t="s">
        <v>70</v>
      </c>
      <c r="C22" s="166"/>
      <c r="D22" s="167"/>
      <c r="E22" s="90">
        <f>(IF((RefSel=0),2.5,(IF((RefSel=1),1.65,(IF((RefSel=2),Supply/2,IF((RefSel=3),Supply/2,"ERROR"))))))-Refin)/50000/CCgain</f>
        <v>0</v>
      </c>
      <c r="F22" s="93"/>
      <c r="G22" s="58" t="s">
        <v>80</v>
      </c>
      <c r="H22" s="35"/>
      <c r="I22" s="11"/>
      <c r="J22" s="35"/>
      <c r="K22" s="90">
        <v>20</v>
      </c>
      <c r="L22" s="90">
        <v>23.5</v>
      </c>
      <c r="M22" s="88" t="s">
        <v>143</v>
      </c>
      <c r="N22" s="35"/>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row>
    <row r="23" spans="1:121" ht="15.75" x14ac:dyDescent="0.25">
      <c r="A23" s="11"/>
      <c r="B23" s="36"/>
      <c r="C23" s="41"/>
      <c r="D23" s="41"/>
      <c r="E23" s="93"/>
      <c r="F23" s="93"/>
      <c r="G23" s="92"/>
      <c r="H23" s="35"/>
      <c r="I23" s="11"/>
      <c r="J23" s="35"/>
      <c r="K23" s="124"/>
      <c r="L23" s="124"/>
      <c r="M23" s="88"/>
      <c r="N23" s="35"/>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row>
    <row r="24" spans="1:121" ht="15.75" x14ac:dyDescent="0.25">
      <c r="A24" s="11"/>
      <c r="B24" s="168" t="s">
        <v>71</v>
      </c>
      <c r="C24" s="168"/>
      <c r="D24" s="168"/>
      <c r="E24" s="91"/>
      <c r="F24" s="91"/>
      <c r="G24" s="41"/>
      <c r="H24" s="35"/>
      <c r="I24" s="11"/>
      <c r="J24" s="35"/>
      <c r="K24" s="124"/>
      <c r="L24" s="124"/>
      <c r="M24" s="88"/>
      <c r="N24" s="35"/>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row>
    <row r="25" spans="1:121" ht="15.75" x14ac:dyDescent="0.25">
      <c r="A25" s="11"/>
      <c r="B25" s="166" t="s">
        <v>72</v>
      </c>
      <c r="C25" s="166"/>
      <c r="D25" s="167"/>
      <c r="E25" s="94">
        <v>0.02</v>
      </c>
      <c r="F25" s="94">
        <v>0.3</v>
      </c>
      <c r="G25" s="58" t="s">
        <v>73</v>
      </c>
      <c r="H25" s="35"/>
      <c r="I25" s="11"/>
      <c r="J25" s="35"/>
      <c r="K25" s="90">
        <v>0.02</v>
      </c>
      <c r="L25" s="90">
        <v>0.3</v>
      </c>
      <c r="M25" s="88" t="s">
        <v>73</v>
      </c>
      <c r="N25" s="35"/>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row>
    <row r="26" spans="1:121" ht="15.75" x14ac:dyDescent="0.25">
      <c r="A26" s="11"/>
      <c r="B26" s="166" t="s">
        <v>74</v>
      </c>
      <c r="C26" s="166"/>
      <c r="D26" s="167"/>
      <c r="E26" s="94">
        <f>K26*0.0001*$E$9</f>
        <v>0.01</v>
      </c>
      <c r="F26" s="94">
        <f>L26*0.0001*$E$9</f>
        <v>0.05</v>
      </c>
      <c r="G26" s="58" t="s">
        <v>73</v>
      </c>
      <c r="H26" s="35"/>
      <c r="I26" s="11"/>
      <c r="J26" s="35"/>
      <c r="K26" s="90">
        <v>1</v>
      </c>
      <c r="L26" s="90">
        <v>5</v>
      </c>
      <c r="M26" s="88" t="s">
        <v>142</v>
      </c>
      <c r="N26" s="35"/>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row>
    <row r="27" spans="1:121" ht="18.75" x14ac:dyDescent="0.3">
      <c r="A27" s="11"/>
      <c r="B27" s="33"/>
      <c r="C27" s="42"/>
      <c r="D27" s="33"/>
      <c r="E27" s="33"/>
      <c r="F27" s="33"/>
      <c r="G27" s="33"/>
      <c r="H27" s="33"/>
      <c r="I27" s="11"/>
      <c r="J27" s="35"/>
      <c r="K27" s="124"/>
      <c r="L27" s="124"/>
      <c r="M27" s="35"/>
      <c r="N27" s="35"/>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row>
    <row r="28" spans="1:121" ht="18.75" x14ac:dyDescent="0.3">
      <c r="A28" s="11"/>
      <c r="B28" s="33"/>
      <c r="C28" s="42"/>
      <c r="D28" s="33"/>
      <c r="E28" s="33"/>
      <c r="F28" s="33"/>
      <c r="G28" s="33"/>
      <c r="H28" s="33"/>
      <c r="I28" s="11"/>
      <c r="J28" s="35"/>
      <c r="K28" s="35"/>
      <c r="L28" s="35"/>
      <c r="M28" s="35"/>
      <c r="N28" s="35"/>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row>
    <row r="29" spans="1:121" s="11" customFormat="1" x14ac:dyDescent="0.25"/>
    <row r="30" spans="1:121" s="11" customFormat="1" ht="15.75" x14ac:dyDescent="0.25">
      <c r="B30" s="163" t="s">
        <v>75</v>
      </c>
      <c r="C30" s="163"/>
    </row>
    <row r="31" spans="1:121" s="11" customFormat="1" ht="15.75" x14ac:dyDescent="0.25">
      <c r="B31" s="127" t="s">
        <v>76</v>
      </c>
      <c r="C31" s="130" t="s">
        <v>77</v>
      </c>
    </row>
    <row r="32" spans="1:121" s="11" customFormat="1" ht="15.75" x14ac:dyDescent="0.25">
      <c r="B32" s="44" t="s">
        <v>76</v>
      </c>
      <c r="C32" s="130" t="s">
        <v>78</v>
      </c>
    </row>
    <row r="33" s="11" customFormat="1" x14ac:dyDescent="0.25"/>
    <row r="34" s="11" customFormat="1" x14ac:dyDescent="0.25"/>
    <row r="35" s="11" customFormat="1" x14ac:dyDescent="0.25"/>
    <row r="36" s="11" customFormat="1" x14ac:dyDescent="0.25"/>
    <row r="37" s="11" customFormat="1" x14ac:dyDescent="0.25"/>
    <row r="38" s="11" customFormat="1" x14ac:dyDescent="0.25"/>
    <row r="39" s="11" customFormat="1" x14ac:dyDescent="0.25"/>
    <row r="40" s="11" customFormat="1" x14ac:dyDescent="0.25"/>
    <row r="41" s="11" customFormat="1" x14ac:dyDescent="0.25"/>
    <row r="42" s="11" customFormat="1" x14ac:dyDescent="0.25"/>
    <row r="43" s="11" customFormat="1" x14ac:dyDescent="0.25"/>
    <row r="44" s="11" customFormat="1" x14ac:dyDescent="0.25"/>
    <row r="45" s="11" customFormat="1" x14ac:dyDescent="0.25"/>
    <row r="46" s="11" customFormat="1" x14ac:dyDescent="0.25"/>
    <row r="47" s="11" customFormat="1" x14ac:dyDescent="0.25"/>
    <row r="48" s="11" customFormat="1" x14ac:dyDescent="0.25"/>
    <row r="49" s="11" customFormat="1" x14ac:dyDescent="0.25"/>
    <row r="50" s="11" customFormat="1" x14ac:dyDescent="0.25"/>
    <row r="51" s="11" customFormat="1" x14ac:dyDescent="0.25"/>
    <row r="52" s="11" customFormat="1" x14ac:dyDescent="0.25"/>
    <row r="53" s="11" customFormat="1" x14ac:dyDescent="0.25"/>
    <row r="54" s="11" customFormat="1" x14ac:dyDescent="0.25"/>
    <row r="55" s="11" customFormat="1" x14ac:dyDescent="0.25"/>
    <row r="56" s="11" customFormat="1" x14ac:dyDescent="0.25"/>
    <row r="57" s="11" customFormat="1" x14ac:dyDescent="0.25"/>
    <row r="58" s="11" customFormat="1" x14ac:dyDescent="0.25"/>
    <row r="59" s="11" customFormat="1" x14ac:dyDescent="0.25"/>
    <row r="60" s="11" customFormat="1" x14ac:dyDescent="0.25"/>
    <row r="61" s="11" customFormat="1" x14ac:dyDescent="0.25"/>
    <row r="62" s="11" customFormat="1" x14ac:dyDescent="0.25"/>
    <row r="63" s="11" customFormat="1" x14ac:dyDescent="0.25"/>
    <row r="64" s="11" customFormat="1" x14ac:dyDescent="0.25"/>
    <row r="65" s="11" customFormat="1" x14ac:dyDescent="0.25"/>
    <row r="66" s="11" customFormat="1" x14ac:dyDescent="0.25"/>
    <row r="67" s="11" customFormat="1" x14ac:dyDescent="0.25"/>
    <row r="68" s="11" customFormat="1" x14ac:dyDescent="0.25"/>
    <row r="69" s="11" customFormat="1" x14ac:dyDescent="0.25"/>
    <row r="70" s="11" customFormat="1" x14ac:dyDescent="0.25"/>
    <row r="71" s="11" customFormat="1" x14ac:dyDescent="0.25"/>
    <row r="72" s="11" customFormat="1" x14ac:dyDescent="0.25"/>
    <row r="73" s="11" customFormat="1" x14ac:dyDescent="0.25"/>
    <row r="74" s="11" customFormat="1" x14ac:dyDescent="0.25"/>
    <row r="75" s="11" customFormat="1" x14ac:dyDescent="0.25"/>
    <row r="76" s="11" customFormat="1" x14ac:dyDescent="0.25"/>
    <row r="77" s="11" customFormat="1" x14ac:dyDescent="0.25"/>
    <row r="78" s="11" customFormat="1" x14ac:dyDescent="0.25"/>
    <row r="79" s="11" customFormat="1" x14ac:dyDescent="0.25"/>
    <row r="80" s="11" customFormat="1" x14ac:dyDescent="0.25"/>
    <row r="81" s="11" customFormat="1" x14ac:dyDescent="0.25"/>
    <row r="82" s="11" customFormat="1" x14ac:dyDescent="0.25"/>
    <row r="83" s="11" customFormat="1" x14ac:dyDescent="0.25"/>
    <row r="84" s="11" customFormat="1" x14ac:dyDescent="0.25"/>
    <row r="85" s="11" customFormat="1" x14ac:dyDescent="0.25"/>
    <row r="86" s="11" customFormat="1" x14ac:dyDescent="0.25"/>
    <row r="87" s="11" customFormat="1" x14ac:dyDescent="0.25"/>
    <row r="88" s="11" customFormat="1" x14ac:dyDescent="0.25"/>
    <row r="89" s="11" customFormat="1" x14ac:dyDescent="0.25"/>
    <row r="90" s="11" customFormat="1" x14ac:dyDescent="0.25"/>
    <row r="91" s="11" customFormat="1" x14ac:dyDescent="0.25"/>
    <row r="92" s="11" customFormat="1" x14ac:dyDescent="0.25"/>
    <row r="93" s="11" customFormat="1" x14ac:dyDescent="0.25"/>
    <row r="94" s="11" customFormat="1" x14ac:dyDescent="0.25"/>
    <row r="95" s="11" customFormat="1" x14ac:dyDescent="0.25"/>
    <row r="96" s="11" customFormat="1" x14ac:dyDescent="0.25"/>
    <row r="97" s="11" customFormat="1" x14ac:dyDescent="0.25"/>
    <row r="98" s="11" customFormat="1" x14ac:dyDescent="0.25"/>
    <row r="99" s="11" customFormat="1" x14ac:dyDescent="0.25"/>
    <row r="100" s="11" customFormat="1" x14ac:dyDescent="0.25"/>
    <row r="101" s="11" customFormat="1" x14ac:dyDescent="0.25"/>
    <row r="102" s="11" customFormat="1" x14ac:dyDescent="0.25"/>
    <row r="103" s="11" customFormat="1" x14ac:dyDescent="0.25"/>
    <row r="104" s="11" customFormat="1" x14ac:dyDescent="0.25"/>
    <row r="105" s="11" customFormat="1" x14ac:dyDescent="0.25"/>
    <row r="106" s="11" customFormat="1" x14ac:dyDescent="0.25"/>
    <row r="107" s="11" customFormat="1" x14ac:dyDescent="0.25"/>
    <row r="108" s="11" customFormat="1" x14ac:dyDescent="0.25"/>
    <row r="109" s="11" customFormat="1" x14ac:dyDescent="0.25"/>
    <row r="110" s="11" customFormat="1" x14ac:dyDescent="0.25"/>
    <row r="111" s="11" customFormat="1" x14ac:dyDescent="0.25"/>
    <row r="112" s="11" customFormat="1" x14ac:dyDescent="0.25"/>
    <row r="113" s="11" customFormat="1" x14ac:dyDescent="0.25"/>
    <row r="114" s="11" customFormat="1" x14ac:dyDescent="0.25"/>
    <row r="115" s="11" customFormat="1" x14ac:dyDescent="0.25"/>
    <row r="116" s="11" customFormat="1" x14ac:dyDescent="0.25"/>
    <row r="117" s="11" customFormat="1" x14ac:dyDescent="0.25"/>
    <row r="118" s="11" customFormat="1" x14ac:dyDescent="0.25"/>
    <row r="119" s="11" customFormat="1" x14ac:dyDescent="0.25"/>
    <row r="120" s="11" customFormat="1" x14ac:dyDescent="0.25"/>
    <row r="121" s="11" customFormat="1" x14ac:dyDescent="0.25"/>
    <row r="122" s="11" customFormat="1" x14ac:dyDescent="0.25"/>
    <row r="123" s="11" customFormat="1" x14ac:dyDescent="0.25"/>
    <row r="124" s="11" customFormat="1" x14ac:dyDescent="0.25"/>
    <row r="125" s="11" customFormat="1" x14ac:dyDescent="0.25"/>
    <row r="126" s="11" customFormat="1" x14ac:dyDescent="0.25"/>
    <row r="127" s="11" customFormat="1" x14ac:dyDescent="0.25"/>
    <row r="128" s="11" customFormat="1" x14ac:dyDescent="0.25"/>
    <row r="129" s="11" customFormat="1" x14ac:dyDescent="0.25"/>
    <row r="130" s="11" customFormat="1" x14ac:dyDescent="0.25"/>
    <row r="131" s="11" customFormat="1" x14ac:dyDescent="0.25"/>
    <row r="132" s="11" customFormat="1" x14ac:dyDescent="0.25"/>
    <row r="133" s="11" customFormat="1" x14ac:dyDescent="0.25"/>
    <row r="134" s="11" customFormat="1" x14ac:dyDescent="0.25"/>
    <row r="135" s="11" customFormat="1" x14ac:dyDescent="0.25"/>
    <row r="136" s="11" customFormat="1" x14ac:dyDescent="0.25"/>
    <row r="137" s="11" customFormat="1" x14ac:dyDescent="0.25"/>
    <row r="138" s="11" customFormat="1" x14ac:dyDescent="0.25"/>
    <row r="139" s="11" customFormat="1" x14ac:dyDescent="0.25"/>
    <row r="140" s="11" customFormat="1" x14ac:dyDescent="0.25"/>
    <row r="141" s="11" customFormat="1" x14ac:dyDescent="0.25"/>
    <row r="142" s="11" customFormat="1" x14ac:dyDescent="0.25"/>
    <row r="143" s="11" customFormat="1" x14ac:dyDescent="0.25"/>
    <row r="144" s="11" customFormat="1" x14ac:dyDescent="0.25"/>
    <row r="145" s="11" customFormat="1" x14ac:dyDescent="0.25"/>
    <row r="146" s="11" customFormat="1" x14ac:dyDescent="0.25"/>
    <row r="147" s="11" customFormat="1" x14ac:dyDescent="0.25"/>
    <row r="148" s="11" customFormat="1" x14ac:dyDescent="0.25"/>
    <row r="149" s="11" customFormat="1" x14ac:dyDescent="0.25"/>
    <row r="150" s="11" customFormat="1" x14ac:dyDescent="0.25"/>
    <row r="151" s="11" customFormat="1" x14ac:dyDescent="0.25"/>
    <row r="152" s="11" customFormat="1" x14ac:dyDescent="0.25"/>
    <row r="153" s="11" customFormat="1" x14ac:dyDescent="0.25"/>
    <row r="154" s="11" customFormat="1" x14ac:dyDescent="0.25"/>
    <row r="155" s="11" customFormat="1" x14ac:dyDescent="0.25"/>
    <row r="156" s="11" customFormat="1" x14ac:dyDescent="0.25"/>
    <row r="157" s="11" customFormat="1" x14ac:dyDescent="0.25"/>
    <row r="158" s="11" customFormat="1" x14ac:dyDescent="0.25"/>
    <row r="159" s="11" customFormat="1" x14ac:dyDescent="0.25"/>
    <row r="160" s="11" customFormat="1" x14ac:dyDescent="0.25"/>
    <row r="161" s="11" customFormat="1" x14ac:dyDescent="0.25"/>
    <row r="162" s="11" customFormat="1" x14ac:dyDescent="0.25"/>
    <row r="163" s="11" customFormat="1" x14ac:dyDescent="0.25"/>
    <row r="164" s="11" customFormat="1" x14ac:dyDescent="0.25"/>
    <row r="165" s="11" customFormat="1" x14ac:dyDescent="0.25"/>
    <row r="166" s="11" customFormat="1" x14ac:dyDescent="0.25"/>
    <row r="167" s="11" customFormat="1" x14ac:dyDescent="0.25"/>
    <row r="168" s="11" customFormat="1" x14ac:dyDescent="0.25"/>
    <row r="169" s="11" customFormat="1" x14ac:dyDescent="0.25"/>
    <row r="170" s="11" customFormat="1" x14ac:dyDescent="0.25"/>
    <row r="171" s="11" customFormat="1" x14ac:dyDescent="0.25"/>
    <row r="172" s="11" customFormat="1" x14ac:dyDescent="0.25"/>
    <row r="173" s="11" customFormat="1" x14ac:dyDescent="0.25"/>
    <row r="174" s="11" customFormat="1" x14ac:dyDescent="0.25"/>
    <row r="175" s="11" customFormat="1" x14ac:dyDescent="0.25"/>
    <row r="176" s="11" customFormat="1" x14ac:dyDescent="0.25"/>
    <row r="177" s="11" customFormat="1" x14ac:dyDescent="0.25"/>
    <row r="178" s="11" customFormat="1" x14ac:dyDescent="0.25"/>
    <row r="179" s="11" customFormat="1" x14ac:dyDescent="0.25"/>
    <row r="180" s="11" customFormat="1" x14ac:dyDescent="0.25"/>
    <row r="181" s="11" customFormat="1" x14ac:dyDescent="0.25"/>
    <row r="182" s="11" customFormat="1" x14ac:dyDescent="0.25"/>
    <row r="183" s="11" customFormat="1" x14ac:dyDescent="0.25"/>
    <row r="184" s="11" customFormat="1" x14ac:dyDescent="0.25"/>
    <row r="185" s="11" customFormat="1" x14ac:dyDescent="0.25"/>
    <row r="186" s="11" customFormat="1" x14ac:dyDescent="0.25"/>
    <row r="187" s="11" customFormat="1" x14ac:dyDescent="0.25"/>
    <row r="188" s="11" customFormat="1" x14ac:dyDescent="0.25"/>
    <row r="189" s="11" customFormat="1" x14ac:dyDescent="0.25"/>
    <row r="190" s="11" customFormat="1" x14ac:dyDescent="0.25"/>
    <row r="191" s="11" customFormat="1" x14ac:dyDescent="0.25"/>
    <row r="192" s="11" customFormat="1" x14ac:dyDescent="0.25"/>
    <row r="193" s="11" customFormat="1" x14ac:dyDescent="0.25"/>
    <row r="194" s="11" customFormat="1" x14ac:dyDescent="0.25"/>
    <row r="195" s="11" customFormat="1" x14ac:dyDescent="0.25"/>
    <row r="196" s="11" customFormat="1" x14ac:dyDescent="0.25"/>
    <row r="197" s="11" customFormat="1" x14ac:dyDescent="0.25"/>
    <row r="198" s="11" customFormat="1" x14ac:dyDescent="0.25"/>
    <row r="199" s="11" customFormat="1" x14ac:dyDescent="0.25"/>
    <row r="200" s="11" customFormat="1" x14ac:dyDescent="0.25"/>
    <row r="201" s="11" customFormat="1" x14ac:dyDescent="0.25"/>
    <row r="202" s="11" customFormat="1" x14ac:dyDescent="0.25"/>
    <row r="203" s="11" customFormat="1" x14ac:dyDescent="0.25"/>
    <row r="204" s="11" customFormat="1" x14ac:dyDescent="0.25"/>
    <row r="205" s="11" customFormat="1" x14ac:dyDescent="0.25"/>
    <row r="206" s="11" customFormat="1" x14ac:dyDescent="0.25"/>
    <row r="207" s="11" customFormat="1" x14ac:dyDescent="0.25"/>
    <row r="208" s="11" customFormat="1" x14ac:dyDescent="0.25"/>
    <row r="209" s="11" customFormat="1" x14ac:dyDescent="0.25"/>
    <row r="210" s="11" customFormat="1" x14ac:dyDescent="0.25"/>
    <row r="211" s="11" customFormat="1" x14ac:dyDescent="0.25"/>
    <row r="212" s="11" customFormat="1" x14ac:dyDescent="0.25"/>
    <row r="213" s="11" customFormat="1" x14ac:dyDescent="0.25"/>
    <row r="214" s="11" customFormat="1" x14ac:dyDescent="0.25"/>
    <row r="215" s="11" customFormat="1" x14ac:dyDescent="0.25"/>
    <row r="216" s="11" customFormat="1" x14ac:dyDescent="0.25"/>
    <row r="217" s="11" customFormat="1" x14ac:dyDescent="0.25"/>
    <row r="218" s="11" customFormat="1" x14ac:dyDescent="0.25"/>
    <row r="219" s="11" customFormat="1" x14ac:dyDescent="0.25"/>
    <row r="220" s="11" customFormat="1" x14ac:dyDescent="0.25"/>
    <row r="221" s="11" customFormat="1" x14ac:dyDescent="0.25"/>
    <row r="222" s="11" customFormat="1" x14ac:dyDescent="0.25"/>
    <row r="223" s="11" customFormat="1" x14ac:dyDescent="0.25"/>
    <row r="224" s="11" customFormat="1" x14ac:dyDescent="0.25"/>
    <row r="225" s="11" customFormat="1" x14ac:dyDescent="0.25"/>
    <row r="226" s="11" customFormat="1" x14ac:dyDescent="0.25"/>
    <row r="227" s="11" customFormat="1" x14ac:dyDescent="0.25"/>
    <row r="228" s="11" customFormat="1" x14ac:dyDescent="0.25"/>
    <row r="229" s="11" customFormat="1" x14ac:dyDescent="0.25"/>
    <row r="230" s="11" customFormat="1" x14ac:dyDescent="0.25"/>
    <row r="231" s="11" customFormat="1" x14ac:dyDescent="0.25"/>
    <row r="232" s="11" customFormat="1" x14ac:dyDescent="0.25"/>
    <row r="233" s="11" customFormat="1" x14ac:dyDescent="0.25"/>
    <row r="234" s="11" customFormat="1" x14ac:dyDescent="0.25"/>
    <row r="235" s="11" customFormat="1" x14ac:dyDescent="0.25"/>
    <row r="236" s="11" customFormat="1" x14ac:dyDescent="0.25"/>
    <row r="237" s="11" customFormat="1" x14ac:dyDescent="0.25"/>
    <row r="238" s="11" customFormat="1" x14ac:dyDescent="0.25"/>
    <row r="239" s="11" customFormat="1" x14ac:dyDescent="0.25"/>
    <row r="240" s="11" customFormat="1" x14ac:dyDescent="0.25"/>
    <row r="241" s="11" customFormat="1" x14ac:dyDescent="0.25"/>
    <row r="242" s="11" customFormat="1" x14ac:dyDescent="0.25"/>
    <row r="243" s="11" customFormat="1" x14ac:dyDescent="0.25"/>
    <row r="244" s="11" customFormat="1" x14ac:dyDescent="0.25"/>
    <row r="245" s="11" customFormat="1" x14ac:dyDescent="0.25"/>
    <row r="246" s="11" customFormat="1" x14ac:dyDescent="0.25"/>
    <row r="247" s="11" customFormat="1" x14ac:dyDescent="0.25"/>
    <row r="248" s="11" customFormat="1" x14ac:dyDescent="0.25"/>
    <row r="249" s="11" customFormat="1" x14ac:dyDescent="0.25"/>
    <row r="250" s="11" customFormat="1" x14ac:dyDescent="0.25"/>
    <row r="251" s="11" customFormat="1" x14ac:dyDescent="0.25"/>
    <row r="252" s="11" customFormat="1" x14ac:dyDescent="0.25"/>
    <row r="253" s="11" customFormat="1" x14ac:dyDescent="0.25"/>
    <row r="254" s="11" customFormat="1" x14ac:dyDescent="0.25"/>
    <row r="255" s="11" customFormat="1" x14ac:dyDescent="0.25"/>
    <row r="256" s="11" customFormat="1" x14ac:dyDescent="0.25"/>
    <row r="257" s="11" customFormat="1" x14ac:dyDescent="0.25"/>
    <row r="258" s="11" customFormat="1" x14ac:dyDescent="0.25"/>
    <row r="259" s="11" customFormat="1" x14ac:dyDescent="0.25"/>
    <row r="260" s="11" customFormat="1" x14ac:dyDescent="0.25"/>
    <row r="261" s="11" customFormat="1" x14ac:dyDescent="0.25"/>
    <row r="262" s="11" customFormat="1" x14ac:dyDescent="0.25"/>
    <row r="263" s="11" customFormat="1" x14ac:dyDescent="0.25"/>
    <row r="264" s="11" customFormat="1" x14ac:dyDescent="0.25"/>
    <row r="265" s="11" customFormat="1" x14ac:dyDescent="0.25"/>
    <row r="266" s="11" customFormat="1" x14ac:dyDescent="0.25"/>
    <row r="267" s="11" customFormat="1" x14ac:dyDescent="0.25"/>
    <row r="268" s="11" customFormat="1" x14ac:dyDescent="0.25"/>
    <row r="269" s="11" customFormat="1" x14ac:dyDescent="0.25"/>
    <row r="270" s="11" customFormat="1" x14ac:dyDescent="0.25"/>
    <row r="271" s="11" customFormat="1" x14ac:dyDescent="0.25"/>
    <row r="272" s="11" customFormat="1" x14ac:dyDescent="0.25"/>
    <row r="273" s="11" customFormat="1" x14ac:dyDescent="0.25"/>
    <row r="274" s="11" customFormat="1" x14ac:dyDescent="0.25"/>
    <row r="275" s="11" customFormat="1" x14ac:dyDescent="0.25"/>
    <row r="276" s="11" customFormat="1" x14ac:dyDescent="0.25"/>
    <row r="277" s="11" customFormat="1" x14ac:dyDescent="0.25"/>
    <row r="278" s="11" customFormat="1" x14ac:dyDescent="0.25"/>
    <row r="279" s="11" customFormat="1" x14ac:dyDescent="0.25"/>
    <row r="280" s="11" customFormat="1" x14ac:dyDescent="0.25"/>
    <row r="281" s="11" customFormat="1" x14ac:dyDescent="0.25"/>
    <row r="282" s="11" customFormat="1" x14ac:dyDescent="0.25"/>
    <row r="283" s="11" customFormat="1" x14ac:dyDescent="0.25"/>
    <row r="284" s="11" customFormat="1" x14ac:dyDescent="0.25"/>
    <row r="285" s="11" customFormat="1" x14ac:dyDescent="0.25"/>
    <row r="286" s="11" customFormat="1" x14ac:dyDescent="0.25"/>
    <row r="287" s="11" customFormat="1" x14ac:dyDescent="0.25"/>
    <row r="288" s="11" customFormat="1" x14ac:dyDescent="0.25"/>
    <row r="289" s="11" customFormat="1" x14ac:dyDescent="0.25"/>
    <row r="290" s="11" customFormat="1" x14ac:dyDescent="0.25"/>
    <row r="291" s="11" customFormat="1" x14ac:dyDescent="0.25"/>
    <row r="292" s="11" customFormat="1" x14ac:dyDescent="0.25"/>
    <row r="293" s="11" customFormat="1" x14ac:dyDescent="0.25"/>
    <row r="294" s="11" customFormat="1" x14ac:dyDescent="0.25"/>
    <row r="295" s="11" customFormat="1" x14ac:dyDescent="0.25"/>
    <row r="296" s="11" customFormat="1" x14ac:dyDescent="0.25"/>
    <row r="297" s="11" customFormat="1" x14ac:dyDescent="0.25"/>
    <row r="298" s="11" customFormat="1" x14ac:dyDescent="0.25"/>
    <row r="299" s="11" customFormat="1" x14ac:dyDescent="0.25"/>
    <row r="300" s="11" customFormat="1" x14ac:dyDescent="0.25"/>
    <row r="301" s="11" customFormat="1" x14ac:dyDescent="0.25"/>
    <row r="302" s="11" customFormat="1" x14ac:dyDescent="0.25"/>
    <row r="303" s="11" customFormat="1" x14ac:dyDescent="0.25"/>
    <row r="304" s="11" customFormat="1" x14ac:dyDescent="0.25"/>
    <row r="305" s="11" customFormat="1" x14ac:dyDescent="0.25"/>
    <row r="306" s="11" customFormat="1" x14ac:dyDescent="0.25"/>
    <row r="307" s="11" customFormat="1" x14ac:dyDescent="0.25"/>
    <row r="308" s="11" customFormat="1" x14ac:dyDescent="0.25"/>
    <row r="309" s="11" customFormat="1" x14ac:dyDescent="0.25"/>
    <row r="310" s="11" customFormat="1" x14ac:dyDescent="0.25"/>
    <row r="311" s="11" customFormat="1" x14ac:dyDescent="0.25"/>
    <row r="312" s="11" customFormat="1" x14ac:dyDescent="0.25"/>
    <row r="313" s="11" customFormat="1" x14ac:dyDescent="0.25"/>
    <row r="314" s="11" customFormat="1" x14ac:dyDescent="0.25"/>
    <row r="315" s="11" customFormat="1" x14ac:dyDescent="0.25"/>
    <row r="316" s="11" customFormat="1" x14ac:dyDescent="0.25"/>
    <row r="317" s="11" customFormat="1" x14ac:dyDescent="0.25"/>
    <row r="318" s="11" customFormat="1" x14ac:dyDescent="0.25"/>
    <row r="319" s="11" customFormat="1" x14ac:dyDescent="0.25"/>
    <row r="320" s="11" customFormat="1" x14ac:dyDescent="0.25"/>
    <row r="321" s="11" customFormat="1" x14ac:dyDescent="0.25"/>
    <row r="322" s="11" customFormat="1" x14ac:dyDescent="0.25"/>
    <row r="323" s="11" customFormat="1" x14ac:dyDescent="0.25"/>
    <row r="324" s="11" customFormat="1" x14ac:dyDescent="0.25"/>
    <row r="325" s="11" customFormat="1" x14ac:dyDescent="0.25"/>
    <row r="326" s="11" customFormat="1" x14ac:dyDescent="0.25"/>
    <row r="327" s="11" customFormat="1" x14ac:dyDescent="0.25"/>
    <row r="328" s="11" customFormat="1" x14ac:dyDescent="0.25"/>
    <row r="329" s="11" customFormat="1" x14ac:dyDescent="0.25"/>
    <row r="330" s="11" customFormat="1" x14ac:dyDescent="0.25"/>
    <row r="331" s="11" customFormat="1" x14ac:dyDescent="0.25"/>
    <row r="332" s="11" customFormat="1" x14ac:dyDescent="0.25"/>
    <row r="333" s="11" customFormat="1" x14ac:dyDescent="0.25"/>
    <row r="334" s="11" customFormat="1" x14ac:dyDescent="0.25"/>
    <row r="335" s="11" customFormat="1" x14ac:dyDescent="0.25"/>
    <row r="336" s="11" customFormat="1" x14ac:dyDescent="0.25"/>
    <row r="337" s="11" customFormat="1" x14ac:dyDescent="0.25"/>
    <row r="338" s="11" customFormat="1" x14ac:dyDescent="0.25"/>
    <row r="339" s="11" customFormat="1" x14ac:dyDescent="0.25"/>
    <row r="340" s="11" customFormat="1" x14ac:dyDescent="0.25"/>
    <row r="341" s="11" customFormat="1" x14ac:dyDescent="0.25"/>
    <row r="342" s="11" customFormat="1" x14ac:dyDescent="0.25"/>
    <row r="343" s="11" customFormat="1" x14ac:dyDescent="0.25"/>
    <row r="344" s="11" customFormat="1" x14ac:dyDescent="0.25"/>
    <row r="345" s="11" customFormat="1" x14ac:dyDescent="0.25"/>
    <row r="346" s="11" customFormat="1" x14ac:dyDescent="0.25"/>
    <row r="347" s="11" customFormat="1" x14ac:dyDescent="0.25"/>
    <row r="348" s="11" customFormat="1" x14ac:dyDescent="0.25"/>
    <row r="349" s="11" customFormat="1" x14ac:dyDescent="0.25"/>
    <row r="350" s="11" customFormat="1" x14ac:dyDescent="0.25"/>
    <row r="351" s="11" customFormat="1" x14ac:dyDescent="0.25"/>
    <row r="352" s="11" customFormat="1" x14ac:dyDescent="0.25"/>
    <row r="353" s="11" customFormat="1" x14ac:dyDescent="0.25"/>
    <row r="354" s="11" customFormat="1" x14ac:dyDescent="0.25"/>
    <row r="355" s="11" customFormat="1" x14ac:dyDescent="0.25"/>
    <row r="356" s="11" customFormat="1" x14ac:dyDescent="0.25"/>
    <row r="357" s="11" customFormat="1" x14ac:dyDescent="0.25"/>
    <row r="358" s="11" customFormat="1" x14ac:dyDescent="0.25"/>
    <row r="359" s="11" customFormat="1" x14ac:dyDescent="0.25"/>
    <row r="360" s="11" customFormat="1" x14ac:dyDescent="0.25"/>
    <row r="361" s="11" customFormat="1" x14ac:dyDescent="0.25"/>
    <row r="362" s="11" customFormat="1" x14ac:dyDescent="0.25"/>
    <row r="363" s="11" customFormat="1" x14ac:dyDescent="0.25"/>
    <row r="364" s="11" customFormat="1" x14ac:dyDescent="0.25"/>
    <row r="365" s="11" customFormat="1" x14ac:dyDescent="0.25"/>
    <row r="366" s="11" customFormat="1" x14ac:dyDescent="0.25"/>
    <row r="367" s="11" customFormat="1" x14ac:dyDescent="0.25"/>
    <row r="368" s="11" customFormat="1" x14ac:dyDescent="0.25"/>
    <row r="369" s="11" customFormat="1" x14ac:dyDescent="0.25"/>
    <row r="370" s="11" customFormat="1" x14ac:dyDescent="0.25"/>
    <row r="371" s="11" customFormat="1" x14ac:dyDescent="0.25"/>
    <row r="372" s="11" customFormat="1" x14ac:dyDescent="0.25"/>
    <row r="373" s="11" customFormat="1" x14ac:dyDescent="0.25"/>
    <row r="374" s="11" customFormat="1" x14ac:dyDescent="0.25"/>
    <row r="375" s="11" customFormat="1" x14ac:dyDescent="0.25"/>
    <row r="376" s="11" customFormat="1" x14ac:dyDescent="0.25"/>
    <row r="377" s="11" customFormat="1" x14ac:dyDescent="0.25"/>
    <row r="378" s="11" customFormat="1" x14ac:dyDescent="0.25"/>
    <row r="379" s="11" customFormat="1" x14ac:dyDescent="0.25"/>
    <row r="380" s="11" customFormat="1" x14ac:dyDescent="0.25"/>
    <row r="381" s="11" customFormat="1" x14ac:dyDescent="0.25"/>
    <row r="382" s="11" customFormat="1" x14ac:dyDescent="0.25"/>
    <row r="383" s="11" customFormat="1" x14ac:dyDescent="0.25"/>
    <row r="384" s="11" customFormat="1" x14ac:dyDescent="0.25"/>
    <row r="385" s="11" customFormat="1" x14ac:dyDescent="0.25"/>
    <row r="386" s="11" customFormat="1" x14ac:dyDescent="0.25"/>
    <row r="387" s="11" customFormat="1" x14ac:dyDescent="0.25"/>
    <row r="388" s="11" customFormat="1" x14ac:dyDescent="0.25"/>
    <row r="389" s="11" customFormat="1" x14ac:dyDescent="0.25"/>
    <row r="390" s="11" customFormat="1" x14ac:dyDescent="0.25"/>
    <row r="391" s="11" customFormat="1" x14ac:dyDescent="0.25"/>
    <row r="392" s="11" customFormat="1" x14ac:dyDescent="0.25"/>
    <row r="393" s="11" customFormat="1" x14ac:dyDescent="0.25"/>
    <row r="394" s="11" customFormat="1" x14ac:dyDescent="0.25"/>
    <row r="395" s="11" customFormat="1" x14ac:dyDescent="0.25"/>
    <row r="396" s="11" customFormat="1" x14ac:dyDescent="0.25"/>
    <row r="397" s="11" customFormat="1" x14ac:dyDescent="0.25"/>
    <row r="398" s="11" customFormat="1" x14ac:dyDescent="0.25"/>
    <row r="399" s="11" customFormat="1" x14ac:dyDescent="0.25"/>
    <row r="400" s="11" customFormat="1" x14ac:dyDescent="0.25"/>
    <row r="401" s="11" customFormat="1" x14ac:dyDescent="0.25"/>
    <row r="402" s="11" customFormat="1" x14ac:dyDescent="0.25"/>
    <row r="403" s="11" customFormat="1" x14ac:dyDescent="0.25"/>
    <row r="404" s="11" customFormat="1" x14ac:dyDescent="0.25"/>
    <row r="405" s="11" customFormat="1" x14ac:dyDescent="0.25"/>
    <row r="406" s="11" customFormat="1" x14ac:dyDescent="0.25"/>
    <row r="407" s="11" customFormat="1" x14ac:dyDescent="0.25"/>
    <row r="408" s="11" customFormat="1" x14ac:dyDescent="0.25"/>
    <row r="409" s="11" customFormat="1" x14ac:dyDescent="0.25"/>
    <row r="410" s="11" customFormat="1" x14ac:dyDescent="0.25"/>
    <row r="411" s="11" customFormat="1" x14ac:dyDescent="0.25"/>
    <row r="412" s="11" customFormat="1" x14ac:dyDescent="0.25"/>
    <row r="413" s="11" customFormat="1" x14ac:dyDescent="0.25"/>
    <row r="414" s="11" customFormat="1" x14ac:dyDescent="0.25"/>
    <row r="415" s="11" customFormat="1" x14ac:dyDescent="0.25"/>
    <row r="416" s="11" customFormat="1" x14ac:dyDescent="0.25"/>
    <row r="417" s="11" customFormat="1" x14ac:dyDescent="0.25"/>
    <row r="418" s="11" customFormat="1" x14ac:dyDescent="0.25"/>
    <row r="419" s="11" customFormat="1" x14ac:dyDescent="0.25"/>
    <row r="420" s="11" customFormat="1" x14ac:dyDescent="0.25"/>
    <row r="421" s="11" customFormat="1" x14ac:dyDescent="0.25"/>
    <row r="422" s="11" customFormat="1" x14ac:dyDescent="0.25"/>
    <row r="423" s="11" customFormat="1" x14ac:dyDescent="0.25"/>
    <row r="424" s="11" customFormat="1" x14ac:dyDescent="0.25"/>
    <row r="425" s="11" customFormat="1" x14ac:dyDescent="0.25"/>
    <row r="426" s="11" customFormat="1" x14ac:dyDescent="0.25"/>
    <row r="427" s="11" customFormat="1" x14ac:dyDescent="0.25"/>
    <row r="428" s="11" customFormat="1" x14ac:dyDescent="0.25"/>
    <row r="429" s="11" customFormat="1" x14ac:dyDescent="0.25"/>
    <row r="430" s="11" customFormat="1" x14ac:dyDescent="0.25"/>
    <row r="431" s="11" customFormat="1" x14ac:dyDescent="0.25"/>
    <row r="432" s="11" customFormat="1" x14ac:dyDescent="0.25"/>
    <row r="433" s="11" customFormat="1" x14ac:dyDescent="0.25"/>
    <row r="434" s="11" customFormat="1" x14ac:dyDescent="0.25"/>
    <row r="435" s="11" customFormat="1" x14ac:dyDescent="0.25"/>
    <row r="436" s="11" customFormat="1" x14ac:dyDescent="0.25"/>
    <row r="437" s="11" customFormat="1" x14ac:dyDescent="0.25"/>
    <row r="438" s="11" customFormat="1" x14ac:dyDescent="0.25"/>
    <row r="439" s="11" customFormat="1" x14ac:dyDescent="0.25"/>
    <row r="440" s="11" customFormat="1" x14ac:dyDescent="0.25"/>
    <row r="441" s="11" customFormat="1" x14ac:dyDescent="0.25"/>
    <row r="442" s="11" customFormat="1" x14ac:dyDescent="0.25"/>
    <row r="443" s="11" customFormat="1" x14ac:dyDescent="0.25"/>
    <row r="444" s="11" customFormat="1" x14ac:dyDescent="0.25"/>
    <row r="445" s="11" customFormat="1" x14ac:dyDescent="0.25"/>
    <row r="446" s="11" customFormat="1" x14ac:dyDescent="0.25"/>
    <row r="447" s="11" customFormat="1" x14ac:dyDescent="0.25"/>
    <row r="448" s="11" customFormat="1" x14ac:dyDescent="0.25"/>
    <row r="449" s="11" customFormat="1" x14ac:dyDescent="0.25"/>
    <row r="450" s="11" customFormat="1" x14ac:dyDescent="0.25"/>
    <row r="451" s="11" customFormat="1" x14ac:dyDescent="0.25"/>
    <row r="452" s="11" customFormat="1" x14ac:dyDescent="0.25"/>
    <row r="453" s="11" customFormat="1" x14ac:dyDescent="0.25"/>
    <row r="454" s="11" customFormat="1" x14ac:dyDescent="0.25"/>
    <row r="455" s="11" customFormat="1" x14ac:dyDescent="0.25"/>
    <row r="456" s="11" customFormat="1" x14ac:dyDescent="0.25"/>
    <row r="457" s="11" customFormat="1" x14ac:dyDescent="0.25"/>
    <row r="458" s="11" customFormat="1" x14ac:dyDescent="0.25"/>
    <row r="459" s="11" customFormat="1" x14ac:dyDescent="0.25"/>
    <row r="460" s="11" customFormat="1" x14ac:dyDescent="0.25"/>
    <row r="461" s="11" customFormat="1" x14ac:dyDescent="0.25"/>
    <row r="462" s="11" customFormat="1" x14ac:dyDescent="0.25"/>
    <row r="463" s="11" customFormat="1" x14ac:dyDescent="0.25"/>
    <row r="464" s="11" customFormat="1" x14ac:dyDescent="0.25"/>
    <row r="465" s="11" customFormat="1" x14ac:dyDescent="0.25"/>
    <row r="466" s="11" customFormat="1" x14ac:dyDescent="0.25"/>
    <row r="467" s="11" customFormat="1" x14ac:dyDescent="0.25"/>
    <row r="468" s="11" customFormat="1" x14ac:dyDescent="0.25"/>
    <row r="469" s="11" customFormat="1" x14ac:dyDescent="0.25"/>
    <row r="470" s="11" customFormat="1" x14ac:dyDescent="0.25"/>
    <row r="471" s="11" customFormat="1" x14ac:dyDescent="0.25"/>
    <row r="472" s="11" customFormat="1" x14ac:dyDescent="0.25"/>
    <row r="473" s="11" customFormat="1" x14ac:dyDescent="0.25"/>
    <row r="474" s="11" customFormat="1" x14ac:dyDescent="0.25"/>
    <row r="475" s="11" customFormat="1" x14ac:dyDescent="0.25"/>
    <row r="476" s="11" customFormat="1" x14ac:dyDescent="0.25"/>
    <row r="477" s="11" customFormat="1" x14ac:dyDescent="0.25"/>
    <row r="478" s="11" customFormat="1" x14ac:dyDescent="0.25"/>
    <row r="479" s="11" customFormat="1" x14ac:dyDescent="0.25"/>
    <row r="480" s="11" customFormat="1" x14ac:dyDescent="0.25"/>
    <row r="481" s="11" customFormat="1" x14ac:dyDescent="0.25"/>
    <row r="482" s="11" customFormat="1" x14ac:dyDescent="0.25"/>
    <row r="483" s="11" customFormat="1" x14ac:dyDescent="0.25"/>
    <row r="484" s="11" customFormat="1" x14ac:dyDescent="0.25"/>
    <row r="485" s="11" customFormat="1" x14ac:dyDescent="0.25"/>
    <row r="486" s="11" customFormat="1" x14ac:dyDescent="0.25"/>
    <row r="487" s="11" customFormat="1" x14ac:dyDescent="0.25"/>
    <row r="488" s="11" customFormat="1" x14ac:dyDescent="0.25"/>
    <row r="489" s="11" customFormat="1" x14ac:dyDescent="0.25"/>
    <row r="490" s="11" customFormat="1" x14ac:dyDescent="0.25"/>
    <row r="491" s="11" customFormat="1" x14ac:dyDescent="0.25"/>
    <row r="492" s="11" customFormat="1" x14ac:dyDescent="0.25"/>
    <row r="493" s="11" customFormat="1" x14ac:dyDescent="0.25"/>
    <row r="494" s="11" customFormat="1" x14ac:dyDescent="0.25"/>
    <row r="495" s="11" customFormat="1" x14ac:dyDescent="0.25"/>
    <row r="496" s="11" customFormat="1" x14ac:dyDescent="0.25"/>
    <row r="497" s="11" customFormat="1" x14ac:dyDescent="0.25"/>
    <row r="498" s="11" customFormat="1" x14ac:dyDescent="0.25"/>
    <row r="499" s="11" customFormat="1" x14ac:dyDescent="0.25"/>
    <row r="500" s="11" customFormat="1" x14ac:dyDescent="0.25"/>
    <row r="501" s="11" customFormat="1" x14ac:dyDescent="0.25"/>
    <row r="502" s="11" customFormat="1" x14ac:dyDescent="0.25"/>
    <row r="503" s="11" customFormat="1" x14ac:dyDescent="0.25"/>
    <row r="504" s="11" customFormat="1" x14ac:dyDescent="0.25"/>
    <row r="505" s="11" customFormat="1" x14ac:dyDescent="0.25"/>
    <row r="506" s="11" customFormat="1" x14ac:dyDescent="0.25"/>
    <row r="507" s="11" customFormat="1" x14ac:dyDescent="0.25"/>
    <row r="508" s="11" customFormat="1" x14ac:dyDescent="0.25"/>
    <row r="509" s="11" customFormat="1" x14ac:dyDescent="0.25"/>
    <row r="510" s="11" customFormat="1" x14ac:dyDescent="0.25"/>
    <row r="511" s="11" customFormat="1" x14ac:dyDescent="0.25"/>
    <row r="512" s="11" customFormat="1" x14ac:dyDescent="0.25"/>
    <row r="513" s="11" customFormat="1" x14ac:dyDescent="0.25"/>
    <row r="514" s="11" customFormat="1" x14ac:dyDescent="0.25"/>
    <row r="515" s="11" customFormat="1" x14ac:dyDescent="0.25"/>
    <row r="516" s="11" customFormat="1" x14ac:dyDescent="0.25"/>
    <row r="517" s="11" customFormat="1" x14ac:dyDescent="0.25"/>
    <row r="518" s="11" customFormat="1" x14ac:dyDescent="0.25"/>
    <row r="519" s="11" customFormat="1" x14ac:dyDescent="0.25"/>
    <row r="520" s="11" customFormat="1" x14ac:dyDescent="0.25"/>
    <row r="521" s="11" customFormat="1" x14ac:dyDescent="0.25"/>
    <row r="522" s="11" customFormat="1" x14ac:dyDescent="0.25"/>
    <row r="523" s="11" customFormat="1" x14ac:dyDescent="0.25"/>
    <row r="524" s="11" customFormat="1" x14ac:dyDescent="0.25"/>
    <row r="525" s="11" customFormat="1" x14ac:dyDescent="0.25"/>
    <row r="526" s="11" customFormat="1" x14ac:dyDescent="0.25"/>
    <row r="527" s="11" customFormat="1" x14ac:dyDescent="0.25"/>
    <row r="528" s="11" customFormat="1" x14ac:dyDescent="0.25"/>
    <row r="529" s="11" customFormat="1" x14ac:dyDescent="0.25"/>
    <row r="530" s="11" customFormat="1" x14ac:dyDescent="0.25"/>
    <row r="531" s="11" customFormat="1" x14ac:dyDescent="0.25"/>
    <row r="532" s="11" customFormat="1" x14ac:dyDescent="0.25"/>
    <row r="533" s="11" customFormat="1" x14ac:dyDescent="0.25"/>
    <row r="534" s="11" customFormat="1" x14ac:dyDescent="0.25"/>
    <row r="535" s="11" customFormat="1" x14ac:dyDescent="0.25"/>
    <row r="536" s="11" customFormat="1" x14ac:dyDescent="0.25"/>
    <row r="537" s="11" customFormat="1" x14ac:dyDescent="0.25"/>
    <row r="538" s="11" customFormat="1" x14ac:dyDescent="0.25"/>
    <row r="539" s="11" customFormat="1" x14ac:dyDescent="0.25"/>
    <row r="540" s="11" customFormat="1" x14ac:dyDescent="0.25"/>
    <row r="541" s="11" customFormat="1" x14ac:dyDescent="0.25"/>
    <row r="542" s="11" customFormat="1" x14ac:dyDescent="0.25"/>
    <row r="543" s="11" customFormat="1" x14ac:dyDescent="0.25"/>
    <row r="544" s="11" customFormat="1" x14ac:dyDescent="0.25"/>
    <row r="545" s="11" customFormat="1" x14ac:dyDescent="0.25"/>
    <row r="546" s="11" customFormat="1" x14ac:dyDescent="0.25"/>
    <row r="547" s="11" customFormat="1" x14ac:dyDescent="0.25"/>
    <row r="548" s="11" customFormat="1" x14ac:dyDescent="0.25"/>
    <row r="549" s="11" customFormat="1" x14ac:dyDescent="0.25"/>
    <row r="550" s="11" customFormat="1" x14ac:dyDescent="0.25"/>
    <row r="551" s="11" customFormat="1" x14ac:dyDescent="0.25"/>
    <row r="552" s="11" customFormat="1" x14ac:dyDescent="0.25"/>
    <row r="553" s="11" customFormat="1" x14ac:dyDescent="0.25"/>
    <row r="554" s="11" customFormat="1" x14ac:dyDescent="0.25"/>
    <row r="555" s="11" customFormat="1" x14ac:dyDescent="0.25"/>
    <row r="556" s="11" customFormat="1" x14ac:dyDescent="0.25"/>
    <row r="557" s="11" customFormat="1" x14ac:dyDescent="0.25"/>
    <row r="558" s="11" customFormat="1" x14ac:dyDescent="0.25"/>
    <row r="559" s="11" customFormat="1" x14ac:dyDescent="0.25"/>
    <row r="560" s="11" customFormat="1" x14ac:dyDescent="0.25"/>
    <row r="561" s="11" customFormat="1" x14ac:dyDescent="0.25"/>
    <row r="562" s="11" customFormat="1" x14ac:dyDescent="0.25"/>
    <row r="563" s="11" customFormat="1" x14ac:dyDescent="0.25"/>
    <row r="564" s="11" customFormat="1" x14ac:dyDescent="0.25"/>
    <row r="565" s="11" customFormat="1" x14ac:dyDescent="0.25"/>
    <row r="566" s="11" customFormat="1" x14ac:dyDescent="0.25"/>
  </sheetData>
  <sheetProtection password="D997" sheet="1" objects="1" scenarios="1" selectLockedCells="1"/>
  <mergeCells count="16">
    <mergeCell ref="B10:D10"/>
    <mergeCell ref="B21:D21"/>
    <mergeCell ref="B24:D24"/>
    <mergeCell ref="B25:D25"/>
    <mergeCell ref="A1:V3"/>
    <mergeCell ref="A4:Y4"/>
    <mergeCell ref="C15:D15"/>
    <mergeCell ref="C8:D8"/>
    <mergeCell ref="B9:D9"/>
    <mergeCell ref="B30:C30"/>
    <mergeCell ref="B26:D26"/>
    <mergeCell ref="B16:D16"/>
    <mergeCell ref="B17:D17"/>
    <mergeCell ref="B20:D20"/>
    <mergeCell ref="B18:D18"/>
    <mergeCell ref="B22:D22"/>
  </mergeCells>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424"/>
  <sheetViews>
    <sheetView showGridLines="0" showRowColHeaders="0" zoomScale="90" zoomScaleNormal="90" workbookViewId="0">
      <selection activeCell="T25" sqref="T25"/>
    </sheetView>
  </sheetViews>
  <sheetFormatPr defaultRowHeight="15" x14ac:dyDescent="0.25"/>
  <cols>
    <col min="1" max="1" width="9.140625" style="11"/>
    <col min="20" max="134" width="9.140625" style="11"/>
  </cols>
  <sheetData>
    <row r="1" spans="1:24" s="11" customFormat="1" x14ac:dyDescent="0.25">
      <c r="A1" s="145"/>
      <c r="B1" s="145"/>
      <c r="C1" s="145"/>
      <c r="D1" s="145"/>
      <c r="E1" s="145"/>
      <c r="F1" s="145"/>
      <c r="G1" s="145"/>
      <c r="H1" s="145"/>
      <c r="I1" s="145"/>
      <c r="J1" s="145"/>
      <c r="K1" s="145"/>
      <c r="L1" s="145"/>
      <c r="M1" s="145"/>
      <c r="N1" s="145"/>
      <c r="O1" s="145"/>
      <c r="P1" s="145"/>
      <c r="Q1" s="145"/>
      <c r="R1" s="145"/>
      <c r="S1" s="145"/>
      <c r="T1" s="145"/>
      <c r="U1" s="145"/>
    </row>
    <row r="2" spans="1:24" s="11" customFormat="1" x14ac:dyDescent="0.25">
      <c r="A2" s="145"/>
      <c r="B2" s="145"/>
      <c r="C2" s="145"/>
      <c r="D2" s="145"/>
      <c r="E2" s="145"/>
      <c r="F2" s="145"/>
      <c r="G2" s="145"/>
      <c r="H2" s="145"/>
      <c r="I2" s="145"/>
      <c r="J2" s="145"/>
      <c r="K2" s="145"/>
      <c r="L2" s="145"/>
      <c r="M2" s="145"/>
      <c r="N2" s="145"/>
      <c r="O2" s="145"/>
      <c r="P2" s="145"/>
      <c r="Q2" s="145"/>
      <c r="R2" s="145"/>
      <c r="S2" s="145"/>
      <c r="T2" s="145"/>
      <c r="U2" s="145"/>
    </row>
    <row r="3" spans="1:24" s="11" customFormat="1" x14ac:dyDescent="0.25">
      <c r="A3" s="145"/>
      <c r="B3" s="145"/>
      <c r="C3" s="145"/>
      <c r="D3" s="145"/>
      <c r="E3" s="145"/>
      <c r="F3" s="145"/>
      <c r="G3" s="145"/>
      <c r="H3" s="145"/>
      <c r="I3" s="145"/>
      <c r="J3" s="145"/>
      <c r="K3" s="145"/>
      <c r="L3" s="145"/>
      <c r="M3" s="145"/>
      <c r="N3" s="145"/>
      <c r="O3" s="145"/>
      <c r="P3" s="145"/>
      <c r="Q3" s="145"/>
      <c r="R3" s="145"/>
      <c r="S3" s="145"/>
      <c r="T3" s="145"/>
      <c r="U3" s="145"/>
    </row>
    <row r="4" spans="1:24" s="27" customFormat="1" x14ac:dyDescent="0.25">
      <c r="A4" s="146"/>
      <c r="B4" s="146"/>
      <c r="C4" s="146"/>
      <c r="D4" s="146"/>
      <c r="E4" s="146"/>
      <c r="F4" s="146"/>
      <c r="G4" s="146"/>
      <c r="H4" s="146"/>
      <c r="I4" s="146"/>
      <c r="J4" s="146"/>
      <c r="K4" s="146"/>
      <c r="L4" s="146"/>
      <c r="M4" s="146"/>
      <c r="N4" s="146"/>
      <c r="O4" s="146"/>
      <c r="P4" s="146"/>
      <c r="Q4" s="146"/>
      <c r="R4" s="146"/>
      <c r="S4" s="146"/>
      <c r="T4" s="146"/>
      <c r="U4" s="146"/>
      <c r="V4" s="146"/>
      <c r="W4" s="146"/>
      <c r="X4" s="146"/>
    </row>
    <row r="5" spans="1:24" s="11" customFormat="1" x14ac:dyDescent="0.25"/>
    <row r="6" spans="1:24" x14ac:dyDescent="0.25">
      <c r="B6" s="24"/>
      <c r="C6" s="24"/>
      <c r="D6" s="24"/>
      <c r="E6" s="24"/>
      <c r="F6" s="24"/>
      <c r="G6" s="24"/>
      <c r="H6" s="24"/>
      <c r="I6" s="24"/>
      <c r="J6" s="24"/>
      <c r="K6" s="24"/>
      <c r="L6" s="24"/>
      <c r="M6" s="24"/>
      <c r="N6" s="24"/>
      <c r="O6" s="24"/>
      <c r="P6" s="24"/>
      <c r="Q6" s="24"/>
      <c r="R6" s="24"/>
      <c r="S6" s="24"/>
    </row>
    <row r="7" spans="1:24" x14ac:dyDescent="0.25">
      <c r="B7" s="24"/>
      <c r="C7" s="24"/>
      <c r="D7" s="24"/>
      <c r="E7" s="24"/>
      <c r="F7" s="24"/>
      <c r="G7" s="24"/>
      <c r="H7" s="24"/>
      <c r="I7" s="24"/>
      <c r="J7" s="24"/>
      <c r="K7" s="24"/>
      <c r="L7" s="24"/>
      <c r="M7" s="24"/>
      <c r="N7" s="24"/>
      <c r="O7" s="24"/>
      <c r="P7" s="24"/>
      <c r="Q7" s="24"/>
      <c r="R7" s="24"/>
      <c r="S7" s="24"/>
    </row>
    <row r="8" spans="1:24" x14ac:dyDescent="0.25">
      <c r="B8" s="24"/>
      <c r="C8" s="24"/>
      <c r="D8" s="24"/>
      <c r="E8" s="24"/>
      <c r="F8" s="24"/>
      <c r="G8" s="24"/>
      <c r="H8" s="24"/>
      <c r="I8" s="24"/>
      <c r="J8" s="24"/>
      <c r="K8" s="24"/>
      <c r="L8" s="24"/>
      <c r="M8" s="24"/>
      <c r="N8" s="24"/>
      <c r="O8" s="24"/>
      <c r="P8" s="24"/>
      <c r="Q8" s="24"/>
      <c r="R8" s="24"/>
      <c r="S8" s="24"/>
    </row>
    <row r="9" spans="1:24" x14ac:dyDescent="0.25">
      <c r="B9" s="24"/>
      <c r="C9" s="24"/>
      <c r="D9" s="24"/>
      <c r="E9" s="24"/>
      <c r="F9" s="24"/>
      <c r="G9" s="24"/>
      <c r="H9" s="24"/>
      <c r="I9" s="24"/>
      <c r="J9" s="24"/>
      <c r="K9" s="24"/>
      <c r="L9" s="24"/>
      <c r="M9" s="24"/>
      <c r="N9" s="24"/>
      <c r="O9" s="24"/>
      <c r="P9" s="24"/>
      <c r="Q9" s="24"/>
      <c r="R9" s="24"/>
      <c r="S9" s="24"/>
    </row>
    <row r="10" spans="1:24" x14ac:dyDescent="0.25">
      <c r="B10" s="24"/>
      <c r="C10" s="24"/>
      <c r="D10" s="24"/>
      <c r="E10" s="24"/>
      <c r="F10" s="24"/>
      <c r="G10" s="24"/>
      <c r="H10" s="24"/>
      <c r="I10" s="24"/>
      <c r="J10" s="24"/>
      <c r="K10" s="24"/>
      <c r="L10" s="24"/>
      <c r="M10" s="24"/>
      <c r="N10" s="24"/>
      <c r="O10" s="24"/>
      <c r="P10" s="24"/>
      <c r="Q10" s="24"/>
      <c r="R10" s="24"/>
      <c r="S10" s="24"/>
    </row>
    <row r="11" spans="1:24" x14ac:dyDescent="0.25">
      <c r="B11" s="24"/>
      <c r="C11" s="24"/>
      <c r="D11" s="24"/>
      <c r="E11" s="24"/>
      <c r="F11" s="24"/>
      <c r="G11" s="24"/>
      <c r="H11" s="24"/>
      <c r="I11" s="24"/>
      <c r="J11" s="24"/>
      <c r="K11" s="24"/>
      <c r="L11" s="24"/>
      <c r="M11" s="24"/>
      <c r="N11" s="24"/>
      <c r="O11" s="24"/>
      <c r="P11" s="24"/>
      <c r="Q11" s="24"/>
      <c r="R11" s="24"/>
      <c r="S11" s="24"/>
    </row>
    <row r="12" spans="1:24" x14ac:dyDescent="0.25">
      <c r="B12" s="24"/>
      <c r="C12" s="24"/>
      <c r="D12" s="24"/>
      <c r="E12" s="24"/>
      <c r="F12" s="24"/>
      <c r="G12" s="24"/>
      <c r="H12" s="24"/>
      <c r="I12" s="24"/>
      <c r="J12" s="24"/>
      <c r="K12" s="24"/>
      <c r="L12" s="24"/>
      <c r="M12" s="24"/>
      <c r="N12" s="24"/>
      <c r="O12" s="24"/>
      <c r="P12" s="24"/>
      <c r="Q12" s="24"/>
      <c r="R12" s="24"/>
      <c r="S12" s="24"/>
    </row>
    <row r="13" spans="1:24" x14ac:dyDescent="0.25">
      <c r="B13" s="24"/>
      <c r="C13" s="24"/>
      <c r="D13" s="24"/>
      <c r="E13" s="24"/>
      <c r="F13" s="24"/>
      <c r="G13" s="24"/>
      <c r="H13" s="24"/>
      <c r="I13" s="24"/>
      <c r="J13" s="24"/>
      <c r="K13" s="24"/>
      <c r="L13" s="24"/>
      <c r="M13" s="24"/>
      <c r="N13" s="24"/>
      <c r="O13" s="24"/>
      <c r="P13" s="24"/>
      <c r="Q13" s="24"/>
      <c r="R13" s="24"/>
      <c r="S13" s="24"/>
    </row>
    <row r="14" spans="1:24" x14ac:dyDescent="0.25">
      <c r="B14" s="24"/>
      <c r="C14" s="24"/>
      <c r="D14" s="24"/>
      <c r="E14" s="24"/>
      <c r="F14" s="24"/>
      <c r="G14" s="24"/>
      <c r="H14" s="24"/>
      <c r="I14" s="24"/>
      <c r="J14" s="24"/>
      <c r="K14" s="24"/>
      <c r="L14" s="24"/>
      <c r="M14" s="24"/>
      <c r="N14" s="24"/>
      <c r="O14" s="24"/>
      <c r="P14" s="24"/>
      <c r="Q14" s="24"/>
      <c r="R14" s="24"/>
      <c r="S14" s="24"/>
    </row>
    <row r="15" spans="1:24" x14ac:dyDescent="0.25">
      <c r="B15" s="24"/>
      <c r="C15" s="24"/>
      <c r="D15" s="24"/>
      <c r="E15" s="24"/>
      <c r="F15" s="24"/>
      <c r="G15" s="24"/>
      <c r="H15" s="24"/>
      <c r="I15" s="24"/>
      <c r="J15" s="24"/>
      <c r="K15" s="24"/>
      <c r="L15" s="24"/>
      <c r="M15" s="24"/>
      <c r="N15" s="24"/>
      <c r="O15" s="24"/>
      <c r="P15" s="24"/>
      <c r="Q15" s="24"/>
      <c r="R15" s="24"/>
      <c r="S15" s="24"/>
    </row>
    <row r="16" spans="1:24" x14ac:dyDescent="0.25">
      <c r="B16" s="24"/>
      <c r="C16" s="24"/>
      <c r="D16" s="24"/>
      <c r="E16" s="24"/>
      <c r="F16" s="24"/>
      <c r="G16" s="24"/>
      <c r="H16" s="24"/>
      <c r="I16" s="24"/>
      <c r="J16" s="24"/>
      <c r="K16" s="24"/>
      <c r="L16" s="24"/>
      <c r="M16" s="24"/>
      <c r="N16" s="24"/>
      <c r="O16" s="24"/>
      <c r="P16" s="24"/>
      <c r="Q16" s="24"/>
      <c r="R16" s="24"/>
      <c r="S16" s="24"/>
    </row>
    <row r="17" spans="2:19" x14ac:dyDescent="0.25">
      <c r="B17" s="24"/>
      <c r="C17" s="24"/>
      <c r="D17" s="24"/>
      <c r="E17" s="24"/>
      <c r="F17" s="24"/>
      <c r="G17" s="24"/>
      <c r="H17" s="24"/>
      <c r="I17" s="24"/>
      <c r="J17" s="24"/>
      <c r="K17" s="24"/>
      <c r="L17" s="24"/>
      <c r="M17" s="24"/>
      <c r="N17" s="24"/>
      <c r="O17" s="24"/>
      <c r="P17" s="24"/>
      <c r="Q17" s="24"/>
      <c r="R17" s="24"/>
      <c r="S17" s="24"/>
    </row>
    <row r="18" spans="2:19" x14ac:dyDescent="0.25">
      <c r="B18" s="24"/>
      <c r="C18" s="24"/>
      <c r="D18" s="24"/>
      <c r="E18" s="24"/>
      <c r="F18" s="24"/>
      <c r="G18" s="24"/>
      <c r="H18" s="24"/>
      <c r="I18" s="24"/>
      <c r="J18" s="24"/>
      <c r="K18" s="24"/>
      <c r="L18" s="24"/>
      <c r="M18" s="24"/>
      <c r="N18" s="24"/>
      <c r="O18" s="24"/>
      <c r="P18" s="24"/>
      <c r="Q18" s="24"/>
      <c r="R18" s="24"/>
      <c r="S18" s="24"/>
    </row>
    <row r="19" spans="2:19" x14ac:dyDescent="0.25">
      <c r="B19" s="24"/>
      <c r="C19" s="24"/>
      <c r="D19" s="24"/>
      <c r="E19" s="24"/>
      <c r="F19" s="24"/>
      <c r="G19" s="24"/>
      <c r="H19" s="24"/>
      <c r="I19" s="24"/>
      <c r="J19" s="24"/>
      <c r="K19" s="24"/>
      <c r="L19" s="24"/>
      <c r="M19" s="24"/>
      <c r="N19" s="24"/>
      <c r="O19" s="24"/>
      <c r="P19" s="24"/>
      <c r="Q19" s="24"/>
      <c r="R19" s="24"/>
      <c r="S19" s="24"/>
    </row>
    <row r="20" spans="2:19" x14ac:dyDescent="0.25">
      <c r="B20" s="24"/>
      <c r="C20" s="24"/>
      <c r="D20" s="24"/>
      <c r="E20" s="24"/>
      <c r="F20" s="24"/>
      <c r="G20" s="24"/>
      <c r="H20" s="24"/>
      <c r="I20" s="24"/>
      <c r="J20" s="24"/>
      <c r="K20" s="24"/>
      <c r="L20" s="24"/>
      <c r="M20" s="24"/>
      <c r="N20" s="24"/>
      <c r="O20" s="24"/>
      <c r="P20" s="24"/>
      <c r="Q20" s="24"/>
      <c r="R20" s="24"/>
      <c r="S20" s="24"/>
    </row>
    <row r="21" spans="2:19" x14ac:dyDescent="0.25">
      <c r="B21" s="24"/>
      <c r="C21" s="24"/>
      <c r="D21" s="24"/>
      <c r="E21" s="24"/>
      <c r="F21" s="24"/>
      <c r="G21" s="24"/>
      <c r="H21" s="24"/>
      <c r="I21" s="24"/>
      <c r="J21" s="24"/>
      <c r="K21" s="24"/>
      <c r="L21" s="24"/>
      <c r="M21" s="24"/>
      <c r="N21" s="24"/>
      <c r="O21" s="24"/>
      <c r="P21" s="24"/>
      <c r="Q21" s="24"/>
      <c r="R21" s="24"/>
      <c r="S21" s="24"/>
    </row>
    <row r="22" spans="2:19" x14ac:dyDescent="0.25">
      <c r="B22" s="24"/>
      <c r="C22" s="24"/>
      <c r="D22" s="24"/>
      <c r="E22" s="24"/>
      <c r="F22" s="24"/>
      <c r="G22" s="24"/>
      <c r="H22" s="24"/>
      <c r="I22" s="24"/>
      <c r="J22" s="24"/>
      <c r="K22" s="24"/>
      <c r="L22" s="24"/>
      <c r="M22" s="24"/>
      <c r="N22" s="24"/>
      <c r="O22" s="24"/>
      <c r="P22" s="24"/>
      <c r="Q22" s="24"/>
      <c r="R22" s="24"/>
      <c r="S22" s="24"/>
    </row>
    <row r="23" spans="2:19" x14ac:dyDescent="0.25">
      <c r="B23" s="24"/>
      <c r="C23" s="24"/>
      <c r="D23" s="24"/>
      <c r="E23" s="24"/>
      <c r="F23" s="24"/>
      <c r="G23" s="24"/>
      <c r="H23" s="24"/>
      <c r="I23" s="24"/>
      <c r="J23" s="24"/>
      <c r="K23" s="24"/>
      <c r="L23" s="24"/>
      <c r="M23" s="24"/>
      <c r="N23" s="24"/>
      <c r="O23" s="24"/>
      <c r="P23" s="24"/>
      <c r="Q23" s="24"/>
      <c r="R23" s="24"/>
      <c r="S23" s="24"/>
    </row>
    <row r="24" spans="2:19" x14ac:dyDescent="0.25">
      <c r="B24" s="24"/>
      <c r="C24" s="24"/>
      <c r="D24" s="24"/>
      <c r="E24" s="24"/>
      <c r="F24" s="24"/>
      <c r="G24" s="24"/>
      <c r="H24" s="24"/>
      <c r="I24" s="24"/>
      <c r="J24" s="24"/>
      <c r="K24" s="24"/>
      <c r="L24" s="24"/>
      <c r="M24" s="24"/>
      <c r="N24" s="24"/>
      <c r="O24" s="24"/>
      <c r="P24" s="24"/>
      <c r="Q24" s="24"/>
      <c r="R24" s="24"/>
      <c r="S24" s="24"/>
    </row>
    <row r="25" spans="2:19" x14ac:dyDescent="0.25">
      <c r="B25" s="24"/>
      <c r="C25" s="24"/>
      <c r="D25" s="24"/>
      <c r="E25" s="24"/>
      <c r="F25" s="24"/>
      <c r="G25" s="24"/>
      <c r="H25" s="24"/>
      <c r="I25" s="24"/>
      <c r="J25" s="24"/>
      <c r="K25" s="24"/>
      <c r="L25" s="24"/>
      <c r="M25" s="24"/>
      <c r="N25" s="24"/>
      <c r="O25" s="24"/>
      <c r="P25" s="24"/>
      <c r="Q25" s="24"/>
      <c r="R25" s="24"/>
      <c r="S25" s="24"/>
    </row>
    <row r="26" spans="2:19" x14ac:dyDescent="0.25">
      <c r="B26" s="24"/>
      <c r="C26" s="24"/>
      <c r="D26" s="24"/>
      <c r="E26" s="24"/>
      <c r="F26" s="24"/>
      <c r="G26" s="24"/>
      <c r="H26" s="24"/>
      <c r="I26" s="24"/>
      <c r="J26" s="24"/>
      <c r="K26" s="24"/>
      <c r="L26" s="24"/>
      <c r="M26" s="24"/>
      <c r="N26" s="24"/>
      <c r="O26" s="24"/>
      <c r="P26" s="24"/>
      <c r="Q26" s="24"/>
      <c r="R26" s="24"/>
      <c r="S26" s="24"/>
    </row>
    <row r="27" spans="2:19" x14ac:dyDescent="0.25">
      <c r="B27" s="24"/>
      <c r="C27" s="24"/>
      <c r="D27" s="24"/>
      <c r="E27" s="24"/>
      <c r="F27" s="24"/>
      <c r="G27" s="24"/>
      <c r="H27" s="24"/>
      <c r="I27" s="24"/>
      <c r="J27" s="24"/>
      <c r="K27" s="24"/>
      <c r="L27" s="24"/>
      <c r="M27" s="24"/>
      <c r="N27" s="24"/>
      <c r="O27" s="24"/>
      <c r="P27" s="24"/>
      <c r="Q27" s="24"/>
      <c r="R27" s="24"/>
      <c r="S27" s="24"/>
    </row>
    <row r="28" spans="2:19" x14ac:dyDescent="0.25">
      <c r="B28" s="24"/>
      <c r="C28" s="24"/>
      <c r="D28" s="24"/>
      <c r="E28" s="24"/>
      <c r="F28" s="24"/>
      <c r="G28" s="24"/>
      <c r="H28" s="24"/>
      <c r="I28" s="24"/>
      <c r="J28" s="24"/>
      <c r="K28" s="24"/>
      <c r="L28" s="24"/>
      <c r="M28" s="24"/>
      <c r="N28" s="24"/>
      <c r="O28" s="24"/>
      <c r="P28" s="24"/>
      <c r="Q28" s="24"/>
      <c r="R28" s="24"/>
      <c r="S28" s="24"/>
    </row>
    <row r="29" spans="2:19" x14ac:dyDescent="0.25">
      <c r="B29" s="24"/>
      <c r="C29" s="24"/>
      <c r="D29" s="24"/>
      <c r="E29" s="24"/>
      <c r="F29" s="24"/>
      <c r="G29" s="24"/>
      <c r="H29" s="24"/>
      <c r="I29" s="24"/>
      <c r="J29" s="24"/>
      <c r="K29" s="24"/>
      <c r="L29" s="24"/>
      <c r="M29" s="24"/>
      <c r="N29" s="24"/>
      <c r="O29" s="24"/>
      <c r="P29" s="24"/>
      <c r="Q29" s="24"/>
      <c r="R29" s="24"/>
      <c r="S29" s="24"/>
    </row>
    <row r="30" spans="2:19" x14ac:dyDescent="0.25">
      <c r="B30" s="24"/>
      <c r="C30" s="24"/>
      <c r="D30" s="24"/>
      <c r="E30" s="24"/>
      <c r="F30" s="24"/>
      <c r="G30" s="24"/>
      <c r="H30" s="24"/>
      <c r="I30" s="24"/>
      <c r="J30" s="24"/>
      <c r="K30" s="24"/>
      <c r="L30" s="24"/>
      <c r="M30" s="24"/>
      <c r="N30" s="24"/>
      <c r="O30" s="24"/>
      <c r="P30" s="24"/>
      <c r="Q30" s="24"/>
      <c r="R30" s="24"/>
      <c r="S30" s="24"/>
    </row>
    <row r="31" spans="2:19" x14ac:dyDescent="0.25">
      <c r="B31" s="24"/>
      <c r="C31" s="24"/>
      <c r="D31" s="24"/>
      <c r="E31" s="24"/>
      <c r="F31" s="24"/>
      <c r="G31" s="24"/>
      <c r="H31" s="24"/>
      <c r="I31" s="24"/>
      <c r="J31" s="24"/>
      <c r="K31" s="24"/>
      <c r="L31" s="24"/>
      <c r="M31" s="24"/>
      <c r="N31" s="24"/>
      <c r="O31" s="24"/>
      <c r="P31" s="24"/>
      <c r="Q31" s="24"/>
      <c r="R31" s="24"/>
      <c r="S31" s="24"/>
    </row>
    <row r="32" spans="2:19" x14ac:dyDescent="0.25">
      <c r="B32" s="24"/>
      <c r="C32" s="24"/>
      <c r="D32" s="24"/>
      <c r="E32" s="24"/>
      <c r="F32" s="24"/>
      <c r="G32" s="24"/>
      <c r="H32" s="24"/>
      <c r="I32" s="24"/>
      <c r="J32" s="24"/>
      <c r="K32" s="24"/>
      <c r="L32" s="24"/>
      <c r="M32" s="24"/>
      <c r="N32" s="24"/>
      <c r="O32" s="24"/>
      <c r="P32" s="24"/>
      <c r="Q32" s="24"/>
      <c r="R32" s="24"/>
      <c r="S32" s="24"/>
    </row>
    <row r="33" spans="2:19" x14ac:dyDescent="0.25">
      <c r="B33" s="24"/>
      <c r="C33" s="24"/>
      <c r="D33" s="24"/>
      <c r="E33" s="24"/>
      <c r="F33" s="24"/>
      <c r="G33" s="24"/>
      <c r="H33" s="24"/>
      <c r="I33" s="24"/>
      <c r="J33" s="24"/>
      <c r="K33" s="24"/>
      <c r="L33" s="24"/>
      <c r="M33" s="24"/>
      <c r="N33" s="24"/>
      <c r="O33" s="24"/>
      <c r="P33" s="24"/>
      <c r="Q33" s="24"/>
      <c r="R33" s="24"/>
      <c r="S33" s="24"/>
    </row>
    <row r="34" spans="2:19" x14ac:dyDescent="0.25">
      <c r="B34" s="24"/>
      <c r="C34" s="24"/>
      <c r="D34" s="24"/>
      <c r="E34" s="24"/>
      <c r="F34" s="24"/>
      <c r="G34" s="24"/>
      <c r="H34" s="24"/>
      <c r="I34" s="24"/>
      <c r="J34" s="24"/>
      <c r="K34" s="24"/>
      <c r="L34" s="24"/>
      <c r="M34" s="24"/>
      <c r="N34" s="24"/>
      <c r="O34" s="24"/>
      <c r="P34" s="24"/>
      <c r="Q34" s="24"/>
      <c r="R34" s="24"/>
      <c r="S34" s="24"/>
    </row>
    <row r="35" spans="2:19" x14ac:dyDescent="0.25">
      <c r="B35" s="24"/>
      <c r="C35" s="24"/>
      <c r="D35" s="24"/>
      <c r="E35" s="24"/>
      <c r="F35" s="24"/>
      <c r="G35" s="24"/>
      <c r="H35" s="24"/>
      <c r="I35" s="24"/>
      <c r="J35" s="24"/>
      <c r="K35" s="24"/>
      <c r="L35" s="24"/>
      <c r="M35" s="24"/>
      <c r="N35" s="24"/>
      <c r="O35" s="24"/>
      <c r="P35" s="24"/>
      <c r="Q35" s="24"/>
      <c r="R35" s="24"/>
      <c r="S35" s="24"/>
    </row>
    <row r="36" spans="2:19" x14ac:dyDescent="0.25">
      <c r="B36" s="24"/>
      <c r="C36" s="24"/>
      <c r="D36" s="24"/>
      <c r="E36" s="24"/>
      <c r="F36" s="24"/>
      <c r="G36" s="24"/>
      <c r="H36" s="24"/>
      <c r="I36" s="24"/>
      <c r="J36" s="24"/>
      <c r="K36" s="24"/>
      <c r="L36" s="24"/>
      <c r="M36" s="24"/>
      <c r="N36" s="24"/>
      <c r="O36" s="24"/>
      <c r="P36" s="24"/>
      <c r="Q36" s="24"/>
      <c r="R36" s="24"/>
      <c r="S36" s="24"/>
    </row>
    <row r="37" spans="2:19" x14ac:dyDescent="0.25">
      <c r="B37" s="24"/>
      <c r="C37" s="24"/>
      <c r="D37" s="24"/>
      <c r="E37" s="24"/>
      <c r="F37" s="24"/>
      <c r="G37" s="24"/>
      <c r="H37" s="24"/>
      <c r="I37" s="24"/>
      <c r="J37" s="24"/>
      <c r="K37" s="24"/>
      <c r="L37" s="24"/>
      <c r="M37" s="24"/>
      <c r="N37" s="24"/>
      <c r="O37" s="24"/>
      <c r="P37" s="24"/>
      <c r="Q37" s="24"/>
      <c r="R37" s="24"/>
      <c r="S37" s="24"/>
    </row>
    <row r="38" spans="2:19" x14ac:dyDescent="0.25">
      <c r="B38" s="24"/>
      <c r="C38" s="24"/>
      <c r="D38" s="24"/>
      <c r="E38" s="24"/>
      <c r="F38" s="24"/>
      <c r="G38" s="24"/>
      <c r="H38" s="24"/>
      <c r="I38" s="24"/>
      <c r="J38" s="24"/>
      <c r="K38" s="24"/>
      <c r="L38" s="24"/>
      <c r="M38" s="24"/>
      <c r="N38" s="24"/>
      <c r="O38" s="24"/>
      <c r="P38" s="24"/>
      <c r="Q38" s="24"/>
      <c r="R38" s="24"/>
      <c r="S38" s="24"/>
    </row>
    <row r="39" spans="2:19" x14ac:dyDescent="0.25">
      <c r="B39" s="24"/>
      <c r="C39" s="24"/>
      <c r="D39" s="24"/>
      <c r="E39" s="24"/>
      <c r="F39" s="24"/>
      <c r="G39" s="24"/>
      <c r="H39" s="24"/>
      <c r="I39" s="24"/>
      <c r="J39" s="24"/>
      <c r="K39" s="24"/>
      <c r="L39" s="24"/>
      <c r="M39" s="24"/>
      <c r="N39" s="24"/>
      <c r="O39" s="24"/>
      <c r="P39" s="24"/>
      <c r="Q39" s="24"/>
      <c r="R39" s="24"/>
      <c r="S39" s="24"/>
    </row>
    <row r="40" spans="2:19" x14ac:dyDescent="0.25">
      <c r="B40" s="24"/>
      <c r="C40" s="24"/>
      <c r="D40" s="24"/>
      <c r="E40" s="24"/>
      <c r="F40" s="24"/>
      <c r="G40" s="24"/>
      <c r="H40" s="24"/>
      <c r="I40" s="24"/>
      <c r="J40" s="24"/>
      <c r="K40" s="24"/>
      <c r="L40" s="24"/>
      <c r="M40" s="24"/>
      <c r="N40" s="24"/>
      <c r="O40" s="24"/>
      <c r="P40" s="24"/>
      <c r="Q40" s="24"/>
      <c r="R40" s="24"/>
      <c r="S40" s="24"/>
    </row>
    <row r="41" spans="2:19" x14ac:dyDescent="0.25">
      <c r="B41" s="24"/>
      <c r="C41" s="24"/>
      <c r="D41" s="24"/>
      <c r="E41" s="24"/>
      <c r="F41" s="24"/>
      <c r="G41" s="24"/>
      <c r="H41" s="24"/>
      <c r="I41" s="24"/>
      <c r="J41" s="24"/>
      <c r="K41" s="24"/>
      <c r="L41" s="24"/>
      <c r="M41" s="24"/>
      <c r="N41" s="24"/>
      <c r="O41" s="24"/>
      <c r="P41" s="24"/>
      <c r="Q41" s="24"/>
      <c r="R41" s="24"/>
      <c r="S41" s="24"/>
    </row>
    <row r="42" spans="2:19" x14ac:dyDescent="0.25">
      <c r="B42" s="24"/>
      <c r="C42" s="24"/>
      <c r="D42" s="24"/>
      <c r="E42" s="24"/>
      <c r="F42" s="24"/>
      <c r="G42" s="24"/>
      <c r="H42" s="24"/>
      <c r="I42" s="24"/>
      <c r="J42" s="24"/>
      <c r="K42" s="24"/>
      <c r="L42" s="24"/>
      <c r="M42" s="24"/>
      <c r="N42" s="24"/>
      <c r="O42" s="24"/>
      <c r="P42" s="24"/>
      <c r="Q42" s="24"/>
      <c r="R42" s="24"/>
      <c r="S42" s="24"/>
    </row>
    <row r="43" spans="2:19" x14ac:dyDescent="0.25">
      <c r="B43" s="24"/>
      <c r="C43" s="24"/>
      <c r="D43" s="24"/>
      <c r="E43" s="24"/>
      <c r="F43" s="24"/>
      <c r="G43" s="24"/>
      <c r="H43" s="24"/>
      <c r="I43" s="24"/>
      <c r="J43" s="24"/>
      <c r="K43" s="24"/>
      <c r="L43" s="24"/>
      <c r="M43" s="24"/>
      <c r="N43" s="24"/>
      <c r="O43" s="24"/>
      <c r="P43" s="24"/>
      <c r="Q43" s="24"/>
      <c r="R43" s="24"/>
      <c r="S43" s="24"/>
    </row>
    <row r="44" spans="2:19" x14ac:dyDescent="0.25">
      <c r="B44" s="24"/>
      <c r="C44" s="24"/>
      <c r="D44" s="24"/>
      <c r="E44" s="24"/>
      <c r="F44" s="24"/>
      <c r="G44" s="24"/>
      <c r="H44" s="24"/>
      <c r="I44" s="24"/>
      <c r="J44" s="24"/>
      <c r="K44" s="24"/>
      <c r="L44" s="24"/>
      <c r="M44" s="24"/>
      <c r="N44" s="24"/>
      <c r="O44" s="24"/>
      <c r="P44" s="24"/>
      <c r="Q44" s="24"/>
      <c r="R44" s="24"/>
      <c r="S44" s="24"/>
    </row>
    <row r="45" spans="2:19" x14ac:dyDescent="0.25">
      <c r="B45" s="24"/>
      <c r="C45" s="24"/>
      <c r="D45" s="24"/>
      <c r="E45" s="24"/>
      <c r="F45" s="24"/>
      <c r="G45" s="24"/>
      <c r="H45" s="24"/>
      <c r="I45" s="24"/>
      <c r="J45" s="24"/>
      <c r="K45" s="24"/>
      <c r="L45" s="24"/>
      <c r="M45" s="24"/>
      <c r="N45" s="24"/>
      <c r="O45" s="24"/>
      <c r="P45" s="24"/>
      <c r="Q45" s="24"/>
      <c r="R45" s="24"/>
      <c r="S45" s="24"/>
    </row>
    <row r="46" spans="2:19" x14ac:dyDescent="0.25">
      <c r="B46" s="24"/>
      <c r="C46" s="24"/>
      <c r="D46" s="24"/>
      <c r="E46" s="24"/>
      <c r="F46" s="24"/>
      <c r="G46" s="24"/>
      <c r="H46" s="24"/>
      <c r="I46" s="24"/>
      <c r="J46" s="24"/>
      <c r="K46" s="24"/>
      <c r="L46" s="24"/>
      <c r="M46" s="24"/>
      <c r="N46" s="24"/>
      <c r="O46" s="24"/>
      <c r="P46" s="24"/>
      <c r="Q46" s="24"/>
      <c r="R46" s="24"/>
      <c r="S46" s="24"/>
    </row>
    <row r="47" spans="2:19" x14ac:dyDescent="0.25">
      <c r="B47" s="24"/>
      <c r="C47" s="24"/>
      <c r="D47" s="24"/>
      <c r="E47" s="24"/>
      <c r="F47" s="24"/>
      <c r="G47" s="24"/>
      <c r="H47" s="24"/>
      <c r="I47" s="24"/>
      <c r="J47" s="24"/>
      <c r="K47" s="24"/>
      <c r="L47" s="24"/>
      <c r="M47" s="24"/>
      <c r="N47" s="24"/>
      <c r="O47" s="24"/>
      <c r="P47" s="24"/>
      <c r="Q47" s="24"/>
      <c r="R47" s="24"/>
      <c r="S47" s="24"/>
    </row>
    <row r="48" spans="2:19" x14ac:dyDescent="0.25">
      <c r="B48" s="24"/>
      <c r="C48" s="24"/>
      <c r="D48" s="24"/>
      <c r="E48" s="24"/>
      <c r="F48" s="24"/>
      <c r="G48" s="24"/>
      <c r="H48" s="24"/>
      <c r="I48" s="24"/>
      <c r="J48" s="24"/>
      <c r="K48" s="24"/>
      <c r="L48" s="24"/>
      <c r="M48" s="24"/>
      <c r="N48" s="24"/>
      <c r="O48" s="24"/>
      <c r="P48" s="24"/>
      <c r="Q48" s="24"/>
      <c r="R48" s="24"/>
      <c r="S48" s="24"/>
    </row>
    <row r="49" spans="2:19" x14ac:dyDescent="0.25">
      <c r="B49" s="24"/>
      <c r="C49" s="24"/>
      <c r="D49" s="24"/>
      <c r="E49" s="24"/>
      <c r="F49" s="24"/>
      <c r="G49" s="24"/>
      <c r="H49" s="24"/>
      <c r="I49" s="24"/>
      <c r="J49" s="24"/>
      <c r="K49" s="24"/>
      <c r="L49" s="24"/>
      <c r="M49" s="24"/>
      <c r="N49" s="24"/>
      <c r="O49" s="24"/>
      <c r="P49" s="24"/>
      <c r="Q49" s="24"/>
      <c r="R49" s="24"/>
      <c r="S49" s="24"/>
    </row>
    <row r="50" spans="2:19" x14ac:dyDescent="0.25">
      <c r="B50" s="24"/>
      <c r="C50" s="24"/>
      <c r="D50" s="24"/>
      <c r="E50" s="24"/>
      <c r="F50" s="24"/>
      <c r="G50" s="24"/>
      <c r="H50" s="24"/>
      <c r="I50" s="24"/>
      <c r="J50" s="24"/>
      <c r="K50" s="24"/>
      <c r="L50" s="24"/>
      <c r="M50" s="24"/>
      <c r="N50" s="24"/>
      <c r="O50" s="24"/>
      <c r="P50" s="24"/>
      <c r="Q50" s="24"/>
      <c r="R50" s="24"/>
      <c r="S50" s="24"/>
    </row>
    <row r="51" spans="2:19" x14ac:dyDescent="0.25">
      <c r="B51" s="24"/>
      <c r="C51" s="24"/>
      <c r="D51" s="24"/>
      <c r="E51" s="24"/>
      <c r="F51" s="24"/>
      <c r="G51" s="24"/>
      <c r="H51" s="24"/>
      <c r="I51" s="24"/>
      <c r="J51" s="24"/>
      <c r="K51" s="24"/>
      <c r="L51" s="24"/>
      <c r="M51" s="24"/>
      <c r="N51" s="24"/>
      <c r="O51" s="24"/>
      <c r="P51" s="24"/>
      <c r="Q51" s="24"/>
      <c r="R51" s="24"/>
      <c r="S51" s="24"/>
    </row>
    <row r="52" spans="2:19" x14ac:dyDescent="0.25">
      <c r="B52" s="24"/>
      <c r="C52" s="24"/>
      <c r="D52" s="24"/>
      <c r="E52" s="24"/>
      <c r="F52" s="24"/>
      <c r="G52" s="24"/>
      <c r="H52" s="24"/>
      <c r="I52" s="24"/>
      <c r="J52" s="24"/>
      <c r="K52" s="24"/>
      <c r="L52" s="24"/>
      <c r="M52" s="24"/>
      <c r="N52" s="24"/>
      <c r="O52" s="24"/>
      <c r="P52" s="24"/>
      <c r="Q52" s="24"/>
      <c r="R52" s="24"/>
      <c r="S52" s="24"/>
    </row>
    <row r="53" spans="2:19" x14ac:dyDescent="0.25">
      <c r="B53" s="24"/>
      <c r="C53" s="24"/>
      <c r="D53" s="24"/>
      <c r="E53" s="24"/>
      <c r="F53" s="24"/>
      <c r="G53" s="24"/>
      <c r="H53" s="24"/>
      <c r="I53" s="24"/>
      <c r="J53" s="24"/>
      <c r="K53" s="24"/>
      <c r="L53" s="24"/>
      <c r="M53" s="24"/>
      <c r="N53" s="24"/>
      <c r="O53" s="24"/>
      <c r="P53" s="24"/>
      <c r="Q53" s="24"/>
      <c r="R53" s="24"/>
      <c r="S53" s="24"/>
    </row>
    <row r="54" spans="2:19" x14ac:dyDescent="0.25">
      <c r="B54" s="24"/>
      <c r="C54" s="24"/>
      <c r="D54" s="24"/>
      <c r="E54" s="24"/>
      <c r="F54" s="24"/>
      <c r="G54" s="24"/>
      <c r="H54" s="24"/>
      <c r="I54" s="24"/>
      <c r="J54" s="24"/>
      <c r="K54" s="24"/>
      <c r="L54" s="24"/>
      <c r="M54" s="24"/>
      <c r="N54" s="24"/>
      <c r="O54" s="24"/>
      <c r="P54" s="24"/>
      <c r="Q54" s="24"/>
      <c r="R54" s="24"/>
      <c r="S54" s="24"/>
    </row>
    <row r="55" spans="2:19" x14ac:dyDescent="0.25">
      <c r="B55" s="24"/>
      <c r="C55" s="24"/>
      <c r="D55" s="24"/>
      <c r="E55" s="24"/>
      <c r="F55" s="24"/>
      <c r="G55" s="24"/>
      <c r="H55" s="24"/>
      <c r="I55" s="24"/>
      <c r="J55" s="24"/>
      <c r="K55" s="24"/>
      <c r="L55" s="24"/>
      <c r="M55" s="24"/>
      <c r="N55" s="24"/>
      <c r="O55" s="24"/>
      <c r="P55" s="24"/>
      <c r="Q55" s="24"/>
      <c r="R55" s="24"/>
      <c r="S55" s="24"/>
    </row>
    <row r="56" spans="2:19" x14ac:dyDescent="0.25">
      <c r="B56" s="24"/>
      <c r="C56" s="24"/>
      <c r="D56" s="24"/>
      <c r="E56" s="24"/>
      <c r="F56" s="24"/>
      <c r="G56" s="24"/>
      <c r="H56" s="24"/>
      <c r="I56" s="24"/>
      <c r="J56" s="24"/>
      <c r="K56" s="24"/>
      <c r="L56" s="24"/>
      <c r="M56" s="24"/>
      <c r="N56" s="24"/>
      <c r="O56" s="24"/>
      <c r="P56" s="24"/>
      <c r="Q56" s="24"/>
      <c r="R56" s="24"/>
      <c r="S56" s="24"/>
    </row>
    <row r="57" spans="2:19" x14ac:dyDescent="0.25">
      <c r="B57" s="24"/>
      <c r="C57" s="24"/>
      <c r="D57" s="24"/>
      <c r="E57" s="24"/>
      <c r="F57" s="24"/>
      <c r="G57" s="24"/>
      <c r="H57" s="24"/>
      <c r="I57" s="24"/>
      <c r="J57" s="24"/>
      <c r="K57" s="24"/>
      <c r="L57" s="24"/>
      <c r="M57" s="24"/>
      <c r="N57" s="24"/>
      <c r="O57" s="24"/>
      <c r="P57" s="24"/>
      <c r="Q57" s="24"/>
      <c r="R57" s="24"/>
      <c r="S57" s="24"/>
    </row>
    <row r="58" spans="2:19" x14ac:dyDescent="0.25">
      <c r="B58" s="24"/>
      <c r="C58" s="24"/>
      <c r="D58" s="24"/>
      <c r="E58" s="24"/>
      <c r="F58" s="24"/>
      <c r="G58" s="24"/>
      <c r="H58" s="24"/>
      <c r="I58" s="24"/>
      <c r="J58" s="24"/>
      <c r="K58" s="24"/>
      <c r="L58" s="24"/>
      <c r="M58" s="24"/>
      <c r="N58" s="24"/>
      <c r="O58" s="24"/>
      <c r="P58" s="24"/>
      <c r="Q58" s="24"/>
      <c r="R58" s="24"/>
      <c r="S58" s="24"/>
    </row>
    <row r="59" spans="2:19" x14ac:dyDescent="0.25">
      <c r="B59" s="24"/>
      <c r="C59" s="24"/>
      <c r="D59" s="24"/>
      <c r="E59" s="24"/>
      <c r="F59" s="24"/>
      <c r="G59" s="24"/>
      <c r="H59" s="24"/>
      <c r="I59" s="24"/>
      <c r="J59" s="24"/>
      <c r="K59" s="24"/>
      <c r="L59" s="24"/>
      <c r="M59" s="24"/>
      <c r="N59" s="24"/>
      <c r="O59" s="24"/>
      <c r="P59" s="24"/>
      <c r="Q59" s="24"/>
      <c r="R59" s="24"/>
      <c r="S59" s="24"/>
    </row>
    <row r="60" spans="2:19" x14ac:dyDescent="0.25">
      <c r="B60" s="24"/>
      <c r="C60" s="24"/>
      <c r="D60" s="24"/>
      <c r="E60" s="24"/>
      <c r="F60" s="24"/>
      <c r="G60" s="24"/>
      <c r="H60" s="24"/>
      <c r="I60" s="24"/>
      <c r="J60" s="24"/>
      <c r="K60" s="24"/>
      <c r="L60" s="24"/>
      <c r="M60" s="24"/>
      <c r="N60" s="24"/>
      <c r="O60" s="24"/>
      <c r="P60" s="24"/>
      <c r="Q60" s="24"/>
      <c r="R60" s="24"/>
      <c r="S60" s="24"/>
    </row>
    <row r="61" spans="2:19" x14ac:dyDescent="0.25">
      <c r="B61" s="24"/>
      <c r="C61" s="24"/>
      <c r="D61" s="24"/>
      <c r="E61" s="24"/>
      <c r="F61" s="24"/>
      <c r="G61" s="24"/>
      <c r="H61" s="24"/>
      <c r="I61" s="24"/>
      <c r="J61" s="24"/>
      <c r="K61" s="24"/>
      <c r="L61" s="24"/>
      <c r="M61" s="24"/>
      <c r="N61" s="24"/>
      <c r="O61" s="24"/>
      <c r="P61" s="24"/>
      <c r="Q61" s="24"/>
      <c r="R61" s="24"/>
      <c r="S61" s="24"/>
    </row>
    <row r="62" spans="2:19" x14ac:dyDescent="0.25">
      <c r="B62" s="24"/>
      <c r="C62" s="24"/>
      <c r="D62" s="24"/>
      <c r="E62" s="24"/>
      <c r="F62" s="24"/>
      <c r="G62" s="24"/>
      <c r="H62" s="24"/>
      <c r="I62" s="24"/>
      <c r="J62" s="24"/>
      <c r="K62" s="24"/>
      <c r="L62" s="24"/>
      <c r="M62" s="24"/>
      <c r="N62" s="24"/>
      <c r="O62" s="24"/>
      <c r="P62" s="24"/>
      <c r="Q62" s="24"/>
      <c r="R62" s="24"/>
      <c r="S62" s="24"/>
    </row>
    <row r="63" spans="2:19" s="11" customFormat="1" x14ac:dyDescent="0.25">
      <c r="B63" s="24"/>
      <c r="C63" s="24"/>
      <c r="D63" s="24"/>
      <c r="E63" s="24"/>
      <c r="F63" s="24"/>
      <c r="G63" s="24"/>
      <c r="H63" s="24"/>
      <c r="I63" s="24"/>
      <c r="J63" s="24"/>
      <c r="K63" s="24"/>
      <c r="L63" s="24"/>
      <c r="M63" s="24"/>
      <c r="N63" s="24"/>
      <c r="O63" s="24"/>
      <c r="P63" s="24"/>
      <c r="Q63" s="24"/>
      <c r="R63" s="24"/>
      <c r="S63" s="24"/>
    </row>
    <row r="64" spans="2:19" s="11" customFormat="1" x14ac:dyDescent="0.25"/>
    <row r="65" s="11" customFormat="1" x14ac:dyDescent="0.25"/>
    <row r="66" s="11" customFormat="1" x14ac:dyDescent="0.25"/>
    <row r="67" s="11" customFormat="1" x14ac:dyDescent="0.25"/>
    <row r="68" s="11" customFormat="1" x14ac:dyDescent="0.25"/>
    <row r="69" s="11" customFormat="1" x14ac:dyDescent="0.25"/>
    <row r="70" s="11" customFormat="1" x14ac:dyDescent="0.25"/>
    <row r="71" s="11" customFormat="1" x14ac:dyDescent="0.25"/>
    <row r="72" s="11" customFormat="1" x14ac:dyDescent="0.25"/>
    <row r="73" s="11" customFormat="1" x14ac:dyDescent="0.25"/>
    <row r="74" s="11" customFormat="1" x14ac:dyDescent="0.25"/>
    <row r="75" s="11" customFormat="1" x14ac:dyDescent="0.25"/>
    <row r="76" s="11" customFormat="1" x14ac:dyDescent="0.25"/>
    <row r="77" s="11" customFormat="1" x14ac:dyDescent="0.25"/>
    <row r="78" s="11" customFormat="1" x14ac:dyDescent="0.25"/>
    <row r="79" s="11" customFormat="1" x14ac:dyDescent="0.25"/>
    <row r="80" s="11" customFormat="1" x14ac:dyDescent="0.25"/>
    <row r="81" s="11" customFormat="1" x14ac:dyDescent="0.25"/>
    <row r="82" s="11" customFormat="1" x14ac:dyDescent="0.25"/>
    <row r="83" s="11" customFormat="1" x14ac:dyDescent="0.25"/>
    <row r="84" s="11" customFormat="1" x14ac:dyDescent="0.25"/>
    <row r="85" s="11" customFormat="1" x14ac:dyDescent="0.25"/>
    <row r="86" s="11" customFormat="1" x14ac:dyDescent="0.25"/>
    <row r="87" s="11" customFormat="1" x14ac:dyDescent="0.25"/>
    <row r="88" s="11" customFormat="1" x14ac:dyDescent="0.25"/>
    <row r="89" s="11" customFormat="1" x14ac:dyDescent="0.25"/>
    <row r="90" s="11" customFormat="1" x14ac:dyDescent="0.25"/>
    <row r="91" s="11" customFormat="1" x14ac:dyDescent="0.25"/>
    <row r="92" s="11" customFormat="1" x14ac:dyDescent="0.25"/>
    <row r="93" s="11" customFormat="1" x14ac:dyDescent="0.25"/>
    <row r="94" s="11" customFormat="1" x14ac:dyDescent="0.25"/>
    <row r="95" s="11" customFormat="1" x14ac:dyDescent="0.25"/>
    <row r="96" s="11" customFormat="1" x14ac:dyDescent="0.25"/>
    <row r="97" s="11" customFormat="1" x14ac:dyDescent="0.25"/>
    <row r="98" s="11" customFormat="1" x14ac:dyDescent="0.25"/>
    <row r="99" s="11" customFormat="1" x14ac:dyDescent="0.25"/>
    <row r="100" s="11" customFormat="1" x14ac:dyDescent="0.25"/>
    <row r="101" s="11" customFormat="1" x14ac:dyDescent="0.25"/>
    <row r="102" s="11" customFormat="1" x14ac:dyDescent="0.25"/>
    <row r="103" s="11" customFormat="1" x14ac:dyDescent="0.25"/>
    <row r="104" s="11" customFormat="1" x14ac:dyDescent="0.25"/>
    <row r="105" s="11" customFormat="1" x14ac:dyDescent="0.25"/>
    <row r="106" s="11" customFormat="1" x14ac:dyDescent="0.25"/>
    <row r="107" s="11" customFormat="1" x14ac:dyDescent="0.25"/>
    <row r="108" s="11" customFormat="1" x14ac:dyDescent="0.25"/>
    <row r="109" s="11" customFormat="1" x14ac:dyDescent="0.25"/>
    <row r="110" s="11" customFormat="1" x14ac:dyDescent="0.25"/>
    <row r="111" s="11" customFormat="1" x14ac:dyDescent="0.25"/>
    <row r="112" s="11" customFormat="1" x14ac:dyDescent="0.25"/>
    <row r="113" s="11" customFormat="1" x14ac:dyDescent="0.25"/>
    <row r="114" s="11" customFormat="1" x14ac:dyDescent="0.25"/>
    <row r="115" s="11" customFormat="1" x14ac:dyDescent="0.25"/>
    <row r="116" s="11" customFormat="1" x14ac:dyDescent="0.25"/>
    <row r="117" s="11" customFormat="1" x14ac:dyDescent="0.25"/>
    <row r="118" s="11" customFormat="1" x14ac:dyDescent="0.25"/>
    <row r="119" s="11" customFormat="1" x14ac:dyDescent="0.25"/>
    <row r="120" s="11" customFormat="1" x14ac:dyDescent="0.25"/>
    <row r="121" s="11" customFormat="1" x14ac:dyDescent="0.25"/>
    <row r="122" s="11" customFormat="1" x14ac:dyDescent="0.25"/>
    <row r="123" s="11" customFormat="1" x14ac:dyDescent="0.25"/>
    <row r="124" s="11" customFormat="1" x14ac:dyDescent="0.25"/>
    <row r="125" s="11" customFormat="1" x14ac:dyDescent="0.25"/>
    <row r="126" s="11" customFormat="1" x14ac:dyDescent="0.25"/>
    <row r="127" s="11" customFormat="1" x14ac:dyDescent="0.25"/>
    <row r="128" s="11" customFormat="1" x14ac:dyDescent="0.25"/>
    <row r="129" s="11" customFormat="1" x14ac:dyDescent="0.25"/>
    <row r="130" s="11" customFormat="1" x14ac:dyDescent="0.25"/>
    <row r="131" s="11" customFormat="1" x14ac:dyDescent="0.25"/>
    <row r="132" s="11" customFormat="1" x14ac:dyDescent="0.25"/>
    <row r="133" s="11" customFormat="1" x14ac:dyDescent="0.25"/>
    <row r="134" s="11" customFormat="1" x14ac:dyDescent="0.25"/>
    <row r="135" s="11" customFormat="1" x14ac:dyDescent="0.25"/>
    <row r="136" s="11" customFormat="1" x14ac:dyDescent="0.25"/>
    <row r="137" s="11" customFormat="1" x14ac:dyDescent="0.25"/>
    <row r="138" s="11" customFormat="1" x14ac:dyDescent="0.25"/>
    <row r="139" s="11" customFormat="1" x14ac:dyDescent="0.25"/>
    <row r="140" s="11" customFormat="1" x14ac:dyDescent="0.25"/>
    <row r="141" s="11" customFormat="1" x14ac:dyDescent="0.25"/>
    <row r="142" s="11" customFormat="1" x14ac:dyDescent="0.25"/>
    <row r="143" s="11" customFormat="1" x14ac:dyDescent="0.25"/>
    <row r="144" s="11" customFormat="1" x14ac:dyDescent="0.25"/>
    <row r="145" s="11" customFormat="1" x14ac:dyDescent="0.25"/>
    <row r="146" s="11" customFormat="1" x14ac:dyDescent="0.25"/>
    <row r="147" s="11" customFormat="1" x14ac:dyDescent="0.25"/>
    <row r="148" s="11" customFormat="1" x14ac:dyDescent="0.25"/>
    <row r="149" s="11" customFormat="1" x14ac:dyDescent="0.25"/>
    <row r="150" s="11" customFormat="1" x14ac:dyDescent="0.25"/>
    <row r="151" s="11" customFormat="1" x14ac:dyDescent="0.25"/>
    <row r="152" s="11" customFormat="1" x14ac:dyDescent="0.25"/>
    <row r="153" s="11" customFormat="1" x14ac:dyDescent="0.25"/>
    <row r="154" s="11" customFormat="1" x14ac:dyDescent="0.25"/>
    <row r="155" s="11" customFormat="1" x14ac:dyDescent="0.25"/>
    <row r="156" s="11" customFormat="1" x14ac:dyDescent="0.25"/>
    <row r="157" s="11" customFormat="1" x14ac:dyDescent="0.25"/>
    <row r="158" s="11" customFormat="1" x14ac:dyDescent="0.25"/>
    <row r="159" s="11" customFormat="1" x14ac:dyDescent="0.25"/>
    <row r="160" s="11" customFormat="1" x14ac:dyDescent="0.25"/>
    <row r="161" s="11" customFormat="1" x14ac:dyDescent="0.25"/>
    <row r="162" s="11" customFormat="1" x14ac:dyDescent="0.25"/>
    <row r="163" s="11" customFormat="1" x14ac:dyDescent="0.25"/>
    <row r="164" s="11" customFormat="1" x14ac:dyDescent="0.25"/>
    <row r="165" s="11" customFormat="1" x14ac:dyDescent="0.25"/>
    <row r="166" s="11" customFormat="1" x14ac:dyDescent="0.25"/>
    <row r="167" s="11" customFormat="1" x14ac:dyDescent="0.25"/>
    <row r="168" s="11" customFormat="1" x14ac:dyDescent="0.25"/>
    <row r="169" s="11" customFormat="1" x14ac:dyDescent="0.25"/>
    <row r="170" s="11" customFormat="1" x14ac:dyDescent="0.25"/>
    <row r="171" s="11" customFormat="1" x14ac:dyDescent="0.25"/>
    <row r="172" s="11" customFormat="1" x14ac:dyDescent="0.25"/>
    <row r="173" s="11" customFormat="1" x14ac:dyDescent="0.25"/>
    <row r="174" s="11" customFormat="1" x14ac:dyDescent="0.25"/>
    <row r="175" s="11" customFormat="1" x14ac:dyDescent="0.25"/>
    <row r="176" s="11" customFormat="1" x14ac:dyDescent="0.25"/>
    <row r="177" s="11" customFormat="1" x14ac:dyDescent="0.25"/>
    <row r="178" s="11" customFormat="1" x14ac:dyDescent="0.25"/>
    <row r="179" s="11" customFormat="1" x14ac:dyDescent="0.25"/>
    <row r="180" s="11" customFormat="1" x14ac:dyDescent="0.25"/>
    <row r="181" s="11" customFormat="1" x14ac:dyDescent="0.25"/>
    <row r="182" s="11" customFormat="1" x14ac:dyDescent="0.25"/>
    <row r="183" s="11" customFormat="1" x14ac:dyDescent="0.25"/>
    <row r="184" s="11" customFormat="1" x14ac:dyDescent="0.25"/>
    <row r="185" s="11" customFormat="1" x14ac:dyDescent="0.25"/>
    <row r="186" s="11" customFormat="1" x14ac:dyDescent="0.25"/>
    <row r="187" s="11" customFormat="1" x14ac:dyDescent="0.25"/>
    <row r="188" s="11" customFormat="1" x14ac:dyDescent="0.25"/>
    <row r="189" s="11" customFormat="1" x14ac:dyDescent="0.25"/>
    <row r="190" s="11" customFormat="1" x14ac:dyDescent="0.25"/>
    <row r="191" s="11" customFormat="1" x14ac:dyDescent="0.25"/>
    <row r="192" s="11" customFormat="1" x14ac:dyDescent="0.25"/>
    <row r="193" s="11" customFormat="1" x14ac:dyDescent="0.25"/>
    <row r="194" s="11" customFormat="1" x14ac:dyDescent="0.25"/>
    <row r="195" s="11" customFormat="1" x14ac:dyDescent="0.25"/>
    <row r="196" s="11" customFormat="1" x14ac:dyDescent="0.25"/>
    <row r="197" s="11" customFormat="1" x14ac:dyDescent="0.25"/>
    <row r="198" s="11" customFormat="1" x14ac:dyDescent="0.25"/>
    <row r="199" s="11" customFormat="1" x14ac:dyDescent="0.25"/>
    <row r="200" s="11" customFormat="1" x14ac:dyDescent="0.25"/>
    <row r="201" s="11" customFormat="1" x14ac:dyDescent="0.25"/>
    <row r="202" s="11" customFormat="1" x14ac:dyDescent="0.25"/>
    <row r="203" s="11" customFormat="1" x14ac:dyDescent="0.25"/>
    <row r="204" s="11" customFormat="1" x14ac:dyDescent="0.25"/>
    <row r="205" s="11" customFormat="1" x14ac:dyDescent="0.25"/>
    <row r="206" s="11" customFormat="1" x14ac:dyDescent="0.25"/>
    <row r="207" s="11" customFormat="1" x14ac:dyDescent="0.25"/>
    <row r="208" s="11" customFormat="1" x14ac:dyDescent="0.25"/>
    <row r="209" s="11" customFormat="1" x14ac:dyDescent="0.25"/>
    <row r="210" s="11" customFormat="1" x14ac:dyDescent="0.25"/>
    <row r="211" s="11" customFormat="1" x14ac:dyDescent="0.25"/>
    <row r="212" s="11" customFormat="1" x14ac:dyDescent="0.25"/>
    <row r="213" s="11" customFormat="1" x14ac:dyDescent="0.25"/>
    <row r="214" s="11" customFormat="1" x14ac:dyDescent="0.25"/>
    <row r="215" s="11" customFormat="1" x14ac:dyDescent="0.25"/>
    <row r="216" s="11" customFormat="1" x14ac:dyDescent="0.25"/>
    <row r="217" s="11" customFormat="1" x14ac:dyDescent="0.25"/>
    <row r="218" s="11" customFormat="1" x14ac:dyDescent="0.25"/>
    <row r="219" s="11" customFormat="1" x14ac:dyDescent="0.25"/>
    <row r="220" s="11" customFormat="1" x14ac:dyDescent="0.25"/>
    <row r="221" s="11" customFormat="1" x14ac:dyDescent="0.25"/>
    <row r="222" s="11" customFormat="1" x14ac:dyDescent="0.25"/>
    <row r="223" s="11" customFormat="1" x14ac:dyDescent="0.25"/>
    <row r="224" s="11" customFormat="1" x14ac:dyDescent="0.25"/>
    <row r="225" s="11" customFormat="1" x14ac:dyDescent="0.25"/>
    <row r="226" s="11" customFormat="1" x14ac:dyDescent="0.25"/>
    <row r="227" s="11" customFormat="1" x14ac:dyDescent="0.25"/>
    <row r="228" s="11" customFormat="1" x14ac:dyDescent="0.25"/>
    <row r="229" s="11" customFormat="1" x14ac:dyDescent="0.25"/>
    <row r="230" s="11" customFormat="1" x14ac:dyDescent="0.25"/>
    <row r="231" s="11" customFormat="1" x14ac:dyDescent="0.25"/>
    <row r="232" s="11" customFormat="1" x14ac:dyDescent="0.25"/>
    <row r="233" s="11" customFormat="1" x14ac:dyDescent="0.25"/>
    <row r="234" s="11" customFormat="1" x14ac:dyDescent="0.25"/>
    <row r="235" s="11" customFormat="1" x14ac:dyDescent="0.25"/>
    <row r="236" s="11" customFormat="1" x14ac:dyDescent="0.25"/>
    <row r="237" s="11" customFormat="1" x14ac:dyDescent="0.25"/>
    <row r="238" s="11" customFormat="1" x14ac:dyDescent="0.25"/>
    <row r="239" s="11" customFormat="1" x14ac:dyDescent="0.25"/>
    <row r="240" s="11" customFormat="1" x14ac:dyDescent="0.25"/>
    <row r="241" s="11" customFormat="1" x14ac:dyDescent="0.25"/>
    <row r="242" s="11" customFormat="1" x14ac:dyDescent="0.25"/>
    <row r="243" s="11" customFormat="1" x14ac:dyDescent="0.25"/>
    <row r="244" s="11" customFormat="1" x14ac:dyDescent="0.25"/>
    <row r="245" s="11" customFormat="1" x14ac:dyDescent="0.25"/>
    <row r="246" s="11" customFormat="1" x14ac:dyDescent="0.25"/>
    <row r="247" s="11" customFormat="1" x14ac:dyDescent="0.25"/>
    <row r="248" s="11" customFormat="1" x14ac:dyDescent="0.25"/>
    <row r="249" s="11" customFormat="1" x14ac:dyDescent="0.25"/>
    <row r="250" s="11" customFormat="1" x14ac:dyDescent="0.25"/>
    <row r="251" s="11" customFormat="1" x14ac:dyDescent="0.25"/>
    <row r="252" s="11" customFormat="1" x14ac:dyDescent="0.25"/>
    <row r="253" s="11" customFormat="1" x14ac:dyDescent="0.25"/>
    <row r="254" s="11" customFormat="1" x14ac:dyDescent="0.25"/>
    <row r="255" s="11" customFormat="1" x14ac:dyDescent="0.25"/>
    <row r="256" s="11" customFormat="1" x14ac:dyDescent="0.25"/>
    <row r="257" s="11" customFormat="1" x14ac:dyDescent="0.25"/>
    <row r="258" s="11" customFormat="1" x14ac:dyDescent="0.25"/>
    <row r="259" s="11" customFormat="1" x14ac:dyDescent="0.25"/>
    <row r="260" s="11" customFormat="1" x14ac:dyDescent="0.25"/>
    <row r="261" s="11" customFormat="1" x14ac:dyDescent="0.25"/>
    <row r="262" s="11" customFormat="1" x14ac:dyDescent="0.25"/>
    <row r="263" s="11" customFormat="1" x14ac:dyDescent="0.25"/>
    <row r="264" s="11" customFormat="1" x14ac:dyDescent="0.25"/>
    <row r="265" s="11" customFormat="1" x14ac:dyDescent="0.25"/>
    <row r="266" s="11" customFormat="1" x14ac:dyDescent="0.25"/>
    <row r="267" s="11" customFormat="1" x14ac:dyDescent="0.25"/>
    <row r="268" s="11" customFormat="1" x14ac:dyDescent="0.25"/>
    <row r="269" s="11" customFormat="1" x14ac:dyDescent="0.25"/>
    <row r="270" s="11" customFormat="1" x14ac:dyDescent="0.25"/>
    <row r="271" s="11" customFormat="1" x14ac:dyDescent="0.25"/>
    <row r="272" s="11" customFormat="1" x14ac:dyDescent="0.25"/>
    <row r="273" s="11" customFormat="1" x14ac:dyDescent="0.25"/>
    <row r="274" s="11" customFormat="1" x14ac:dyDescent="0.25"/>
    <row r="275" s="11" customFormat="1" x14ac:dyDescent="0.25"/>
    <row r="276" s="11" customFormat="1" x14ac:dyDescent="0.25"/>
    <row r="277" s="11" customFormat="1" x14ac:dyDescent="0.25"/>
    <row r="278" s="11" customFormat="1" x14ac:dyDescent="0.25"/>
    <row r="279" s="11" customFormat="1" x14ac:dyDescent="0.25"/>
    <row r="280" s="11" customFormat="1" x14ac:dyDescent="0.25"/>
    <row r="281" s="11" customFormat="1" x14ac:dyDescent="0.25"/>
    <row r="282" s="11" customFormat="1" x14ac:dyDescent="0.25"/>
    <row r="283" s="11" customFormat="1" x14ac:dyDescent="0.25"/>
    <row r="284" s="11" customFormat="1" x14ac:dyDescent="0.25"/>
    <row r="285" s="11" customFormat="1" x14ac:dyDescent="0.25"/>
    <row r="286" s="11" customFormat="1" x14ac:dyDescent="0.25"/>
    <row r="287" s="11" customFormat="1" x14ac:dyDescent="0.25"/>
    <row r="288" s="11" customFormat="1" x14ac:dyDescent="0.25"/>
    <row r="289" s="11" customFormat="1" x14ac:dyDescent="0.25"/>
    <row r="290" s="11" customFormat="1" x14ac:dyDescent="0.25"/>
    <row r="291" s="11" customFormat="1" x14ac:dyDescent="0.25"/>
    <row r="292" s="11" customFormat="1" x14ac:dyDescent="0.25"/>
    <row r="293" s="11" customFormat="1" x14ac:dyDescent="0.25"/>
    <row r="294" s="11" customFormat="1" x14ac:dyDescent="0.25"/>
    <row r="295" s="11" customFormat="1" x14ac:dyDescent="0.25"/>
    <row r="296" s="11" customFormat="1" x14ac:dyDescent="0.25"/>
    <row r="297" s="11" customFormat="1" x14ac:dyDescent="0.25"/>
    <row r="298" s="11" customFormat="1" x14ac:dyDescent="0.25"/>
    <row r="299" s="11" customFormat="1" x14ac:dyDescent="0.25"/>
    <row r="300" s="11" customFormat="1" x14ac:dyDescent="0.25"/>
    <row r="301" s="11" customFormat="1" x14ac:dyDescent="0.25"/>
    <row r="302" s="11" customFormat="1" x14ac:dyDescent="0.25"/>
    <row r="303" s="11" customFormat="1" x14ac:dyDescent="0.25"/>
    <row r="304" s="11" customFormat="1" x14ac:dyDescent="0.25"/>
    <row r="305" s="11" customFormat="1" x14ac:dyDescent="0.25"/>
    <row r="306" s="11" customFormat="1" x14ac:dyDescent="0.25"/>
    <row r="307" s="11" customFormat="1" x14ac:dyDescent="0.25"/>
    <row r="308" s="11" customFormat="1" x14ac:dyDescent="0.25"/>
    <row r="309" s="11" customFormat="1" x14ac:dyDescent="0.25"/>
    <row r="310" s="11" customFormat="1" x14ac:dyDescent="0.25"/>
    <row r="311" s="11" customFormat="1" x14ac:dyDescent="0.25"/>
    <row r="312" s="11" customFormat="1" x14ac:dyDescent="0.25"/>
    <row r="313" s="11" customFormat="1" x14ac:dyDescent="0.25"/>
    <row r="314" s="11" customFormat="1" x14ac:dyDescent="0.25"/>
    <row r="315" s="11" customFormat="1" x14ac:dyDescent="0.25"/>
    <row r="316" s="11" customFormat="1" x14ac:dyDescent="0.25"/>
    <row r="317" s="11" customFormat="1" x14ac:dyDescent="0.25"/>
    <row r="318" s="11" customFormat="1" x14ac:dyDescent="0.25"/>
    <row r="319" s="11" customFormat="1" x14ac:dyDescent="0.25"/>
    <row r="320" s="11" customFormat="1" x14ac:dyDescent="0.25"/>
    <row r="321" s="11" customFormat="1" x14ac:dyDescent="0.25"/>
    <row r="322" s="11" customFormat="1" x14ac:dyDescent="0.25"/>
    <row r="323" s="11" customFormat="1" x14ac:dyDescent="0.25"/>
    <row r="324" s="11" customFormat="1" x14ac:dyDescent="0.25"/>
    <row r="325" s="11" customFormat="1" x14ac:dyDescent="0.25"/>
    <row r="326" s="11" customFormat="1" x14ac:dyDescent="0.25"/>
    <row r="327" s="11" customFormat="1" x14ac:dyDescent="0.25"/>
    <row r="328" s="11" customFormat="1" x14ac:dyDescent="0.25"/>
    <row r="329" s="11" customFormat="1" x14ac:dyDescent="0.25"/>
    <row r="330" s="11" customFormat="1" x14ac:dyDescent="0.25"/>
    <row r="331" s="11" customFormat="1" x14ac:dyDescent="0.25"/>
    <row r="332" s="11" customFormat="1" x14ac:dyDescent="0.25"/>
    <row r="333" s="11" customFormat="1" x14ac:dyDescent="0.25"/>
    <row r="334" s="11" customFormat="1" x14ac:dyDescent="0.25"/>
    <row r="335" s="11" customFormat="1" x14ac:dyDescent="0.25"/>
    <row r="336" s="11" customFormat="1" x14ac:dyDescent="0.25"/>
    <row r="337" s="11" customFormat="1" x14ac:dyDescent="0.25"/>
    <row r="338" s="11" customFormat="1" x14ac:dyDescent="0.25"/>
    <row r="339" s="11" customFormat="1" x14ac:dyDescent="0.25"/>
    <row r="340" s="11" customFormat="1" x14ac:dyDescent="0.25"/>
    <row r="341" s="11" customFormat="1" x14ac:dyDescent="0.25"/>
    <row r="342" s="11" customFormat="1" x14ac:dyDescent="0.25"/>
    <row r="343" s="11" customFormat="1" x14ac:dyDescent="0.25"/>
    <row r="344" s="11" customFormat="1" x14ac:dyDescent="0.25"/>
    <row r="345" s="11" customFormat="1" x14ac:dyDescent="0.25"/>
    <row r="346" s="11" customFormat="1" x14ac:dyDescent="0.25"/>
    <row r="347" s="11" customFormat="1" x14ac:dyDescent="0.25"/>
    <row r="348" s="11" customFormat="1" x14ac:dyDescent="0.25"/>
    <row r="349" s="11" customFormat="1" x14ac:dyDescent="0.25"/>
    <row r="350" s="11" customFormat="1" x14ac:dyDescent="0.25"/>
    <row r="351" s="11" customFormat="1" x14ac:dyDescent="0.25"/>
    <row r="352" s="11" customFormat="1" x14ac:dyDescent="0.25"/>
    <row r="353" s="11" customFormat="1" x14ac:dyDescent="0.25"/>
    <row r="354" s="11" customFormat="1" x14ac:dyDescent="0.25"/>
    <row r="355" s="11" customFormat="1" x14ac:dyDescent="0.25"/>
    <row r="356" s="11" customFormat="1" x14ac:dyDescent="0.25"/>
    <row r="357" s="11" customFormat="1" x14ac:dyDescent="0.25"/>
    <row r="358" s="11" customFormat="1" x14ac:dyDescent="0.25"/>
    <row r="359" s="11" customFormat="1" x14ac:dyDescent="0.25"/>
    <row r="360" s="11" customFormat="1" x14ac:dyDescent="0.25"/>
    <row r="361" s="11" customFormat="1" x14ac:dyDescent="0.25"/>
    <row r="362" s="11" customFormat="1" x14ac:dyDescent="0.25"/>
    <row r="363" s="11" customFormat="1" x14ac:dyDescent="0.25"/>
    <row r="364" s="11" customFormat="1" x14ac:dyDescent="0.25"/>
    <row r="365" s="11" customFormat="1" x14ac:dyDescent="0.25"/>
    <row r="366" s="11" customFormat="1" x14ac:dyDescent="0.25"/>
    <row r="367" s="11" customFormat="1" x14ac:dyDescent="0.25"/>
    <row r="368" s="11" customFormat="1" x14ac:dyDescent="0.25"/>
    <row r="369" s="11" customFormat="1" x14ac:dyDescent="0.25"/>
    <row r="370" s="11" customFormat="1" x14ac:dyDescent="0.25"/>
    <row r="371" s="11" customFormat="1" x14ac:dyDescent="0.25"/>
    <row r="372" s="11" customFormat="1" x14ac:dyDescent="0.25"/>
    <row r="373" s="11" customFormat="1" x14ac:dyDescent="0.25"/>
    <row r="374" s="11" customFormat="1" x14ac:dyDescent="0.25"/>
    <row r="375" s="11" customFormat="1" x14ac:dyDescent="0.25"/>
    <row r="376" s="11" customFormat="1" x14ac:dyDescent="0.25"/>
    <row r="377" s="11" customFormat="1" x14ac:dyDescent="0.25"/>
    <row r="378" s="11" customFormat="1" x14ac:dyDescent="0.25"/>
    <row r="379" s="11" customFormat="1" x14ac:dyDescent="0.25"/>
    <row r="380" s="11" customFormat="1" x14ac:dyDescent="0.25"/>
    <row r="381" s="11" customFormat="1" x14ac:dyDescent="0.25"/>
    <row r="382" s="11" customFormat="1" x14ac:dyDescent="0.25"/>
    <row r="383" s="11" customFormat="1" x14ac:dyDescent="0.25"/>
    <row r="384" s="11" customFormat="1" x14ac:dyDescent="0.25"/>
    <row r="385" s="11" customFormat="1" x14ac:dyDescent="0.25"/>
    <row r="386" s="11" customFormat="1" x14ac:dyDescent="0.25"/>
    <row r="387" s="11" customFormat="1" x14ac:dyDescent="0.25"/>
    <row r="388" s="11" customFormat="1" x14ac:dyDescent="0.25"/>
    <row r="389" s="11" customFormat="1" x14ac:dyDescent="0.25"/>
    <row r="390" s="11" customFormat="1" x14ac:dyDescent="0.25"/>
    <row r="391" s="11" customFormat="1" x14ac:dyDescent="0.25"/>
    <row r="392" s="11" customFormat="1" x14ac:dyDescent="0.25"/>
    <row r="393" s="11" customFormat="1" x14ac:dyDescent="0.25"/>
    <row r="394" s="11" customFormat="1" x14ac:dyDescent="0.25"/>
    <row r="395" s="11" customFormat="1" x14ac:dyDescent="0.25"/>
    <row r="396" s="11" customFormat="1" x14ac:dyDescent="0.25"/>
    <row r="397" s="11" customFormat="1" x14ac:dyDescent="0.25"/>
    <row r="398" s="11" customFormat="1" x14ac:dyDescent="0.25"/>
    <row r="399" s="11" customFormat="1" x14ac:dyDescent="0.25"/>
    <row r="400" s="11" customFormat="1" x14ac:dyDescent="0.25"/>
    <row r="401" s="11" customFormat="1" x14ac:dyDescent="0.25"/>
    <row r="402" s="11" customFormat="1" x14ac:dyDescent="0.25"/>
    <row r="403" s="11" customFormat="1" x14ac:dyDescent="0.25"/>
    <row r="404" s="11" customFormat="1" x14ac:dyDescent="0.25"/>
    <row r="405" s="11" customFormat="1" x14ac:dyDescent="0.25"/>
    <row r="406" s="11" customFormat="1" x14ac:dyDescent="0.25"/>
    <row r="407" s="11" customFormat="1" x14ac:dyDescent="0.25"/>
    <row r="408" s="11" customFormat="1" x14ac:dyDescent="0.25"/>
    <row r="409" s="11" customFormat="1" x14ac:dyDescent="0.25"/>
    <row r="410" s="11" customFormat="1" x14ac:dyDescent="0.25"/>
    <row r="411" s="11" customFormat="1" x14ac:dyDescent="0.25"/>
    <row r="412" s="11" customFormat="1" x14ac:dyDescent="0.25"/>
    <row r="413" s="11" customFormat="1" x14ac:dyDescent="0.25"/>
    <row r="414" s="11" customFormat="1" x14ac:dyDescent="0.25"/>
    <row r="415" s="11" customFormat="1" x14ac:dyDescent="0.25"/>
    <row r="416" s="11" customFormat="1" x14ac:dyDescent="0.25"/>
    <row r="417" s="11" customFormat="1" x14ac:dyDescent="0.25"/>
    <row r="418" s="11" customFormat="1" x14ac:dyDescent="0.25"/>
    <row r="419" s="11" customFormat="1" x14ac:dyDescent="0.25"/>
    <row r="420" s="11" customFormat="1" x14ac:dyDescent="0.25"/>
    <row r="421" s="11" customFormat="1" x14ac:dyDescent="0.25"/>
    <row r="422" s="11" customFormat="1" x14ac:dyDescent="0.25"/>
    <row r="423" s="11" customFormat="1" x14ac:dyDescent="0.25"/>
    <row r="424" s="11" customFormat="1" x14ac:dyDescent="0.25"/>
  </sheetData>
  <sheetProtection password="D997" sheet="1" objects="1" scenarios="1" selectLockedCells="1" selectUnlockedCells="1"/>
  <mergeCells count="2">
    <mergeCell ref="A1:U3"/>
    <mergeCell ref="A4:X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6"/>
  <sheetViews>
    <sheetView showGridLines="0" showRowColHeaders="0" workbookViewId="0">
      <pane ySplit="4" topLeftCell="A5" activePane="bottomLeft" state="frozen"/>
      <selection pane="bottomLeft" activeCell="S12" sqref="S12"/>
    </sheetView>
  </sheetViews>
  <sheetFormatPr defaultRowHeight="15" x14ac:dyDescent="0.25"/>
  <cols>
    <col min="13" max="13" width="13" customWidth="1"/>
    <col min="14" max="14" width="13.5703125" customWidth="1"/>
  </cols>
  <sheetData>
    <row r="1" spans="1:24" x14ac:dyDescent="0.25">
      <c r="A1" s="133"/>
      <c r="B1" s="133"/>
      <c r="C1" s="133"/>
      <c r="D1" s="133"/>
      <c r="E1" s="133"/>
      <c r="F1" s="133"/>
      <c r="G1" s="133"/>
      <c r="H1" s="133"/>
      <c r="I1" s="133"/>
      <c r="J1" s="133"/>
      <c r="K1" s="133"/>
      <c r="L1" s="133"/>
      <c r="M1" s="133"/>
      <c r="N1" s="133"/>
      <c r="O1" s="133"/>
      <c r="P1" s="133"/>
      <c r="Q1" s="133"/>
      <c r="R1" s="133"/>
      <c r="S1" s="133"/>
      <c r="T1" s="133"/>
      <c r="U1" s="133"/>
    </row>
    <row r="2" spans="1:24" x14ac:dyDescent="0.25">
      <c r="A2" s="133"/>
      <c r="B2" s="133"/>
      <c r="C2" s="133"/>
      <c r="D2" s="133"/>
      <c r="E2" s="133"/>
      <c r="F2" s="133"/>
      <c r="G2" s="133"/>
      <c r="H2" s="133"/>
      <c r="I2" s="133"/>
      <c r="J2" s="133"/>
      <c r="K2" s="133"/>
      <c r="L2" s="133"/>
      <c r="M2" s="133"/>
      <c r="N2" s="133"/>
      <c r="O2" s="133"/>
      <c r="P2" s="133"/>
      <c r="Q2" s="133"/>
      <c r="R2" s="133"/>
      <c r="S2" s="133"/>
      <c r="T2" s="133"/>
      <c r="U2" s="133"/>
    </row>
    <row r="3" spans="1:24" x14ac:dyDescent="0.25">
      <c r="A3" s="133"/>
      <c r="B3" s="133"/>
      <c r="C3" s="133"/>
      <c r="D3" s="133"/>
      <c r="E3" s="133"/>
      <c r="F3" s="133"/>
      <c r="G3" s="133"/>
      <c r="H3" s="133"/>
      <c r="I3" s="133"/>
      <c r="J3" s="133"/>
      <c r="K3" s="133"/>
      <c r="L3" s="133"/>
      <c r="M3" s="133"/>
      <c r="N3" s="133"/>
      <c r="O3" s="133"/>
      <c r="P3" s="133"/>
      <c r="Q3" s="133"/>
      <c r="R3" s="133"/>
      <c r="S3" s="133"/>
      <c r="T3" s="133"/>
      <c r="U3" s="133"/>
    </row>
    <row r="4" spans="1:24" ht="12.75" customHeight="1" x14ac:dyDescent="0.25">
      <c r="A4" s="134"/>
      <c r="B4" s="134"/>
      <c r="C4" s="134"/>
      <c r="D4" s="134"/>
      <c r="E4" s="134"/>
      <c r="F4" s="134"/>
      <c r="G4" s="134"/>
      <c r="H4" s="134"/>
      <c r="I4" s="134"/>
      <c r="J4" s="134"/>
      <c r="K4" s="134"/>
      <c r="L4" s="134"/>
      <c r="M4" s="134"/>
      <c r="N4" s="134"/>
      <c r="O4" s="134"/>
      <c r="P4" s="134"/>
      <c r="Q4" s="134"/>
      <c r="R4" s="134"/>
      <c r="S4" s="134"/>
      <c r="T4" s="134"/>
      <c r="U4" s="134"/>
      <c r="V4" s="134"/>
      <c r="W4" s="134"/>
      <c r="X4" s="134"/>
    </row>
    <row r="5" spans="1:24" x14ac:dyDescent="0.25">
      <c r="A5" s="96"/>
      <c r="B5" s="11"/>
      <c r="C5" s="11"/>
      <c r="D5" s="11"/>
      <c r="E5" s="11"/>
      <c r="F5" s="11"/>
      <c r="G5" s="11"/>
      <c r="H5" s="11"/>
      <c r="I5" s="11"/>
      <c r="J5" s="11"/>
      <c r="K5" s="11"/>
      <c r="L5" s="11"/>
      <c r="M5" s="11"/>
      <c r="N5" s="11"/>
      <c r="O5" s="11"/>
      <c r="P5" s="11"/>
      <c r="Q5" s="11"/>
      <c r="R5" s="11"/>
      <c r="S5" s="11"/>
      <c r="T5" s="11"/>
      <c r="U5" s="11"/>
    </row>
    <row r="6" spans="1:24" x14ac:dyDescent="0.25">
      <c r="A6" s="11"/>
      <c r="B6" s="11"/>
      <c r="C6" s="11"/>
      <c r="D6" s="11"/>
      <c r="E6" s="11"/>
      <c r="F6" s="11"/>
      <c r="G6" s="11"/>
      <c r="H6" s="11"/>
      <c r="I6" s="11"/>
      <c r="J6" s="11"/>
      <c r="K6" s="11"/>
      <c r="L6" s="11"/>
      <c r="M6" s="11"/>
      <c r="N6" s="11"/>
      <c r="O6" s="11"/>
      <c r="P6" s="11"/>
      <c r="Q6" s="11"/>
      <c r="R6" s="11"/>
      <c r="S6" s="11"/>
      <c r="T6" s="11"/>
      <c r="U6" s="11"/>
    </row>
    <row r="7" spans="1:24" ht="23.25" x14ac:dyDescent="0.25">
      <c r="A7" s="97"/>
      <c r="B7" s="170" t="s">
        <v>144</v>
      </c>
      <c r="C7" s="170"/>
      <c r="D7" s="170"/>
      <c r="E7" s="170"/>
      <c r="F7" s="170"/>
      <c r="G7" s="170"/>
      <c r="H7" s="170"/>
      <c r="I7" s="170"/>
      <c r="J7" s="170"/>
      <c r="K7" s="170"/>
      <c r="L7" s="170"/>
      <c r="M7" s="170"/>
      <c r="N7" s="170"/>
      <c r="O7" s="170"/>
      <c r="P7" s="170"/>
      <c r="Q7" s="170"/>
      <c r="R7" s="11"/>
      <c r="S7" s="11"/>
      <c r="T7" s="11"/>
      <c r="U7" s="11"/>
    </row>
    <row r="8" spans="1:24" x14ac:dyDescent="0.25">
      <c r="A8" s="96"/>
      <c r="B8" s="11"/>
      <c r="C8" s="11"/>
      <c r="D8" s="11"/>
      <c r="E8" s="11"/>
      <c r="F8" s="11"/>
      <c r="G8" s="11"/>
      <c r="H8" s="11"/>
      <c r="I8" s="11"/>
      <c r="J8" s="11"/>
      <c r="K8" s="11"/>
      <c r="L8" s="11"/>
      <c r="M8" s="11"/>
      <c r="N8" s="11"/>
      <c r="O8" s="11"/>
      <c r="P8" s="11"/>
      <c r="Q8" s="11"/>
      <c r="R8" s="11"/>
      <c r="S8" s="11"/>
      <c r="T8" s="11"/>
      <c r="U8" s="11"/>
    </row>
    <row r="9" spans="1:24" x14ac:dyDescent="0.25">
      <c r="A9" s="11"/>
      <c r="B9" s="11"/>
      <c r="C9" s="11"/>
      <c r="D9" s="11"/>
      <c r="E9" s="11"/>
      <c r="F9" s="11"/>
      <c r="G9" s="11"/>
      <c r="H9" s="11"/>
      <c r="I9" s="11"/>
      <c r="J9" s="11"/>
      <c r="K9" s="11"/>
      <c r="L9" s="11"/>
      <c r="M9" s="11"/>
      <c r="N9" s="11"/>
      <c r="O9" s="11"/>
      <c r="P9" s="11"/>
      <c r="Q9" s="11"/>
      <c r="R9" s="11"/>
      <c r="S9" s="11"/>
      <c r="T9" s="11"/>
      <c r="U9" s="11"/>
    </row>
    <row r="10" spans="1:24" x14ac:dyDescent="0.25">
      <c r="A10" s="11"/>
      <c r="B10" s="11"/>
      <c r="C10" s="11"/>
      <c r="D10" s="11"/>
      <c r="E10" s="11"/>
      <c r="F10" s="11"/>
      <c r="G10" s="11"/>
      <c r="H10" s="11"/>
      <c r="I10" s="11"/>
      <c r="J10" s="11"/>
      <c r="K10" s="11"/>
      <c r="L10" s="11"/>
      <c r="M10" s="11"/>
      <c r="N10" s="11"/>
      <c r="O10" s="11"/>
      <c r="P10" s="11"/>
      <c r="Q10" s="11"/>
      <c r="R10" s="11"/>
      <c r="S10" s="11"/>
      <c r="T10" s="11"/>
      <c r="U10" s="11"/>
    </row>
    <row r="11" spans="1:24" x14ac:dyDescent="0.25">
      <c r="A11" s="11"/>
      <c r="B11" s="11"/>
      <c r="C11" s="11"/>
      <c r="D11" s="11"/>
      <c r="E11" s="11"/>
      <c r="F11" s="11"/>
      <c r="G11" s="11"/>
      <c r="H11" s="11"/>
      <c r="I11" s="11"/>
      <c r="J11" s="11"/>
      <c r="K11" s="11"/>
      <c r="L11" s="11"/>
      <c r="M11" s="11"/>
      <c r="N11" s="11"/>
      <c r="O11" s="11"/>
      <c r="P11" s="11"/>
      <c r="Q11" s="11"/>
      <c r="R11" s="11"/>
      <c r="S11" s="11"/>
      <c r="T11" s="11"/>
      <c r="U11" s="11"/>
    </row>
    <row r="12" spans="1:24" x14ac:dyDescent="0.25">
      <c r="A12" s="11"/>
      <c r="B12" s="11"/>
      <c r="C12" s="11"/>
      <c r="D12" s="11"/>
      <c r="E12" s="11"/>
      <c r="F12" s="11"/>
      <c r="G12" s="11"/>
      <c r="H12" s="11"/>
      <c r="I12" s="11"/>
      <c r="J12" s="11"/>
      <c r="K12" s="11"/>
      <c r="L12" s="11"/>
      <c r="M12" s="11"/>
      <c r="N12" s="11"/>
      <c r="O12" s="11"/>
      <c r="P12" s="11"/>
      <c r="Q12" s="11"/>
      <c r="R12" s="11"/>
      <c r="S12" s="11"/>
      <c r="T12" s="11"/>
      <c r="U12" s="11"/>
    </row>
    <row r="13" spans="1:24" x14ac:dyDescent="0.25">
      <c r="A13" s="11"/>
      <c r="B13" s="11"/>
      <c r="C13" s="11"/>
      <c r="D13" s="11"/>
      <c r="E13" s="11"/>
      <c r="F13" s="11"/>
      <c r="G13" s="11"/>
      <c r="H13" s="11"/>
      <c r="I13" s="11"/>
      <c r="J13" s="11"/>
      <c r="K13" s="11"/>
      <c r="L13" s="11"/>
      <c r="M13" s="11"/>
      <c r="N13" s="11"/>
      <c r="O13" s="11"/>
      <c r="P13" s="11"/>
      <c r="Q13" s="11"/>
      <c r="R13" s="11"/>
      <c r="S13" s="11"/>
      <c r="T13" s="11"/>
      <c r="U13" s="11"/>
    </row>
    <row r="14" spans="1:24" x14ac:dyDescent="0.25">
      <c r="A14" s="11"/>
      <c r="B14" s="11"/>
      <c r="C14" s="11"/>
      <c r="D14" s="11"/>
      <c r="E14" s="11"/>
      <c r="F14" s="11"/>
      <c r="G14" s="11"/>
      <c r="H14" s="11"/>
      <c r="I14" s="11"/>
      <c r="J14" s="11"/>
      <c r="K14" s="11"/>
      <c r="L14" s="11"/>
      <c r="M14" s="11"/>
      <c r="N14" s="11"/>
      <c r="O14" s="11"/>
      <c r="P14" s="11"/>
      <c r="Q14" s="11"/>
      <c r="R14" s="11"/>
      <c r="S14" s="11"/>
      <c r="T14" s="11"/>
      <c r="U14" s="11"/>
    </row>
    <row r="15" spans="1:24" x14ac:dyDescent="0.25">
      <c r="A15" s="11"/>
      <c r="B15" s="11"/>
      <c r="C15" s="11"/>
      <c r="D15" s="11"/>
      <c r="E15" s="11"/>
      <c r="F15" s="11"/>
      <c r="G15" s="11"/>
      <c r="H15" s="11"/>
      <c r="I15" s="11"/>
      <c r="J15" s="11"/>
      <c r="K15" s="11"/>
      <c r="L15" s="11"/>
      <c r="M15" s="11"/>
      <c r="N15" s="11"/>
      <c r="O15" s="11"/>
      <c r="P15" s="11"/>
      <c r="Q15" s="11"/>
      <c r="R15" s="11"/>
      <c r="S15" s="11"/>
      <c r="T15" s="11"/>
      <c r="U15" s="11"/>
    </row>
    <row r="16" spans="1:24" x14ac:dyDescent="0.25">
      <c r="A16" s="11"/>
      <c r="B16" s="11"/>
      <c r="C16" s="11"/>
      <c r="D16" s="11"/>
      <c r="E16" s="11"/>
      <c r="F16" s="11"/>
      <c r="G16" s="11"/>
      <c r="H16" s="11"/>
      <c r="I16" s="11"/>
      <c r="J16" s="11"/>
      <c r="K16" s="11"/>
      <c r="L16" s="11"/>
      <c r="M16" s="11"/>
      <c r="N16" s="11"/>
      <c r="O16" s="11"/>
      <c r="P16" s="11"/>
      <c r="Q16" s="11"/>
      <c r="R16" s="11"/>
      <c r="S16" s="11"/>
      <c r="T16" s="11"/>
      <c r="U16" s="11"/>
    </row>
    <row r="17" spans="1:21" x14ac:dyDescent="0.25">
      <c r="A17" s="11"/>
      <c r="B17" s="11"/>
      <c r="C17" s="11"/>
      <c r="D17" s="11"/>
      <c r="E17" s="11"/>
      <c r="F17" s="11"/>
      <c r="G17" s="11"/>
      <c r="H17" s="11"/>
      <c r="I17" s="11"/>
      <c r="J17" s="11"/>
      <c r="K17" s="11"/>
      <c r="L17" s="11"/>
      <c r="M17" s="11"/>
      <c r="N17" s="11"/>
      <c r="O17" s="11"/>
      <c r="P17" s="11"/>
      <c r="Q17" s="11"/>
      <c r="R17" s="11"/>
      <c r="S17" s="11"/>
      <c r="T17" s="11"/>
      <c r="U17" s="11"/>
    </row>
    <row r="18" spans="1:21" x14ac:dyDescent="0.25">
      <c r="A18" s="11"/>
      <c r="B18" s="11"/>
      <c r="C18" s="11"/>
      <c r="D18" s="11"/>
      <c r="E18" s="11"/>
      <c r="F18" s="11"/>
      <c r="G18" s="11"/>
      <c r="H18" s="11"/>
      <c r="I18" s="11"/>
      <c r="J18" s="11"/>
      <c r="K18" s="11"/>
      <c r="L18" s="11"/>
      <c r="M18" s="11"/>
      <c r="N18" s="11"/>
      <c r="O18" s="11"/>
      <c r="P18" s="11"/>
      <c r="Q18" s="11"/>
      <c r="R18" s="11"/>
      <c r="S18" s="11"/>
      <c r="T18" s="11"/>
      <c r="U18" s="11"/>
    </row>
    <row r="19" spans="1:21" x14ac:dyDescent="0.25">
      <c r="A19" s="11"/>
      <c r="B19" s="11"/>
      <c r="C19" s="11"/>
      <c r="D19" s="11"/>
      <c r="E19" s="11"/>
      <c r="F19" s="11"/>
      <c r="G19" s="11"/>
      <c r="H19" s="11"/>
      <c r="I19" s="11"/>
      <c r="J19" s="11"/>
      <c r="K19" s="11"/>
      <c r="L19" s="11"/>
      <c r="M19" s="11"/>
      <c r="N19" s="11"/>
      <c r="O19" s="11"/>
      <c r="P19" s="11"/>
      <c r="Q19" s="11"/>
      <c r="R19" s="11"/>
      <c r="S19" s="11"/>
      <c r="T19" s="11"/>
      <c r="U19" s="11"/>
    </row>
    <row r="20" spans="1:21" x14ac:dyDescent="0.25">
      <c r="A20" s="11"/>
      <c r="B20" s="11"/>
      <c r="C20" s="11"/>
      <c r="D20" s="11"/>
      <c r="E20" s="11"/>
      <c r="F20" s="11"/>
      <c r="G20" s="11"/>
      <c r="H20" s="11"/>
      <c r="I20" s="11"/>
      <c r="J20" s="11"/>
      <c r="K20" s="11"/>
      <c r="L20" s="11"/>
      <c r="M20" s="11"/>
      <c r="N20" s="11"/>
      <c r="O20" s="11"/>
      <c r="P20" s="11"/>
      <c r="Q20" s="11"/>
      <c r="R20" s="11"/>
      <c r="S20" s="11"/>
      <c r="T20" s="11"/>
      <c r="U20" s="11"/>
    </row>
    <row r="21" spans="1:21" x14ac:dyDescent="0.25">
      <c r="A21" s="11"/>
      <c r="B21" s="11"/>
      <c r="C21" s="11"/>
      <c r="D21" s="11"/>
      <c r="E21" s="11"/>
      <c r="F21" s="11"/>
      <c r="G21" s="11"/>
      <c r="H21" s="11"/>
      <c r="I21" s="11"/>
      <c r="J21" s="11"/>
      <c r="K21" s="11"/>
      <c r="L21" s="11"/>
      <c r="M21" s="11"/>
      <c r="N21" s="11"/>
      <c r="O21" s="11"/>
      <c r="P21" s="11"/>
      <c r="Q21" s="11"/>
      <c r="R21" s="11"/>
      <c r="S21" s="11"/>
      <c r="T21" s="11"/>
      <c r="U21" s="11"/>
    </row>
    <row r="22" spans="1:21" x14ac:dyDescent="0.25">
      <c r="A22" s="11"/>
      <c r="B22" s="11"/>
      <c r="C22" s="11"/>
      <c r="D22" s="11"/>
      <c r="E22" s="11"/>
      <c r="F22" s="11"/>
      <c r="G22" s="11"/>
      <c r="H22" s="11"/>
      <c r="I22" s="11"/>
      <c r="J22" s="11"/>
      <c r="K22" s="11"/>
      <c r="L22" s="11"/>
      <c r="M22" s="11"/>
      <c r="N22" s="11"/>
      <c r="O22" s="11"/>
      <c r="P22" s="11"/>
      <c r="Q22" s="11"/>
      <c r="R22" s="11"/>
      <c r="S22" s="11"/>
      <c r="T22" s="11"/>
      <c r="U22" s="11"/>
    </row>
    <row r="23" spans="1:21" x14ac:dyDescent="0.25">
      <c r="A23" s="11"/>
      <c r="B23" s="11"/>
      <c r="C23" s="11"/>
      <c r="D23" s="11"/>
      <c r="E23" s="11"/>
      <c r="F23" s="11"/>
      <c r="G23" s="11"/>
      <c r="H23" s="11"/>
      <c r="I23" s="11"/>
      <c r="J23" s="11"/>
      <c r="K23" s="11"/>
      <c r="L23" s="11"/>
      <c r="M23" s="11"/>
      <c r="N23" s="11"/>
      <c r="O23" s="11"/>
      <c r="P23" s="11"/>
      <c r="Q23" s="11"/>
      <c r="R23" s="11"/>
      <c r="S23" s="11"/>
      <c r="T23" s="11"/>
      <c r="U23" s="11"/>
    </row>
    <row r="24" spans="1:21" x14ac:dyDescent="0.25">
      <c r="A24" s="11"/>
      <c r="B24" s="11"/>
      <c r="C24" s="11"/>
      <c r="D24" s="11"/>
      <c r="E24" s="11"/>
      <c r="F24" s="11"/>
      <c r="G24" s="11"/>
      <c r="H24" s="11"/>
      <c r="I24" s="11"/>
      <c r="J24" s="11"/>
      <c r="K24" s="11"/>
      <c r="L24" s="11"/>
      <c r="M24" s="11"/>
      <c r="N24" s="11"/>
      <c r="O24" s="11"/>
      <c r="P24" s="11"/>
      <c r="Q24" s="11"/>
      <c r="R24" s="11"/>
      <c r="S24" s="11"/>
      <c r="T24" s="11"/>
      <c r="U24" s="11"/>
    </row>
    <row r="25" spans="1:21" x14ac:dyDescent="0.25">
      <c r="A25" s="11"/>
      <c r="B25" s="11"/>
      <c r="C25" s="11"/>
      <c r="D25" s="11"/>
      <c r="E25" s="11"/>
      <c r="F25" s="11"/>
      <c r="G25" s="11"/>
      <c r="H25" s="11"/>
      <c r="I25" s="11"/>
      <c r="J25" s="11"/>
      <c r="K25" s="11"/>
      <c r="L25" s="11"/>
      <c r="M25" s="11"/>
      <c r="N25" s="11"/>
      <c r="O25" s="11"/>
      <c r="P25" s="11"/>
      <c r="Q25" s="11"/>
      <c r="R25" s="11"/>
      <c r="S25" s="11"/>
      <c r="T25" s="11"/>
      <c r="U25" s="11"/>
    </row>
    <row r="26" spans="1:21" x14ac:dyDescent="0.25">
      <c r="A26" s="11"/>
      <c r="B26" s="11"/>
      <c r="C26" s="11"/>
      <c r="D26" s="11"/>
      <c r="E26" s="11"/>
      <c r="F26" s="11"/>
      <c r="G26" s="11"/>
      <c r="H26" s="11"/>
      <c r="I26" s="11"/>
      <c r="J26" s="11"/>
      <c r="K26" s="11"/>
      <c r="L26" s="11"/>
      <c r="M26" s="11"/>
      <c r="N26" s="11"/>
      <c r="O26" s="11"/>
      <c r="P26" s="11"/>
      <c r="Q26" s="11"/>
      <c r="R26" s="11"/>
      <c r="S26" s="11"/>
      <c r="T26" s="11"/>
      <c r="U26" s="11"/>
    </row>
    <row r="27" spans="1:21" x14ac:dyDescent="0.25">
      <c r="A27" s="11"/>
      <c r="B27" s="11"/>
      <c r="C27" s="11"/>
      <c r="D27" s="11"/>
      <c r="E27" s="11"/>
      <c r="F27" s="11"/>
      <c r="G27" s="11"/>
      <c r="H27" s="11"/>
      <c r="I27" s="11"/>
      <c r="J27" s="11"/>
      <c r="K27" s="11"/>
      <c r="L27" s="11"/>
      <c r="M27" s="11"/>
      <c r="N27" s="11"/>
      <c r="O27" s="11"/>
      <c r="P27" s="11"/>
      <c r="Q27" s="11"/>
      <c r="R27" s="11"/>
      <c r="S27" s="11"/>
      <c r="T27" s="11"/>
      <c r="U27" s="11"/>
    </row>
    <row r="28" spans="1:21" x14ac:dyDescent="0.25">
      <c r="A28" s="11"/>
      <c r="B28" s="11"/>
      <c r="C28" s="11"/>
      <c r="D28" s="11"/>
      <c r="E28" s="11"/>
      <c r="F28" s="11"/>
      <c r="G28" s="11"/>
      <c r="H28" s="11"/>
      <c r="I28" s="11"/>
      <c r="J28" s="11"/>
      <c r="K28" s="11"/>
      <c r="L28" s="11"/>
      <c r="M28" s="11"/>
      <c r="N28" s="11"/>
      <c r="O28" s="11"/>
      <c r="P28" s="11"/>
      <c r="Q28" s="11"/>
      <c r="R28" s="11"/>
      <c r="S28" s="11"/>
      <c r="T28" s="11"/>
      <c r="U28" s="11"/>
    </row>
    <row r="29" spans="1:21" x14ac:dyDescent="0.25">
      <c r="A29" s="11"/>
      <c r="B29" s="11"/>
      <c r="C29" s="11"/>
      <c r="D29" s="11"/>
      <c r="E29" s="11"/>
      <c r="F29" s="11"/>
      <c r="G29" s="11"/>
      <c r="H29" s="11"/>
      <c r="I29" s="11"/>
      <c r="J29" s="11"/>
      <c r="K29" s="11"/>
      <c r="L29" s="11"/>
      <c r="M29" s="11"/>
      <c r="N29" s="11"/>
      <c r="O29" s="11"/>
      <c r="P29" s="11"/>
      <c r="Q29" s="11"/>
      <c r="R29" s="11"/>
      <c r="S29" s="11"/>
      <c r="T29" s="11"/>
      <c r="U29" s="11"/>
    </row>
    <row r="30" spans="1:21" x14ac:dyDescent="0.25">
      <c r="A30" s="11"/>
      <c r="B30" s="11"/>
      <c r="C30" s="11"/>
      <c r="D30" s="11"/>
      <c r="E30" s="11"/>
      <c r="F30" s="11"/>
      <c r="G30" s="11"/>
      <c r="H30" s="11"/>
      <c r="I30" s="11"/>
      <c r="J30" s="11"/>
      <c r="K30" s="11"/>
      <c r="L30" s="11"/>
      <c r="M30" s="11"/>
      <c r="N30" s="11"/>
      <c r="O30" s="11"/>
      <c r="P30" s="11"/>
      <c r="Q30" s="11"/>
      <c r="R30" s="11"/>
      <c r="S30" s="11"/>
      <c r="T30" s="11"/>
      <c r="U30" s="11"/>
    </row>
    <row r="31" spans="1:21" x14ac:dyDescent="0.25">
      <c r="A31" s="11"/>
      <c r="B31" s="11"/>
      <c r="C31" s="11"/>
      <c r="D31" s="11"/>
      <c r="E31" s="11"/>
      <c r="F31" s="11"/>
      <c r="G31" s="11"/>
      <c r="H31" s="11"/>
      <c r="I31" s="11"/>
      <c r="J31" s="11"/>
      <c r="K31" s="11"/>
      <c r="L31" s="11"/>
      <c r="M31" s="11"/>
      <c r="N31" s="11"/>
      <c r="O31" s="11"/>
      <c r="P31" s="11"/>
      <c r="Q31" s="11"/>
      <c r="R31" s="11"/>
      <c r="S31" s="11"/>
      <c r="T31" s="11"/>
      <c r="U31" s="11"/>
    </row>
    <row r="32" spans="1:21" x14ac:dyDescent="0.25">
      <c r="A32" s="11"/>
      <c r="B32" s="11"/>
      <c r="C32" s="11"/>
      <c r="D32" s="11"/>
      <c r="E32" s="11"/>
      <c r="F32" s="11"/>
      <c r="G32" s="11"/>
      <c r="H32" s="11"/>
      <c r="I32" s="11"/>
      <c r="J32" s="11"/>
      <c r="K32" s="11"/>
      <c r="L32" s="11"/>
      <c r="M32" s="11"/>
      <c r="N32" s="11"/>
      <c r="O32" s="11"/>
      <c r="P32" s="11"/>
      <c r="Q32" s="11"/>
      <c r="R32" s="11"/>
      <c r="S32" s="11"/>
      <c r="T32" s="11"/>
      <c r="U32" s="11"/>
    </row>
    <row r="33" spans="1:21" x14ac:dyDescent="0.25">
      <c r="A33" s="11"/>
      <c r="B33" s="11"/>
      <c r="C33" s="11"/>
      <c r="D33" s="11"/>
      <c r="E33" s="11"/>
      <c r="F33" s="11"/>
      <c r="G33" s="11"/>
      <c r="H33" s="11"/>
      <c r="I33" s="11"/>
      <c r="J33" s="11"/>
      <c r="K33" s="11"/>
      <c r="L33" s="11"/>
      <c r="M33" s="11"/>
      <c r="N33" s="11"/>
      <c r="O33" s="11"/>
      <c r="P33" s="11"/>
      <c r="Q33" s="11"/>
      <c r="R33" s="11"/>
      <c r="S33" s="11"/>
      <c r="T33" s="11"/>
      <c r="U33" s="11"/>
    </row>
    <row r="34" spans="1:21" x14ac:dyDescent="0.25">
      <c r="A34" s="11"/>
      <c r="B34" s="11"/>
      <c r="C34" s="11"/>
      <c r="D34" s="11"/>
      <c r="E34" s="11"/>
      <c r="F34" s="11"/>
      <c r="G34" s="11"/>
      <c r="H34" s="11"/>
      <c r="I34" s="11"/>
      <c r="J34" s="11"/>
      <c r="K34" s="11"/>
      <c r="L34" s="11"/>
      <c r="M34" s="11"/>
      <c r="N34" s="11"/>
      <c r="O34" s="11"/>
      <c r="P34" s="11"/>
      <c r="Q34" s="11"/>
      <c r="R34" s="11"/>
      <c r="S34" s="11"/>
      <c r="T34" s="11"/>
      <c r="U34" s="11"/>
    </row>
    <row r="35" spans="1:21" x14ac:dyDescent="0.25">
      <c r="A35" s="11"/>
      <c r="B35" s="11"/>
      <c r="C35" s="11"/>
      <c r="D35" s="11"/>
      <c r="E35" s="11"/>
      <c r="F35" s="11"/>
      <c r="G35" s="11"/>
      <c r="H35" s="11"/>
      <c r="I35" s="11"/>
      <c r="J35" s="11"/>
      <c r="K35" s="11"/>
      <c r="L35" s="11"/>
      <c r="M35" s="11"/>
      <c r="N35" s="11"/>
      <c r="O35" s="11"/>
      <c r="P35" s="11"/>
      <c r="Q35" s="11"/>
      <c r="R35" s="11"/>
      <c r="S35" s="11"/>
      <c r="T35" s="11"/>
      <c r="U35" s="11"/>
    </row>
    <row r="36" spans="1:21" x14ac:dyDescent="0.25">
      <c r="A36" s="11"/>
      <c r="B36" s="11"/>
      <c r="C36" s="11"/>
      <c r="D36" s="11"/>
      <c r="E36" s="11"/>
      <c r="F36" s="11"/>
      <c r="G36" s="11"/>
      <c r="H36" s="11"/>
      <c r="I36" s="11"/>
      <c r="J36" s="11"/>
      <c r="K36" s="11"/>
      <c r="L36" s="11"/>
      <c r="M36" s="11"/>
      <c r="N36" s="11"/>
      <c r="O36" s="11"/>
      <c r="P36" s="11"/>
      <c r="Q36" s="11"/>
      <c r="R36" s="11"/>
      <c r="S36" s="11"/>
      <c r="T36" s="11"/>
      <c r="U36" s="11"/>
    </row>
  </sheetData>
  <sheetProtection password="D997" sheet="1" objects="1" scenarios="1" selectLockedCells="1" selectUnlockedCells="1"/>
  <mergeCells count="3">
    <mergeCell ref="A1:U3"/>
    <mergeCell ref="A4:X4"/>
    <mergeCell ref="B7:Q7"/>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
  <sheetViews>
    <sheetView showGridLines="0" showRowColHeaders="0" workbookViewId="0">
      <selection activeCell="H12" sqref="H12"/>
    </sheetView>
  </sheetViews>
  <sheetFormatPr defaultRowHeight="15" x14ac:dyDescent="0.25"/>
  <cols>
    <col min="1" max="1" width="4.5703125" customWidth="1"/>
    <col min="2" max="2" width="18.5703125" customWidth="1"/>
    <col min="3" max="3" width="52" customWidth="1"/>
    <col min="4" max="4" width="11" customWidth="1"/>
    <col min="9" max="9" width="18.85546875" customWidth="1"/>
    <col min="10" max="10" width="11.85546875" customWidth="1"/>
  </cols>
  <sheetData>
    <row r="1" spans="1:22" x14ac:dyDescent="0.25">
      <c r="A1" s="133"/>
      <c r="B1" s="133"/>
      <c r="C1" s="133"/>
      <c r="D1" s="133"/>
      <c r="E1" s="133"/>
      <c r="F1" s="133"/>
      <c r="G1" s="133"/>
      <c r="H1" s="133"/>
      <c r="I1" s="133"/>
      <c r="J1" s="133"/>
      <c r="K1" s="133"/>
      <c r="L1" s="133"/>
      <c r="M1" s="133"/>
      <c r="N1" s="133"/>
      <c r="O1" s="133"/>
      <c r="P1" s="133"/>
      <c r="Q1" s="133"/>
      <c r="R1" s="133"/>
      <c r="S1" s="133"/>
      <c r="T1" s="133"/>
      <c r="U1" s="133"/>
      <c r="V1" s="133"/>
    </row>
    <row r="2" spans="1:22" x14ac:dyDescent="0.25">
      <c r="A2" s="133"/>
      <c r="B2" s="133"/>
      <c r="C2" s="133"/>
      <c r="D2" s="133"/>
      <c r="E2" s="133"/>
      <c r="F2" s="133"/>
      <c r="G2" s="133"/>
      <c r="H2" s="133"/>
      <c r="I2" s="133"/>
      <c r="J2" s="133"/>
      <c r="K2" s="133"/>
      <c r="L2" s="133"/>
      <c r="M2" s="133"/>
      <c r="N2" s="133"/>
      <c r="O2" s="133"/>
      <c r="P2" s="133"/>
      <c r="Q2" s="133"/>
      <c r="R2" s="133"/>
      <c r="S2" s="133"/>
      <c r="T2" s="133"/>
      <c r="U2" s="133"/>
      <c r="V2" s="133"/>
    </row>
    <row r="3" spans="1:22" x14ac:dyDescent="0.25">
      <c r="A3" s="133"/>
      <c r="B3" s="133"/>
      <c r="C3" s="133"/>
      <c r="D3" s="133"/>
      <c r="E3" s="133"/>
      <c r="F3" s="133"/>
      <c r="G3" s="133"/>
      <c r="H3" s="133"/>
      <c r="I3" s="133"/>
      <c r="J3" s="133"/>
      <c r="K3" s="133"/>
      <c r="L3" s="133"/>
      <c r="M3" s="133"/>
      <c r="N3" s="133"/>
      <c r="O3" s="133"/>
      <c r="P3" s="133"/>
      <c r="Q3" s="133"/>
      <c r="R3" s="133"/>
      <c r="S3" s="133"/>
      <c r="T3" s="133"/>
      <c r="U3" s="133"/>
      <c r="V3" s="133"/>
    </row>
    <row r="4" spans="1:22" ht="12.75" customHeight="1" x14ac:dyDescent="0.25">
      <c r="A4" s="134"/>
      <c r="B4" s="134"/>
      <c r="C4" s="134"/>
      <c r="D4" s="134"/>
      <c r="E4" s="134"/>
      <c r="F4" s="134"/>
      <c r="G4" s="134"/>
      <c r="H4" s="134"/>
      <c r="I4" s="134"/>
      <c r="J4" s="134"/>
      <c r="K4" s="134"/>
      <c r="L4" s="134"/>
      <c r="M4" s="134"/>
      <c r="N4" s="134"/>
      <c r="O4" s="134"/>
      <c r="P4" s="134"/>
      <c r="Q4" s="134"/>
      <c r="R4" s="134"/>
      <c r="S4" s="134"/>
      <c r="T4" s="134"/>
      <c r="U4" s="134"/>
      <c r="V4" s="134"/>
    </row>
    <row r="5" spans="1:22" ht="15.75" x14ac:dyDescent="0.25">
      <c r="B5" s="98" t="s">
        <v>145</v>
      </c>
      <c r="C5" s="99" t="s">
        <v>146</v>
      </c>
    </row>
    <row r="6" spans="1:22" x14ac:dyDescent="0.25">
      <c r="I6" s="100" t="s">
        <v>147</v>
      </c>
      <c r="J6" s="101"/>
    </row>
    <row r="7" spans="1:22" x14ac:dyDescent="0.25">
      <c r="I7" s="102" t="s">
        <v>148</v>
      </c>
      <c r="J7" s="171" t="s">
        <v>149</v>
      </c>
      <c r="K7" s="171"/>
      <c r="L7" s="171"/>
      <c r="M7" s="171"/>
      <c r="N7" s="171"/>
      <c r="O7" s="171"/>
      <c r="P7" s="171"/>
    </row>
    <row r="8" spans="1:22" x14ac:dyDescent="0.25">
      <c r="I8" s="103" t="s">
        <v>146</v>
      </c>
      <c r="J8" s="172" t="s">
        <v>150</v>
      </c>
      <c r="K8" s="172"/>
      <c r="L8" s="172"/>
      <c r="M8" s="172"/>
      <c r="N8" s="172"/>
      <c r="O8" s="172"/>
      <c r="P8" s="172"/>
    </row>
    <row r="20" spans="4:4" x14ac:dyDescent="0.25">
      <c r="D20" s="104"/>
    </row>
  </sheetData>
  <sheetProtection password="D997" sheet="1" objects="1" scenarios="1" selectLockedCells="1" selectUnlockedCells="1"/>
  <mergeCells count="4">
    <mergeCell ref="A1:V3"/>
    <mergeCell ref="A4:V4"/>
    <mergeCell ref="J7:P7"/>
    <mergeCell ref="J8:P8"/>
  </mergeCells>
  <pageMargins left="0.7" right="0.7" top="0.75" bottom="0.75" header="0.3" footer="0.3"/>
  <pageSetup paperSize="9" orientation="portrait" r:id="rId1"/>
  <ignoredErrors>
    <ignoredError sqref="C5" numberStoredAsText="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showGridLines="0" showRowColHeaders="0" workbookViewId="0">
      <pane ySplit="4" topLeftCell="A5" activePane="bottomLeft" state="frozen"/>
      <selection pane="bottomLeft" activeCell="B57" sqref="B57"/>
    </sheetView>
  </sheetViews>
  <sheetFormatPr defaultRowHeight="15" x14ac:dyDescent="0.25"/>
  <cols>
    <col min="4" max="4" width="9.140625" customWidth="1"/>
  </cols>
  <sheetData>
    <row r="1" spans="1:25" x14ac:dyDescent="0.25">
      <c r="A1" s="133"/>
      <c r="B1" s="133"/>
      <c r="C1" s="133"/>
      <c r="D1" s="133"/>
      <c r="E1" s="133"/>
      <c r="F1" s="133"/>
      <c r="G1" s="133"/>
      <c r="H1" s="133"/>
      <c r="I1" s="133"/>
      <c r="J1" s="133"/>
      <c r="K1" s="133"/>
      <c r="L1" s="133"/>
      <c r="M1" s="133"/>
      <c r="N1" s="133"/>
      <c r="O1" s="133"/>
      <c r="P1" s="133"/>
      <c r="Q1" s="133"/>
      <c r="R1" s="133"/>
      <c r="S1" s="133"/>
      <c r="T1" s="133"/>
      <c r="U1" s="133"/>
      <c r="V1" s="133"/>
      <c r="W1" s="133"/>
      <c r="X1" s="133"/>
    </row>
    <row r="2" spans="1:25" x14ac:dyDescent="0.25">
      <c r="A2" s="133"/>
      <c r="B2" s="133"/>
      <c r="C2" s="133"/>
      <c r="D2" s="133"/>
      <c r="E2" s="133"/>
      <c r="F2" s="133"/>
      <c r="G2" s="133"/>
      <c r="H2" s="133"/>
      <c r="I2" s="133"/>
      <c r="J2" s="133"/>
      <c r="K2" s="133"/>
      <c r="L2" s="133"/>
      <c r="M2" s="133"/>
      <c r="N2" s="133"/>
      <c r="O2" s="133"/>
      <c r="P2" s="133"/>
      <c r="Q2" s="133"/>
      <c r="R2" s="133"/>
      <c r="S2" s="133"/>
      <c r="T2" s="133"/>
      <c r="U2" s="133"/>
      <c r="V2" s="133"/>
      <c r="W2" s="133"/>
      <c r="X2" s="133"/>
    </row>
    <row r="3" spans="1:25" x14ac:dyDescent="0.25">
      <c r="A3" s="133"/>
      <c r="B3" s="133"/>
      <c r="C3" s="133"/>
      <c r="D3" s="133"/>
      <c r="E3" s="133"/>
      <c r="F3" s="133"/>
      <c r="G3" s="133"/>
      <c r="H3" s="133"/>
      <c r="I3" s="133"/>
      <c r="J3" s="133"/>
      <c r="K3" s="133"/>
      <c r="L3" s="133"/>
      <c r="M3" s="133"/>
      <c r="N3" s="133"/>
      <c r="O3" s="133"/>
      <c r="P3" s="133"/>
      <c r="Q3" s="133"/>
      <c r="R3" s="133"/>
      <c r="S3" s="133"/>
      <c r="T3" s="133"/>
      <c r="U3" s="133"/>
      <c r="V3" s="133"/>
      <c r="W3" s="133"/>
      <c r="X3" s="133"/>
    </row>
    <row r="4" spans="1:25" ht="12.75" customHeight="1" x14ac:dyDescent="0.25">
      <c r="A4" s="134"/>
      <c r="B4" s="134"/>
      <c r="C4" s="134"/>
      <c r="D4" s="134"/>
      <c r="E4" s="134"/>
      <c r="F4" s="134"/>
      <c r="G4" s="134"/>
      <c r="H4" s="134"/>
      <c r="I4" s="134"/>
      <c r="J4" s="134"/>
      <c r="K4" s="134"/>
      <c r="L4" s="134"/>
      <c r="M4" s="134"/>
      <c r="N4" s="134"/>
      <c r="O4" s="134"/>
      <c r="P4" s="134"/>
      <c r="Q4" s="134"/>
      <c r="R4" s="134"/>
      <c r="S4" s="134"/>
      <c r="T4" s="134"/>
      <c r="U4" s="134"/>
      <c r="V4" s="134"/>
      <c r="W4" s="134"/>
      <c r="X4" s="134"/>
      <c r="Y4" s="134"/>
    </row>
    <row r="7" spans="1:25" ht="18" customHeight="1" x14ac:dyDescent="0.25">
      <c r="A7" s="105" t="s">
        <v>151</v>
      </c>
      <c r="B7" s="105"/>
      <c r="C7" s="105"/>
      <c r="D7" s="105"/>
      <c r="E7" s="105"/>
      <c r="F7" s="105"/>
      <c r="G7" s="105"/>
      <c r="H7" s="105"/>
      <c r="I7" s="105"/>
      <c r="J7" s="105"/>
      <c r="K7" s="105"/>
      <c r="L7" s="105"/>
      <c r="M7" s="105"/>
      <c r="N7" s="105"/>
      <c r="O7" s="105"/>
      <c r="P7" s="105"/>
      <c r="Q7" s="105"/>
      <c r="R7" s="105"/>
    </row>
    <row r="9" spans="1:25" ht="15.75" x14ac:dyDescent="0.25">
      <c r="A9" s="79" t="s">
        <v>152</v>
      </c>
    </row>
    <row r="10" spans="1:25" ht="124.5" customHeight="1" x14ac:dyDescent="0.25">
      <c r="A10" s="174" t="s">
        <v>176</v>
      </c>
      <c r="B10" s="175"/>
      <c r="C10" s="175"/>
      <c r="D10" s="175"/>
      <c r="E10" s="175"/>
      <c r="F10" s="175"/>
      <c r="G10" s="175"/>
      <c r="H10" s="175"/>
      <c r="I10" s="175"/>
      <c r="J10" s="175"/>
      <c r="K10" s="175"/>
      <c r="L10" s="175"/>
      <c r="M10" s="175"/>
      <c r="N10" s="175"/>
      <c r="O10" s="175"/>
      <c r="P10" s="175"/>
      <c r="Q10" s="175"/>
      <c r="R10" s="175"/>
    </row>
    <row r="12" spans="1:25" ht="15.75" x14ac:dyDescent="0.25">
      <c r="A12" s="106" t="s">
        <v>153</v>
      </c>
      <c r="B12" s="81"/>
      <c r="C12" s="81"/>
      <c r="D12" s="81"/>
      <c r="E12" s="132" t="s">
        <v>158</v>
      </c>
      <c r="F12" s="107"/>
      <c r="G12" s="107"/>
      <c r="H12" s="107"/>
      <c r="I12" s="81"/>
      <c r="J12" s="81"/>
      <c r="K12" s="81"/>
      <c r="L12" s="81"/>
      <c r="M12" s="81"/>
      <c r="N12" s="81"/>
      <c r="O12" s="81"/>
      <c r="P12" s="81"/>
      <c r="Q12" s="81"/>
      <c r="R12" s="81"/>
    </row>
    <row r="13" spans="1:25" ht="15.75" x14ac:dyDescent="0.25">
      <c r="A13" s="108"/>
      <c r="B13" s="108"/>
      <c r="C13" s="108"/>
      <c r="D13" s="108"/>
      <c r="E13" s="108"/>
      <c r="F13" s="108"/>
      <c r="G13" s="108"/>
      <c r="H13" s="108"/>
      <c r="I13" s="108"/>
      <c r="J13" s="108"/>
      <c r="K13" s="108"/>
      <c r="L13" s="108"/>
      <c r="M13" s="108"/>
      <c r="N13" s="108"/>
      <c r="O13" s="108"/>
      <c r="P13" s="81"/>
      <c r="Q13" s="81"/>
      <c r="R13" s="81"/>
    </row>
    <row r="14" spans="1:25" ht="15.75" x14ac:dyDescent="0.25">
      <c r="A14" s="109" t="s">
        <v>156</v>
      </c>
      <c r="B14" s="108"/>
      <c r="C14" s="108"/>
      <c r="D14" s="108"/>
      <c r="E14" s="108"/>
      <c r="F14" s="108"/>
      <c r="G14" s="108"/>
      <c r="H14" s="108"/>
      <c r="I14" s="108"/>
      <c r="J14" s="108"/>
      <c r="K14" s="108"/>
      <c r="L14" s="108"/>
      <c r="M14" s="108"/>
      <c r="N14" s="108"/>
      <c r="O14" s="108"/>
      <c r="P14" s="81"/>
      <c r="Q14" s="81"/>
      <c r="R14" s="81"/>
    </row>
    <row r="15" spans="1:25" ht="15.75" x14ac:dyDescent="0.25">
      <c r="A15" s="108"/>
      <c r="B15" s="176" t="s">
        <v>157</v>
      </c>
      <c r="C15" s="176"/>
      <c r="D15" s="176"/>
      <c r="E15" s="176"/>
      <c r="F15" s="176"/>
      <c r="G15" s="176"/>
      <c r="H15" s="176"/>
      <c r="I15" s="108"/>
      <c r="J15" s="108"/>
      <c r="K15" s="108"/>
      <c r="L15" s="108"/>
      <c r="M15" s="108"/>
      <c r="N15" s="108"/>
      <c r="O15" s="108"/>
      <c r="P15" s="81"/>
      <c r="Q15" s="81"/>
      <c r="R15" s="81"/>
    </row>
    <row r="16" spans="1:25" ht="15.75" x14ac:dyDescent="0.25">
      <c r="A16" s="108"/>
      <c r="B16" s="108"/>
      <c r="C16" s="108"/>
      <c r="D16" s="108"/>
      <c r="E16" s="108"/>
      <c r="F16" s="108"/>
      <c r="G16" s="108"/>
      <c r="H16" s="108"/>
      <c r="I16" s="108"/>
      <c r="J16" s="108"/>
      <c r="K16" s="108"/>
      <c r="L16" s="108"/>
      <c r="M16" s="108"/>
      <c r="N16" s="108"/>
      <c r="O16" s="108"/>
      <c r="P16" s="81"/>
      <c r="Q16" s="81"/>
      <c r="R16" s="81"/>
    </row>
    <row r="17" spans="1:18" ht="15.75" x14ac:dyDescent="0.25">
      <c r="A17" s="79" t="s">
        <v>154</v>
      </c>
      <c r="B17" s="108"/>
      <c r="C17" s="108"/>
      <c r="D17" s="108"/>
      <c r="E17" s="108"/>
      <c r="F17" s="108"/>
      <c r="G17" s="108"/>
      <c r="H17" s="108"/>
      <c r="I17" s="108"/>
      <c r="J17" s="108"/>
      <c r="K17" s="108"/>
      <c r="L17" s="108"/>
      <c r="M17" s="108"/>
      <c r="N17" s="108"/>
      <c r="O17" s="108"/>
      <c r="P17" s="81"/>
      <c r="Q17" s="81"/>
      <c r="R17" s="81"/>
    </row>
    <row r="18" spans="1:18" ht="16.5" x14ac:dyDescent="0.25">
      <c r="A18" s="110"/>
      <c r="B18" s="173" t="s">
        <v>155</v>
      </c>
      <c r="C18" s="173"/>
      <c r="D18" s="173"/>
      <c r="E18" s="108"/>
      <c r="F18" s="108"/>
      <c r="G18" s="108"/>
      <c r="H18" s="108"/>
      <c r="I18" s="108"/>
      <c r="J18" s="108"/>
      <c r="K18" s="108"/>
      <c r="L18" s="108"/>
      <c r="M18" s="108"/>
      <c r="N18" s="108"/>
      <c r="O18" s="108"/>
      <c r="P18" s="81"/>
      <c r="Q18" s="81"/>
      <c r="R18" s="81"/>
    </row>
    <row r="19" spans="1:18" ht="15.75" x14ac:dyDescent="0.25">
      <c r="A19" s="108"/>
      <c r="B19" s="108"/>
      <c r="C19" s="108"/>
      <c r="D19" s="108"/>
      <c r="E19" s="108"/>
      <c r="F19" s="108"/>
      <c r="G19" s="108"/>
      <c r="H19" s="108"/>
      <c r="I19" s="108"/>
      <c r="J19" s="108"/>
      <c r="K19" s="108"/>
      <c r="L19" s="108"/>
      <c r="M19" s="108"/>
      <c r="N19" s="108"/>
      <c r="O19" s="108"/>
      <c r="P19" s="81"/>
      <c r="Q19" s="81"/>
      <c r="R19" s="81"/>
    </row>
    <row r="20" spans="1:18" ht="15.75" x14ac:dyDescent="0.25">
      <c r="A20" s="108"/>
      <c r="B20" s="108"/>
      <c r="C20" s="108"/>
      <c r="D20" s="108"/>
      <c r="E20" s="108"/>
      <c r="F20" s="108"/>
      <c r="G20" s="108"/>
      <c r="H20" s="108"/>
      <c r="I20" s="108"/>
      <c r="J20" s="108"/>
      <c r="K20" s="108"/>
      <c r="L20" s="108"/>
      <c r="M20" s="108"/>
      <c r="N20" s="108"/>
      <c r="O20" s="108"/>
      <c r="P20" s="81"/>
      <c r="Q20" s="81"/>
      <c r="R20" s="81"/>
    </row>
    <row r="21" spans="1:18" ht="15.75" x14ac:dyDescent="0.25">
      <c r="A21" s="108"/>
      <c r="B21" s="108"/>
      <c r="C21" s="108"/>
      <c r="D21" s="108"/>
      <c r="E21" s="108"/>
      <c r="F21" s="108"/>
      <c r="G21" s="108"/>
      <c r="H21" s="108"/>
      <c r="I21" s="108"/>
      <c r="J21" s="108"/>
      <c r="K21" s="108"/>
      <c r="L21" s="108"/>
      <c r="M21" s="108"/>
      <c r="N21" s="108"/>
      <c r="O21" s="108"/>
      <c r="P21" s="81"/>
      <c r="Q21" s="81"/>
      <c r="R21" s="81"/>
    </row>
    <row r="22" spans="1:18" ht="15.75" x14ac:dyDescent="0.25">
      <c r="A22" s="108"/>
      <c r="B22" s="108"/>
      <c r="C22" s="108"/>
      <c r="D22" s="108"/>
      <c r="E22" s="108"/>
      <c r="F22" s="108"/>
      <c r="G22" s="108"/>
      <c r="H22" s="108"/>
      <c r="I22" s="108"/>
      <c r="J22" s="108"/>
      <c r="K22" s="108"/>
      <c r="L22" s="108"/>
      <c r="M22" s="108"/>
      <c r="N22" s="108"/>
      <c r="O22" s="108"/>
      <c r="P22" s="81"/>
      <c r="Q22" s="81"/>
      <c r="R22" s="81"/>
    </row>
    <row r="23" spans="1:18" ht="15.75" x14ac:dyDescent="0.25">
      <c r="A23" s="108"/>
      <c r="B23" s="108"/>
      <c r="C23" s="108"/>
      <c r="D23" s="108"/>
      <c r="E23" s="108"/>
      <c r="F23" s="108"/>
      <c r="G23" s="108"/>
      <c r="H23" s="108"/>
      <c r="I23" s="108"/>
      <c r="J23" s="108"/>
      <c r="K23" s="108"/>
      <c r="L23" s="108"/>
      <c r="M23" s="108"/>
      <c r="N23" s="108"/>
      <c r="O23" s="108"/>
      <c r="P23" s="81"/>
      <c r="Q23" s="81"/>
      <c r="R23" s="81"/>
    </row>
    <row r="24" spans="1:18" ht="15.75" x14ac:dyDescent="0.25">
      <c r="A24" s="108"/>
      <c r="B24" s="108"/>
      <c r="C24" s="108"/>
      <c r="D24" s="108"/>
      <c r="E24" s="108"/>
      <c r="F24" s="108"/>
      <c r="G24" s="108"/>
      <c r="H24" s="108"/>
      <c r="I24" s="108"/>
      <c r="J24" s="108"/>
      <c r="K24" s="108"/>
      <c r="L24" s="108"/>
      <c r="M24" s="108"/>
      <c r="N24" s="108"/>
      <c r="O24" s="108"/>
      <c r="P24" s="81"/>
      <c r="Q24" s="81"/>
      <c r="R24" s="81"/>
    </row>
    <row r="25" spans="1:18" ht="15.75" x14ac:dyDescent="0.25">
      <c r="A25" s="108"/>
      <c r="B25" s="108"/>
      <c r="C25" s="108"/>
      <c r="D25" s="108"/>
      <c r="E25" s="108"/>
      <c r="F25" s="108"/>
      <c r="G25" s="108"/>
      <c r="H25" s="108"/>
      <c r="I25" s="108"/>
      <c r="J25" s="108"/>
      <c r="K25" s="108"/>
      <c r="L25" s="108"/>
      <c r="M25" s="108"/>
      <c r="N25" s="108"/>
      <c r="O25" s="108"/>
      <c r="P25" s="81"/>
      <c r="Q25" s="81"/>
      <c r="R25" s="81"/>
    </row>
    <row r="26" spans="1:18" ht="15.75" x14ac:dyDescent="0.25">
      <c r="A26" s="108"/>
      <c r="B26" s="108"/>
      <c r="C26" s="108"/>
      <c r="D26" s="108"/>
      <c r="E26" s="108"/>
      <c r="F26" s="108"/>
      <c r="G26" s="108"/>
      <c r="H26" s="108"/>
      <c r="I26" s="108"/>
      <c r="J26" s="108"/>
      <c r="K26" s="108"/>
      <c r="L26" s="108"/>
      <c r="M26" s="108"/>
      <c r="N26" s="108"/>
      <c r="O26" s="108"/>
      <c r="P26" s="81"/>
      <c r="Q26" s="81"/>
      <c r="R26" s="81"/>
    </row>
    <row r="27" spans="1:18" ht="15.75" x14ac:dyDescent="0.25">
      <c r="A27" s="108"/>
      <c r="B27" s="108"/>
      <c r="C27" s="108"/>
      <c r="D27" s="108"/>
      <c r="E27" s="108"/>
      <c r="F27" s="108"/>
      <c r="G27" s="108"/>
      <c r="H27" s="108"/>
      <c r="I27" s="108"/>
      <c r="J27" s="108"/>
      <c r="K27" s="108"/>
      <c r="L27" s="108"/>
      <c r="M27" s="108"/>
      <c r="N27" s="108"/>
      <c r="O27" s="108"/>
      <c r="P27" s="81"/>
      <c r="Q27" s="81"/>
      <c r="R27" s="81"/>
    </row>
    <row r="28" spans="1:18" ht="15.75" x14ac:dyDescent="0.25">
      <c r="A28" s="108"/>
      <c r="B28" s="108"/>
      <c r="C28" s="108"/>
      <c r="D28" s="108"/>
      <c r="E28" s="108"/>
      <c r="F28" s="108"/>
      <c r="G28" s="108"/>
      <c r="H28" s="108"/>
      <c r="I28" s="108"/>
      <c r="J28" s="108"/>
      <c r="K28" s="108"/>
      <c r="L28" s="108"/>
      <c r="M28" s="108"/>
      <c r="N28" s="108"/>
      <c r="O28" s="108"/>
      <c r="P28" s="81"/>
      <c r="Q28" s="81"/>
      <c r="R28" s="81"/>
    </row>
    <row r="29" spans="1:18" ht="15.75" x14ac:dyDescent="0.25">
      <c r="A29" s="108"/>
      <c r="B29" s="108"/>
      <c r="C29" s="108"/>
      <c r="D29" s="108"/>
      <c r="E29" s="108"/>
      <c r="F29" s="108"/>
      <c r="G29" s="108"/>
      <c r="H29" s="108"/>
      <c r="I29" s="108"/>
      <c r="J29" s="108"/>
      <c r="K29" s="108"/>
      <c r="L29" s="108"/>
      <c r="M29" s="108"/>
      <c r="N29" s="108"/>
      <c r="O29" s="108"/>
      <c r="P29" s="81"/>
      <c r="Q29" s="81"/>
      <c r="R29" s="81"/>
    </row>
    <row r="30" spans="1:18" ht="15.75" x14ac:dyDescent="0.25">
      <c r="A30" s="108"/>
      <c r="B30" s="108"/>
      <c r="C30" s="108"/>
      <c r="D30" s="108"/>
      <c r="E30" s="108"/>
      <c r="F30" s="108"/>
      <c r="G30" s="108"/>
      <c r="H30" s="108"/>
      <c r="I30" s="108"/>
      <c r="J30" s="108"/>
      <c r="K30" s="108"/>
      <c r="L30" s="108"/>
      <c r="M30" s="108"/>
      <c r="N30" s="108"/>
      <c r="O30" s="108"/>
      <c r="P30" s="81"/>
      <c r="Q30" s="81"/>
      <c r="R30" s="81"/>
    </row>
    <row r="31" spans="1:18" ht="15.75" x14ac:dyDescent="0.25">
      <c r="A31" s="108"/>
      <c r="B31" s="108"/>
      <c r="C31" s="108"/>
      <c r="D31" s="108"/>
      <c r="E31" s="108"/>
      <c r="F31" s="108"/>
      <c r="G31" s="108"/>
      <c r="H31" s="108"/>
      <c r="I31" s="108"/>
      <c r="J31" s="108"/>
      <c r="K31" s="108"/>
      <c r="L31" s="108"/>
      <c r="M31" s="108"/>
      <c r="N31" s="108"/>
      <c r="O31" s="108"/>
      <c r="P31" s="81"/>
      <c r="Q31" s="81"/>
      <c r="R31" s="81"/>
    </row>
    <row r="32" spans="1:18" x14ac:dyDescent="0.25">
      <c r="A32" s="81"/>
      <c r="B32" s="81"/>
      <c r="C32" s="81"/>
      <c r="D32" s="81"/>
      <c r="E32" s="81"/>
      <c r="F32" s="81"/>
      <c r="G32" s="81"/>
      <c r="H32" s="81"/>
      <c r="I32" s="81"/>
      <c r="J32" s="81"/>
      <c r="K32" s="81"/>
      <c r="L32" s="81"/>
      <c r="M32" s="81"/>
      <c r="N32" s="81"/>
      <c r="O32" s="81"/>
      <c r="P32" s="81"/>
      <c r="Q32" s="81"/>
      <c r="R32" s="81"/>
    </row>
    <row r="33" spans="1:18" x14ac:dyDescent="0.25">
      <c r="A33" s="81"/>
      <c r="B33" s="81"/>
      <c r="C33" s="81"/>
      <c r="D33" s="81"/>
      <c r="E33" s="81"/>
      <c r="F33" s="81"/>
      <c r="G33" s="81"/>
      <c r="H33" s="81"/>
      <c r="I33" s="81"/>
      <c r="J33" s="81"/>
      <c r="K33" s="81"/>
      <c r="L33" s="81"/>
      <c r="M33" s="81"/>
      <c r="N33" s="81"/>
      <c r="O33" s="81"/>
      <c r="P33" s="81"/>
      <c r="Q33" s="81"/>
      <c r="R33" s="81"/>
    </row>
  </sheetData>
  <sheetProtection password="D997" sheet="1" objects="1" scenarios="1"/>
  <mergeCells count="5">
    <mergeCell ref="B18:D18"/>
    <mergeCell ref="A1:X3"/>
    <mergeCell ref="A4:Y4"/>
    <mergeCell ref="A10:R10"/>
    <mergeCell ref="B15:H15"/>
  </mergeCells>
  <hyperlinks>
    <hyperlink ref="E12" r:id="rId1"/>
    <hyperlink ref="B18" r:id="rId2" display="DRV421 Product Page"/>
    <hyperlink ref="B15" r:id="rId3" display="Designing with DRV421: System Parameter Calculator"/>
    <hyperlink ref="B18:D18" r:id="rId4" display="DRV425 Product Page"/>
    <hyperlink ref="B15:H15" r:id="rId5" display="DRV425 - Technical Documents"/>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20</vt:i4>
      </vt:variant>
    </vt:vector>
  </HeadingPairs>
  <TitlesOfParts>
    <vt:vector size="31" baseType="lpstr">
      <vt:lpstr>Table of Content</vt:lpstr>
      <vt:lpstr> System Parameters</vt:lpstr>
      <vt:lpstr>Range Calculator</vt:lpstr>
      <vt:lpstr>B-Field sweep</vt:lpstr>
      <vt:lpstr>Error Calculator</vt:lpstr>
      <vt:lpstr>Gain vs Frequency</vt:lpstr>
      <vt:lpstr>Troubleshooting</vt:lpstr>
      <vt:lpstr>About</vt:lpstr>
      <vt:lpstr>Help</vt:lpstr>
      <vt:lpstr>Calculations</vt:lpstr>
      <vt:lpstr>OverTempSupply</vt:lpstr>
      <vt:lpstr>BWsel</vt:lpstr>
      <vt:lpstr>Gsel</vt:lpstr>
      <vt:lpstr>Icomp_overload_temp</vt:lpstr>
      <vt:lpstr>Icomp_ovrld</vt:lpstr>
      <vt:lpstr>Inductance</vt:lpstr>
      <vt:lpstr>max_diffamp_swing</vt:lpstr>
      <vt:lpstr>MaxField</vt:lpstr>
      <vt:lpstr>MaxIout</vt:lpstr>
      <vt:lpstr>MeasBW</vt:lpstr>
      <vt:lpstr>Rcomp</vt:lpstr>
      <vt:lpstr>Reference</vt:lpstr>
      <vt:lpstr>Refin</vt:lpstr>
      <vt:lpstr>RefSel</vt:lpstr>
      <vt:lpstr>Rmax</vt:lpstr>
      <vt:lpstr>SeriesResistance</vt:lpstr>
      <vt:lpstr>SeriesResistanceMax</vt:lpstr>
      <vt:lpstr>Shunt</vt:lpstr>
      <vt:lpstr>Supply</vt:lpstr>
      <vt:lpstr>SystemGain</vt:lpstr>
      <vt:lpstr>Temperature</vt:lpstr>
    </vt:vector>
  </TitlesOfParts>
  <Company>Texas Instruments Incorporated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Schaffer, Viola</dc:creator>
  <cp:lastModifiedBy>Taenzer, Matthias</cp:lastModifiedBy>
  <dcterms:created xsi:type="dcterms:W3CDTF">2014-04-18T12:10:32Z</dcterms:created>
  <dcterms:modified xsi:type="dcterms:W3CDTF">2015-10-19T11:48:03Z</dcterms:modified>
</cp:coreProperties>
</file>