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gnetization of Particles" sheetId="1" r:id="rId4"/>
    <sheet state="visible" name="Wire Gauges" sheetId="2" r:id="rId5"/>
  </sheets>
  <definedNames/>
  <calcPr/>
</workbook>
</file>

<file path=xl/sharedStrings.xml><?xml version="1.0" encoding="utf-8"?>
<sst xmlns="http://schemas.openxmlformats.org/spreadsheetml/2006/main" count="126" uniqueCount="87">
  <si>
    <t>Summary</t>
  </si>
  <si>
    <t>Exciting solenoid specs</t>
  </si>
  <si>
    <t>https://www-sciencedirect-com.ezproxy.library.uvic.ca/science/article/pii/S0012821X10001093?via%3Dihub</t>
  </si>
  <si>
    <t>AWG</t>
  </si>
  <si>
    <t>Current</t>
  </si>
  <si>
    <t>[A]</t>
  </si>
  <si>
    <t>Wire diameter</t>
  </si>
  <si>
    <t>[mm]</t>
  </si>
  <si>
    <t>Turns</t>
  </si>
  <si>
    <t>Wraps</t>
  </si>
  <si>
    <t>Radius</t>
  </si>
  <si>
    <t>Coil length</t>
  </si>
  <si>
    <t>Must be less than 50mm to fit in payload</t>
  </si>
  <si>
    <t>Overall diameter</t>
  </si>
  <si>
    <t>Assumptions</t>
  </si>
  <si>
    <t>Made of copper magnet wire, 20AWG, multiple wraps won't significantly affect magnetic field strength</t>
  </si>
  <si>
    <t>Moon materials will magnetize quickly enough that coil won't need to be left on long enough to cause any temperature-related problems</t>
  </si>
  <si>
    <t>Cancellation solenoid specs</t>
  </si>
  <si>
    <t>Distance between solenoid centers</t>
  </si>
  <si>
    <t>logX susceptiblity</t>
  </si>
  <si>
    <t>Magnetization field at payload (microT)</t>
  </si>
  <si>
    <t>Min grain size (mm diameter)</t>
  </si>
  <si>
    <t>Overall length</t>
  </si>
  <si>
    <t>Magnetization</t>
  </si>
  <si>
    <t>Distance of solenoid ends from surface</t>
  </si>
  <si>
    <t>[cm]</t>
  </si>
  <si>
    <t>Strength of primary field at lunar surface</t>
  </si>
  <si>
    <t>[T]</t>
  </si>
  <si>
    <t>Particle size (radius)</t>
  </si>
  <si>
    <t>[m]</t>
  </si>
  <si>
    <t>Particle magnetic susceptibility (logX)</t>
  </si>
  <si>
    <t>0.1nT to 2,000,000nT</t>
  </si>
  <si>
    <t>Magnetization field at payload</t>
  </si>
  <si>
    <t>[ μT]</t>
  </si>
  <si>
    <t>TI DRV425 fluxgate magnetometer has noise level of 0.0001 μT, max sensing range of 2000 μT</t>
  </si>
  <si>
    <t>Magnetization strength at payload does not vary significantly across the distance between the exciting solenoid and the magnetometer</t>
  </si>
  <si>
    <t>Using a solenoid to magnetically excite ferromagnetic materials</t>
  </si>
  <si>
    <t xml:space="preserve">Solenoid current I </t>
  </si>
  <si>
    <t>I</t>
  </si>
  <si>
    <t>[ A ]</t>
  </si>
  <si>
    <t>Copper magnet wire resistivity</t>
  </si>
  <si>
    <t>Solenoid number of turns N</t>
  </si>
  <si>
    <t>N</t>
  </si>
  <si>
    <t xml:space="preserve">Solenoid radius a </t>
  </si>
  <si>
    <t>a</t>
  </si>
  <si>
    <t>[ m ]</t>
  </si>
  <si>
    <t>[ mm ]</t>
  </si>
  <si>
    <t>https://www.remingtonindustries.com/magnet-wire/magnet-wire-28-awg-enameled-copper-8-spool-sizes/</t>
  </si>
  <si>
    <t>Min wraps</t>
  </si>
  <si>
    <t>Layers of wraps</t>
  </si>
  <si>
    <t xml:space="preserve">Solenoid magnetic moment M </t>
  </si>
  <si>
    <t>M</t>
  </si>
  <si>
    <t>[ Am^2 ]</t>
  </si>
  <si>
    <t xml:space="preserve">x Distance between sensor and lunar surface </t>
  </si>
  <si>
    <t>r_1</t>
  </si>
  <si>
    <t xml:space="preserve">Exciting field strength at lunar surface </t>
  </si>
  <si>
    <t>B_1</t>
  </si>
  <si>
    <t>[ T ]</t>
  </si>
  <si>
    <t>At points along the axis of a solenoid far away from it (x &gt;&gt; half the length)</t>
  </si>
  <si>
    <t>Exciting field strength at lunar surface [ mT ]</t>
  </si>
  <si>
    <t>Exciting field strength at lunar surface [ microT ]</t>
  </si>
  <si>
    <t>Exciting field strength at lunar surface [ nT ]</t>
  </si>
  <si>
    <t>[ H ]</t>
  </si>
  <si>
    <t>Distance between fluxgate magnetometer and center of exciting magnet</t>
  </si>
  <si>
    <t>r_2</t>
  </si>
  <si>
    <t>Exciting field strength at fluxgate magnetometer</t>
  </si>
  <si>
    <t>B_2</t>
  </si>
  <si>
    <t>Magnetometer width</t>
  </si>
  <si>
    <t>https://gmw.com/wp-content/uploads/2019/08/Mag610-611-614_DS3629.pdf</t>
  </si>
  <si>
    <t>Magnetometer length</t>
  </si>
  <si>
    <t>Min cancellation solenoid radius</t>
  </si>
  <si>
    <t>Solenoid current</t>
  </si>
  <si>
    <t>Required solenoid turns</t>
  </si>
  <si>
    <t>Wraps to make turns work</t>
  </si>
  <si>
    <t>logX</t>
  </si>
  <si>
    <t>Magnetic Susceptibility</t>
  </si>
  <si>
    <t>X</t>
  </si>
  <si>
    <t>Particle radius</t>
  </si>
  <si>
    <t>m</t>
  </si>
  <si>
    <t>Magnetic field back at the payload due to magnetization</t>
  </si>
  <si>
    <t>http://farside.ph.utexas.edu/teaching/jk1/lectures/node61.html</t>
  </si>
  <si>
    <t>[  μT ]</t>
  </si>
  <si>
    <t>Design things to watch out for</t>
  </si>
  <si>
    <t>Hot solenoids --&gt; Continuous use is worrisome, but intermittent short use could be fine</t>
  </si>
  <si>
    <t xml:space="preserve">Out of sync solenoids accidentally ruining magnetometer --&gt; Turn them on gradually rather than </t>
  </si>
  <si>
    <t>Max Current (A)</t>
  </si>
  <si>
    <t>Wire Diameter (in)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</si>
</sst>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0000000"/>
  </numFmts>
  <fonts count="14">
    <font>
      <sz val="10.0"/>
      <color rgb="FF000000"/>
      <name val="Arial"/>
    </font>
    <font>
      <b/>
      <sz val="14.0"/>
      <color theme="1"/>
      <name val="Arial"/>
    </font>
    <font>
      <b/>
      <color theme="1"/>
      <name val="Arial"/>
    </font>
    <font>
      <b/>
      <sz val="12.0"/>
      <color theme="1"/>
      <name val="Arial"/>
    </font>
    <font>
      <u/>
      <color rgb="FF0000FF"/>
    </font>
    <font>
      <sz val="11.0"/>
      <color theme="1"/>
      <name val="Arial"/>
    </font>
    <font>
      <b/>
      <sz val="11.0"/>
      <color theme="1"/>
      <name val="Arial"/>
    </font>
    <font>
      <i/>
      <sz val="11.0"/>
      <color theme="1"/>
      <name val="Arial"/>
    </font>
    <font>
      <color theme="1"/>
      <name val="Arial"/>
    </font>
    <font>
      <color rgb="FF000000"/>
      <name val="Arial"/>
    </font>
    <font>
      <u/>
      <color rgb="FF0000FF"/>
    </font>
    <font>
      <b/>
      <sz val="14.0"/>
      <color rgb="FFFFFFFF"/>
      <name val="Arial"/>
    </font>
    <font>
      <b/>
      <color rgb="FFFFFFFF"/>
      <name val="Arial"/>
    </font>
    <font>
      <u/>
      <color rgb="FF1155CC"/>
    </font>
  </fonts>
  <fills count="11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CBFFFF"/>
        <bgColor rgb="FFCBFFFF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073763"/>
        <bgColor rgb="FF07376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0"/>
    </xf>
    <xf borderId="0" fillId="2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readingOrder="0" shrinkToFit="0" vertical="center" wrapText="0"/>
    </xf>
    <xf borderId="0" fillId="0" fontId="5" numFmtId="0" xfId="0" applyAlignment="1" applyFont="1">
      <alignment horizontal="left" readingOrder="0" shrinkToFit="0" vertical="center" wrapText="0"/>
    </xf>
    <xf borderId="0" fillId="0" fontId="5" numFmtId="0" xfId="0" applyAlignment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3" fontId="5" numFmtId="0" xfId="0" applyAlignment="1" applyBorder="1" applyFill="1" applyFont="1">
      <alignment horizontal="center" readingOrder="0" shrinkToFit="0" vertical="center" wrapText="1"/>
    </xf>
    <xf borderId="1" fillId="4" fontId="5" numFmtId="0" xfId="0" applyAlignment="1" applyBorder="1" applyFill="1" applyFont="1">
      <alignment horizontal="center" readingOrder="0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left" readingOrder="0" shrinkToFit="0" vertical="center" wrapText="0"/>
    </xf>
    <xf borderId="1" fillId="0" fontId="5" numFmtId="0" xfId="0" applyAlignment="1" applyBorder="1" applyFont="1">
      <alignment horizontal="center" readingOrder="0" shrinkToFit="0" vertical="top" wrapText="0"/>
    </xf>
    <xf borderId="0" fillId="0" fontId="7" numFmtId="0" xfId="0" applyAlignment="1" applyFont="1">
      <alignment horizontal="left" readingOrder="0" shrinkToFit="0" vertical="top" wrapText="0"/>
    </xf>
    <xf borderId="0" fillId="0" fontId="5" numFmtId="0" xfId="0" applyAlignment="1" applyFont="1">
      <alignment horizontal="left" shrinkToFit="0" vertical="center" wrapText="0"/>
    </xf>
    <xf borderId="0" fillId="0" fontId="6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readingOrder="0"/>
    </xf>
    <xf borderId="1" fillId="5" fontId="5" numFmtId="0" xfId="0" applyAlignment="1" applyBorder="1" applyFill="1" applyFont="1">
      <alignment horizontal="center" readingOrder="0" shrinkToFit="0" vertical="center" wrapText="1"/>
    </xf>
    <xf borderId="1" fillId="5" fontId="5" numFmtId="164" xfId="0" applyAlignment="1" applyBorder="1" applyFont="1" applyNumberFormat="1">
      <alignment horizontal="center" readingOrder="0" shrinkToFit="0" vertical="center" wrapText="1"/>
    </xf>
    <xf borderId="1" fillId="5" fontId="5" numFmtId="165" xfId="0" applyAlignment="1" applyBorder="1" applyFont="1" applyNumberForma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6" fontId="2" numFmtId="0" xfId="0" applyAlignment="1" applyFill="1" applyFont="1">
      <alignment horizontal="left" shrinkToFit="0" vertical="center" wrapText="1"/>
    </xf>
    <xf borderId="0" fillId="7" fontId="8" numFmtId="0" xfId="0" applyAlignment="1" applyFill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6" fontId="2" numFmtId="0" xfId="0" applyAlignment="1" applyFont="1">
      <alignment horizontal="left" readingOrder="0" shrinkToFit="0" vertical="center" wrapText="1"/>
    </xf>
    <xf borderId="0" fillId="7" fontId="8" numFmtId="0" xfId="0" applyAlignment="1" applyFont="1">
      <alignment horizontal="center" readingOrder="0"/>
    </xf>
    <xf borderId="0" fillId="7" fontId="9" numFmtId="0" xfId="0" applyAlignment="1" applyFont="1">
      <alignment horizontal="center" readingOrder="0" vertical="center"/>
    </xf>
    <xf borderId="1" fillId="8" fontId="8" numFmtId="0" xfId="0" applyAlignment="1" applyBorder="1" applyFill="1" applyFont="1">
      <alignment horizontal="center" readingOrder="0" vertical="center"/>
    </xf>
    <xf borderId="0" fillId="7" fontId="8" numFmtId="0" xfId="0" applyAlignment="1" applyFont="1">
      <alignment horizontal="center" readingOrder="0" vertical="center"/>
    </xf>
    <xf borderId="0" fillId="3" fontId="8" numFmtId="0" xfId="0" applyAlignment="1" applyFont="1">
      <alignment horizontal="center" readingOrder="0" vertical="center"/>
    </xf>
    <xf borderId="2" fillId="8" fontId="8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10" numFmtId="0" xfId="0" applyAlignment="1" applyFont="1">
      <alignment horizontal="left" readingOrder="0" vertical="center"/>
    </xf>
    <xf borderId="1" fillId="9" fontId="8" numFmtId="0" xfId="0" applyAlignment="1" applyBorder="1" applyFill="1" applyFont="1">
      <alignment horizontal="center" readingOrder="0" vertical="center"/>
    </xf>
    <xf borderId="0" fillId="0" fontId="8" numFmtId="0" xfId="0" applyAlignment="1" applyFont="1">
      <alignment horizontal="left" readingOrder="0" vertical="center"/>
    </xf>
    <xf borderId="0" fillId="7" fontId="8" numFmtId="165" xfId="0" applyAlignment="1" applyFont="1" applyNumberFormat="1">
      <alignment horizontal="center" readingOrder="0" vertical="center"/>
    </xf>
    <xf borderId="0" fillId="7" fontId="9" numFmtId="165" xfId="0" applyAlignment="1" applyFont="1" applyNumberFormat="1">
      <alignment horizontal="center" readingOrder="0" vertical="center"/>
    </xf>
    <xf borderId="1" fillId="9" fontId="8" numFmtId="165" xfId="0" applyAlignment="1" applyBorder="1" applyFont="1" applyNumberFormat="1">
      <alignment horizontal="center" vertical="center"/>
    </xf>
    <xf borderId="0" fillId="6" fontId="8" numFmtId="0" xfId="0" applyAlignment="1" applyFont="1">
      <alignment horizontal="left" readingOrder="0" shrinkToFit="0" vertical="center" wrapText="1"/>
    </xf>
    <xf borderId="1" fillId="5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9" fontId="8" numFmtId="0" xfId="0" applyAlignment="1" applyBorder="1" applyFont="1">
      <alignment horizontal="center" vertical="center"/>
    </xf>
    <xf borderId="0" fillId="10" fontId="11" numFmtId="0" xfId="0" applyAlignment="1" applyFill="1" applyFont="1">
      <alignment horizontal="left" readingOrder="0" shrinkToFit="0" vertical="center" wrapText="0"/>
    </xf>
    <xf borderId="0" fillId="10" fontId="12" numFmtId="0" xfId="0" applyAlignment="1" applyFont="1">
      <alignment horizontal="center" readingOrder="0" shrinkToFit="0" vertical="center" wrapText="1"/>
    </xf>
    <xf borderId="0" fillId="10" fontId="12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left" readingOrder="0" vertical="center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C2FFA3"/>
          <bgColor rgb="FFC2FFA3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9292"/>
          <bgColor rgb="FFFF929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504825</xdr:colOff>
      <xdr:row>100</xdr:row>
      <xdr:rowOff>200025</xdr:rowOff>
    </xdr:from>
    <xdr:ext cx="1247775" cy="6381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733425</xdr:colOff>
      <xdr:row>1</xdr:row>
      <xdr:rowOff>-19050</xdr:rowOff>
    </xdr:from>
    <xdr:ext cx="4086225" cy="54768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-sciencedirect-com.ezproxy.library.uvic.ca/science/article/pii/S0012821X10001093?via%3Dihub" TargetMode="External"/><Relationship Id="rId2" Type="http://schemas.openxmlformats.org/officeDocument/2006/relationships/hyperlink" Target="https://www.remingtonindustries.com/magnet-wire/magnet-wire-28-awg-enameled-copper-8-spool-sizes/" TargetMode="External"/><Relationship Id="rId3" Type="http://schemas.openxmlformats.org/officeDocument/2006/relationships/hyperlink" Target="https://gmw.com/wp-content/uploads/2019/08/Mag610-611-614_DS3629.pdf" TargetMode="External"/><Relationship Id="rId4" Type="http://schemas.openxmlformats.org/officeDocument/2006/relationships/hyperlink" Target="http://farside.ph.utexas.edu/teaching/jk1/lectures/node61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Row="1"/>
  <cols>
    <col customWidth="1" min="1" max="1" width="33.43"/>
    <col customWidth="1" min="2" max="2" width="5.71"/>
    <col customWidth="1" min="3" max="3" width="8.43"/>
    <col customWidth="1" min="4" max="4" width="22.0"/>
    <col customWidth="1" min="5" max="7" width="23.14"/>
    <col customWidth="1" min="12" max="13" width="16.43"/>
  </cols>
  <sheetData>
    <row r="1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 t="s">
        <v>2</v>
      </c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8" t="s">
        <v>3</v>
      </c>
      <c r="B3" s="9"/>
      <c r="C3" s="9"/>
      <c r="D3" s="10">
        <v>28.0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8" t="s">
        <v>4</v>
      </c>
      <c r="B4" s="9"/>
      <c r="C4" s="9" t="s">
        <v>5</v>
      </c>
      <c r="D4" s="12">
        <f>VLOOKUP(D3,'Wire Gauges'!A2:C10,2)</f>
        <v>0.226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8" t="s">
        <v>6</v>
      </c>
      <c r="B5" s="9"/>
      <c r="C5" s="9" t="s">
        <v>7</v>
      </c>
      <c r="D5" s="13">
        <f>(VLOOKUP(D3,'Wire Gauges'!A2:C10,3))*25.4</f>
        <v>0.3429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8" t="s">
        <v>8</v>
      </c>
      <c r="B6" s="9"/>
      <c r="C6" s="9"/>
      <c r="D6" s="10">
        <v>5000.0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8" t="s">
        <v>9</v>
      </c>
      <c r="B7" s="9"/>
      <c r="C7" s="9"/>
      <c r="D7" s="10">
        <v>38.0</v>
      </c>
      <c r="E7" s="14" t="str">
        <f>"Min needed is " &amp; D45</f>
        <v>Min needed is 35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8" t="s">
        <v>10</v>
      </c>
      <c r="B8" s="9"/>
      <c r="C8" s="9" t="s">
        <v>7</v>
      </c>
      <c r="D8" s="10">
        <v>10.0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5" t="s">
        <v>11</v>
      </c>
      <c r="B9" s="9"/>
      <c r="C9" s="9" t="s">
        <v>7</v>
      </c>
      <c r="D9" s="10">
        <f>D47</f>
        <v>45.11842105</v>
      </c>
      <c r="E9" s="8" t="s">
        <v>12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5" t="s">
        <v>13</v>
      </c>
      <c r="B10" s="9"/>
      <c r="C10" s="9" t="s">
        <v>7</v>
      </c>
      <c r="D10" s="16">
        <f>(D8+D44*D7)*2</f>
        <v>46.0604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5" t="s">
        <v>14</v>
      </c>
      <c r="B11" s="9"/>
      <c r="C11" s="9"/>
      <c r="D11" s="17" t="s">
        <v>15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8"/>
      <c r="B12" s="9"/>
      <c r="C12" s="9"/>
      <c r="D12" s="17" t="s">
        <v>16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8"/>
      <c r="B13" s="9"/>
      <c r="C13" s="9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8"/>
      <c r="B14" s="9"/>
      <c r="C14" s="9"/>
      <c r="D14" s="9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4" t="s">
        <v>17</v>
      </c>
      <c r="B15" s="9"/>
      <c r="C15" s="9"/>
      <c r="D15" s="9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8" t="s">
        <v>18</v>
      </c>
      <c r="B16" s="9"/>
      <c r="C16" s="9" t="s">
        <v>7</v>
      </c>
      <c r="D16" s="10">
        <v>55.0</v>
      </c>
      <c r="E16" s="18" t="str">
        <f>"Max distance is " &amp; ROUNDDOWN(100-D10/2-D23/2,2) &amp; " mm, min distance is " &amp; ROUNDUP(D10/2+D23/2) &amp; " mm"</f>
        <v>Max distance is 57.12 mm, min distance is 43 mm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8" t="s">
        <v>3</v>
      </c>
      <c r="B17" s="9"/>
      <c r="C17" s="9"/>
      <c r="D17" s="10">
        <v>26.0</v>
      </c>
      <c r="E17" s="11"/>
      <c r="F17" s="11"/>
      <c r="G17" s="11"/>
      <c r="H17" s="11"/>
      <c r="I17" s="11"/>
      <c r="J17" s="11"/>
      <c r="K17" s="19" t="s">
        <v>19</v>
      </c>
      <c r="L17" s="19" t="s">
        <v>20</v>
      </c>
      <c r="M17" s="19" t="s">
        <v>21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8" t="s">
        <v>4</v>
      </c>
      <c r="B18" s="9"/>
      <c r="C18" s="9" t="s">
        <v>5</v>
      </c>
      <c r="D18" s="12">
        <v>0.226</v>
      </c>
      <c r="E18" s="11"/>
      <c r="F18" s="11"/>
      <c r="G18" s="11"/>
      <c r="H18" s="11"/>
      <c r="I18" s="11"/>
      <c r="J18" s="11"/>
      <c r="K18" s="20">
        <v>2.41</v>
      </c>
      <c r="L18" s="20">
        <v>0.316</v>
      </c>
      <c r="M18" s="20">
        <v>1.2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8" t="s">
        <v>6</v>
      </c>
      <c r="B19" s="9"/>
      <c r="C19" s="9" t="s">
        <v>7</v>
      </c>
      <c r="D19" s="13">
        <f>25.4*(VLOOKUP(D17,'Wire Gauges'!A2:C10,3))</f>
        <v>0.42672</v>
      </c>
      <c r="E19" s="11"/>
      <c r="F19" s="11"/>
      <c r="G19" s="11"/>
      <c r="H19" s="11"/>
      <c r="I19" s="11"/>
      <c r="J19" s="11"/>
      <c r="K19" s="9">
        <v>3.07</v>
      </c>
      <c r="L19" s="9">
        <v>0.429</v>
      </c>
      <c r="M19" s="9">
        <v>0.72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8" t="s">
        <v>8</v>
      </c>
      <c r="B20" s="9"/>
      <c r="C20" s="9"/>
      <c r="D20" s="21">
        <f>D68</f>
        <v>752</v>
      </c>
      <c r="E20" s="11"/>
      <c r="F20" s="11"/>
      <c r="G20" s="11"/>
      <c r="H20" s="11"/>
      <c r="I20" s="11"/>
      <c r="J20" s="11"/>
      <c r="K20" s="9">
        <v>3.1</v>
      </c>
      <c r="L20" s="9">
        <v>0.308</v>
      </c>
      <c r="M20" s="9">
        <v>0.7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8" t="s">
        <v>9</v>
      </c>
      <c r="B21" s="9"/>
      <c r="C21" s="9"/>
      <c r="D21" s="21">
        <v>9.0</v>
      </c>
      <c r="E21" s="11"/>
      <c r="F21" s="11"/>
      <c r="G21" s="11"/>
      <c r="H21" s="11"/>
      <c r="I21" s="11"/>
      <c r="J21" s="11"/>
      <c r="K21" s="9">
        <v>3.3</v>
      </c>
      <c r="L21" s="9">
        <v>0.308</v>
      </c>
      <c r="M21" s="9">
        <v>0.6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8" t="s">
        <v>10</v>
      </c>
      <c r="B22" s="9"/>
      <c r="C22" s="9" t="s">
        <v>7</v>
      </c>
      <c r="D22" s="22">
        <f>D66*1000</f>
        <v>16.00781059</v>
      </c>
      <c r="E22" s="11"/>
      <c r="F22" s="11"/>
      <c r="G22" s="11"/>
      <c r="H22" s="11"/>
      <c r="I22" s="11"/>
      <c r="J22" s="11"/>
      <c r="K22" s="9">
        <v>3.5</v>
      </c>
      <c r="L22" s="9">
        <v>0.317</v>
      </c>
      <c r="M22" s="9">
        <v>0.52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5" t="s">
        <v>13</v>
      </c>
      <c r="B23" s="9"/>
      <c r="C23" s="9" t="s">
        <v>7</v>
      </c>
      <c r="D23" s="16">
        <f>(D22+D21*D19)*2</f>
        <v>39.69658119</v>
      </c>
      <c r="E23" s="11"/>
      <c r="F23" s="11"/>
      <c r="G23" s="11"/>
      <c r="H23" s="11"/>
      <c r="I23" s="11"/>
      <c r="J23" s="11"/>
      <c r="K23" s="9">
        <v>3.7</v>
      </c>
      <c r="L23" s="9">
        <v>0.304</v>
      </c>
      <c r="M23" s="9">
        <v>0.44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5" t="s">
        <v>22</v>
      </c>
      <c r="B24" s="9"/>
      <c r="C24" s="9" t="s">
        <v>7</v>
      </c>
      <c r="D24" s="16">
        <f>D20*D19/D21</f>
        <v>35.65482667</v>
      </c>
      <c r="E24" s="11"/>
      <c r="F24" s="11"/>
      <c r="G24" s="11"/>
      <c r="H24" s="11"/>
      <c r="I24" s="11"/>
      <c r="J24" s="11"/>
      <c r="K24" s="9">
        <v>3.9</v>
      </c>
      <c r="L24" s="9">
        <v>0.311</v>
      </c>
      <c r="M24" s="9">
        <v>0.38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5" t="s">
        <v>14</v>
      </c>
      <c r="B25" s="9"/>
      <c r="C25" s="9"/>
      <c r="D25" s="17" t="s">
        <v>15</v>
      </c>
      <c r="E25" s="11"/>
      <c r="F25" s="11"/>
      <c r="G25" s="11"/>
      <c r="H25" s="11"/>
      <c r="I25" s="11"/>
      <c r="J25" s="11"/>
      <c r="K25" s="9">
        <v>4.1</v>
      </c>
      <c r="L25" s="9">
        <v>0.294</v>
      </c>
      <c r="M25" s="9">
        <v>0.32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8"/>
      <c r="B26" s="9"/>
      <c r="C26" s="9"/>
      <c r="D26" s="17" t="s">
        <v>16</v>
      </c>
      <c r="E26" s="11"/>
      <c r="F26" s="11"/>
      <c r="G26" s="11"/>
      <c r="H26" s="11"/>
      <c r="I26" s="11"/>
      <c r="J26" s="11"/>
      <c r="K26" s="9">
        <v>4.3</v>
      </c>
      <c r="L26" s="9">
        <v>0.312</v>
      </c>
      <c r="M26" s="9">
        <v>0.28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8"/>
      <c r="B27" s="9"/>
      <c r="C27" s="9"/>
      <c r="D27" s="9"/>
      <c r="E27" s="11"/>
      <c r="F27" s="11"/>
      <c r="G27" s="11"/>
      <c r="H27" s="11"/>
      <c r="I27" s="11"/>
      <c r="J27" s="11"/>
      <c r="K27" s="20">
        <v>4.39</v>
      </c>
      <c r="L27" s="20">
        <v>0.307</v>
      </c>
      <c r="M27" s="20">
        <v>0.26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4" t="s">
        <v>23</v>
      </c>
      <c r="B28" s="9"/>
      <c r="C28" s="9"/>
      <c r="D28" s="9"/>
      <c r="E28" s="11"/>
      <c r="F28" s="11"/>
      <c r="G28" s="11"/>
      <c r="H28" s="11"/>
      <c r="I28" s="11"/>
      <c r="J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8" t="s">
        <v>24</v>
      </c>
      <c r="B29" s="9"/>
      <c r="C29" s="9" t="s">
        <v>25</v>
      </c>
      <c r="D29" s="10">
        <v>4.5</v>
      </c>
      <c r="E29" s="11"/>
      <c r="F29" s="11"/>
      <c r="G29" s="11"/>
      <c r="H29" s="11"/>
      <c r="I29" s="11"/>
      <c r="J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8" t="s">
        <v>26</v>
      </c>
      <c r="B30" s="9"/>
      <c r="C30" s="9" t="s">
        <v>27</v>
      </c>
      <c r="D30" s="23">
        <f>D53</f>
        <v>0.0007791494537</v>
      </c>
      <c r="E30" s="11"/>
      <c r="F30" s="11"/>
      <c r="G30" s="11"/>
      <c r="H30" s="11"/>
      <c r="I30" s="11"/>
      <c r="J30" s="11"/>
      <c r="K30" s="24"/>
      <c r="L30" s="24"/>
      <c r="M30" s="24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8" t="s">
        <v>28</v>
      </c>
      <c r="B31" s="9"/>
      <c r="C31" s="9" t="s">
        <v>29</v>
      </c>
      <c r="D31" s="10">
        <v>1.3E-4</v>
      </c>
      <c r="E31" s="11"/>
      <c r="F31" s="11"/>
      <c r="G31" s="11"/>
      <c r="H31" s="11"/>
      <c r="I31" s="11"/>
      <c r="J31" s="11"/>
      <c r="K31" s="24"/>
      <c r="L31" s="24"/>
      <c r="M31" s="24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8" t="s">
        <v>30</v>
      </c>
      <c r="B32" s="9"/>
      <c r="C32" s="9"/>
      <c r="D32" s="10">
        <v>4.39</v>
      </c>
      <c r="E32" s="11"/>
      <c r="F32" s="11"/>
      <c r="G32" s="19" t="s">
        <v>31</v>
      </c>
      <c r="H32" s="11"/>
      <c r="I32" s="11"/>
      <c r="J32" s="11"/>
      <c r="K32" s="24"/>
      <c r="L32" s="24"/>
      <c r="M32" s="24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8" t="s">
        <v>32</v>
      </c>
      <c r="B33" s="9"/>
      <c r="C33" s="9" t="s">
        <v>33</v>
      </c>
      <c r="D33" s="10">
        <f>D83</f>
        <v>0.3074128569</v>
      </c>
      <c r="E33" s="8" t="s">
        <v>34</v>
      </c>
      <c r="F33" s="11"/>
      <c r="G33" s="11"/>
      <c r="H33" s="11"/>
      <c r="I33" s="11"/>
      <c r="J33" s="11"/>
      <c r="K33" s="24"/>
      <c r="L33" s="24"/>
      <c r="M33" s="24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5" t="s">
        <v>14</v>
      </c>
      <c r="B34" s="9"/>
      <c r="C34" s="9"/>
      <c r="D34" s="17" t="s">
        <v>35</v>
      </c>
      <c r="E34" s="11"/>
      <c r="F34" s="11"/>
      <c r="G34" s="11"/>
      <c r="H34" s="11"/>
      <c r="I34" s="11"/>
      <c r="J34" s="11"/>
      <c r="K34" s="24"/>
      <c r="L34" s="24"/>
      <c r="M34" s="24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8"/>
      <c r="B35" s="9"/>
      <c r="C35" s="9"/>
      <c r="D35" s="9"/>
      <c r="E35" s="11"/>
      <c r="F35" s="11"/>
      <c r="G35" s="11"/>
      <c r="H35" s="11"/>
      <c r="I35" s="11"/>
      <c r="J35" s="11"/>
      <c r="K35" s="24"/>
      <c r="L35" s="24"/>
      <c r="M35" s="24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8"/>
      <c r="B36" s="9"/>
      <c r="C36" s="9"/>
      <c r="D36" s="9"/>
      <c r="E36" s="11"/>
      <c r="F36" s="11"/>
      <c r="G36" s="11"/>
      <c r="H36" s="11"/>
      <c r="I36" s="11"/>
      <c r="J36" s="11"/>
      <c r="K36" s="24"/>
      <c r="L36" s="24"/>
      <c r="M36" s="24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outlineLevel="1">
      <c r="A37" s="1" t="s">
        <v>36</v>
      </c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outlineLevel="1">
      <c r="A38" s="25"/>
      <c r="B38" s="26"/>
      <c r="C38" s="26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outlineLevel="1">
      <c r="A39" s="28" t="s">
        <v>37</v>
      </c>
      <c r="B39" s="29" t="s">
        <v>38</v>
      </c>
      <c r="C39" s="30" t="s">
        <v>39</v>
      </c>
      <c r="D39" s="31">
        <f>D4</f>
        <v>0.226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outlineLevel="1">
      <c r="A40" s="28" t="s">
        <v>40</v>
      </c>
      <c r="B40" s="32"/>
      <c r="C40" s="32"/>
      <c r="D40" s="33">
        <f>1.72*10^(-8)</f>
        <v>0.0000000172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outlineLevel="1">
      <c r="A41" s="28" t="s">
        <v>41</v>
      </c>
      <c r="B41" s="32" t="s">
        <v>42</v>
      </c>
      <c r="C41" s="32"/>
      <c r="D41" s="31">
        <f>D6</f>
        <v>5000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outlineLevel="1">
      <c r="A42" s="28" t="s">
        <v>43</v>
      </c>
      <c r="B42" s="32" t="s">
        <v>44</v>
      </c>
      <c r="C42" s="30" t="s">
        <v>45</v>
      </c>
      <c r="D42" s="34">
        <f>D8/1000</f>
        <v>0.01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outlineLevel="1">
      <c r="A43" s="28"/>
      <c r="B43" s="32"/>
      <c r="C43" s="30"/>
      <c r="D43" s="35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outlineLevel="1">
      <c r="A44" s="28" t="s">
        <v>6</v>
      </c>
      <c r="B44" s="32"/>
      <c r="C44" s="30" t="s">
        <v>46</v>
      </c>
      <c r="D44" s="35">
        <f>D5</f>
        <v>0.3429</v>
      </c>
      <c r="E44" s="36" t="s">
        <v>47</v>
      </c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outlineLevel="1">
      <c r="A45" s="28" t="s">
        <v>48</v>
      </c>
      <c r="B45" s="32"/>
      <c r="C45" s="30"/>
      <c r="D45" s="35">
        <f>ROUNDUP(D41*D44/50)</f>
        <v>35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outlineLevel="1">
      <c r="A46" s="28" t="s">
        <v>49</v>
      </c>
      <c r="B46" s="32"/>
      <c r="C46" s="30"/>
      <c r="D46" s="31">
        <f>D7</f>
        <v>38</v>
      </c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outlineLevel="1">
      <c r="A47" s="28" t="s">
        <v>11</v>
      </c>
      <c r="B47" s="32"/>
      <c r="C47" s="30" t="s">
        <v>46</v>
      </c>
      <c r="D47" s="37">
        <f>D41*D44/D46</f>
        <v>45.11842105</v>
      </c>
      <c r="E47" s="38" t="s">
        <v>12</v>
      </c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outlineLevel="1">
      <c r="A48" s="28"/>
      <c r="B48" s="32"/>
      <c r="C48" s="30"/>
      <c r="D48" s="35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outlineLevel="1">
      <c r="A49" s="28" t="s">
        <v>50</v>
      </c>
      <c r="B49" s="32" t="s">
        <v>51</v>
      </c>
      <c r="C49" s="30" t="s">
        <v>52</v>
      </c>
      <c r="D49" s="33">
        <f>D41*D39*PI()*(D42^2)</f>
        <v>0.3549999699</v>
      </c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outlineLevel="1">
      <c r="A50" s="28"/>
      <c r="B50" s="32"/>
      <c r="C50" s="32"/>
      <c r="D50" s="35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outlineLevel="1">
      <c r="A51" s="28" t="s">
        <v>53</v>
      </c>
      <c r="B51" s="32" t="s">
        <v>54</v>
      </c>
      <c r="C51" s="30" t="s">
        <v>45</v>
      </c>
      <c r="D51" s="31">
        <f>D29/100</f>
        <v>0.045</v>
      </c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outlineLevel="1">
      <c r="A52" s="25"/>
      <c r="B52" s="26"/>
      <c r="C52" s="26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outlineLevel="1">
      <c r="A53" s="28" t="s">
        <v>55</v>
      </c>
      <c r="B53" s="39" t="s">
        <v>56</v>
      </c>
      <c r="C53" s="40" t="s">
        <v>57</v>
      </c>
      <c r="D53" s="41">
        <f>(2*D49/(D51^3))*10^(-7)</f>
        <v>0.0007791494537</v>
      </c>
      <c r="F53" s="20" t="s">
        <v>58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outlineLevel="1">
      <c r="A54" s="42" t="s">
        <v>59</v>
      </c>
      <c r="B54" s="26"/>
      <c r="C54" s="26"/>
      <c r="D54" s="27">
        <f t="shared" ref="D54:D56" si="1">D53*1000</f>
        <v>0.7791494537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outlineLevel="1">
      <c r="A55" s="42" t="s">
        <v>60</v>
      </c>
      <c r="B55" s="26"/>
      <c r="C55" s="26"/>
      <c r="D55" s="27">
        <f t="shared" si="1"/>
        <v>779.1494537</v>
      </c>
      <c r="E55" s="27"/>
      <c r="F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outlineLevel="1">
      <c r="A56" s="42" t="s">
        <v>61</v>
      </c>
      <c r="B56" s="26"/>
      <c r="C56" s="26"/>
      <c r="D56" s="43">
        <f t="shared" si="1"/>
        <v>779149.4537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outlineLevel="1">
      <c r="A57" s="25"/>
      <c r="B57" s="26"/>
      <c r="C57" s="32" t="s">
        <v>62</v>
      </c>
      <c r="D57" s="27">
        <f>D53/((4*PI())*10^(-7))</f>
        <v>620.0274348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outlineLevel="1">
      <c r="A58" s="25"/>
      <c r="B58" s="26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outlineLevel="1">
      <c r="A59" s="25"/>
      <c r="B59" s="26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outlineLevel="1">
      <c r="A60" s="28" t="s">
        <v>63</v>
      </c>
      <c r="B60" s="32" t="s">
        <v>64</v>
      </c>
      <c r="C60" s="32" t="s">
        <v>45</v>
      </c>
      <c r="D60" s="31">
        <f>D16/1000</f>
        <v>0.055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outlineLevel="1">
      <c r="A61" s="28"/>
      <c r="B61" s="26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outlineLevel="1">
      <c r="A62" s="28" t="s">
        <v>65</v>
      </c>
      <c r="B62" s="32" t="s">
        <v>66</v>
      </c>
      <c r="C62" s="32" t="s">
        <v>57</v>
      </c>
      <c r="D62" s="44">
        <f>D49*(10^(-7))/(D60^3)</f>
        <v>0.0002133733853</v>
      </c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outlineLevel="1">
      <c r="A63" s="25"/>
      <c r="B63" s="26"/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outlineLevel="1">
      <c r="A64" s="28" t="s">
        <v>67</v>
      </c>
      <c r="B64" s="26"/>
      <c r="C64" s="32" t="s">
        <v>45</v>
      </c>
      <c r="D64" s="31">
        <v>0.02</v>
      </c>
      <c r="E64" s="36" t="s">
        <v>68</v>
      </c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outlineLevel="1">
      <c r="A65" s="28" t="s">
        <v>69</v>
      </c>
      <c r="B65" s="26"/>
      <c r="C65" s="32" t="s">
        <v>45</v>
      </c>
      <c r="D65" s="31">
        <v>0.025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outlineLevel="1">
      <c r="A66" s="28" t="s">
        <v>70</v>
      </c>
      <c r="B66" s="26"/>
      <c r="C66" s="32" t="s">
        <v>45</v>
      </c>
      <c r="D66" s="45">
        <f>(sqrt(D65^2 + D64^2))/2</f>
        <v>0.01600781059</v>
      </c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outlineLevel="1">
      <c r="A67" s="28" t="s">
        <v>71</v>
      </c>
      <c r="B67" s="26"/>
      <c r="C67" s="32" t="s">
        <v>39</v>
      </c>
      <c r="D67" s="31">
        <f>D18</f>
        <v>0.226</v>
      </c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outlineLevel="1">
      <c r="A68" s="28" t="s">
        <v>72</v>
      </c>
      <c r="B68" s="26"/>
      <c r="C68" s="26"/>
      <c r="D68" s="45">
        <f>ROUNDUP(D62/(D67*(4*PI()*10^(-7))))</f>
        <v>752</v>
      </c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outlineLevel="1">
      <c r="A69" s="28" t="s">
        <v>73</v>
      </c>
      <c r="B69" s="26"/>
      <c r="C69" s="26"/>
      <c r="D69" s="27">
        <f>D21</f>
        <v>9</v>
      </c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outlineLevel="1">
      <c r="A70" s="25"/>
      <c r="B70" s="26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outlineLevel="1">
      <c r="A71" s="25"/>
      <c r="B71" s="26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outlineLevel="1">
      <c r="A72" s="25"/>
      <c r="B72" s="26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outlineLevel="1">
      <c r="A73" s="25"/>
      <c r="B73" s="26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outlineLevel="1">
      <c r="A74" s="46" t="s">
        <v>23</v>
      </c>
      <c r="B74" s="47"/>
      <c r="C74" s="47"/>
      <c r="D74" s="47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outlineLevel="1">
      <c r="A75" s="1"/>
      <c r="B75" s="2"/>
      <c r="C75" s="2"/>
      <c r="D75" s="2"/>
      <c r="E75" s="3"/>
      <c r="F75" s="3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outlineLevel="1">
      <c r="A76" s="28" t="s">
        <v>74</v>
      </c>
      <c r="B76" s="32"/>
      <c r="C76" s="26"/>
      <c r="D76" s="35">
        <f>D32</f>
        <v>4.39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outlineLevel="1">
      <c r="A77" s="28" t="s">
        <v>75</v>
      </c>
      <c r="B77" s="32" t="s">
        <v>76</v>
      </c>
      <c r="C77" s="26"/>
      <c r="D77" s="27">
        <f>10^D76</f>
        <v>24547.08916</v>
      </c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outlineLevel="1">
      <c r="A78" s="28" t="s">
        <v>23</v>
      </c>
      <c r="B78" s="32" t="s">
        <v>51</v>
      </c>
      <c r="C78" s="32" t="s">
        <v>62</v>
      </c>
      <c r="D78" s="27">
        <f>D77*D57</f>
        <v>15219868.72</v>
      </c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outlineLevel="1">
      <c r="A79" s="28" t="s">
        <v>77</v>
      </c>
      <c r="B79" s="32" t="s">
        <v>44</v>
      </c>
      <c r="C79" s="32" t="s">
        <v>45</v>
      </c>
      <c r="D79" s="35">
        <f>D31</f>
        <v>0.00013</v>
      </c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outlineLevel="1">
      <c r="A80" s="25"/>
      <c r="B80" s="26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outlineLevel="1">
      <c r="A81" s="25"/>
      <c r="B81" s="32" t="s">
        <v>78</v>
      </c>
      <c r="C81" s="32"/>
      <c r="D81" s="27">
        <f>4*PI()*(D79^3)*D78/3</f>
        <v>0.0001400649829</v>
      </c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outlineLevel="1">
      <c r="A82" s="28" t="s">
        <v>79</v>
      </c>
      <c r="B82" s="26"/>
      <c r="C82" s="32" t="s">
        <v>57</v>
      </c>
      <c r="D82" s="27">
        <f>(-D81/(D51^3) + 3*(D81*D51*D51)/(D51^5))*10^(-7)</f>
        <v>0.0000003074128569</v>
      </c>
      <c r="E82" s="49" t="s">
        <v>80</v>
      </c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outlineLevel="1">
      <c r="A83" s="25"/>
      <c r="B83" s="26"/>
      <c r="C83" s="32" t="s">
        <v>81</v>
      </c>
      <c r="D83" s="27">
        <f>D82*1000000</f>
        <v>0.3074128569</v>
      </c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50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51" t="s">
        <v>82</v>
      </c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52" t="s">
        <v>83</v>
      </c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52" t="s">
        <v>84</v>
      </c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50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50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50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50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50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50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50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50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50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50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50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50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50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50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50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50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50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50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50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50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50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50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50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50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50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50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50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50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5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5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5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5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5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5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5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5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5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5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5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5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5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5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5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5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5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5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5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5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5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5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5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5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5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5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5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5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5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5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5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5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5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5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5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5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5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5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5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5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5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5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5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5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5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5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5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5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5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5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5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5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5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5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5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5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5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5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5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5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5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5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5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5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5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5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5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5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5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5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5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5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5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5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5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5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5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5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5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5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5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5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5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5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5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5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5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5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5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5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5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5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5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5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5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5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5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5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5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5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5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5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5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5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5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5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5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5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5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5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5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5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5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5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5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5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5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5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5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5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5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5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5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5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5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5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5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5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5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5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5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5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5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5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5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5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5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5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5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5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5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5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5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5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5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5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5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5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5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5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5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5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5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5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5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5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5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5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5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5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5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5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5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5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5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5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5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5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5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5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5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5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5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5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5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5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5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5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5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5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5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5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5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5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5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5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5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5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5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5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5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5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5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5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5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5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5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5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5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5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5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5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5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5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5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5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5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5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5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5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5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5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5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5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5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5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5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5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5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5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5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5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5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5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5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5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5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5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5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5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5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5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5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5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5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5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5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5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5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5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5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5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5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5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5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5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5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5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5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5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5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5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5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5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5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5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5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5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5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5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5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5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5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5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5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5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5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5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5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5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5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5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5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5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5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5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5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5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5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5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5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5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5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5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5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5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5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5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5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5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5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5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5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5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5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5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5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5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5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5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5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5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5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5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5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5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5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5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5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5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5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5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5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5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5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5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5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5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5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5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5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5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5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5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5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5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5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5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5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5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5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5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5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5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5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5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5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5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5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5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5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5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5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5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5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5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5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5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5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5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5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5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5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5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5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5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5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5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5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5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5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5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5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5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5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5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5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5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5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5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5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5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5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5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5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5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5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5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5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5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5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5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5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5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5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5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5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5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5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5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5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5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5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5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5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5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5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5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5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5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5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5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5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5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5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5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5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5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5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5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5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5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5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5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5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5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5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5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5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5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5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5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5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5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5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5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5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5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5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5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5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5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5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5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5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5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5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5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5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5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5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5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5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5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5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5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5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5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5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5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5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5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5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5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5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5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5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5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5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5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5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5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5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5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5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5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5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5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5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5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5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5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5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5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5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5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5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5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5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5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5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5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5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5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5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5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5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5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5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5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5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5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5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5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5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5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5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5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5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5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5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5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5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5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5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5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5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5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5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5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5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5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5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5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5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5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5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5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5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5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5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5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5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5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5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5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5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5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5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5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5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5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5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5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5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5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5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5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5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5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5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5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5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5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5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5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5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5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5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5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5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5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5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5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5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5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5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5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5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5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5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5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5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5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5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5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5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5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5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5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5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5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5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5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5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5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5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5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5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5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5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5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5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5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5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5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5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5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5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5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5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5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5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5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5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5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5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5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5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5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5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5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5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5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5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5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5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5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5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5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5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5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5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5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5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5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5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5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5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5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5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5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5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5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5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5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5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5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5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5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5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5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5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5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5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5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5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5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5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5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5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5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5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5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5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5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5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5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5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5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5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5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5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5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5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5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5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5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5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5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5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5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5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5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5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5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5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5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5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5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5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5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5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5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5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5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5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5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5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5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5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5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5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5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5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5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5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5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5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5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5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5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5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5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5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5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5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5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5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5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5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5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5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5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5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5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5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5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5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5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5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5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5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5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5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5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5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5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5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5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5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5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5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5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5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5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5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5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5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5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5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5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5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5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5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5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5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5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5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5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5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5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5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5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5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5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5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5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5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5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5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5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5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5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5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5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5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5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5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5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5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5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5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5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5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5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5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5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5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5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5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5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5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5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5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5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5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5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5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5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5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5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5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5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5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5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5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5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5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5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5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5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5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5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5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5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5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5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5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5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5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5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5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5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5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5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5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5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5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5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5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5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5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5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5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5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5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5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5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5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5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5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5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5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5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5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5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5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5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5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5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5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5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5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5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5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5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5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5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5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5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5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5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5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5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5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5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5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5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5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5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5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5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5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5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5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5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5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5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5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5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5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5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5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5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5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5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5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5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5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5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5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5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5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5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5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5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5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5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5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5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5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5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25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>
      <c r="A1000" s="25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>
      <c r="A1001" s="25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>
      <c r="A1002" s="25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>
      <c r="A1003" s="25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  <row r="1004">
      <c r="A1004" s="25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</row>
    <row r="1005">
      <c r="A1005" s="25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</row>
    <row r="1006">
      <c r="A1006" s="25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</row>
    <row r="1007">
      <c r="A1007" s="25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</row>
    <row r="1008">
      <c r="A1008" s="25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</row>
    <row r="1009">
      <c r="A1009" s="25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</row>
    <row r="1010">
      <c r="A1010" s="25"/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</row>
    <row r="1011">
      <c r="A1011" s="25"/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</row>
    <row r="1012">
      <c r="A1012" s="25"/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</row>
    <row r="1013">
      <c r="A1013" s="25"/>
      <c r="B1013" s="27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</row>
    <row r="1014">
      <c r="A1014" s="25"/>
      <c r="B1014" s="27"/>
      <c r="C1014" s="27"/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</row>
    <row r="1015">
      <c r="A1015" s="25"/>
      <c r="B1015" s="27"/>
      <c r="C1015" s="27"/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</row>
    <row r="1016">
      <c r="A1016" s="25"/>
      <c r="B1016" s="27"/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</row>
    <row r="1017">
      <c r="A1017" s="25"/>
      <c r="B1017" s="27"/>
      <c r="C1017" s="27"/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</row>
    <row r="1018">
      <c r="A1018" s="25"/>
      <c r="B1018" s="27"/>
      <c r="C1018" s="27"/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</row>
    <row r="1019">
      <c r="A1019" s="25"/>
      <c r="B1019" s="27"/>
      <c r="C1019" s="27"/>
      <c r="D1019" s="27"/>
      <c r="E1019" s="27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</row>
    <row r="1020">
      <c r="A1020" s="25"/>
      <c r="B1020" s="27"/>
      <c r="C1020" s="27"/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</row>
    <row r="1021">
      <c r="A1021" s="25"/>
      <c r="B1021" s="27"/>
      <c r="C1021" s="27"/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</row>
    <row r="1022">
      <c r="A1022" s="25"/>
      <c r="B1022" s="27"/>
      <c r="C1022" s="27"/>
      <c r="D1022" s="27"/>
      <c r="E1022" s="27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</row>
    <row r="1023">
      <c r="A1023" s="25"/>
      <c r="B1023" s="27"/>
      <c r="C1023" s="27"/>
      <c r="D1023" s="27"/>
      <c r="E1023" s="27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</row>
    <row r="1024">
      <c r="A1024" s="25"/>
      <c r="B1024" s="27"/>
      <c r="C1024" s="27"/>
      <c r="D1024" s="27"/>
      <c r="E1024" s="27"/>
      <c r="F1024" s="27"/>
      <c r="G1024" s="27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</row>
    <row r="1025">
      <c r="A1025" s="25"/>
      <c r="B1025" s="27"/>
      <c r="C1025" s="27"/>
      <c r="D1025" s="27"/>
      <c r="E1025" s="27"/>
      <c r="F1025" s="27"/>
      <c r="G1025" s="27"/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</row>
    <row r="1026">
      <c r="A1026" s="25"/>
      <c r="B1026" s="27"/>
      <c r="C1026" s="27"/>
      <c r="D1026" s="27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</row>
    <row r="1027">
      <c r="A1027" s="25"/>
      <c r="B1027" s="27"/>
      <c r="C1027" s="27"/>
      <c r="D1027" s="27"/>
      <c r="E1027" s="27"/>
      <c r="F1027" s="27"/>
      <c r="G1027" s="27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</row>
    <row r="1028">
      <c r="A1028" s="25"/>
      <c r="B1028" s="27"/>
      <c r="C1028" s="27"/>
      <c r="D1028" s="27"/>
      <c r="E1028" s="27"/>
      <c r="F1028" s="27"/>
      <c r="G1028" s="27"/>
      <c r="H1028" s="27"/>
      <c r="I1028" s="27"/>
      <c r="J1028" s="27"/>
      <c r="K1028" s="27"/>
      <c r="L1028" s="27"/>
      <c r="M1028" s="27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</row>
    <row r="1029">
      <c r="A1029" s="25"/>
      <c r="B1029" s="27"/>
      <c r="C1029" s="27"/>
      <c r="D1029" s="27"/>
      <c r="E1029" s="27"/>
      <c r="F1029" s="27"/>
      <c r="G1029" s="27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</row>
    <row r="1030">
      <c r="A1030" s="25"/>
      <c r="B1030" s="27"/>
      <c r="C1030" s="27"/>
      <c r="D1030" s="27"/>
      <c r="E1030" s="27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</row>
    <row r="1031">
      <c r="A1031" s="25"/>
      <c r="B1031" s="27"/>
      <c r="C1031" s="27"/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</row>
    <row r="1032">
      <c r="A1032" s="25"/>
      <c r="B1032" s="27"/>
      <c r="C1032" s="27"/>
      <c r="D1032" s="27"/>
      <c r="E1032" s="27"/>
      <c r="F1032" s="27"/>
      <c r="G1032" s="27"/>
      <c r="H1032" s="27"/>
      <c r="I1032" s="27"/>
      <c r="J1032" s="27"/>
      <c r="K1032" s="27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</row>
    <row r="1033">
      <c r="A1033" s="25"/>
      <c r="B1033" s="27"/>
      <c r="C1033" s="27"/>
      <c r="D1033" s="27"/>
      <c r="E1033" s="27"/>
      <c r="F1033" s="27"/>
      <c r="G1033" s="27"/>
      <c r="H1033" s="27"/>
      <c r="I1033" s="27"/>
      <c r="J1033" s="27"/>
      <c r="K1033" s="27"/>
      <c r="L1033" s="27"/>
      <c r="M1033" s="27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</row>
    <row r="1034">
      <c r="A1034" s="25"/>
      <c r="B1034" s="27"/>
      <c r="C1034" s="27"/>
      <c r="D1034" s="27"/>
      <c r="E1034" s="27"/>
      <c r="F1034" s="27"/>
      <c r="G1034" s="27"/>
      <c r="H1034" s="27"/>
      <c r="I1034" s="27"/>
      <c r="J1034" s="27"/>
      <c r="K1034" s="27"/>
      <c r="L1034" s="27"/>
      <c r="M1034" s="27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/>
      <c r="Y1034" s="27"/>
      <c r="Z1034" s="27"/>
    </row>
    <row r="1035">
      <c r="A1035" s="25"/>
      <c r="B1035" s="27"/>
      <c r="C1035" s="27"/>
      <c r="D1035" s="27"/>
      <c r="E1035" s="27"/>
      <c r="F1035" s="27"/>
      <c r="G1035" s="27"/>
      <c r="H1035" s="27"/>
      <c r="I1035" s="27"/>
      <c r="J1035" s="27"/>
      <c r="K1035" s="27"/>
      <c r="L1035" s="27"/>
      <c r="M1035" s="27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27"/>
      <c r="Y1035" s="27"/>
      <c r="Z1035" s="27"/>
    </row>
    <row r="1036">
      <c r="A1036" s="25"/>
      <c r="B1036" s="27"/>
      <c r="C1036" s="27"/>
      <c r="D1036" s="27"/>
      <c r="E1036" s="27"/>
      <c r="F1036" s="27"/>
      <c r="G1036" s="27"/>
      <c r="H1036" s="27"/>
      <c r="I1036" s="27"/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</row>
    <row r="1037">
      <c r="A1037" s="25"/>
      <c r="B1037" s="27"/>
      <c r="C1037" s="27"/>
      <c r="D1037" s="27"/>
      <c r="E1037" s="27"/>
      <c r="F1037" s="27"/>
      <c r="G1037" s="27"/>
      <c r="H1037" s="27"/>
      <c r="I1037" s="27"/>
      <c r="J1037" s="27"/>
      <c r="K1037" s="27"/>
      <c r="L1037" s="27"/>
      <c r="M1037" s="27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27"/>
      <c r="Y1037" s="27"/>
      <c r="Z1037" s="27"/>
    </row>
    <row r="1038">
      <c r="A1038" s="25"/>
      <c r="B1038" s="27"/>
      <c r="C1038" s="27"/>
      <c r="D1038" s="27"/>
      <c r="E1038" s="27"/>
      <c r="F1038" s="27"/>
      <c r="G1038" s="27"/>
      <c r="H1038" s="27"/>
      <c r="I1038" s="27"/>
      <c r="J1038" s="27"/>
      <c r="K1038" s="27"/>
      <c r="L1038" s="27"/>
      <c r="M1038" s="27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  <c r="X1038" s="27"/>
      <c r="Y1038" s="27"/>
      <c r="Z1038" s="27"/>
    </row>
    <row r="1039">
      <c r="A1039" s="25"/>
      <c r="B1039" s="27"/>
      <c r="C1039" s="27"/>
      <c r="D1039" s="27"/>
      <c r="E1039" s="27"/>
      <c r="F1039" s="27"/>
      <c r="G1039" s="27"/>
      <c r="H1039" s="27"/>
      <c r="I1039" s="27"/>
      <c r="J1039" s="27"/>
      <c r="K1039" s="27"/>
      <c r="L1039" s="27"/>
      <c r="M1039" s="27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  <c r="X1039" s="27"/>
      <c r="Y1039" s="27"/>
      <c r="Z1039" s="27"/>
    </row>
    <row r="1040">
      <c r="A1040" s="25"/>
      <c r="B1040" s="27"/>
      <c r="C1040" s="27"/>
      <c r="D1040" s="27"/>
      <c r="E1040" s="27"/>
      <c r="F1040" s="27"/>
      <c r="G1040" s="27"/>
      <c r="H1040" s="27"/>
      <c r="I1040" s="27"/>
      <c r="J1040" s="27"/>
      <c r="K1040" s="27"/>
      <c r="L1040" s="27"/>
      <c r="M1040" s="27"/>
      <c r="N1040" s="27"/>
      <c r="O1040" s="27"/>
      <c r="P1040" s="27"/>
      <c r="Q1040" s="27"/>
      <c r="R1040" s="27"/>
      <c r="S1040" s="27"/>
      <c r="T1040" s="27"/>
      <c r="U1040" s="27"/>
      <c r="V1040" s="27"/>
      <c r="W1040" s="27"/>
      <c r="X1040" s="27"/>
      <c r="Y1040" s="27"/>
      <c r="Z1040" s="27"/>
    </row>
    <row r="1041">
      <c r="A1041" s="25"/>
      <c r="B1041" s="27"/>
      <c r="C1041" s="27"/>
      <c r="D1041" s="27"/>
      <c r="E1041" s="27"/>
      <c r="F1041" s="27"/>
      <c r="G1041" s="27"/>
      <c r="H1041" s="27"/>
      <c r="I1041" s="27"/>
      <c r="J1041" s="27"/>
      <c r="K1041" s="27"/>
      <c r="L1041" s="27"/>
      <c r="M1041" s="27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27"/>
      <c r="Y1041" s="27"/>
      <c r="Z1041" s="27"/>
    </row>
    <row r="1042">
      <c r="A1042" s="25"/>
      <c r="B1042" s="27"/>
      <c r="C1042" s="27"/>
      <c r="D1042" s="27"/>
      <c r="E1042" s="27"/>
      <c r="F1042" s="27"/>
      <c r="G1042" s="27"/>
      <c r="H1042" s="27"/>
      <c r="I1042" s="27"/>
      <c r="J1042" s="27"/>
      <c r="K1042" s="27"/>
      <c r="L1042" s="27"/>
      <c r="M1042" s="27"/>
      <c r="N1042" s="27"/>
      <c r="O1042" s="27"/>
      <c r="P1042" s="27"/>
      <c r="Q1042" s="27"/>
      <c r="R1042" s="27"/>
      <c r="S1042" s="27"/>
      <c r="T1042" s="27"/>
      <c r="U1042" s="27"/>
      <c r="V1042" s="27"/>
      <c r="W1042" s="27"/>
      <c r="X1042" s="27"/>
      <c r="Y1042" s="27"/>
      <c r="Z1042" s="27"/>
    </row>
  </sheetData>
  <conditionalFormatting sqref="D9 D24">
    <cfRule type="cellIs" dxfId="0" priority="1" operator="lessThan">
      <formula>50</formula>
    </cfRule>
  </conditionalFormatting>
  <conditionalFormatting sqref="D33">
    <cfRule type="cellIs" dxfId="0" priority="2" operator="greaterThanOrEqual">
      <formula>10</formula>
    </cfRule>
  </conditionalFormatting>
  <conditionalFormatting sqref="D33">
    <cfRule type="cellIs" dxfId="1" priority="3" operator="between">
      <formula>10</formula>
      <formula>0.1</formula>
    </cfRule>
  </conditionalFormatting>
  <conditionalFormatting sqref="D33">
    <cfRule type="cellIs" dxfId="2" priority="4" operator="lessThan">
      <formula>0.1</formula>
    </cfRule>
  </conditionalFormatting>
  <conditionalFormatting sqref="D9 D24">
    <cfRule type="cellIs" dxfId="2" priority="5" operator="greaterThanOrEqual">
      <formula>50</formula>
    </cfRule>
  </conditionalFormatting>
  <dataValidations>
    <dataValidation type="list" allowBlank="1" sqref="D3 D17">
      <formula1>'Wire Gauges'!$A$2:$A$10</formula1>
    </dataValidation>
  </dataValidations>
  <hyperlinks>
    <hyperlink r:id="rId1" ref="P2"/>
    <hyperlink r:id="rId2" ref="E44"/>
    <hyperlink r:id="rId3" ref="E64"/>
    <hyperlink r:id="rId4" ref="E82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3" t="s">
        <v>3</v>
      </c>
      <c r="B1" s="53" t="s">
        <v>85</v>
      </c>
      <c r="C1" s="53" t="s">
        <v>86</v>
      </c>
    </row>
    <row r="2">
      <c r="A2" s="20">
        <v>20.0</v>
      </c>
      <c r="B2" s="20">
        <v>1.5</v>
      </c>
      <c r="C2" s="20">
        <v>0.0331</v>
      </c>
    </row>
    <row r="3">
      <c r="A3" s="20">
        <v>21.0</v>
      </c>
      <c r="B3" s="20">
        <v>1.2</v>
      </c>
      <c r="C3" s="20">
        <v>0.0296</v>
      </c>
    </row>
    <row r="4">
      <c r="A4" s="20">
        <v>22.0</v>
      </c>
      <c r="B4" s="20">
        <v>0.92</v>
      </c>
      <c r="C4" s="20">
        <v>0.0263</v>
      </c>
    </row>
    <row r="5">
      <c r="A5" s="20">
        <v>23.0</v>
      </c>
      <c r="B5" s="20">
        <v>0.729</v>
      </c>
      <c r="C5" s="20">
        <v>0.0236</v>
      </c>
    </row>
    <row r="6">
      <c r="A6" s="20">
        <v>24.0</v>
      </c>
      <c r="B6" s="20">
        <v>0.577</v>
      </c>
      <c r="C6" s="20">
        <v>0.0211</v>
      </c>
    </row>
    <row r="7">
      <c r="A7" s="20">
        <v>25.0</v>
      </c>
      <c r="B7" s="20">
        <v>0.457</v>
      </c>
      <c r="C7" s="20">
        <v>0.0188</v>
      </c>
    </row>
    <row r="8">
      <c r="A8" s="20">
        <v>26.0</v>
      </c>
      <c r="B8" s="20">
        <v>0.361</v>
      </c>
      <c r="C8" s="20">
        <v>0.0168</v>
      </c>
    </row>
    <row r="9">
      <c r="A9" s="20">
        <v>27.0</v>
      </c>
      <c r="B9" s="20">
        <v>0.288</v>
      </c>
      <c r="C9" s="20">
        <v>0.0151</v>
      </c>
    </row>
    <row r="10">
      <c r="A10" s="20">
        <v>28.0</v>
      </c>
      <c r="B10" s="20">
        <v>0.226</v>
      </c>
      <c r="C10" s="20">
        <v>0.0135</v>
      </c>
    </row>
  </sheetData>
  <drawing r:id="rId1"/>
</worksheet>
</file>