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Dimension"/>
    <sheet r:id="rId2" sheetId="2" name="Fait"/>
  </sheets>
  <definedNames>
    <definedName name="count_total">Dimension!$B$2:$B$2</definedName>
    <definedName name="titre_all">Table1[Title]</definedName>
  </definedNames>
  <calcPr fullCalcOnLoad="1"/>
</workbook>
</file>

<file path=xl/sharedStrings.xml><?xml version="1.0" encoding="utf-8"?>
<sst xmlns="http://schemas.openxmlformats.org/spreadsheetml/2006/main" count="1835" uniqueCount="552">
  <si>
    <t>insérer une ligne en haut pour loger une nouvelle lecture</t>
  </si>
  <si>
    <t>Titre</t>
  </si>
  <si>
    <t>Colonne1</t>
  </si>
  <si>
    <t>date début</t>
  </si>
  <si>
    <t>date fin</t>
  </si>
  <si>
    <t>pages</t>
  </si>
  <si>
    <t>Langue</t>
  </si>
  <si>
    <t>Format</t>
  </si>
  <si>
    <t>Le monstre de la caverne</t>
  </si>
  <si>
    <t>HP Lovecraft</t>
  </si>
  <si>
    <t>29/09/2024</t>
  </si>
  <si>
    <t>30/09/2024</t>
  </si>
  <si>
    <t>fr</t>
  </si>
  <si>
    <t>audio</t>
  </si>
  <si>
    <t>La tombe</t>
  </si>
  <si>
    <t>26/09/2024</t>
  </si>
  <si>
    <t>Blackwater T1</t>
  </si>
  <si>
    <t>Roog</t>
  </si>
  <si>
    <t>Philipp K Dick</t>
  </si>
  <si>
    <t>19/09/2024</t>
  </si>
  <si>
    <t>Stabilité</t>
  </si>
  <si>
    <t>Philip K Dick</t>
  </si>
  <si>
    <t>Tobie Lolness T2 - Les Yeux d’Elisha</t>
  </si>
  <si>
    <t>Timothée de Fombelle</t>
  </si>
  <si>
    <t>Tobie Lolness T1 - La Vie suspendue</t>
  </si>
  <si>
    <t>Tress de la mer Emeraude</t>
  </si>
  <si>
    <t>Brandon Sanderson</t>
  </si>
  <si>
    <t>papier</t>
  </si>
  <si>
    <t>Coraline</t>
  </si>
  <si>
    <t>epub</t>
  </si>
  <si>
    <t>Le Crime de l'Orient-Express</t>
  </si>
  <si>
    <t>La faune de l'espace</t>
  </si>
  <si>
    <t>Fils des brumes, Tome 3 : Le héros des siècles</t>
  </si>
  <si>
    <t>Fils des brumes, Tome 2 : Le puits de l'ascension</t>
  </si>
  <si>
    <t>Fils des brumes, Tome 1 : L'empire ultime</t>
  </si>
  <si>
    <t>Le Porteur de lumière tome 2</t>
  </si>
  <si>
    <t>livre</t>
  </si>
  <si>
    <t>Je suis une légende</t>
  </si>
  <si>
    <t>L'Ickabog</t>
  </si>
  <si>
    <t>Le Porteur de lumière tome 1</t>
  </si>
  <si>
    <t>La part des Ombres 1</t>
  </si>
  <si>
    <t>Une place à prendre</t>
  </si>
  <si>
    <t>Les archives de Roshar, tome 4.2 : Rythme de guerre 2</t>
  </si>
  <si>
    <t>Tyrann</t>
  </si>
  <si>
    <t>Les Annales de la Compagnie Noire, Tome 3</t>
  </si>
  <si>
    <t>Les Annales de la Compagnie Noire, Tome 2</t>
  </si>
  <si>
    <t>Les archives de Roshar, tome 4.1 : Rythme de guerre 1</t>
  </si>
  <si>
    <t>Eclat de L'aube (Roshar 3.5)</t>
  </si>
  <si>
    <t>De bons présages (Good Omens)</t>
  </si>
  <si>
    <t>Fils des brumes, tome 5 : Jeux de masques</t>
  </si>
  <si>
    <t>Fils des brumes, tome 4 :  L'alliage de la justice</t>
  </si>
  <si>
    <t>L'Océan au bout du chemin</t>
  </si>
  <si>
    <t>La Guerre des clans #1 - Retour à l'état sauvage</t>
  </si>
  <si>
    <t>Le Prieuré de l'Oranger T1 partie 2</t>
  </si>
  <si>
    <t>Le Prieuré de l'Oranger T1 partie 1</t>
  </si>
  <si>
    <t>Les enfants de Hurin</t>
  </si>
  <si>
    <t>Le Meilleur des mondes</t>
  </si>
  <si>
    <t>La Guerre éternelle #1</t>
  </si>
  <si>
    <t>Cormoran Strike 1 - L'Appel du coucou</t>
  </si>
  <si>
    <t>Mirroirs et fumée</t>
  </si>
  <si>
    <t>Skyward, tome 2 : Astrevise</t>
  </si>
  <si>
    <t>Légion</t>
  </si>
  <si>
    <t>Le Monde du fleuve - Le Fleuve de l'éternité, tome 1</t>
  </si>
  <si>
    <t xml:space="preserve">Stardust </t>
  </si>
  <si>
    <t>L'étrange vie de Nobody Owens</t>
  </si>
  <si>
    <t>Neverwhere</t>
  </si>
  <si>
    <t xml:space="preserve">Neuromancien </t>
  </si>
  <si>
    <t>La Belgariade T1 - Le pion blanc des présages</t>
  </si>
  <si>
    <t>Les joueurs de Titan</t>
  </si>
  <si>
    <t>Le Temps désarticulé</t>
  </si>
  <si>
    <t>Skyward, tome 1 : Vers les étoiles</t>
  </si>
  <si>
    <t>Aucun souvenir assez solide</t>
  </si>
  <si>
    <t>La Horde du Contrevent</t>
  </si>
  <si>
    <t>La Route d'où l'on ne revient pas (Nouvelle)</t>
  </si>
  <si>
    <t>Sorceleur, Tome 2: L'Épée de la providence</t>
  </si>
  <si>
    <t>Seul sur Mars</t>
  </si>
  <si>
    <t>Brulesables (nouvelles)</t>
  </si>
  <si>
    <t>Dragon Blood T1 : Le sang du dragon</t>
  </si>
  <si>
    <t>Les Thanatonautes</t>
  </si>
  <si>
    <t>Coeur d'acier</t>
  </si>
  <si>
    <t>Coeur d'acier, tome 2 : Brasier</t>
  </si>
  <si>
    <t>Coeur d'Acier, tome 3 : Calamité</t>
  </si>
  <si>
    <t>Elantris, Tome 1 : Chute</t>
  </si>
  <si>
    <t>L'Âme de l'Empereur</t>
  </si>
  <si>
    <t>Les Archives de Roshar, tome 1.1 : La Voie des rois 1</t>
  </si>
  <si>
    <t>Les Archives de Roshar, tome 1.2 : La Voie des rois 2</t>
  </si>
  <si>
    <t>Les Archives de Roshar, tome 2.1 : Le livre des Radieux 1</t>
  </si>
  <si>
    <t>Les Archives de Roshar, tome 2.2 : Le livre des Radieux 2</t>
  </si>
  <si>
    <t>Les archives de Roshar, tome 3.1 : Justicière 1</t>
  </si>
  <si>
    <t>Les archives de Roshar, tome 3.2 : Justicière 2</t>
  </si>
  <si>
    <t>Les légions de poussière</t>
  </si>
  <si>
    <t>Sixième du crépuscule et autres nouvelles</t>
  </si>
  <si>
    <t>Warbreaker</t>
  </si>
  <si>
    <t>Le passe mirroir, T1</t>
  </si>
  <si>
    <t>Le passe mirroir, T2</t>
  </si>
  <si>
    <t>Le passe mirroir, T3</t>
  </si>
  <si>
    <t>Vox</t>
  </si>
  <si>
    <t>Eragon</t>
  </si>
  <si>
    <t>Le Prestige</t>
  </si>
  <si>
    <t>Fight Club</t>
  </si>
  <si>
    <t>Légende</t>
  </si>
  <si>
    <t>Le Guide du Voyageur Galactique - T1</t>
  </si>
  <si>
    <t>Le Guide du Voyageur Galactique - T2 : Le dernier restaurant avant la fin du monde</t>
  </si>
  <si>
    <t>Les Seigneurs de Bohen</t>
  </si>
  <si>
    <t>L'ombre du Pouvoir</t>
  </si>
  <si>
    <t>Mikrodystopies</t>
  </si>
  <si>
    <t>Dune</t>
  </si>
  <si>
    <t>Le Puits Des Mémoires - T1</t>
  </si>
  <si>
    <t>Le Puits Des Mémoires - T2 Le Fils de la Lune</t>
  </si>
  <si>
    <t>Le Puits Des Mémoires - T3 Les Terres de Cristal</t>
  </si>
  <si>
    <t>Le trône de fer - Intégrale 1</t>
  </si>
  <si>
    <t>Le trône de fer - Intégrale 2</t>
  </si>
  <si>
    <t>Le trône de fer - Intégrale 3</t>
  </si>
  <si>
    <t>La Ferme des Animaux</t>
  </si>
  <si>
    <t xml:space="preserve">Les Annales de la Compagnie Noire, Tome 1 : La compagnie noire </t>
  </si>
  <si>
    <t>Petit : Les Ogres Dieux</t>
  </si>
  <si>
    <t>Cher Jupiter</t>
  </si>
  <si>
    <t>Chrono-minets</t>
  </si>
  <si>
    <t>L'avenir commence demain</t>
  </si>
  <si>
    <t>Le club des veufs noirs</t>
  </si>
  <si>
    <t>Le Cycle de Fondation, tome 1 : Fondation</t>
  </si>
  <si>
    <t>Le Cycle de Fondation, tome 2 : Fondation et Empire</t>
  </si>
  <si>
    <t>Le Cycle de Fondation, tome 3 : Seconde Fondation</t>
  </si>
  <si>
    <t>Le Cycle de Fondation, tome 4 : Fondation foudroyée</t>
  </si>
  <si>
    <t>Le Cycle de Fondation, Tome 5 : Terre et Fondation</t>
  </si>
  <si>
    <t>Le Cycle de Fondation, tome 6 : Prélude à Fondation</t>
  </si>
  <si>
    <t>Le Cycle de Fondation, tome 7 : L'aube de Fondation</t>
  </si>
  <si>
    <t>Le Cycle des Robots, Tome 1 : Les robots</t>
  </si>
  <si>
    <t>Le Cycle des Robots, Tome 2 : Un défilé de robots</t>
  </si>
  <si>
    <t>Le Cycle des Robots, Tome 3 : Les cavernes d'acier</t>
  </si>
  <si>
    <t>Le Cycle des Robots, Tome 4 : Face aux feux du soleil</t>
  </si>
  <si>
    <t>Le Cycle des Robots, Tome 5 : Les robots de l'aube</t>
  </si>
  <si>
    <t>Le Cycle des Robots, Tome 6 : Les robots et l'Empire</t>
  </si>
  <si>
    <t>Les courants de l'espace</t>
  </si>
  <si>
    <t>L'homme bicentenaire</t>
  </si>
  <si>
    <t>Quand les ténèbres viendront</t>
  </si>
  <si>
    <t>Harry Potter And The Cursed Child</t>
  </si>
  <si>
    <t>Harry Potter, tome 1 : Harry Potter à l'Ecole des Sorciers</t>
  </si>
  <si>
    <t>Harry Potter, tome 2 : Harry Potter et la Chambre des Secrets</t>
  </si>
  <si>
    <t>Harry Potter, tome 3 : Harry Potter et le Prisonnier d'Azkaban</t>
  </si>
  <si>
    <t>Harry Potter, tome 4 : Harry Potter et la Coupe de Feu</t>
  </si>
  <si>
    <t>Harry Potter, tome 5 : Harry Potter et l'Ordre du Phénix</t>
  </si>
  <si>
    <t>Harry Potter, tome 6 : Harry Potter et le Prince de sang mêlé</t>
  </si>
  <si>
    <t>Harry Potter, tome 7 : Harry Potter et les reliques de la mort</t>
  </si>
  <si>
    <t>Bilbo le Hobbit</t>
  </si>
  <si>
    <t>Le Seigneur des Anneaux t1</t>
  </si>
  <si>
    <t>La Fabrique de Violence</t>
  </si>
  <si>
    <t>En mémoire de mes pêchés</t>
  </si>
  <si>
    <t>La lune n'est pas pour nous</t>
  </si>
  <si>
    <t>Des Souris et des Hommes</t>
  </si>
  <si>
    <t>Abattoir 5</t>
  </si>
  <si>
    <t>Autre monde</t>
  </si>
  <si>
    <t>Stay silent stay still</t>
  </si>
  <si>
    <t>La Mythologie Viking</t>
  </si>
  <si>
    <t>La Stratégie Ender T1</t>
  </si>
  <si>
    <t>La Stratégie Ender T2</t>
  </si>
  <si>
    <t>La Stratégie Ender T3</t>
  </si>
  <si>
    <t>Les monarchies divines t1 - Voyage d'hawkwood</t>
  </si>
  <si>
    <t>Les monarchies divines t2</t>
  </si>
  <si>
    <t>Les monarchies divines t3</t>
  </si>
  <si>
    <t>Les monarchies divines t4</t>
  </si>
  <si>
    <t>Les monarchies divines t5</t>
  </si>
  <si>
    <t>Blade Runner</t>
  </si>
  <si>
    <t>Les Marteaux de Vulcain</t>
  </si>
  <si>
    <t>Ubik</t>
  </si>
  <si>
    <t>A la croisée des mondes - Intégrale</t>
  </si>
  <si>
    <t>The Book Of Dust - T1 : La Belle Sauvage</t>
  </si>
  <si>
    <t>La Quête d'Ewilan T1</t>
  </si>
  <si>
    <t>La Quête d'Ewilan T2</t>
  </si>
  <si>
    <t>La Quête d'Ewilan T3</t>
  </si>
  <si>
    <t>Chroniques Martiennes</t>
  </si>
  <si>
    <t>Farenheit 451</t>
  </si>
  <si>
    <t>Le messager (nouvelle)</t>
  </si>
  <si>
    <t>Watership Down</t>
  </si>
  <si>
    <t>L'homme qui rétrécit</t>
  </si>
  <si>
    <t>Nouvelles, Tome 1 1950-1953</t>
  </si>
  <si>
    <t>L'Assassin royal - T1 à T3 : La citadelle des ombres 1</t>
  </si>
  <si>
    <t>L'Assassin royal - T10 : Serments et Deuil</t>
  </si>
  <si>
    <t>L'Assassin royal - T4 à T6 : La citadelle des ombres 2</t>
  </si>
  <si>
    <t>L'Assassin royal - T7 à T9 : La citadelle des ombres 3</t>
  </si>
  <si>
    <t>L'Assassin royal - T9 : Les Secrets de Castelcerf</t>
  </si>
  <si>
    <t>Les aventuriers de la mer - T1</t>
  </si>
  <si>
    <t>Les aventuriers de la mer - T2</t>
  </si>
  <si>
    <t>Les aventuriers de la mer - T3</t>
  </si>
  <si>
    <t>Les Salauds Gentilhommes - T3 : La république des voleurs</t>
  </si>
  <si>
    <t>Millenium T1</t>
  </si>
  <si>
    <t>Millénium T2</t>
  </si>
  <si>
    <t>Millenium T3</t>
  </si>
  <si>
    <t>Hunger games 4 - La Balade du Serpent et de l'oiseau chanteur (prequel)</t>
  </si>
  <si>
    <t>Le Peuple Ciel (Nouvelle)</t>
  </si>
  <si>
    <t>L'Epée de vérite t1 - La première leçon du sorcier</t>
  </si>
  <si>
    <t>Les Annales du Disque-Monde (04) - Mortimer</t>
  </si>
  <si>
    <t xml:space="preserve">La Guilde des magiciens - La Trilogie du magicien noir, tome 1 </t>
  </si>
  <si>
    <t>Sa Majesté des Mouches</t>
  </si>
  <si>
    <t>nbr de cellules vides</t>
  </si>
  <si>
    <t>nbr cellule total, puis pourcentage de vide</t>
  </si>
  <si>
    <t>Moyenne</t>
  </si>
  <si>
    <t>Median</t>
  </si>
  <si>
    <t>Mini</t>
  </si>
  <si>
    <t>Maxi</t>
  </si>
  <si>
    <t>Mode</t>
  </si>
  <si>
    <t>insérer une ligne pour ajouter un nouveau livre. Utiliser l'onglet FAIT pour ajouter une nouvelle lecture</t>
  </si>
  <si>
    <t>Title</t>
  </si>
  <si>
    <t>Author</t>
  </si>
  <si>
    <t>Owned physique</t>
  </si>
  <si>
    <t>Read</t>
  </si>
  <si>
    <t>like</t>
  </si>
  <si>
    <t>Genre 1</t>
  </si>
  <si>
    <t>Genre 2</t>
  </si>
  <si>
    <t>Nbr Pages</t>
  </si>
  <si>
    <t>Date de sortie</t>
  </si>
  <si>
    <t>Date d'achat</t>
  </si>
  <si>
    <t>Date de début de lecture</t>
  </si>
  <si>
    <t>Date de fin de lecture FR</t>
  </si>
  <si>
    <t>Type (stand alone, Saga=des suites, série = des livres du meme univers mais qui ne se suivent pas forcement)</t>
  </si>
  <si>
    <t>Type 2 (numero saga, 0 pour spinoff ou prequel)</t>
  </si>
  <si>
    <t>ISBN</t>
  </si>
  <si>
    <t>Serie</t>
  </si>
  <si>
    <t>Roman / nouvelle / BD / Roman graphique ?</t>
  </si>
  <si>
    <t>Personal Notes</t>
  </si>
  <si>
    <t>Année de lecture</t>
  </si>
  <si>
    <t>Mois de lecture</t>
  </si>
  <si>
    <t>Temps de lecture en jours</t>
  </si>
  <si>
    <t>Vitesse de lecture (page / jours)</t>
  </si>
  <si>
    <t>Temps dans la PAL</t>
  </si>
  <si>
    <t>Décénie de sortie</t>
  </si>
  <si>
    <t>A.E Van Vogt</t>
  </si>
  <si>
    <t>SF</t>
  </si>
  <si>
    <t>Nouvelle</t>
  </si>
  <si>
    <t>Vu dans une nouvelle d'Isaac Asimov</t>
  </si>
  <si>
    <t>Socialisme utopique et socialisme scientifique</t>
  </si>
  <si>
    <t>Angels</t>
  </si>
  <si>
    <t>Non fiction</t>
  </si>
  <si>
    <t>Salaire, prix et profits</t>
  </si>
  <si>
    <t>Karl Marx</t>
  </si>
  <si>
    <t>travail salarié et capital</t>
  </si>
  <si>
    <t>Le manifeste</t>
  </si>
  <si>
    <t>Dans la toile du temps</t>
  </si>
  <si>
    <t>Adrian Tchaikovsky</t>
  </si>
  <si>
    <t>Ils étaient dix (dix petits negres)</t>
  </si>
  <si>
    <t>Agatha Christie</t>
  </si>
  <si>
    <t>Policier</t>
  </si>
  <si>
    <t>Alain Damasio</t>
  </si>
  <si>
    <t>Dystopie</t>
  </si>
  <si>
    <t>SA</t>
  </si>
  <si>
    <t>Roman</t>
  </si>
  <si>
    <t>Fantasy</t>
  </si>
  <si>
    <t>La Zone du dehors</t>
  </si>
  <si>
    <t>Arrêté en cours</t>
  </si>
  <si>
    <t>Aldous Huxley</t>
  </si>
  <si>
    <t>Très très cool et perturbant</t>
  </si>
  <si>
    <t>Terminus les étoiles</t>
  </si>
  <si>
    <t>Alfred Bester</t>
  </si>
  <si>
    <t>Andrzej Sapkowski</t>
  </si>
  <si>
    <t>Par l'auteur de the Sorceleur
Nouvelle qui parle des parents du sorceleur</t>
  </si>
  <si>
    <t>Saga</t>
  </si>
  <si>
    <t>Andy Weir</t>
  </si>
  <si>
    <t>Assez mauvais</t>
  </si>
  <si>
    <t>Anthony Ryan</t>
  </si>
  <si>
    <t>Gaslamppunk</t>
  </si>
  <si>
    <t>https://lecultedapophis.com/2017/05/23/le-sang-du-dragon-anthony-ryan/
Excellente nouvelle, donne envie de lire sa trilogie phare : dragonblood</t>
  </si>
  <si>
    <t xml:space="preserve">
Univers fantasy très riche. Un peu léger en description (très centré sur l'action, quitte à devenir brouillon parfois)
</t>
  </si>
  <si>
    <t>Bernard Werber</t>
  </si>
  <si>
    <t>Premier livre werber lu, prété par Sophie</t>
  </si>
  <si>
    <t>Cœur d'acier 1</t>
  </si>
  <si>
    <t>Très sympa et léger, ne pas lire les 2 suivants</t>
  </si>
  <si>
    <t>Cœur d'acier 2</t>
  </si>
  <si>
    <t>Cœur d'acier 3</t>
  </si>
  <si>
    <t>Excellent, meilleur spin off so far</t>
  </si>
  <si>
    <t>Une sorte de brouillon à Fils des brumes, on retrouve les mêmes personnages / pouvoir / concept. Lire d'abord FDB</t>
  </si>
  <si>
    <t>Fils des brumes - 1</t>
  </si>
  <si>
    <t>Fils des brumes - 2</t>
  </si>
  <si>
    <t>Fils des brumes - 3</t>
  </si>
  <si>
    <t>Fils des brumes - 4</t>
  </si>
  <si>
    <t>Relecture en février 2023, lecture numéro 1 en ?</t>
  </si>
  <si>
    <t>Fils des brumes - 5</t>
  </si>
  <si>
    <t xml:space="preserve">Wax et Wayne 2 - Jeux de Masques </t>
  </si>
  <si>
    <t>Fils des brumes, tome 6 : Les Bracelets des Larmes</t>
  </si>
  <si>
    <t>Fils des brumes - 6</t>
  </si>
  <si>
    <t>Wax et Wayne 3 - Les bracelets des larmes</t>
  </si>
  <si>
    <t>Fils des brumes, tome 7 : the lost metal</t>
  </si>
  <si>
    <t>Fils des brumes - 7</t>
  </si>
  <si>
    <t>Toujours pas traduit</t>
  </si>
  <si>
    <t>Heroic Fantasy</t>
  </si>
  <si>
    <t>Prêté à Flo</t>
  </si>
  <si>
    <t xml:space="preserve">Suite de la voie des rois
</t>
  </si>
  <si>
    <t xml:space="preserve">Une tuerie
</t>
  </si>
  <si>
    <t xml:space="preserve">Résumé à lire (en) avant d'attaquer : https://www.tor.com/2017/08/15/stormlight-archive-refresher/
</t>
  </si>
  <si>
    <t>TWOK 4 : Rythme de guerre, volume 1</t>
  </si>
  <si>
    <t>TWOK 4 : ythme de guerre, Volume 2</t>
  </si>
  <si>
    <t>Recueil de nouvelles</t>
  </si>
  <si>
    <t>Excellent sur toute la ligne</t>
  </si>
  <si>
    <t>Très cool</t>
  </si>
  <si>
    <t>à relire car relié à roshar (la lame)</t>
  </si>
  <si>
    <t>Brent Weeks</t>
  </si>
  <si>
    <t>Dark Fantasy</t>
  </si>
  <si>
    <t>Reco Nico cai</t>
  </si>
  <si>
    <t>Légendes des Contrées du Rêve - Intégrale</t>
  </si>
  <si>
    <t>Brian Lumley</t>
  </si>
  <si>
    <t>Horreur</t>
  </si>
  <si>
    <t xml:space="preserve">Red Rising </t>
  </si>
  <si>
    <t>Brown, Pierce</t>
  </si>
  <si>
    <t>Tome 1</t>
  </si>
  <si>
    <t>sens critique : https://www.senscritique.com/Chips</t>
  </si>
  <si>
    <t>Le troupeau aveugle 1</t>
  </si>
  <si>
    <t>Brunner, John</t>
  </si>
  <si>
    <t xml:space="preserve">Rai-Kirah 1 - L'esclave </t>
  </si>
  <si>
    <t>Carol Berg</t>
  </si>
  <si>
    <t>Guide de Survie pour le voyageur du temps amateur</t>
  </si>
  <si>
    <t>Charles Yu</t>
  </si>
  <si>
    <t>Comique</t>
  </si>
  <si>
    <t>Christelle Dabos</t>
  </si>
  <si>
    <t>Christina Dalcher</t>
  </si>
  <si>
    <t xml:space="preserve">Un roman inspiré de Handmaid's tail
Rapide et très bon
Scènes finales un peu brouillon
</t>
  </si>
  <si>
    <t>Christopher Paolini</t>
  </si>
  <si>
    <t>Christopher Priest</t>
  </si>
  <si>
    <t>Chuck Palahniuk</t>
  </si>
  <si>
    <t>Les Somnambules</t>
  </si>
  <si>
    <t>Chuck Wendig</t>
  </si>
  <si>
    <t>Demain les chiens</t>
  </si>
  <si>
    <t>Clifford D. Simak</t>
  </si>
  <si>
    <t>Le livre des choses perdues</t>
  </si>
  <si>
    <t>Connolly, John</t>
  </si>
  <si>
    <t>La Route</t>
  </si>
  <si>
    <t>Cormac McCarthy</t>
  </si>
  <si>
    <t>LES LONGUES SERIES : encore une preuve de plus que les plus grands auteurs de littérature récupèrent les potentiels de la SF (ici encore une fois "après l'apocalypse") ; langue et point de vue sont parfaitement liés, et c'est bousculant à souhait (on dirait de la vraie bonne SF, comme Harlan Ellison savait le faire dès les années 70). Ah oui, ça a eu le Prix Pulitzer en 2007 (qui a dit que la SF n'était lue que par un cercle réduit de lecteurs ?)</t>
  </si>
  <si>
    <t>Les Cantos d'Hyperion 1</t>
  </si>
  <si>
    <t>Dan Simmons</t>
  </si>
  <si>
    <t>Des fleurs pour Algernon</t>
  </si>
  <si>
    <t>Daniel Keyes</t>
  </si>
  <si>
    <t>David Eddings</t>
  </si>
  <si>
    <t>High Fantasy</t>
  </si>
  <si>
    <t>Tr_s cool, début d'un cycle Tolkiennien, la suite àchecker</t>
  </si>
  <si>
    <t>La belgariade T2 - La Reine des sortilèges</t>
  </si>
  <si>
    <t>La Belgariade T3 - Le Gambit du magicien</t>
  </si>
  <si>
    <t>FANTASY &amp; CYBERPUNK : les années 80 commencent avec Eddings, qui a lui seul va revitaliser la Fantasy (avec un Tolkien like qui fait aujourd'hui pâle figure en terme de nombre de signes, quand on voit la taille des volumes actuels). On a aussi oublié à quel point cette voie/voix était innovante dans le début des années 80 et combien les lecteurs attendaient et suivaient Eddings... Une des bases essentielles pour commencer à lire de l'héroic fantasy.</t>
  </si>
  <si>
    <t>David Gemmell</t>
  </si>
  <si>
    <t>Nous sommes legion</t>
  </si>
  <si>
    <t>Dennis E. Taylor</t>
  </si>
  <si>
    <t>Vitrine ombre blanche</t>
  </si>
  <si>
    <t>Bankgreen</t>
  </si>
  <si>
    <t>Di Thierry</t>
  </si>
  <si>
    <t>Douglas Adams</t>
  </si>
  <si>
    <t>Un Cheval Dans la salle de bain</t>
  </si>
  <si>
    <t>50%</t>
  </si>
  <si>
    <t>The Westing game</t>
  </si>
  <si>
    <t>Ellen Raskin</t>
  </si>
  <si>
    <t>Mystère</t>
  </si>
  <si>
    <t>Reddit</t>
  </si>
  <si>
    <t>Sea of Tranquility</t>
  </si>
  <si>
    <t>Emily St. John Mandel</t>
  </si>
  <si>
    <t>goodread award :https://www.goodreads.com/book/show/58446227-sea-of-tranquility?from_choice=true</t>
  </si>
  <si>
    <t>Erin Hunter</t>
  </si>
  <si>
    <t>Animal</t>
  </si>
  <si>
    <t>Estelle Faye</t>
  </si>
  <si>
    <t xml:space="preserve">GOT like, des bonnes idées mais trop de longueur pour un final pas foufou
</t>
  </si>
  <si>
    <t>Fabien Cerutti</t>
  </si>
  <si>
    <t>Histoire alternative</t>
  </si>
  <si>
    <t>Histoire alternative / Fantasy. Beaucoup trops de noms de personnages / villes à retenir pour pas grand chose. Dommage car l'intrigue et les personnages sont interessant</t>
  </si>
  <si>
    <t>Freaks - L'Etoile du Soir</t>
  </si>
  <si>
    <t>Florent Maudoux</t>
  </si>
  <si>
    <t>François Houste</t>
  </si>
  <si>
    <t>Frank Herbert</t>
  </si>
  <si>
    <t>Space Opera</t>
  </si>
  <si>
    <t>Gabriel Katz</t>
  </si>
  <si>
    <t>La Cinquième Tête de Cerbère</t>
  </si>
  <si>
    <t>Gene Wolfe</t>
  </si>
  <si>
    <t>Commencé en aout 2022 puis arreté</t>
  </si>
  <si>
    <t>George R. R. Martin</t>
  </si>
  <si>
    <t>Opera Fantasy</t>
  </si>
  <si>
    <t xml:space="preserve">Overrated
</t>
  </si>
  <si>
    <t>Le trône de fer - Intégrale 4 VF</t>
  </si>
  <si>
    <t>Le trône de fer - Intégrale 4 VO</t>
  </si>
  <si>
    <t>Le trône de fer - Intégrale 5 VO</t>
  </si>
  <si>
    <t>Georges Orwell</t>
  </si>
  <si>
    <t>Dans la dèche à Paris et à Londres</t>
  </si>
  <si>
    <t>Hommage à la Catalogne</t>
  </si>
  <si>
    <t>Glen Cook</t>
  </si>
  <si>
    <t xml:space="preserve">Prêté par Flo, intégrale 1 (tome 1 à 3)
</t>
  </si>
  <si>
    <t>L'enfant des glaces</t>
  </si>
  <si>
    <t>Guido Sgardoli</t>
  </si>
  <si>
    <t>Dragon et autres récits d'horreur</t>
  </si>
  <si>
    <t>H. P. Lovecraft</t>
  </si>
  <si>
    <t>L'Alchimiste du Neutronium 1</t>
  </si>
  <si>
    <t>Hamilton, Peter F</t>
  </si>
  <si>
    <t>Hubert Gatignol</t>
  </si>
  <si>
    <t>Bande Dessinée</t>
  </si>
  <si>
    <t>BD</t>
  </si>
  <si>
    <t>Entre BD et roman graphique, très cool</t>
  </si>
  <si>
    <t>Isaac Asimov</t>
  </si>
  <si>
    <t xml:space="preserve">Excellent. A lire avant aube a Fondation.l'histoire des début de Hari Selon, lorsqu'il inventait la psycho histoire.
</t>
  </si>
  <si>
    <t>un peu en dessous prelude à Fondation.</t>
  </si>
  <si>
    <t>Période d'essai</t>
  </si>
  <si>
    <t>Un peu en dessous du classic asimov. N'a pas super bien vieilli non plus</t>
  </si>
  <si>
    <t>J K Rowling</t>
  </si>
  <si>
    <t>Livre audio</t>
  </si>
  <si>
    <t>J.K. Rowling</t>
  </si>
  <si>
    <t>Script</t>
  </si>
  <si>
    <t>Fantastique</t>
  </si>
  <si>
    <t>livre audio</t>
  </si>
  <si>
    <t>J.R.R Tolkien</t>
  </si>
  <si>
    <t>Overrated</t>
  </si>
  <si>
    <t>Le Seigneur des Anneaux t2</t>
  </si>
  <si>
    <t>Le Seigneur des Anneaux t3</t>
  </si>
  <si>
    <t>Le Silmarillion</t>
  </si>
  <si>
    <t>Jan Guillou</t>
  </si>
  <si>
    <t xml:space="preserve">Récits du Vieux Royaume 1 - Récits du Vieux Royaume 1 </t>
  </si>
  <si>
    <t>Jaworski, Jean Philippe</t>
  </si>
  <si>
    <t>Même pas mort - T1</t>
  </si>
  <si>
    <t>Jean-Philippe Jaworski</t>
  </si>
  <si>
    <t>Histoire</t>
  </si>
  <si>
    <t>Joe Haldeman</t>
  </si>
  <si>
    <t>War</t>
  </si>
  <si>
    <t>L'affaire harry keber</t>
  </si>
  <si>
    <t>Joel Dickers</t>
  </si>
  <si>
    <t>Conseil André</t>
  </si>
  <si>
    <t>Johan Heliot</t>
  </si>
  <si>
    <t>Steampunk</t>
  </si>
  <si>
    <t>John Steinbeck</t>
  </si>
  <si>
    <t>Kurt Vonnegut</t>
  </si>
  <si>
    <t>https://www.senscritique.com/liste/ESSENTIELS_SF_FANTASY/288690#page-2/</t>
  </si>
  <si>
    <t>Le banni de Recluce</t>
  </si>
  <si>
    <t>L.E. Modesitt</t>
  </si>
  <si>
    <t>FANTASY &amp; CYBERPUNK : autre très grand cycle, pas assez connu en France (4 volumes traduits sur 13 publiés... on se moque de qui ?), appuyé sur un système magie très structuré. On parcours ici aussi plusieurs "moments" d'un monde cohérent et de son histoire au fil des siècles ; mériterait une intégrale tellement c'est bien fait.</t>
  </si>
  <si>
    <t>Le Grand Banquet D'Helios</t>
  </si>
  <si>
    <t>Many</t>
  </si>
  <si>
    <t>Uranus</t>
  </si>
  <si>
    <t>Marcel Aymé</t>
  </si>
  <si>
    <t>Dragons d'un crépuscule d'automne</t>
  </si>
  <si>
    <t>Margaret Weis</t>
  </si>
  <si>
    <t>The Dragonlance Chronicles  : A lire en anglais, adaptation d'une douzaine de scénario de D&amp;D en une histoire unique</t>
  </si>
  <si>
    <t>Maxime Chattam</t>
  </si>
  <si>
    <t>Un Animal Doué de Raison</t>
  </si>
  <si>
    <t>Merle, Robert</t>
  </si>
  <si>
    <t>sens critique</t>
  </si>
  <si>
    <t>Minna Sundberg</t>
  </si>
  <si>
    <t>Roman Graphique</t>
  </si>
  <si>
    <t>The stone sky</t>
  </si>
  <si>
    <t>N K Jemisin</t>
  </si>
  <si>
    <t>conseillé par SUASD</t>
  </si>
  <si>
    <t>Cryptonomicon, tome 1 :  Le Code Enigma</t>
  </si>
  <si>
    <t>Neal Stephenson</t>
  </si>
  <si>
    <t>Le Samouraï virtuel</t>
  </si>
  <si>
    <t>Cyberpunk</t>
  </si>
  <si>
    <t>FANTASY &amp; CYBERPUNK : là encore n'existe plus dans cette édition et sous ce titre ; la seule (très bonne) est désormais chez Bragelonne sous le titre originel Snow Crash. Stephenson est, avec Gibson et Sterling, l'un des auteurs majeurs de la vague cyberpunk, et voilà son chef d'œuvre. Univers virtuel, hacking de haut vol, avatars, IA, complot informatique, geek attitude, et tout ça au début des années 90 alors qu'il n'y a pas (pas encore) de vrai réseau Internet ni de vraie présence permanente du numérique dans nos vies. Grandiose et toujours efficace (ça vieillit bien)</t>
  </si>
  <si>
    <t>American Gods</t>
  </si>
  <si>
    <t>Neil Gaiman</t>
  </si>
  <si>
    <t xml:space="preserve">Mythologie viking résumé et remise au goût du jour. L'auteur est connu pour écrire de la bonne fantasy, à checker! </t>
  </si>
  <si>
    <t>30/09/2008</t>
  </si>
  <si>
    <t>Très cool ! Il existe en livre audio et en film ?</t>
  </si>
  <si>
    <t>Signal d'alerte</t>
  </si>
  <si>
    <t>Entremonde</t>
  </si>
  <si>
    <t>Des choses fragiles</t>
  </si>
  <si>
    <t>Jack Barron et l'Éternité</t>
  </si>
  <si>
    <t>Norman Spinrad</t>
  </si>
  <si>
    <t xml:space="preserve">c
</t>
  </si>
  <si>
    <t>Orson Scott Card</t>
  </si>
  <si>
    <t>Le septième fils</t>
  </si>
  <si>
    <t>Les Maîtres chanteurs</t>
  </si>
  <si>
    <t>Wishlist Fratrie
LA SPECULATIVE FICTION : cette ancienne couverture, hideuse, ne rend pas justice à ce qui reste sans doute le meilleur roman de Scott Card. La musique et le chant sont au centre de la vie et de la destinée de Mikal et son oiseau chanteur, et nul ne sortira de cette lecture sans verser des larmes et s'émouvoir. Même si de Scott Card on préfère avant tout les nouvelles (ses romans sont souvent trop délayés, pour vendre du papier), c'est un sacré écrivain, et Les maîtres chanteurs le prouve. C'est LE roman à faire lire à quelqu'un qui vous dit ne pas aimer la SF</t>
  </si>
  <si>
    <t>Le Nom du vent</t>
  </si>
  <si>
    <t>Patrick Rothfuss</t>
  </si>
  <si>
    <t>Paul Kearney</t>
  </si>
  <si>
    <t>Gormenghast 1 - Titus d’enfer</t>
  </si>
  <si>
    <t>Peake, Mervyn</t>
  </si>
  <si>
    <t>L’aube de la nuit</t>
  </si>
  <si>
    <t>Peter F. Hamilton</t>
  </si>
  <si>
    <t>Philip José Farmer</t>
  </si>
  <si>
    <t>Philip K. Dick</t>
  </si>
  <si>
    <t>Le maître du haut chateau</t>
  </si>
  <si>
    <t>Le Profanateur</t>
  </si>
  <si>
    <t>Le Roi des elfes</t>
  </si>
  <si>
    <t>Excellent, truemanshow like</t>
  </si>
  <si>
    <t>Le K Dick brouillon et farfellu, assez bizarre comme histoire.</t>
  </si>
  <si>
    <t>Substance Mort</t>
  </si>
  <si>
    <t>Philip Pullman</t>
  </si>
  <si>
    <t>La Communauté des esprits (book of dust T2)</t>
  </si>
  <si>
    <t>Sortie le 3 octobre 2019</t>
  </si>
  <si>
    <t>Ellana - Le pacte des marchombres</t>
  </si>
  <si>
    <t>Pierre Bottero</t>
  </si>
  <si>
    <t>Les mondes d'Ewilan - L'oeil d'Olotep</t>
  </si>
  <si>
    <t>A Spell for Chameleon</t>
  </si>
  <si>
    <t>Piers Anthony</t>
  </si>
  <si>
    <t>https://www.senscritique.com/livre/Lunes_pour_cameleon_Xanth_tome_1/454558</t>
  </si>
  <si>
    <t>Ray Bradburry</t>
  </si>
  <si>
    <t>Raymond E Feist</t>
  </si>
  <si>
    <t>Très bien écrit, orienté guerre et stratégie militaire, a checker</t>
  </si>
  <si>
    <t>Sagas Légendaires Islandaises</t>
  </si>
  <si>
    <t>Regis Boyer</t>
  </si>
  <si>
    <t>Richard Adams</t>
  </si>
  <si>
    <t>Animal Fantasy</t>
  </si>
  <si>
    <t>Richard Matheson</t>
  </si>
  <si>
    <t>Le Monstrologue</t>
  </si>
  <si>
    <t>Rick Yancey</t>
  </si>
  <si>
    <t>https://www.goodreads.com/book/show/33393156-le-monstrologue</t>
  </si>
  <si>
    <t>Ligne de Vie</t>
  </si>
  <si>
    <t>Robert A. Heinlein</t>
  </si>
  <si>
    <t xml:space="preserve">Vu dans une nouvelle d'I Asimov
</t>
  </si>
  <si>
    <t>Révolte sur la Lune</t>
  </si>
  <si>
    <t>Robert Galbraith (JKR)</t>
  </si>
  <si>
    <t>Tres cool, hate de lire la suite</t>
  </si>
  <si>
    <t xml:space="preserve">Cormoran strike 2 : Le ver à soie </t>
  </si>
  <si>
    <t xml:space="preserve">Cormoran Strike 3 : La Carrière du mal </t>
  </si>
  <si>
    <t xml:space="preserve">Cormoran Strike 4 : Blanc Mortel </t>
  </si>
  <si>
    <t xml:space="preserve">Cormoran Strike 5 : Troubled Blood </t>
  </si>
  <si>
    <t>Robin Hobb</t>
  </si>
  <si>
    <t>Les aventuriers de la mer - Intégrale</t>
  </si>
  <si>
    <t>Moitié du T3</t>
  </si>
  <si>
    <t>Les cités des Anciens - T1 Dragons et serpents</t>
  </si>
  <si>
    <t>Retour au Pays</t>
  </si>
  <si>
    <t>La Trilogie de Caliban d'isaac Asimov - T1</t>
  </si>
  <si>
    <t>Roger MacBride Allen</t>
  </si>
  <si>
    <t>La Trilogie de Caliban d'isaac Asimov - T2</t>
  </si>
  <si>
    <t>Samantha Shannon</t>
  </si>
  <si>
    <t>De bonnes idées, mais finalement un peu maladroit.</t>
  </si>
  <si>
    <t>House of Earth and Blood (Maison de la terre et du sang)</t>
  </si>
  <si>
    <t>Sarah J. Maas</t>
  </si>
  <si>
    <t>Urban</t>
  </si>
  <si>
    <t>goodread award :https://www.goodreads.com/book/show/57755317-maison-de-la-terre-et-du-sang</t>
  </si>
  <si>
    <t>Scott Lynch</t>
  </si>
  <si>
    <t>Du grand génie, relire la trilogie à l'occas</t>
  </si>
  <si>
    <t>Les salauds gentilshommes, tome 4 : L'épine d'Emberline</t>
  </si>
  <si>
    <t>Wishlist Fratrie</t>
  </si>
  <si>
    <t>Solaris</t>
  </si>
  <si>
    <t>Stanislas Lem</t>
  </si>
  <si>
    <t>Stieg Larsson</t>
  </si>
  <si>
    <t>Excellent</t>
  </si>
  <si>
    <t>Peut être même encore meilleur que le premier</t>
  </si>
  <si>
    <t>Une tuerie de l'espace, mon préféré</t>
  </si>
  <si>
    <t>Suzanne Collins</t>
  </si>
  <si>
    <t>Tres tres bon, voire meme enore meilleur que la trilogie originale</t>
  </si>
  <si>
    <t>Terry Goodkind</t>
  </si>
  <si>
    <t>Première lecture de T Goodkind. Style super simple et direct, très facile à lire. Auteur à creuser !</t>
  </si>
  <si>
    <t>Abandonné dès le début</t>
  </si>
  <si>
    <t>La huitieme couleur</t>
  </si>
  <si>
    <t>Terry Pratchett</t>
  </si>
  <si>
    <t>Humour</t>
  </si>
  <si>
    <t>Disque-monde - 1</t>
  </si>
  <si>
    <t>Sur les ailes du chant</t>
  </si>
  <si>
    <t>Thomas M. Disch</t>
  </si>
  <si>
    <t>LA SPECULATIVE FICTION : plus abordable que Génocides et Camp de concentration (deux grands livres de Disch du milieu des années 60), ce monde totalitariste aux allures d'Amérique à venir (avec camp de concentration et tout...) reste un des grands moments de l'œuvre de Disch, toujours aussi désespérée. Il finira par se tirer une balle, après quand même avoir créer le Prix Philip K. Dick ;-) Un roman de la veine dystopique la plus aboutie, rempli d'idées incroyables (et Prix John Campbell en 80)</t>
  </si>
  <si>
    <t>Trudi Canavan</t>
  </si>
  <si>
    <t>Candide</t>
  </si>
  <si>
    <t>Voltaire</t>
  </si>
  <si>
    <t>Litterature</t>
  </si>
  <si>
    <t>William Gibson.</t>
  </si>
  <si>
    <t>TRES CHELOU, lecture arretée en cours. à retenter à l'occas</t>
  </si>
  <si>
    <t>William Golding</t>
  </si>
  <si>
    <t>Inventeur du genre</t>
  </si>
  <si>
    <t>Le Bois Duncton</t>
  </si>
  <si>
    <t>William Horwood</t>
  </si>
  <si>
    <t xml:space="preserve">Brin-de-Fougère naquit par une nuit d’avril dans un terrier plein d’ombre et de chaleur qui s’enfonçait au plus profond du réseau de galeries du Bois Duncton, six années-taupe après la naissance de Rébecca.Ainsi commence l’histoire de Brin-de-Fougère et de Rébecca, ainsi que du tyran Mandrake venu des lointains glacés du Siabod et qui règne sur la communauté de Duncton. Sans le bienheureux Boswell, la taupe-scribe d’Uffington, que nous resterait-il de leur histoire ...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</si>
</sst>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
    <numFmt numFmtId="165" formatCode="00 jours"/>
  </numFmts>
  <fonts count="8" x14ac:knownFonts="1">
    <font>
      <sz val="11"/>
      <color theme="1"/>
      <name val="Calibri"/>
      <family val="2"/>
      <scheme val="minor"/>
    </font>
    <font>
      <sz val="11"/>
      <color theme="1"/>
      <name val="Calibri"/>
      <family val="2"/>
    </font>
    <font>
      <sz val="11"/>
      <color rgb="FF000000"/>
      <name val="Calibri"/>
      <family val="2"/>
    </font>
    <font>
      <sz val="11"/>
      <color rgb="FF70ad47"/>
      <name val="Calibri"/>
      <family val="2"/>
    </font>
    <font>
      <sz val="12"/>
      <color rgb="FF000000"/>
      <name val="Helvetica"/>
      <family val="2"/>
    </font>
    <font>
      <sz val="12"/>
      <color rgb="FF000000"/>
      <name val="Calibri"/>
      <family val="2"/>
    </font>
    <font>
      <sz val="8"/>
      <color rgb="FF000000"/>
      <name val="Calibri"/>
      <family val="2"/>
    </font>
    <font>
      <u/>
      <sz val="11"/>
      <color rgb="FF000000"/>
      <name val="Calibri"/>
      <family val="2"/>
    </font>
  </fonts>
  <fills count="6">
    <fill>
      <patternFill patternType="none"/>
    </fill>
    <fill>
      <patternFill patternType="gray125"/>
    </fill>
    <fill>
      <patternFill patternType="solid">
        <fgColor rgb="FF7030a0"/>
      </patternFill>
    </fill>
    <fill>
      <patternFill patternType="solid">
        <fgColor rgb="FF5b9bd5"/>
      </patternFill>
    </fill>
    <fill>
      <patternFill patternType="solid">
        <fgColor rgb="FFed7d31"/>
      </patternFill>
    </fill>
    <fill>
      <patternFill patternType="solid">
        <fgColor rgb="FF80808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8">
    <xf xfId="0" numFmtId="0" borderId="0" fontId="0" fillId="0"/>
    <xf xfId="0" numFmtId="3" applyNumberFormat="1" borderId="1" applyBorder="1" fontId="1" applyFont="1" fillId="0" applyAlignment="1">
      <alignment horizontal="left"/>
    </xf>
    <xf xfId="0" numFmtId="0" borderId="0" fontId="0" fillId="0" applyAlignment="1">
      <alignment horizontal="general"/>
    </xf>
    <xf xfId="0" numFmtId="14"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left"/>
    </xf>
    <xf xfId="0" numFmtId="0" borderId="1" applyBorder="1" fontId="2" applyFont="1" fillId="0" applyAlignment="1">
      <alignment horizontal="left"/>
    </xf>
    <xf xfId="0" numFmtId="0" borderId="0" fontId="0" fillId="0" applyAlignment="1">
      <alignment horizontal="general"/>
    </xf>
    <xf xfId="0" numFmtId="14" applyNumberFormat="1" borderId="1" applyBorder="1" fontId="2" applyFont="1" fillId="0" applyAlignment="1">
      <alignment horizontal="left"/>
    </xf>
    <xf xfId="0" numFmtId="3" applyNumberFormat="1" borderId="1" applyBorder="1" fontId="2" applyFont="1" fillId="0" applyAlignment="1">
      <alignment horizontal="right"/>
    </xf>
    <xf xfId="0" numFmtId="3" applyNumberFormat="1" borderId="1" applyBorder="1" fontId="2" applyFont="1" fillId="0" applyAlignment="1">
      <alignment horizontal="left" wrapText="1"/>
    </xf>
    <xf xfId="0" numFmtId="3" applyNumberFormat="1" borderId="1" applyBorder="1" fontId="2"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left"/>
    </xf>
    <xf xfId="0" numFmtId="3" applyNumberFormat="1" borderId="0" fontId="0" fillId="0" applyAlignment="1">
      <alignment horizontal="right"/>
    </xf>
    <xf xfId="0" numFmtId="0" borderId="0" fontId="0" fillId="0" applyAlignment="1">
      <alignment horizontal="left"/>
    </xf>
    <xf xfId="0" numFmtId="1" applyNumberFormat="1" borderId="1" applyBorder="1" fontId="1" applyFont="1" fillId="0" applyAlignment="1">
      <alignment horizontal="left"/>
    </xf>
    <xf xfId="0" numFmtId="164" applyNumberFormat="1" borderId="1" applyBorder="1" fontId="2" applyFont="1" fillId="0" applyAlignment="1">
      <alignment horizontal="right"/>
    </xf>
    <xf xfId="0" numFmtId="164" applyNumberFormat="1" borderId="1" applyBorder="1" fontId="1" applyFont="1" fillId="0" applyAlignment="1">
      <alignment horizontal="right"/>
    </xf>
    <xf xfId="0" numFmtId="3" applyNumberFormat="1" borderId="1" applyBorder="1" fontId="3" applyFont="1" fillId="0" applyAlignment="1">
      <alignment horizontal="right"/>
    </xf>
    <xf xfId="0" numFmtId="1" applyNumberFormat="1" borderId="1" applyBorder="1" fontId="2" applyFont="1" fillId="0" applyAlignment="1">
      <alignment horizontal="right"/>
    </xf>
    <xf xfId="0" numFmtId="15" applyNumberFormat="1" borderId="1" applyBorder="1" fontId="2" applyFont="1" fillId="0" applyAlignment="1">
      <alignment horizontal="left"/>
    </xf>
    <xf xfId="0" numFmtId="165" applyNumberFormat="1" borderId="1" applyBorder="1" fontId="2" applyFont="1" fillId="0" applyAlignment="1">
      <alignment horizontal="left"/>
    </xf>
    <xf xfId="0" numFmtId="1" applyNumberFormat="1" borderId="1" applyBorder="1" fontId="2" applyFont="1" fillId="0" applyAlignment="1">
      <alignment horizontal="left"/>
    </xf>
    <xf xfId="0" numFmtId="3" applyNumberFormat="1" borderId="1" applyBorder="1" fontId="2" applyFont="1" fillId="0" applyAlignment="1">
      <alignment horizontal="center"/>
    </xf>
    <xf xfId="0" numFmtId="3" applyNumberFormat="1" borderId="1" applyBorder="1" fontId="4" applyFont="1" fillId="0" applyAlignment="1">
      <alignment horizontal="center"/>
    </xf>
    <xf xfId="0" numFmtId="0" borderId="1" applyBorder="1" fontId="4" applyFont="1" fillId="0" applyAlignment="1">
      <alignment horizontal="center"/>
    </xf>
    <xf xfId="0" numFmtId="164" applyNumberFormat="1" borderId="1" applyBorder="1" fontId="3" applyFont="1" fillId="0" applyAlignment="1">
      <alignment horizontal="right"/>
    </xf>
    <xf xfId="0" numFmtId="0" borderId="0" fontId="0" fillId="0" applyAlignment="1">
      <alignment wrapText="1"/>
    </xf>
    <xf xfId="0" numFmtId="3" applyNumberFormat="1" borderId="1" applyBorder="1" fontId="5" applyFont="1" fillId="0" applyAlignment="1">
      <alignment horizontal="left" wrapText="1"/>
    </xf>
    <xf xfId="0" numFmtId="3" applyNumberFormat="1" borderId="2" applyBorder="1" fontId="5" applyFont="1" fillId="2" applyFill="1" applyAlignment="1">
      <alignment horizontal="left" wrapText="1"/>
    </xf>
    <xf xfId="0" numFmtId="0" borderId="2" applyBorder="1" fontId="5" applyFont="1" fillId="2" applyFill="1" applyAlignment="1">
      <alignment horizontal="left" wrapText="1"/>
    </xf>
    <xf xfId="0" numFmtId="1" applyNumberFormat="1" borderId="2" applyBorder="1" fontId="5" applyFont="1" fillId="3" applyFill="1" applyAlignment="1">
      <alignment horizontal="left" wrapText="1"/>
    </xf>
    <xf xfId="0" numFmtId="3" applyNumberFormat="1" borderId="1" applyBorder="1" fontId="6" applyFont="1" fillId="0" applyAlignment="1">
      <alignment horizontal="left" wrapText="1"/>
    </xf>
    <xf xfId="0" numFmtId="1" applyNumberFormat="1" borderId="1" applyBorder="1" fontId="6" applyFont="1" fillId="0" applyAlignment="1">
      <alignment horizontal="left" wrapText="1"/>
    </xf>
    <xf xfId="0" numFmtId="0" borderId="1" applyBorder="1" fontId="6" applyFont="1" fillId="0" applyAlignment="1">
      <alignment horizontal="left" wrapText="1"/>
    </xf>
    <xf xfId="0" numFmtId="3" applyNumberFormat="1" borderId="2" applyBorder="1" fontId="5" applyFont="1" fillId="4" applyFill="1" applyAlignment="1">
      <alignment horizontal="left" wrapText="1"/>
    </xf>
    <xf xfId="0" numFmtId="3" applyNumberFormat="1" borderId="2" applyBorder="1" fontId="5" applyFont="1" fillId="5" applyFill="1" applyAlignment="1">
      <alignment horizontal="left" wrapText="1"/>
    </xf>
    <xf xfId="0" numFmtId="165" applyNumberFormat="1" borderId="2" applyBorder="1" fontId="5" applyFont="1" fillId="5" applyFill="1" applyAlignment="1">
      <alignment horizontal="left" wrapText="1"/>
    </xf>
    <xf xfId="0" numFmtId="3" applyNumberFormat="1" borderId="1" applyBorder="1" fontId="1" applyFont="1" fillId="0" applyAlignment="1">
      <alignment horizontal="left" wrapText="1"/>
    </xf>
    <xf xfId="0" numFmtId="3" applyNumberFormat="1" borderId="1" applyBorder="1" fontId="1" applyFont="1" fillId="0" applyAlignment="1">
      <alignment horizontal="right" wrapText="1"/>
    </xf>
    <xf xfId="0" numFmtId="3" applyNumberFormat="1" borderId="1" applyBorder="1" fontId="2" applyFont="1" fillId="0" applyAlignment="1">
      <alignment horizontal="right" wrapText="1"/>
    </xf>
    <xf xfId="0" numFmtId="0" borderId="1" applyBorder="1" fontId="1" applyFont="1" fillId="0" applyAlignment="1">
      <alignment horizontal="left" wrapText="1"/>
    </xf>
    <xf xfId="0" numFmtId="164" applyNumberFormat="1" borderId="1" applyBorder="1" fontId="1" applyFont="1" fillId="0" applyAlignment="1">
      <alignment horizontal="right" wrapText="1"/>
    </xf>
    <xf xfId="0" numFmtId="15" applyNumberFormat="1" borderId="1" applyBorder="1" fontId="2" applyFont="1" fillId="0" applyAlignment="1">
      <alignment horizontal="left" wrapText="1"/>
    </xf>
    <xf xfId="0" numFmtId="1" applyNumberFormat="1" borderId="1" applyBorder="1" fontId="2" applyFont="1" fillId="0" applyAlignment="1">
      <alignment horizontal="left" wrapText="1"/>
    </xf>
    <xf xfId="0" numFmtId="0" borderId="1" applyBorder="1" fontId="2" applyFont="1" fillId="0" applyAlignment="1">
      <alignment horizontal="left" wrapText="1"/>
    </xf>
    <xf xfId="0" numFmtId="1" applyNumberFormat="1" borderId="1" applyBorder="1" fontId="2" applyFont="1" fillId="0" applyAlignment="1">
      <alignment horizontal="right" wrapText="1"/>
    </xf>
    <xf xfId="0" numFmtId="1" applyNumberFormat="1" borderId="1" applyBorder="1" fontId="6" applyFont="1" fillId="0" applyAlignment="1">
      <alignment horizontal="left"/>
    </xf>
    <xf xfId="0" numFmtId="0" borderId="1" applyBorder="1" fontId="6" applyFont="1" fillId="0" applyAlignment="1">
      <alignment horizontal="left"/>
    </xf>
    <xf xfId="0" numFmtId="164" applyNumberFormat="1" borderId="1" applyBorder="1" fontId="2" applyFont="1" fillId="0" applyAlignment="1">
      <alignment horizontal="left" wrapText="1"/>
    </xf>
    <xf xfId="0" numFmtId="1" applyNumberFormat="1" borderId="1" applyBorder="1" fontId="6" applyFont="1" fillId="0" applyAlignment="1">
      <alignment horizontal="right"/>
    </xf>
    <xf xfId="0" numFmtId="3" applyNumberFormat="1" borderId="1" applyBorder="1" fontId="7" applyFont="1" fillId="0" applyAlignment="1">
      <alignment horizontal="left"/>
    </xf>
    <xf xfId="0" numFmtId="1" applyNumberFormat="1" borderId="0" fontId="0" fillId="0" applyAlignment="1">
      <alignment horizontal="left"/>
    </xf>
    <xf xfId="0" numFmtId="1" applyNumberFormat="1" borderId="0" fontId="0" fillId="0" applyAlignment="1">
      <alignment horizontal="general"/>
    </xf>
    <xf xfId="0" numFmtId="3" applyNumberFormat="1" borderId="0" fontId="0" fillId="0" applyAlignment="1">
      <alignment horizontal="left"/>
    </xf>
    <xf xfId="0" numFmtId="165"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G180" displayName="Table2" name="Table2" id="1" totalsRowShown="0">
  <autoFilter ref="A2:G180"/>
  <tableColumns count="7">
    <tableColumn name="Titre" id="1"/>
    <tableColumn name="Colonne1" id="2"/>
    <tableColumn name="date début" id="3"/>
    <tableColumn name="date fin" id="4"/>
    <tableColumn name="pages" id="5"/>
    <tableColumn name="Langue" id="6"/>
    <tableColumn name="Format" id="7"/>
  </tableColumns>
  <tableStyleInfo name="TableStyleLight1" showColumnStripes="0" showRowStripes="1" showLastColumn="0" showFirstColumn="0"/>
</table>
</file>

<file path=xl/tables/table2.xml><?xml version="1.0" encoding="utf-8"?>
<table xmlns="http://schemas.openxmlformats.org/spreadsheetml/2006/main" ref="A10:Y266" displayName="Table1" name="Table1" id="2" totalsRowShown="0">
  <autoFilter ref="A10:Y266"/>
  <tableColumns count="25">
    <tableColumn name="Title" id="1"/>
    <tableColumn name="Author" id="2"/>
    <tableColumn name="Owned physique" id="3"/>
    <tableColumn name="Read" id="4"/>
    <tableColumn name="like" id="5"/>
    <tableColumn name="epub" id="6"/>
    <tableColumn name="Genre 1" id="7"/>
    <tableColumn name="Genre 2" id="8"/>
    <tableColumn name="Nbr Pages" id="9"/>
    <tableColumn name="Date de sortie" id="10"/>
    <tableColumn name="Date d'achat" id="11"/>
    <tableColumn name="Date de début de lecture" id="12"/>
    <tableColumn name="Date de fin de lecture FR" id="13"/>
    <tableColumn name="Type (stand alone, Saga=des suites, série = des livres du meme univers mais qui ne se suivent pas forcement)" id="14"/>
    <tableColumn name="Type 2 (numero saga, 0 pour spinoff ou prequel)" id="15"/>
    <tableColumn name="ISBN" id="16"/>
    <tableColumn name="Serie" id="17"/>
    <tableColumn name="Roman / nouvelle / BD / Roman graphique ?" id="18"/>
    <tableColumn name="Personal Notes" id="19"/>
    <tableColumn name="Année de lecture" id="20"/>
    <tableColumn name="Mois de lecture" id="21"/>
    <tableColumn name="Temps de lecture en jours" id="22"/>
    <tableColumn name="Vitesse de lecture (page / jours)" id="23"/>
    <tableColumn name="Temps dans la PAL" id="24"/>
    <tableColumn name="Décénie de sortie"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266"/>
  <sheetViews>
    <sheetView workbookViewId="0"/>
  </sheetViews>
  <sheetFormatPr defaultRowHeight="15" x14ac:dyDescent="0.25"/>
  <cols>
    <col min="1" max="1" style="12" width="51.86214285714286" customWidth="1" bestFit="1"/>
    <col min="2" max="2" style="12" width="20.433571428571426" customWidth="1" bestFit="1"/>
    <col min="3" max="3" style="12" width="8.576428571428572" customWidth="1" bestFit="1"/>
    <col min="4" max="4" style="12" width="7.576428571428571" customWidth="1" bestFit="1"/>
    <col min="5" max="5" style="12" width="5.719285714285714" customWidth="1" bestFit="1"/>
    <col min="6" max="6" style="13" width="6.433571428571429" customWidth="1" bestFit="1"/>
    <col min="7" max="7" style="12" width="16.719285714285714" customWidth="1" bestFit="1"/>
    <col min="8" max="8" style="12" width="14.719285714285713" customWidth="1" bestFit="1"/>
    <col min="9" max="9" style="15" width="12.005" customWidth="1" bestFit="1"/>
    <col min="10" max="10" style="54" width="17.719285714285714" customWidth="1" bestFit="1"/>
    <col min="11" max="11" style="55" width="14.005" customWidth="1" bestFit="1"/>
    <col min="12" max="12" style="55" width="14.147857142857141" customWidth="1" bestFit="1" hidden="1"/>
    <col min="13" max="13" style="55" width="14.147857142857141" customWidth="1" bestFit="1" hidden="1"/>
    <col min="14" max="14" style="12" width="12.719285714285713" customWidth="1" bestFit="1"/>
    <col min="15" max="15" style="54" width="14.290714285714287" customWidth="1" bestFit="1"/>
    <col min="16" max="16" style="54" width="14.005" customWidth="1" bestFit="1"/>
    <col min="17" max="17" style="16" width="14.005" customWidth="1" bestFit="1"/>
    <col min="18" max="18" style="56" width="25.290714285714284" customWidth="1" bestFit="1"/>
    <col min="19" max="19" style="12" width="79.86214285714286" customWidth="1" bestFit="1"/>
    <col min="20" max="20" style="12" width="14.147857142857141" customWidth="1" bestFit="1" hidden="1"/>
    <col min="21" max="21" style="56" width="14.147857142857141" customWidth="1" bestFit="1" hidden="1"/>
    <col min="22" max="22" style="57" width="14.147857142857141" customWidth="1" bestFit="1" hidden="1"/>
    <col min="23" max="23" style="56" width="14.147857142857141" customWidth="1" bestFit="1" hidden="1"/>
    <col min="24" max="24" style="57" width="14.147857142857141" customWidth="1" bestFit="1" hidden="1"/>
    <col min="25" max="25" style="56" width="14.147857142857141" customWidth="1" bestFit="1" hidden="1"/>
  </cols>
  <sheetData>
    <row x14ac:dyDescent="0.25" r="1" customHeight="1" ht="19.5" hidden="1">
      <c r="A1" s="1" t="s">
        <v>194</v>
      </c>
      <c r="B1" s="9">
        <f>COUNTBLANK(Table1[Author])</f>
      </c>
      <c r="C1" s="9">
        <f>COUNTBLANK(Table1[Owned physique])</f>
      </c>
      <c r="D1" s="9">
        <f>COUNTBLANK(Table1[Read])</f>
      </c>
      <c r="E1" s="9">
        <f>COUNTBLANK(Table1[like])</f>
      </c>
      <c r="F1" s="2"/>
      <c r="G1" s="9">
        <f>COUNTBLANK(Table1[Genre 1])</f>
      </c>
      <c r="H1" s="9">
        <f>COUNTBLANK(Table1[Genre 2])</f>
      </c>
      <c r="I1" s="9">
        <f>COUNTBLANK(Table1[Nbr Pages])</f>
      </c>
      <c r="J1" s="9">
        <f>COUNTBLANK(Table1[Date de sortie])</f>
      </c>
      <c r="K1" s="9">
        <f>COUNTBLANK(Table1[Date d''achat])</f>
      </c>
      <c r="L1" s="9">
        <f>COUNTBLANK(Table1[Date de début de lecture])</f>
      </c>
      <c r="M1" s="9">
        <f>COUNTBLANK(Table1[Date de fin de lecture FR])</f>
      </c>
      <c r="N1" s="9">
        <f>COUNTBLANK(Table1[Type (stand alone, Saga=des suites, série = des livres du meme univers mais qui ne se suivent pas forcement)])</f>
      </c>
      <c r="O1" s="9">
        <f>COUNTBLANK(Table1[Type 2 (numero saga, 0 pour spinoff ou prequel)])</f>
      </c>
      <c r="P1" s="17"/>
      <c r="Q1" s="5"/>
      <c r="R1" s="9">
        <f>COUNTBLANK(Table1[Roman / nouvelle / BD / Roman graphique ?])</f>
      </c>
      <c r="S1" s="9">
        <f>COUNTBLANK(Table1[Personal Notes])</f>
      </c>
      <c r="T1" s="9">
        <f>COUNTBLANK(Table1[Année de lecture])</f>
      </c>
      <c r="U1" s="9">
        <f>COUNTBLANK(Table1[Mois de lecture])</f>
      </c>
      <c r="V1" s="9">
        <f>COUNTBLANK(Table1[Temps de lecture en jours])</f>
      </c>
      <c r="W1" s="9">
        <f>COUNTBLANK(Table1[Vitesse de lecture (page / jours)])</f>
      </c>
      <c r="X1" s="9">
        <f>COUNTBLANK(Table1[Temps dans la PAL])</f>
      </c>
      <c r="Y1" s="9">
        <f>COUNTBLANK(Table1[Décénie de sortie])</f>
      </c>
    </row>
    <row x14ac:dyDescent="0.25" r="2" customHeight="1" ht="19.5" hidden="1">
      <c r="A2" s="1" t="s">
        <v>195</v>
      </c>
      <c r="B2" s="9">
        <f>COUNTA(Table1[Title])</f>
      </c>
      <c r="C2" s="18">
        <f>C1/count_total</f>
      </c>
      <c r="D2" s="18">
        <f>D1/count_total</f>
      </c>
      <c r="E2" s="18">
        <f>E1/count_total</f>
      </c>
      <c r="F2" s="18"/>
      <c r="G2" s="18">
        <f>G1/count_total</f>
      </c>
      <c r="H2" s="18">
        <f>H1/count_total</f>
      </c>
      <c r="I2" s="18">
        <f>I1/count_total</f>
      </c>
      <c r="J2" s="18">
        <f>J1/count_total</f>
      </c>
      <c r="K2" s="18">
        <f>K1/count_total</f>
      </c>
      <c r="L2" s="18">
        <f>L1/count_total</f>
      </c>
      <c r="M2" s="18">
        <f>M1/count_total</f>
      </c>
      <c r="N2" s="18">
        <f>N1/count_total</f>
      </c>
      <c r="O2" s="18">
        <f>O1/count_total</f>
      </c>
      <c r="P2" s="18"/>
      <c r="Q2" s="18"/>
      <c r="R2" s="18">
        <f>R1/count_total</f>
      </c>
      <c r="S2" s="18">
        <f>S1/count_total</f>
      </c>
      <c r="T2" s="18">
        <f>T1/count_total</f>
      </c>
      <c r="U2" s="18">
        <f>U1/count_total</f>
      </c>
      <c r="V2" s="18">
        <f>V1/count_total</f>
      </c>
      <c r="W2" s="18">
        <f>W1/count_total</f>
      </c>
      <c r="X2" s="18">
        <f>X1/count_total</f>
      </c>
      <c r="Y2" s="18">
        <f>Y1/count_total</f>
      </c>
    </row>
    <row x14ac:dyDescent="0.25" r="3" customHeight="1" ht="19.5" hidden="1">
      <c r="A3" s="4"/>
      <c r="B3" s="4"/>
      <c r="C3" s="18"/>
      <c r="D3" s="18"/>
      <c r="E3" s="18"/>
      <c r="F3" s="18"/>
      <c r="G3" s="18"/>
      <c r="H3" s="18"/>
      <c r="I3" s="18"/>
      <c r="J3" s="18"/>
      <c r="K3" s="18"/>
      <c r="L3" s="18"/>
      <c r="M3" s="18"/>
      <c r="N3" s="18"/>
      <c r="O3" s="18"/>
      <c r="P3" s="18"/>
      <c r="Q3" s="18"/>
      <c r="R3" s="18"/>
      <c r="S3" s="18"/>
      <c r="T3" s="18"/>
      <c r="U3" s="18"/>
      <c r="V3" s="18"/>
      <c r="W3" s="18"/>
      <c r="X3" s="18"/>
      <c r="Y3" s="18"/>
    </row>
    <row x14ac:dyDescent="0.25" r="4" customHeight="1" ht="19.5" hidden="1">
      <c r="A4" s="4"/>
      <c r="B4" s="4"/>
      <c r="C4" s="4"/>
      <c r="D4" s="4"/>
      <c r="E4" s="4"/>
      <c r="F4" s="2"/>
      <c r="G4" s="19"/>
      <c r="H4" s="20" t="s">
        <v>196</v>
      </c>
      <c r="I4" s="21">
        <f>AVERAGEIF(Table1[Nbr Pages],"&lt;&gt;0")</f>
      </c>
      <c r="J4" s="22">
        <f>AVERAGEIF(Table1[Date de sortie],"&lt;&gt;0")</f>
        <v>25569.041666666668</v>
      </c>
      <c r="K4" s="22">
        <f>AVERAGEIF(Table1[Date d''achat],"&lt;&gt;0")</f>
        <v>25569.041666666668</v>
      </c>
      <c r="L4" s="22">
        <f>AVERAGEIF(Table1[Date de début de lecture],"&lt;&gt;0")</f>
        <v>25569.041666666668</v>
      </c>
      <c r="M4" s="22">
        <f>AVERAGEIF(Table1[Date de fin de lecture FR],"&lt;&gt;0")</f>
        <v>25569.041666666668</v>
      </c>
      <c r="N4" s="19"/>
      <c r="O4" s="17"/>
      <c r="P4" s="17"/>
      <c r="Q4" s="5"/>
      <c r="R4" s="19"/>
      <c r="S4" s="20" t="s">
        <v>196</v>
      </c>
      <c r="T4" s="21">
        <f>YEAR(AVERAGEIF(Table1[Année de lecture],"&lt;&gt;0"))</f>
      </c>
      <c r="U4" s="21">
        <f>AVERAGEIF(Table1[Mois de lecture],"&lt;&gt;0")</f>
      </c>
      <c r="V4" s="23">
        <f>AVERAGEIF(Table1[Temps de lecture en jours],"&lt;&gt;0")</f>
        <v>25569.041666666668</v>
      </c>
      <c r="W4" s="24">
        <f>AVERAGE(W10:W260)</f>
      </c>
      <c r="X4" s="23">
        <f>AVERAGEIF(Table1[Temps dans la PAL],"&lt;&gt;0")</f>
        <v>25569.041666666668</v>
      </c>
      <c r="Y4" s="21">
        <f>AVERAGEIF(Table1[Décénie de sortie],"&lt;&gt;0")</f>
      </c>
    </row>
    <row x14ac:dyDescent="0.25" r="5" customHeight="1" ht="19.5" hidden="1">
      <c r="A5" s="4"/>
      <c r="B5" s="4"/>
      <c r="C5" s="4"/>
      <c r="D5" s="4"/>
      <c r="E5" s="4"/>
      <c r="F5" s="2"/>
      <c r="G5" s="19"/>
      <c r="H5" s="20" t="s">
        <v>197</v>
      </c>
      <c r="I5" s="21">
        <f>MEDIAN(IF(Table1[Nbr Pages]&lt;&gt;0,Table1[Nbr Pages]))</f>
      </c>
      <c r="J5" s="22">
        <f>MEDIAN(IF(Table1[Date de sortie]&lt;&gt;0,Table1[Date de sortie]))</f>
        <v>25569.041666666668</v>
      </c>
      <c r="K5" s="22">
        <f>MEDIAN(IF(Table1[Date d''achat]&lt;&gt;0,Table1[Date d''achat]))</f>
        <v>25569.041666666668</v>
      </c>
      <c r="L5" s="22">
        <f>MEDIAN(IF(Table1[Date de début de lecture]&lt;&gt;0,Table1[Date de début de lecture]))</f>
        <v>25569.041666666668</v>
      </c>
      <c r="M5" s="22">
        <f>MEDIAN(IF(Table1[Date de fin de lecture FR]&lt;&gt;0,Table1[Date de fin de lecture FR]))</f>
        <v>25569.041666666668</v>
      </c>
      <c r="N5" s="19"/>
      <c r="O5" s="17"/>
      <c r="P5" s="17"/>
      <c r="Q5" s="5"/>
      <c r="R5" s="19"/>
      <c r="S5" s="9" t="s">
        <v>197</v>
      </c>
      <c r="T5" s="21">
        <f>MEDIAN(IF(Table1[Année de lecture]&lt;&gt;0,Table1[Année de lecture]))</f>
      </c>
      <c r="U5" s="21">
        <f>MEDIAN(IF(Table1[Mois de lecture]&lt;&gt;0,Table1[Mois de lecture]))</f>
      </c>
      <c r="V5" s="21">
        <f>MEDIAN(IF(Table1[Temps de lecture en jours]&lt;&gt;0,Table1[Temps de lecture en jours]))</f>
      </c>
      <c r="W5" s="24">
        <f>MEDIAN(IF(Table1[Vitesse de lecture (page / jours)]&lt;&gt;0,Table1[Vitesse de lecture (page / jours)]))</f>
      </c>
      <c r="X5" s="21">
        <f>MEDIAN(IF(Table1[Temps dans la PAL]&lt;&gt;0,Table1[Temps dans la PAL]))</f>
      </c>
      <c r="Y5" s="21">
        <f>MEDIAN(IF(Table1[Décénie de sortie]&lt;&gt;0,Table1[Décénie de sortie]))</f>
      </c>
    </row>
    <row x14ac:dyDescent="0.25" r="6" customHeight="1" ht="19.5" hidden="1">
      <c r="A6" s="4"/>
      <c r="B6" s="4"/>
      <c r="C6" s="4"/>
      <c r="D6" s="4"/>
      <c r="E6" s="4"/>
      <c r="F6" s="2"/>
      <c r="G6" s="19"/>
      <c r="H6" s="20" t="s">
        <v>198</v>
      </c>
      <c r="I6" s="21">
        <f>MIN(IF(Table1[Nbr Pages]&lt;&gt;0,Table1[Nbr Pages]))</f>
      </c>
      <c r="J6" s="22">
        <f>MIN(IF(Table1[Date de sortie]&lt;&gt;0,Table1[Date de sortie]))</f>
        <v>25569.041666666668</v>
      </c>
      <c r="K6" s="22">
        <f>MIN(IF(Table1[Date d''achat]&lt;&gt;0,Table1[Date d''achat]))</f>
        <v>25569.041666666668</v>
      </c>
      <c r="L6" s="22">
        <f>MIN(IF(Table1[Date de début de lecture]&lt;&gt;0,Table1[Date de début de lecture]))</f>
        <v>25569.041666666668</v>
      </c>
      <c r="M6" s="22">
        <f>MIN(IF(Table1[Date de fin de lecture FR]&lt;&gt;0,Table1[Date de fin de lecture FR]))</f>
        <v>25569.041666666668</v>
      </c>
      <c r="N6" s="19"/>
      <c r="O6" s="17"/>
      <c r="P6" s="17"/>
      <c r="Q6" s="5"/>
      <c r="R6" s="19"/>
      <c r="S6" s="9" t="s">
        <v>198</v>
      </c>
      <c r="T6" s="21">
        <f>MIN(IF(Table1[Année de lecture]&lt;&gt;0,Table1[Année de lecture]))</f>
      </c>
      <c r="U6" s="21">
        <f>MIN(IF(Table1[Mois de lecture]&lt;&gt;0,Table1[Mois de lecture]))</f>
      </c>
      <c r="V6" s="21">
        <f>MIN(IF(Table1[Temps de lecture en jours]&lt;&gt;0,Table1[Temps de lecture en jours]))</f>
      </c>
      <c r="W6" s="24">
        <f>MIN(IF(Table1[Vitesse de lecture (page / jours)]&lt;&gt;0,Table1[Vitesse de lecture (page / jours)]))</f>
      </c>
      <c r="X6" s="21">
        <f>MIN(IF(Table1[Temps dans la PAL]&lt;&gt;0,Table1[Temps dans la PAL]))</f>
      </c>
      <c r="Y6" s="21">
        <f>MIN(IF(Table1[Décénie de sortie]&lt;&gt;0,Table1[Décénie de sortie]))</f>
      </c>
    </row>
    <row x14ac:dyDescent="0.25" r="7" customHeight="1" ht="19.5" hidden="1">
      <c r="A7" s="4"/>
      <c r="B7" s="4"/>
      <c r="C7" s="18">
        <f>C8/B8</f>
      </c>
      <c r="D7" s="18">
        <f>D8/C8</f>
      </c>
      <c r="E7" s="18">
        <f>E8/D8</f>
      </c>
      <c r="F7" s="18"/>
      <c r="G7" s="19"/>
      <c r="H7" s="20" t="s">
        <v>199</v>
      </c>
      <c r="I7" s="21">
        <f>MAX(Table1[Nbr Pages])</f>
      </c>
      <c r="J7" s="22">
        <f>MAX(Table1[Date de sortie])</f>
        <v>25569.041666666668</v>
      </c>
      <c r="K7" s="22">
        <f>MAX(Table1[Date d''achat])</f>
        <v>25569.041666666668</v>
      </c>
      <c r="L7" s="22">
        <f>MAX(Table1[Date de début de lecture])</f>
        <v>25569.041666666668</v>
      </c>
      <c r="M7" s="22">
        <f>MAX(Table1[Date de fin de lecture FR])</f>
        <v>25569.041666666668</v>
      </c>
      <c r="N7" s="19"/>
      <c r="O7" s="17"/>
      <c r="P7" s="17"/>
      <c r="Q7" s="5"/>
      <c r="R7" s="19"/>
      <c r="S7" s="9" t="s">
        <v>199</v>
      </c>
      <c r="T7" s="21">
        <f>MAX(Table1[Année de lecture])</f>
      </c>
      <c r="U7" s="21">
        <f>MAX(Table1[Mois de lecture])</f>
      </c>
      <c r="V7" s="21">
        <f>MAX(Table1[Temps de lecture en jours])</f>
      </c>
      <c r="W7" s="24">
        <f>MAX(Table1[Vitesse de lecture (page / jours)])</f>
      </c>
      <c r="X7" s="21">
        <f>MAX(Table1[Temps dans la PAL])</f>
      </c>
      <c r="Y7" s="21">
        <f>MAX(Table1[Décénie de sortie])</f>
      </c>
    </row>
    <row x14ac:dyDescent="0.25" r="8" customHeight="1" ht="19.5" hidden="1">
      <c r="A8" s="4"/>
      <c r="B8" s="9">
        <f>SUBTOTAL(3,Table1[Author])</f>
      </c>
      <c r="C8" s="25">
        <f>SUBTOTAL(2,C10:C266)</f>
      </c>
      <c r="D8" s="26">
        <f>SUBTOTAL(2,D10:D257)</f>
      </c>
      <c r="E8" s="26">
        <f>MODE(IF(I8[Décénie de sortie]&lt;&gt;0,I8[Décénie de sortie]))</f>
      </c>
      <c r="F8" s="27"/>
      <c r="G8" s="19"/>
      <c r="H8" s="20" t="s">
        <v>200</v>
      </c>
      <c r="I8" s="21">
        <f>MODE(IF(Table1[Nbr Pages]&lt;&gt;0,Table1[Nbr Pages]))</f>
      </c>
      <c r="J8" s="22">
        <f>MODE(IF(Table1[Date de sortie]&lt;&gt;0,Table1[Date de sortie]))</f>
        <v>25569.041666666668</v>
      </c>
      <c r="K8" s="22">
        <f>MODE(IF(Table1[Date d''achat]&lt;&gt;0,Table1[Date d''achat]))</f>
        <v>25569.041666666668</v>
      </c>
      <c r="L8" s="22">
        <f>MODE(IF(Table1[Date de début de lecture]&lt;&gt;0,Table1[Date de début de lecture]))</f>
        <v>25569.041666666668</v>
      </c>
      <c r="M8" s="22">
        <f>MODE(IF(Table1[Date de fin de lecture FR]&lt;&gt;0,Table1[Date de fin de lecture FR]))</f>
        <v>25569.041666666668</v>
      </c>
      <c r="N8" s="19"/>
      <c r="O8" s="17"/>
      <c r="P8" s="17"/>
      <c r="Q8" s="5"/>
      <c r="R8" s="19"/>
      <c r="S8" s="9" t="s">
        <v>200</v>
      </c>
      <c r="T8" s="21">
        <f>MODE(IF(Table1[Année de lecture]&lt;&gt;0,Table1[Année de lecture]))</f>
      </c>
      <c r="U8" s="21">
        <f>MODE(IF(Table1[Mois de lecture]&lt;&gt;0,Table1[Mois de lecture]))</f>
      </c>
      <c r="V8" s="21">
        <f>MODE(IF(Table1[Temps de lecture en jours]&lt;&gt;0,Table1[Temps de lecture en jours]))</f>
      </c>
      <c r="W8" s="24">
        <f>MODE(IF(Table1[Vitesse de lecture (page / jours)]&lt;&gt;0,Table1[Vitesse de lecture (page / jours)]))</f>
      </c>
      <c r="X8" s="21">
        <f>MODE(IF(Table1[Temps dans la PAL]&lt;&gt;0,Table1[Temps dans la PAL]))</f>
      </c>
      <c r="Y8" s="21">
        <f>MODE(IF(Table1[Décénie de sortie]&lt;&gt;0,Table1[Décénie de sortie]))</f>
      </c>
    </row>
    <row x14ac:dyDescent="0.25" r="9" customHeight="1" ht="18.75">
      <c r="A9" s="1" t="s">
        <v>201</v>
      </c>
      <c r="B9" s="4"/>
      <c r="C9" s="25"/>
      <c r="D9" s="26"/>
      <c r="E9" s="26"/>
      <c r="F9" s="27"/>
      <c r="G9" s="19"/>
      <c r="H9" s="28"/>
      <c r="I9" s="24"/>
      <c r="J9" s="17"/>
      <c r="K9" s="17"/>
      <c r="L9" s="17"/>
      <c r="M9" s="17"/>
      <c r="N9" s="19"/>
      <c r="O9" s="17"/>
      <c r="P9" s="17"/>
      <c r="Q9" s="5"/>
      <c r="R9" s="19"/>
      <c r="S9" s="18"/>
      <c r="T9" s="24"/>
      <c r="U9" s="24"/>
      <c r="V9" s="24"/>
      <c r="W9" s="17"/>
      <c r="X9" s="24"/>
      <c r="Y9" s="24"/>
    </row>
    <row x14ac:dyDescent="0.25" r="10" customHeight="1" ht="76.5" customFormat="1" s="29">
      <c r="A10" s="30" t="s">
        <v>202</v>
      </c>
      <c r="B10" s="30" t="s">
        <v>203</v>
      </c>
      <c r="C10" s="31" t="s">
        <v>204</v>
      </c>
      <c r="D10" s="31" t="s">
        <v>205</v>
      </c>
      <c r="E10" s="31" t="s">
        <v>206</v>
      </c>
      <c r="F10" s="32" t="s">
        <v>29</v>
      </c>
      <c r="G10" s="30" t="s">
        <v>207</v>
      </c>
      <c r="H10" s="30" t="s">
        <v>208</v>
      </c>
      <c r="I10" s="30" t="s">
        <v>209</v>
      </c>
      <c r="J10" s="33" t="s">
        <v>210</v>
      </c>
      <c r="K10" s="33" t="s">
        <v>211</v>
      </c>
      <c r="L10" s="33" t="s">
        <v>212</v>
      </c>
      <c r="M10" s="33" t="s">
        <v>213</v>
      </c>
      <c r="N10" s="34" t="s">
        <v>214</v>
      </c>
      <c r="O10" s="35" t="s">
        <v>215</v>
      </c>
      <c r="P10" s="35" t="s">
        <v>216</v>
      </c>
      <c r="Q10" s="36" t="s">
        <v>217</v>
      </c>
      <c r="R10" s="34" t="s">
        <v>218</v>
      </c>
      <c r="S10" s="37" t="s">
        <v>219</v>
      </c>
      <c r="T10" s="38" t="s">
        <v>220</v>
      </c>
      <c r="U10" s="38" t="s">
        <v>221</v>
      </c>
      <c r="V10" s="39" t="s">
        <v>222</v>
      </c>
      <c r="W10" s="38" t="s">
        <v>223</v>
      </c>
      <c r="X10" s="39" t="s">
        <v>224</v>
      </c>
      <c r="Y10" s="38" t="s">
        <v>225</v>
      </c>
    </row>
    <row x14ac:dyDescent="0.25" r="11" customHeight="1" ht="15" customFormat="1" s="29">
      <c r="A11" s="40" t="s">
        <v>31</v>
      </c>
      <c r="B11" s="40" t="s">
        <v>226</v>
      </c>
      <c r="C11" s="41"/>
      <c r="D11" s="42">
        <v>1</v>
      </c>
      <c r="E11" s="42">
        <v>1</v>
      </c>
      <c r="F11" s="43" t="s">
        <v>29</v>
      </c>
      <c r="G11" s="40" t="s">
        <v>227</v>
      </c>
      <c r="H11" s="44"/>
      <c r="I11" s="42">
        <v>30</v>
      </c>
      <c r="J11" s="45">
        <v>14427</v>
      </c>
      <c r="K11" s="45"/>
      <c r="L11" s="45"/>
      <c r="M11" s="45"/>
      <c r="N11" s="45"/>
      <c r="O11" s="45"/>
      <c r="P11" s="35"/>
      <c r="Q11" s="35"/>
      <c r="R11" s="10" t="s">
        <v>228</v>
      </c>
      <c r="S11" s="40" t="s">
        <v>229</v>
      </c>
      <c r="T11" s="41">
        <f>IF(ISBLANK(Table1[[#This Row], [Date de fin de lecture FR]]),"",YEAR(Table1[[#This Row], [Date de fin de lecture FR]]))</f>
      </c>
      <c r="U11" s="10">
        <f>IF(ISBLANK(Table1[[#This Row], [Date de fin de lecture FR]]),"",MONTH(Table1[[#This Row], [Date de fin de lecture FR]]))</f>
      </c>
      <c r="V11" s="41">
        <f>IF(ISBLANK(Table1[[#This Row], [Date de début de lecture]]),"",(IF(ISBLANK(Table1[[#This Row], [Date de fin de lecture FR]]),0,Table1[[#This Row], [Date de fin de lecture FR]]-Table1[[#This Row], [Date de début de lecture]])))</f>
      </c>
      <c r="W11" s="46">
        <f>IF(Table1[[#This Row], [Temps de lecture en jours]]="","",IF(ISBLANK(Table1[[#This Row], [Nbr Pages]]),0,Table1[[#This Row], [Nbr Pages]]/Table1[[#This Row], [Temps de lecture en jours]]))</f>
      </c>
      <c r="X11" s="41">
        <f>IF(ISBLANK(Table1[[#This Row], [Date d''achat]]),"",IF(ISBLANK(Table1[[#This Row], [Date de fin de lecture FR]]),0,Table1[[#This Row], [Date de fin de lecture FR]]-Table1[[#This Row], [Date d''achat]]))</f>
      </c>
      <c r="Y11" s="10">
        <f>IF(ISBLANK(Table1[[#This Row], [Date de sortie]]),"",ROUNDDOWN(YEAR(Table1[[#This Row], [Date de sortie]]),-1))</f>
      </c>
    </row>
    <row x14ac:dyDescent="0.25" r="12" customHeight="1" ht="15" customFormat="1" s="29">
      <c r="A12" s="40" t="s">
        <v>230</v>
      </c>
      <c r="B12" s="40" t="s">
        <v>231</v>
      </c>
      <c r="C12" s="41"/>
      <c r="D12" s="41"/>
      <c r="E12" s="41"/>
      <c r="F12" s="43"/>
      <c r="G12" s="40" t="s">
        <v>232</v>
      </c>
      <c r="H12" s="44"/>
      <c r="I12" s="41"/>
      <c r="J12" s="45"/>
      <c r="K12" s="45"/>
      <c r="L12" s="45"/>
      <c r="M12" s="45"/>
      <c r="N12" s="45"/>
      <c r="O12" s="45"/>
      <c r="P12" s="35"/>
      <c r="Q12" s="35"/>
      <c r="R12" s="46"/>
      <c r="S12" s="44"/>
      <c r="T12" s="41">
        <f>IF(ISBLANK(Table1[[#This Row], [Date de fin de lecture FR]]),"",YEAR(Table1[[#This Row], [Date de fin de lecture FR]]))</f>
      </c>
      <c r="U12" s="10">
        <f>IF(ISBLANK(Table1[[#This Row], [Date de fin de lecture FR]]),"",MONTH(Table1[[#This Row], [Date de fin de lecture FR]]))</f>
      </c>
      <c r="V12" s="41">
        <f>IF(ISBLANK(Table1[[#This Row], [Date de début de lecture]]),"",(IF(ISBLANK(Table1[[#This Row], [Date de fin de lecture FR]]),0,Table1[[#This Row], [Date de fin de lecture FR]]-Table1[[#This Row], [Date de début de lecture]])))</f>
      </c>
      <c r="W12" s="46">
        <f>IF(Table1[[#This Row], [Temps de lecture en jours]]="","",IF(ISBLANK(Table1[[#This Row], [Nbr Pages]]),0,Table1[[#This Row], [Nbr Pages]]/Table1[[#This Row], [Temps de lecture en jours]]))</f>
      </c>
      <c r="X12" s="41">
        <f>IF(ISBLANK(Table1[[#This Row], [Date d''achat]]),"",IF(ISBLANK(Table1[[#This Row], [Date de fin de lecture FR]]),0,Table1[[#This Row], [Date de fin de lecture FR]]-Table1[[#This Row], [Date d''achat]]))</f>
      </c>
      <c r="Y12" s="10">
        <f>IF(ISBLANK(Table1[[#This Row], [Date de sortie]]),"",ROUNDDOWN(YEAR(Table1[[#This Row], [Date de sortie]]),-1))</f>
      </c>
    </row>
    <row x14ac:dyDescent="0.25" r="13" customHeight="1" ht="15" customFormat="1" s="29">
      <c r="A13" s="40" t="s">
        <v>233</v>
      </c>
      <c r="B13" s="40" t="s">
        <v>234</v>
      </c>
      <c r="C13" s="41"/>
      <c r="D13" s="41"/>
      <c r="E13" s="41"/>
      <c r="F13" s="43"/>
      <c r="G13" s="40" t="s">
        <v>232</v>
      </c>
      <c r="H13" s="44"/>
      <c r="I13" s="41"/>
      <c r="J13" s="45"/>
      <c r="K13" s="45"/>
      <c r="L13" s="45"/>
      <c r="M13" s="45"/>
      <c r="N13" s="45"/>
      <c r="O13" s="45"/>
      <c r="P13" s="35"/>
      <c r="Q13" s="35"/>
      <c r="R13" s="46"/>
      <c r="S13" s="44"/>
      <c r="T13" s="41">
        <f>IF(ISBLANK(Table1[[#This Row], [Date de fin de lecture FR]]),"",YEAR(Table1[[#This Row], [Date de fin de lecture FR]]))</f>
      </c>
      <c r="U13" s="10">
        <f>IF(ISBLANK(Table1[[#This Row], [Date de fin de lecture FR]]),"",MONTH(Table1[[#This Row], [Date de fin de lecture FR]]))</f>
      </c>
      <c r="V13" s="41">
        <f>IF(ISBLANK(Table1[[#This Row], [Date de début de lecture]]),"",(IF(ISBLANK(Table1[[#This Row], [Date de fin de lecture FR]]),0,Table1[[#This Row], [Date de fin de lecture FR]]-Table1[[#This Row], [Date de début de lecture]])))</f>
      </c>
      <c r="W13" s="46">
        <f>IF(Table1[[#This Row], [Temps de lecture en jours]]="","",IF(ISBLANK(Table1[[#This Row], [Nbr Pages]]),0,Table1[[#This Row], [Nbr Pages]]/Table1[[#This Row], [Temps de lecture en jours]]))</f>
      </c>
      <c r="X13" s="41">
        <f>IF(ISBLANK(Table1[[#This Row], [Date d''achat]]),"",IF(ISBLANK(Table1[[#This Row], [Date de fin de lecture FR]]),0,Table1[[#This Row], [Date de fin de lecture FR]]-Table1[[#This Row], [Date d''achat]]))</f>
      </c>
      <c r="Y13" s="10">
        <f>IF(ISBLANK(Table1[[#This Row], [Date de sortie]]),"",ROUNDDOWN(YEAR(Table1[[#This Row], [Date de sortie]]),-1))</f>
      </c>
    </row>
    <row x14ac:dyDescent="0.25" r="14" customHeight="1" ht="15" customFormat="1" s="29">
      <c r="A14" s="40" t="s">
        <v>235</v>
      </c>
      <c r="B14" s="40" t="s">
        <v>234</v>
      </c>
      <c r="C14" s="41"/>
      <c r="D14" s="41"/>
      <c r="E14" s="41"/>
      <c r="F14" s="43"/>
      <c r="G14" s="40" t="s">
        <v>232</v>
      </c>
      <c r="H14" s="44"/>
      <c r="I14" s="41"/>
      <c r="J14" s="45"/>
      <c r="K14" s="45"/>
      <c r="L14" s="45"/>
      <c r="M14" s="45"/>
      <c r="N14" s="45"/>
      <c r="O14" s="45"/>
      <c r="P14" s="35"/>
      <c r="Q14" s="35"/>
      <c r="R14" s="46"/>
      <c r="S14" s="44"/>
      <c r="T14" s="41">
        <f>IF(ISBLANK(Table1[[#This Row], [Date de fin de lecture FR]]),"",YEAR(Table1[[#This Row], [Date de fin de lecture FR]]))</f>
      </c>
      <c r="U14" s="10">
        <f>IF(ISBLANK(Table1[[#This Row], [Date de fin de lecture FR]]),"",MONTH(Table1[[#This Row], [Date de fin de lecture FR]]))</f>
      </c>
      <c r="V14" s="41">
        <f>IF(ISBLANK(Table1[[#This Row], [Date de début de lecture]]),"",(IF(ISBLANK(Table1[[#This Row], [Date de fin de lecture FR]]),0,Table1[[#This Row], [Date de fin de lecture FR]]-Table1[[#This Row], [Date de début de lecture]])))</f>
      </c>
      <c r="W14" s="46">
        <f>IF(Table1[[#This Row], [Temps de lecture en jours]]="","",IF(ISBLANK(Table1[[#This Row], [Nbr Pages]]),0,Table1[[#This Row], [Nbr Pages]]/Table1[[#This Row], [Temps de lecture en jours]]))</f>
      </c>
      <c r="X14" s="41">
        <f>IF(ISBLANK(Table1[[#This Row], [Date d''achat]]),"",IF(ISBLANK(Table1[[#This Row], [Date de fin de lecture FR]]),0,Table1[[#This Row], [Date de fin de lecture FR]]-Table1[[#This Row], [Date d''achat]]))</f>
      </c>
      <c r="Y14" s="10">
        <f>IF(ISBLANK(Table1[[#This Row], [Date de sortie]]),"",ROUNDDOWN(YEAR(Table1[[#This Row], [Date de sortie]]),-1))</f>
      </c>
    </row>
    <row x14ac:dyDescent="0.25" r="15" customHeight="1" ht="15" customFormat="1" s="29">
      <c r="A15" s="40" t="s">
        <v>236</v>
      </c>
      <c r="B15" s="40" t="s">
        <v>234</v>
      </c>
      <c r="C15" s="41"/>
      <c r="D15" s="41"/>
      <c r="E15" s="41"/>
      <c r="F15" s="43"/>
      <c r="G15" s="40" t="s">
        <v>232</v>
      </c>
      <c r="H15" s="44"/>
      <c r="I15" s="41"/>
      <c r="J15" s="45"/>
      <c r="K15" s="45"/>
      <c r="L15" s="45"/>
      <c r="M15" s="45"/>
      <c r="N15" s="45"/>
      <c r="O15" s="45"/>
      <c r="P15" s="35"/>
      <c r="Q15" s="35"/>
      <c r="R15" s="46"/>
      <c r="S15" s="44"/>
      <c r="T15" s="41">
        <f>IF(ISBLANK(Table1[[#This Row], [Date de fin de lecture FR]]),"",YEAR(Table1[[#This Row], [Date de fin de lecture FR]]))</f>
      </c>
      <c r="U15" s="10">
        <f>IF(ISBLANK(Table1[[#This Row], [Date de fin de lecture FR]]),"",MONTH(Table1[[#This Row], [Date de fin de lecture FR]]))</f>
      </c>
      <c r="V15" s="41">
        <f>IF(ISBLANK(Table1[[#This Row], [Date de début de lecture]]),"",(IF(ISBLANK(Table1[[#This Row], [Date de fin de lecture FR]]),0,Table1[[#This Row], [Date de fin de lecture FR]]-Table1[[#This Row], [Date de début de lecture]])))</f>
      </c>
      <c r="W15" s="46">
        <f>IF(Table1[[#This Row], [Temps de lecture en jours]]="","",IF(ISBLANK(Table1[[#This Row], [Nbr Pages]]),0,Table1[[#This Row], [Nbr Pages]]/Table1[[#This Row], [Temps de lecture en jours]]))</f>
      </c>
      <c r="X15" s="41">
        <f>IF(ISBLANK(Table1[[#This Row], [Date d''achat]]),"",IF(ISBLANK(Table1[[#This Row], [Date de fin de lecture FR]]),0,Table1[[#This Row], [Date de fin de lecture FR]]-Table1[[#This Row], [Date d''achat]]))</f>
      </c>
      <c r="Y15" s="10">
        <f>IF(ISBLANK(Table1[[#This Row], [Date de sortie]]),"",ROUNDDOWN(YEAR(Table1[[#This Row], [Date de sortie]]),-1))</f>
      </c>
    </row>
    <row x14ac:dyDescent="0.25" r="16" customHeight="1" ht="15" customFormat="1" s="29">
      <c r="A16" s="10" t="s">
        <v>237</v>
      </c>
      <c r="B16" s="10" t="s">
        <v>238</v>
      </c>
      <c r="C16" s="41"/>
      <c r="D16" s="41"/>
      <c r="E16" s="41"/>
      <c r="F16" s="47" t="s">
        <v>29</v>
      </c>
      <c r="G16" s="10" t="s">
        <v>227</v>
      </c>
      <c r="H16" s="44"/>
      <c r="I16" s="42">
        <v>704</v>
      </c>
      <c r="J16" s="45"/>
      <c r="K16" s="45"/>
      <c r="L16" s="45"/>
      <c r="M16" s="45"/>
      <c r="N16" s="45"/>
      <c r="O16" s="45"/>
      <c r="P16" s="35"/>
      <c r="Q16" s="35"/>
      <c r="R16" s="45"/>
      <c r="S16" s="44"/>
      <c r="T16" s="10">
        <f>IF(ISBLANK(Table1[[#This Row], [Date de fin de lecture FR]]),"",YEAR(Table1[[#This Row], [Date de fin de lecture FR]]))</f>
      </c>
      <c r="U16" s="10">
        <f>IF(ISBLANK(Table1[[#This Row], [Date de fin de lecture FR]]),"",MONTH(Table1[[#This Row], [Date de fin de lecture FR]]))</f>
      </c>
      <c r="V16" s="10">
        <f>IF(ISBLANK(Table1[[#This Row], [Date de début de lecture]]),"",(IF(ISBLANK(Table1[[#This Row], [Date de fin de lecture FR]]),0,Table1[[#This Row], [Date de fin de lecture FR]]-Table1[[#This Row], [Date de début de lecture]])))</f>
      </c>
      <c r="W16" s="46">
        <f>IF(Table1[[#This Row], [Temps de lecture en jours]]="","",IF(ISBLANK(Table1[[#This Row], [Nbr Pages]]),0,Table1[[#This Row], [Nbr Pages]]/Table1[[#This Row], [Temps de lecture en jours]]))</f>
      </c>
      <c r="X16" s="10">
        <f>IF(ISBLANK(Table1[[#This Row], [Date d''achat]]),"",IF(ISBLANK(Table1[[#This Row], [Date de fin de lecture FR]]),0,Table1[[#This Row], [Date de fin de lecture FR]]-Table1[[#This Row], [Date d''achat]]))</f>
      </c>
      <c r="Y16" s="10">
        <f>IF(ISBLANK(Table1[[#This Row], [Date de sortie]]),"",ROUNDDOWN(YEAR(Table1[[#This Row], [Date de sortie]]),-1))</f>
      </c>
    </row>
    <row x14ac:dyDescent="0.25" r="17" customHeight="1" ht="15" customFormat="1" s="29">
      <c r="A17" s="10" t="s">
        <v>239</v>
      </c>
      <c r="B17" s="40" t="s">
        <v>240</v>
      </c>
      <c r="C17" s="41"/>
      <c r="D17" s="41"/>
      <c r="E17" s="41"/>
      <c r="F17" s="47" t="s">
        <v>29</v>
      </c>
      <c r="G17" s="44"/>
      <c r="H17" s="44"/>
      <c r="I17" s="41"/>
      <c r="J17" s="45"/>
      <c r="K17" s="45"/>
      <c r="L17" s="45"/>
      <c r="M17" s="45"/>
      <c r="N17" s="45"/>
      <c r="O17" s="45"/>
      <c r="P17" s="35"/>
      <c r="Q17" s="35"/>
      <c r="R17" s="46"/>
      <c r="S17" s="44"/>
      <c r="T17" s="10">
        <f>IF(ISBLANK(Table1[[#This Row], [Date de fin de lecture FR]]),"",YEAR(Table1[[#This Row], [Date de fin de lecture FR]]))</f>
      </c>
      <c r="U17" s="10">
        <f>IF(ISBLANK(Table1[[#This Row], [Date de fin de lecture FR]]),"",MONTH(Table1[[#This Row], [Date de fin de lecture FR]]))</f>
      </c>
      <c r="V17" s="10">
        <f>IF(ISBLANK(Table1[[#This Row], [Date de début de lecture]]),"",(IF(ISBLANK(Table1[[#This Row], [Date de fin de lecture FR]]),0,Table1[[#This Row], [Date de fin de lecture FR]]-Table1[[#This Row], [Date de début de lecture]])))</f>
      </c>
      <c r="W17" s="46">
        <f>IF(Table1[[#This Row], [Temps de lecture en jours]]="","",IF(ISBLANK(Table1[[#This Row], [Nbr Pages]]),0,Table1[[#This Row], [Nbr Pages]]/Table1[[#This Row], [Temps de lecture en jours]]))</f>
      </c>
      <c r="X17" s="10">
        <f>IF(ISBLANK(Table1[[#This Row], [Date d''achat]]),"",IF(ISBLANK(Table1[[#This Row], [Date de fin de lecture FR]]),0,Table1[[#This Row], [Date de fin de lecture FR]]-Table1[[#This Row], [Date d''achat]]))</f>
      </c>
      <c r="Y17" s="10">
        <f>IF(ISBLANK(Table1[[#This Row], [Date de sortie]]),"",ROUNDDOWN(YEAR(Table1[[#This Row], [Date de sortie]]),-1))</f>
      </c>
    </row>
    <row x14ac:dyDescent="0.25" r="18" customHeight="1" ht="15" customFormat="1" s="29">
      <c r="A18" s="40" t="s">
        <v>30</v>
      </c>
      <c r="B18" s="40" t="s">
        <v>240</v>
      </c>
      <c r="C18" s="41"/>
      <c r="D18" s="42">
        <v>1</v>
      </c>
      <c r="E18" s="41"/>
      <c r="F18" s="47" t="s">
        <v>29</v>
      </c>
      <c r="G18" s="40" t="s">
        <v>241</v>
      </c>
      <c r="H18" s="44"/>
      <c r="I18" s="42">
        <v>44</v>
      </c>
      <c r="J18" s="45"/>
      <c r="K18" s="45"/>
      <c r="L18" s="45"/>
      <c r="M18" s="45"/>
      <c r="N18" s="45"/>
      <c r="O18" s="45"/>
      <c r="P18" s="35"/>
      <c r="Q18" s="35"/>
      <c r="R18" s="45"/>
      <c r="S18" s="44"/>
      <c r="T18" s="41">
        <f>IF(ISBLANK(Table1[[#This Row], [Date de fin de lecture FR]]),"",YEAR(Table1[[#This Row], [Date de fin de lecture FR]]))</f>
      </c>
      <c r="U18" s="10">
        <f>IF(ISBLANK(Table1[[#This Row], [Date de fin de lecture FR]]),"",MONTH(Table1[[#This Row], [Date de fin de lecture FR]]))</f>
      </c>
      <c r="V18" s="41">
        <f>IF(ISBLANK(Table1[[#This Row], [Date de début de lecture]]),"",(IF(ISBLANK(Table1[[#This Row], [Date de fin de lecture FR]]),0,Table1[[#This Row], [Date de fin de lecture FR]]-Table1[[#This Row], [Date de début de lecture]])))</f>
      </c>
      <c r="W18" s="46">
        <f>IF(Table1[[#This Row], [Temps de lecture en jours]]="","",IF(ISBLANK(Table1[[#This Row], [Nbr Pages]]),0,Table1[[#This Row], [Nbr Pages]]/Table1[[#This Row], [Temps de lecture en jours]]))</f>
      </c>
      <c r="X18" s="41">
        <f>IF(ISBLANK(Table1[[#This Row], [Date d''achat]]),"",IF(ISBLANK(Table1[[#This Row], [Date de fin de lecture FR]]),0,Table1[[#This Row], [Date de fin de lecture FR]]-Table1[[#This Row], [Date d''achat]]))</f>
      </c>
      <c r="Y18" s="10">
        <f>IF(ISBLANK(Table1[[#This Row], [Date de sortie]]),"",ROUNDDOWN(YEAR(Table1[[#This Row], [Date de sortie]]),-1))</f>
      </c>
    </row>
    <row x14ac:dyDescent="0.25" r="19" customHeight="1" ht="15" customFormat="1" s="29">
      <c r="A19" s="40" t="s">
        <v>71</v>
      </c>
      <c r="B19" s="40" t="s">
        <v>242</v>
      </c>
      <c r="C19" s="42">
        <v>1</v>
      </c>
      <c r="D19" s="42">
        <v>1</v>
      </c>
      <c r="E19" s="41"/>
      <c r="F19" s="43"/>
      <c r="G19" s="40" t="s">
        <v>227</v>
      </c>
      <c r="H19" s="40" t="s">
        <v>243</v>
      </c>
      <c r="I19" s="42">
        <v>400</v>
      </c>
      <c r="J19" s="45">
        <v>41047</v>
      </c>
      <c r="K19" s="45"/>
      <c r="L19" s="45"/>
      <c r="M19" s="45">
        <v>42872</v>
      </c>
      <c r="N19" s="10" t="s">
        <v>244</v>
      </c>
      <c r="O19" s="46"/>
      <c r="P19" s="35"/>
      <c r="Q19" s="35"/>
      <c r="R19" s="10" t="s">
        <v>245</v>
      </c>
      <c r="S19" s="44"/>
      <c r="T19" s="42">
        <f>IF(ISBLANK(Table1[[#This Row], [Date de fin de lecture FR]]),"",YEAR(Table1[[#This Row], [Date de fin de lecture FR]]))</f>
      </c>
      <c r="U19" s="10">
        <f>IF(ISBLANK(Table1[[#This Row], [Date de fin de lecture FR]]),"",MONTH(Table1[[#This Row], [Date de fin de lecture FR]]))</f>
      </c>
      <c r="V19" s="41">
        <f>IF(ISBLANK(Table1[[#This Row], [Date de début de lecture]]),"",(IF(ISBLANK(Table1[[#This Row], [Date de fin de lecture FR]]),0,Table1[[#This Row], [Date de fin de lecture FR]]-Table1[[#This Row], [Date de début de lecture]])))</f>
      </c>
      <c r="W19" s="46">
        <f>IF(Table1[[#This Row], [Temps de lecture en jours]]="","",IF(ISBLANK(Table1[[#This Row], [Nbr Pages]]),0,Table1[[#This Row], [Nbr Pages]]/Table1[[#This Row], [Temps de lecture en jours]]))</f>
      </c>
      <c r="X19" s="41">
        <f>IF(ISBLANK(Table1[[#This Row], [Date d''achat]]),"",IF(ISBLANK(Table1[[#This Row], [Date de fin de lecture FR]]),0,Table1[[#This Row], [Date de fin de lecture FR]]-Table1[[#This Row], [Date d''achat]]))</f>
      </c>
      <c r="Y19" s="10">
        <f>IF(ISBLANK(Table1[[#This Row], [Date de sortie]]),"",ROUNDDOWN(YEAR(Table1[[#This Row], [Date de sortie]]),-1))</f>
      </c>
    </row>
    <row x14ac:dyDescent="0.25" r="20" customHeight="1" ht="15" customFormat="1" s="29">
      <c r="A20" s="40" t="s">
        <v>72</v>
      </c>
      <c r="B20" s="40" t="s">
        <v>242</v>
      </c>
      <c r="C20" s="42">
        <v>1</v>
      </c>
      <c r="D20" s="42">
        <v>1</v>
      </c>
      <c r="E20" s="42">
        <v>1</v>
      </c>
      <c r="F20" s="43"/>
      <c r="G20" s="40" t="s">
        <v>246</v>
      </c>
      <c r="H20" s="44"/>
      <c r="I20" s="42">
        <v>736</v>
      </c>
      <c r="J20" s="45">
        <v>38261</v>
      </c>
      <c r="K20" s="45"/>
      <c r="L20" s="45"/>
      <c r="M20" s="45">
        <v>42736</v>
      </c>
      <c r="N20" s="10" t="s">
        <v>244</v>
      </c>
      <c r="O20" s="46"/>
      <c r="P20" s="35"/>
      <c r="Q20" s="35"/>
      <c r="R20" s="10" t="s">
        <v>245</v>
      </c>
      <c r="S20" s="44"/>
      <c r="T20" s="42">
        <f>IF(ISBLANK(Table1[[#This Row], [Date de fin de lecture FR]]),"",YEAR(Table1[[#This Row], [Date de fin de lecture FR]]))</f>
      </c>
      <c r="U20" s="10">
        <f>IF(ISBLANK(Table1[[#This Row], [Date de fin de lecture FR]]),"",MONTH(Table1[[#This Row], [Date de fin de lecture FR]]))</f>
      </c>
      <c r="V20" s="41">
        <f>IF(ISBLANK(Table1[[#This Row], [Date de début de lecture]]),"",(IF(ISBLANK(Table1[[#This Row], [Date de fin de lecture FR]]),0,Table1[[#This Row], [Date de fin de lecture FR]]-Table1[[#This Row], [Date de début de lecture]])))</f>
      </c>
      <c r="W20" s="46">
        <f>IF(Table1[[#This Row], [Temps de lecture en jours]]="","",IF(ISBLANK(Table1[[#This Row], [Nbr Pages]]),0,Table1[[#This Row], [Nbr Pages]]/Table1[[#This Row], [Temps de lecture en jours]]))</f>
      </c>
      <c r="X20" s="41">
        <f>IF(ISBLANK(Table1[[#This Row], [Date d''achat]]),"",IF(ISBLANK(Table1[[#This Row], [Date de fin de lecture FR]]),0,Table1[[#This Row], [Date de fin de lecture FR]]-Table1[[#This Row], [Date d''achat]]))</f>
      </c>
      <c r="Y20" s="10">
        <f>IF(ISBLANK(Table1[[#This Row], [Date de sortie]]),"",ROUNDDOWN(YEAR(Table1[[#This Row], [Date de sortie]]),-1))</f>
      </c>
    </row>
    <row x14ac:dyDescent="0.25" r="21" customHeight="1" ht="15" customFormat="1" s="29">
      <c r="A21" s="40" t="s">
        <v>247</v>
      </c>
      <c r="B21" s="40" t="s">
        <v>242</v>
      </c>
      <c r="C21" s="42">
        <v>1</v>
      </c>
      <c r="D21" s="41"/>
      <c r="E21" s="41"/>
      <c r="F21" s="43"/>
      <c r="G21" s="40" t="s">
        <v>227</v>
      </c>
      <c r="H21" s="44"/>
      <c r="I21" s="42">
        <v>656</v>
      </c>
      <c r="J21" s="45"/>
      <c r="K21" s="45"/>
      <c r="L21" s="45"/>
      <c r="M21" s="45"/>
      <c r="N21" s="45"/>
      <c r="O21" s="45"/>
      <c r="P21" s="35"/>
      <c r="Q21" s="35"/>
      <c r="R21" s="45"/>
      <c r="S21" s="40" t="s">
        <v>248</v>
      </c>
      <c r="T21" s="41">
        <f>IF(ISBLANK(Table1[[#This Row], [Date de fin de lecture FR]]),"",YEAR(Table1[[#This Row], [Date de fin de lecture FR]]))</f>
      </c>
      <c r="U21" s="10">
        <f>IF(ISBLANK(Table1[[#This Row], [Date de fin de lecture FR]]),"",MONTH(Table1[[#This Row], [Date de fin de lecture FR]]))</f>
      </c>
      <c r="V21" s="41">
        <f>IF(ISBLANK(Table1[[#This Row], [Date de début de lecture]]),"",(IF(ISBLANK(Table1[[#This Row], [Date de fin de lecture FR]]),0,Table1[[#This Row], [Date de fin de lecture FR]]-Table1[[#This Row], [Date de début de lecture]])))</f>
      </c>
      <c r="W21" s="46">
        <f>IF(Table1[[#This Row], [Temps de lecture en jours]]="","",IF(ISBLANK(Table1[[#This Row], [Nbr Pages]]),0,Table1[[#This Row], [Nbr Pages]]/Table1[[#This Row], [Temps de lecture en jours]]))</f>
      </c>
      <c r="X21" s="41">
        <f>IF(ISBLANK(Table1[[#This Row], [Date d''achat]]),"",IF(ISBLANK(Table1[[#This Row], [Date de fin de lecture FR]]),0,Table1[[#This Row], [Date de fin de lecture FR]]-Table1[[#This Row], [Date d''achat]]))</f>
      </c>
      <c r="Y21" s="10">
        <f>IF(ISBLANK(Table1[[#This Row], [Date de sortie]]),"",ROUNDDOWN(YEAR(Table1[[#This Row], [Date de sortie]]),-1))</f>
      </c>
    </row>
    <row x14ac:dyDescent="0.25" r="22" customHeight="1" ht="15" customFormat="1" s="29">
      <c r="A22" s="40" t="s">
        <v>56</v>
      </c>
      <c r="B22" s="40" t="s">
        <v>249</v>
      </c>
      <c r="C22" s="42">
        <v>1</v>
      </c>
      <c r="D22" s="42">
        <v>1</v>
      </c>
      <c r="E22" s="42">
        <v>1</v>
      </c>
      <c r="F22" s="43"/>
      <c r="G22" s="40" t="s">
        <v>227</v>
      </c>
      <c r="H22" s="40" t="s">
        <v>243</v>
      </c>
      <c r="I22" s="42">
        <v>285</v>
      </c>
      <c r="J22" s="45">
        <v>11689</v>
      </c>
      <c r="K22" s="45">
        <v>44557</v>
      </c>
      <c r="L22" s="45">
        <v>44879</v>
      </c>
      <c r="M22" s="45">
        <v>44893</v>
      </c>
      <c r="N22" s="10" t="s">
        <v>244</v>
      </c>
      <c r="O22" s="46"/>
      <c r="P22" s="35"/>
      <c r="Q22" s="35"/>
      <c r="R22" s="10" t="s">
        <v>245</v>
      </c>
      <c r="S22" s="40" t="s">
        <v>250</v>
      </c>
      <c r="T22" s="42">
        <f>IF(ISBLANK(Table1[[#This Row], [Date de fin de lecture FR]]),"",YEAR(Table1[[#This Row], [Date de fin de lecture FR]]))</f>
      </c>
      <c r="U22" s="10">
        <f>IF(ISBLANK(Table1[[#This Row], [Date de fin de lecture FR]]),"",MONTH(Table1[[#This Row], [Date de fin de lecture FR]]))</f>
      </c>
      <c r="V22" s="42">
        <f>IF(ISBLANK(Table1[[#This Row], [Date de début de lecture]]),"",(IF(ISBLANK(Table1[[#This Row], [Date de fin de lecture FR]]),0,Table1[[#This Row], [Date de fin de lecture FR]]-Table1[[#This Row], [Date de début de lecture]])))</f>
      </c>
      <c r="W22" s="46">
        <f>IF(Table1[[#This Row], [Temps de lecture en jours]]="","",IF(ISBLANK(Table1[[#This Row], [Nbr Pages]]),0,Table1[[#This Row], [Nbr Pages]]/Table1[[#This Row], [Temps de lecture en jours]]))</f>
      </c>
      <c r="X22" s="42">
        <f>IF(ISBLANK(Table1[[#This Row], [Date d''achat]]),"",IF(ISBLANK(Table1[[#This Row], [Date de fin de lecture FR]]),0,Table1[[#This Row], [Date de fin de lecture FR]]-Table1[[#This Row], [Date d''achat]]))</f>
      </c>
      <c r="Y22" s="10">
        <f>IF(ISBLANK(Table1[[#This Row], [Date de sortie]]),"",ROUNDDOWN(YEAR(Table1[[#This Row], [Date de sortie]]),-1))</f>
      </c>
    </row>
    <row x14ac:dyDescent="0.25" r="23" customHeight="1" ht="15" customFormat="1" s="29">
      <c r="A23" s="40" t="s">
        <v>251</v>
      </c>
      <c r="B23" s="40" t="s">
        <v>252</v>
      </c>
      <c r="C23" s="41"/>
      <c r="D23" s="41"/>
      <c r="E23" s="41"/>
      <c r="F23" s="47" t="s">
        <v>29</v>
      </c>
      <c r="G23" s="40" t="s">
        <v>227</v>
      </c>
      <c r="H23" s="44"/>
      <c r="I23" s="42">
        <v>357</v>
      </c>
      <c r="J23" s="45">
        <v>20455</v>
      </c>
      <c r="K23" s="45"/>
      <c r="L23" s="45"/>
      <c r="M23" s="45"/>
      <c r="N23" s="45"/>
      <c r="O23" s="45"/>
      <c r="P23" s="35"/>
      <c r="Q23" s="35"/>
      <c r="R23" s="45"/>
      <c r="S23" s="44"/>
      <c r="T23" s="41">
        <f>IF(ISBLANK(Table1[[#This Row], [Date de fin de lecture FR]]),"",YEAR(Table1[[#This Row], [Date de fin de lecture FR]]))</f>
      </c>
      <c r="U23" s="10">
        <f>IF(ISBLANK(Table1[[#This Row], [Date de fin de lecture FR]]),"",MONTH(Table1[[#This Row], [Date de fin de lecture FR]]))</f>
      </c>
      <c r="V23" s="41">
        <f>IF(ISBLANK(Table1[[#This Row], [Date de début de lecture]]),"",(IF(ISBLANK(Table1[[#This Row], [Date de fin de lecture FR]]),0,Table1[[#This Row], [Date de fin de lecture FR]]-Table1[[#This Row], [Date de début de lecture]])))</f>
      </c>
      <c r="W23" s="46">
        <f>IF(Table1[[#This Row], [Temps de lecture en jours]]="","",IF(ISBLANK(Table1[[#This Row], [Nbr Pages]]),0,Table1[[#This Row], [Nbr Pages]]/Table1[[#This Row], [Temps de lecture en jours]]))</f>
      </c>
      <c r="X23" s="41">
        <f>IF(ISBLANK(Table1[[#This Row], [Date d''achat]]),"",IF(ISBLANK(Table1[[#This Row], [Date de fin de lecture FR]]),0,Table1[[#This Row], [Date de fin de lecture FR]]-Table1[[#This Row], [Date d''achat]]))</f>
      </c>
      <c r="Y23" s="10">
        <f>IF(ISBLANK(Table1[[#This Row], [Date de sortie]]),"",ROUNDDOWN(YEAR(Table1[[#This Row], [Date de sortie]]),-1))</f>
      </c>
    </row>
    <row x14ac:dyDescent="0.25" r="24" customHeight="1" ht="15" customFormat="1" s="29">
      <c r="A24" s="40" t="s">
        <v>73</v>
      </c>
      <c r="B24" s="40" t="s">
        <v>253</v>
      </c>
      <c r="C24" s="42">
        <v>1</v>
      </c>
      <c r="D24" s="42">
        <v>1</v>
      </c>
      <c r="E24" s="41"/>
      <c r="F24" s="43"/>
      <c r="G24" s="40" t="s">
        <v>246</v>
      </c>
      <c r="H24" s="44"/>
      <c r="I24" s="42">
        <v>56</v>
      </c>
      <c r="J24" s="45">
        <v>44258</v>
      </c>
      <c r="K24" s="45">
        <v>44119</v>
      </c>
      <c r="L24" s="45"/>
      <c r="M24" s="45">
        <v>44135</v>
      </c>
      <c r="N24" s="10" t="s">
        <v>244</v>
      </c>
      <c r="O24" s="46"/>
      <c r="P24" s="35"/>
      <c r="Q24" s="35"/>
      <c r="R24" s="10" t="s">
        <v>228</v>
      </c>
      <c r="S24" s="40" t="s">
        <v>254</v>
      </c>
      <c r="T24" s="42">
        <f>IF(ISBLANK(Table1[[#This Row], [Date de fin de lecture FR]]),"",YEAR(Table1[[#This Row], [Date de fin de lecture FR]]))</f>
      </c>
      <c r="U24" s="10">
        <f>IF(ISBLANK(Table1[[#This Row], [Date de fin de lecture FR]]),"",MONTH(Table1[[#This Row], [Date de fin de lecture FR]]))</f>
      </c>
      <c r="V24" s="41">
        <f>IF(ISBLANK(Table1[[#This Row], [Date de début de lecture]]),"",(IF(ISBLANK(Table1[[#This Row], [Date de fin de lecture FR]]),0,Table1[[#This Row], [Date de fin de lecture FR]]-Table1[[#This Row], [Date de début de lecture]])))</f>
      </c>
      <c r="W24" s="46">
        <f>IF(Table1[[#This Row], [Temps de lecture en jours]]="","",IF(ISBLANK(Table1[[#This Row], [Nbr Pages]]),0,Table1[[#This Row], [Nbr Pages]]/Table1[[#This Row], [Temps de lecture en jours]]))</f>
      </c>
      <c r="X24" s="42">
        <f>IF(ISBLANK(Table1[[#This Row], [Date d''achat]]),"",IF(ISBLANK(Table1[[#This Row], [Date de fin de lecture FR]]),0,Table1[[#This Row], [Date de fin de lecture FR]]-Table1[[#This Row], [Date d''achat]]))</f>
      </c>
      <c r="Y24" s="10">
        <f>IF(ISBLANK(Table1[[#This Row], [Date de sortie]]),"",ROUNDDOWN(YEAR(Table1[[#This Row], [Date de sortie]]),-1))</f>
      </c>
    </row>
    <row x14ac:dyDescent="0.25" r="25" customHeight="1" ht="15" customFormat="1" s="29">
      <c r="A25" s="40" t="s">
        <v>74</v>
      </c>
      <c r="B25" s="40" t="s">
        <v>253</v>
      </c>
      <c r="C25" s="41"/>
      <c r="D25" s="42">
        <v>1</v>
      </c>
      <c r="E25" s="41"/>
      <c r="F25" s="43"/>
      <c r="G25" s="40" t="s">
        <v>246</v>
      </c>
      <c r="H25" s="44"/>
      <c r="I25" s="42">
        <v>480</v>
      </c>
      <c r="J25" s="45">
        <v>40683</v>
      </c>
      <c r="K25" s="45"/>
      <c r="L25" s="45"/>
      <c r="M25" s="45">
        <v>42714</v>
      </c>
      <c r="N25" s="10" t="s">
        <v>255</v>
      </c>
      <c r="O25" s="48">
        <v>2</v>
      </c>
      <c r="P25" s="35"/>
      <c r="Q25" s="35"/>
      <c r="R25" s="10" t="s">
        <v>245</v>
      </c>
      <c r="S25" s="44"/>
      <c r="T25" s="42">
        <f>IF(ISBLANK(Table1[[#This Row], [Date de fin de lecture FR]]),"",YEAR(Table1[[#This Row], [Date de fin de lecture FR]]))</f>
      </c>
      <c r="U25" s="10">
        <f>IF(ISBLANK(Table1[[#This Row], [Date de fin de lecture FR]]),"",MONTH(Table1[[#This Row], [Date de fin de lecture FR]]))</f>
      </c>
      <c r="V25" s="41">
        <f>IF(ISBLANK(Table1[[#This Row], [Date de début de lecture]]),"",(IF(ISBLANK(Table1[[#This Row], [Date de fin de lecture FR]]),0,Table1[[#This Row], [Date de fin de lecture FR]]-Table1[[#This Row], [Date de début de lecture]])))</f>
      </c>
      <c r="W25" s="46">
        <f>IF(Table1[[#This Row], [Temps de lecture en jours]]="","",IF(ISBLANK(Table1[[#This Row], [Nbr Pages]]),0,Table1[[#This Row], [Nbr Pages]]/Table1[[#This Row], [Temps de lecture en jours]]))</f>
      </c>
      <c r="X25" s="41">
        <f>IF(ISBLANK(Table1[[#This Row], [Date d''achat]]),"",IF(ISBLANK(Table1[[#This Row], [Date de fin de lecture FR]]),0,Table1[[#This Row], [Date de fin de lecture FR]]-Table1[[#This Row], [Date d''achat]]))</f>
      </c>
      <c r="Y25" s="10">
        <f>IF(ISBLANK(Table1[[#This Row], [Date de sortie]]),"",ROUNDDOWN(YEAR(Table1[[#This Row], [Date de sortie]]),-1))</f>
      </c>
    </row>
    <row x14ac:dyDescent="0.25" r="26" customHeight="1" ht="15" customFormat="1" s="29">
      <c r="A26" s="40" t="s">
        <v>75</v>
      </c>
      <c r="B26" s="40" t="s">
        <v>256</v>
      </c>
      <c r="C26" s="42">
        <v>1</v>
      </c>
      <c r="D26" s="42">
        <v>1</v>
      </c>
      <c r="E26" s="41"/>
      <c r="F26" s="43"/>
      <c r="G26" s="40" t="s">
        <v>227</v>
      </c>
      <c r="H26" s="44"/>
      <c r="I26" s="42">
        <v>480</v>
      </c>
      <c r="J26" s="45">
        <v>42293</v>
      </c>
      <c r="K26" s="45">
        <v>44189</v>
      </c>
      <c r="L26" s="45"/>
      <c r="M26" s="45">
        <v>44204</v>
      </c>
      <c r="N26" s="10" t="s">
        <v>244</v>
      </c>
      <c r="O26" s="46"/>
      <c r="P26" s="35"/>
      <c r="Q26" s="35"/>
      <c r="R26" s="10" t="s">
        <v>245</v>
      </c>
      <c r="S26" s="40" t="s">
        <v>257</v>
      </c>
      <c r="T26" s="42">
        <f>IF(ISBLANK(Table1[[#This Row], [Date de fin de lecture FR]]),"",YEAR(Table1[[#This Row], [Date de fin de lecture FR]]))</f>
      </c>
      <c r="U26" s="10">
        <f>IF(ISBLANK(Table1[[#This Row], [Date de fin de lecture FR]]),"",MONTH(Table1[[#This Row], [Date de fin de lecture FR]]))</f>
      </c>
      <c r="V26" s="41">
        <f>IF(ISBLANK(Table1[[#This Row], [Date de début de lecture]]),"",(IF(ISBLANK(Table1[[#This Row], [Date de fin de lecture FR]]),0,Table1[[#This Row], [Date de fin de lecture FR]]-Table1[[#This Row], [Date de début de lecture]])))</f>
      </c>
      <c r="W26" s="46">
        <f>IF(Table1[[#This Row], [Temps de lecture en jours]]="","",IF(ISBLANK(Table1[[#This Row], [Nbr Pages]]),0,Table1[[#This Row], [Nbr Pages]]/Table1[[#This Row], [Temps de lecture en jours]]))</f>
      </c>
      <c r="X26" s="42">
        <f>IF(ISBLANK(Table1[[#This Row], [Date d''achat]]),"",IF(ISBLANK(Table1[[#This Row], [Date de fin de lecture FR]]),0,Table1[[#This Row], [Date de fin de lecture FR]]-Table1[[#This Row], [Date d''achat]]))</f>
      </c>
      <c r="Y26" s="10">
        <f>IF(ISBLANK(Table1[[#This Row], [Date de sortie]]),"",ROUNDDOWN(YEAR(Table1[[#This Row], [Date de sortie]]),-1))</f>
      </c>
    </row>
    <row x14ac:dyDescent="0.25" r="27" customHeight="1" ht="15" customFormat="1" s="29">
      <c r="A27" s="40" t="s">
        <v>76</v>
      </c>
      <c r="B27" s="40" t="s">
        <v>258</v>
      </c>
      <c r="C27" s="42">
        <v>1</v>
      </c>
      <c r="D27" s="42">
        <v>1</v>
      </c>
      <c r="E27" s="42">
        <v>1</v>
      </c>
      <c r="F27" s="43"/>
      <c r="G27" s="40" t="s">
        <v>246</v>
      </c>
      <c r="H27" s="40" t="s">
        <v>259</v>
      </c>
      <c r="I27" s="42">
        <v>29</v>
      </c>
      <c r="J27" s="45">
        <v>43497</v>
      </c>
      <c r="K27" s="45">
        <v>44119</v>
      </c>
      <c r="L27" s="45"/>
      <c r="M27" s="45">
        <v>44143</v>
      </c>
      <c r="N27" s="10" t="s">
        <v>255</v>
      </c>
      <c r="O27" s="48">
        <v>0</v>
      </c>
      <c r="P27" s="35"/>
      <c r="Q27" s="35"/>
      <c r="R27" s="10" t="s">
        <v>228</v>
      </c>
      <c r="S27" s="40" t="s">
        <v>260</v>
      </c>
      <c r="T27" s="42">
        <f>IF(ISBLANK(Table1[[#This Row], [Date de fin de lecture FR]]),"",YEAR(Table1[[#This Row], [Date de fin de lecture FR]]))</f>
      </c>
      <c r="U27" s="10">
        <f>IF(ISBLANK(Table1[[#This Row], [Date de fin de lecture FR]]),"",MONTH(Table1[[#This Row], [Date de fin de lecture FR]]))</f>
      </c>
      <c r="V27" s="41">
        <f>IF(ISBLANK(Table1[[#This Row], [Date de début de lecture]]),"",(IF(ISBLANK(Table1[[#This Row], [Date de fin de lecture FR]]),0,Table1[[#This Row], [Date de fin de lecture FR]]-Table1[[#This Row], [Date de début de lecture]])))</f>
      </c>
      <c r="W27" s="46">
        <f>IF(Table1[[#This Row], [Temps de lecture en jours]]="","",IF(ISBLANK(Table1[[#This Row], [Nbr Pages]]),0,Table1[[#This Row], [Nbr Pages]]/Table1[[#This Row], [Temps de lecture en jours]]))</f>
      </c>
      <c r="X27" s="42">
        <f>IF(ISBLANK(Table1[[#This Row], [Date d''achat]]),"",IF(ISBLANK(Table1[[#This Row], [Date de fin de lecture FR]]),0,Table1[[#This Row], [Date de fin de lecture FR]]-Table1[[#This Row], [Date d''achat]]))</f>
      </c>
      <c r="Y27" s="10">
        <f>IF(ISBLANK(Table1[[#This Row], [Date de sortie]]),"",ROUNDDOWN(YEAR(Table1[[#This Row], [Date de sortie]]),-1))</f>
      </c>
    </row>
    <row x14ac:dyDescent="0.25" r="28" customHeight="1" ht="15" customFormat="1" s="29">
      <c r="A28" s="40" t="s">
        <v>77</v>
      </c>
      <c r="B28" s="40" t="s">
        <v>258</v>
      </c>
      <c r="C28" s="42">
        <v>1</v>
      </c>
      <c r="D28" s="42">
        <v>1</v>
      </c>
      <c r="E28" s="42">
        <v>1</v>
      </c>
      <c r="F28" s="43"/>
      <c r="G28" s="40" t="s">
        <v>246</v>
      </c>
      <c r="H28" s="40" t="s">
        <v>259</v>
      </c>
      <c r="I28" s="42">
        <v>876</v>
      </c>
      <c r="J28" s="45">
        <v>43264</v>
      </c>
      <c r="K28" s="45">
        <v>44189</v>
      </c>
      <c r="L28" s="45"/>
      <c r="M28" s="45">
        <v>44233</v>
      </c>
      <c r="N28" s="10" t="s">
        <v>255</v>
      </c>
      <c r="O28" s="48">
        <v>1</v>
      </c>
      <c r="P28" s="35"/>
      <c r="Q28" s="35"/>
      <c r="R28" s="10" t="s">
        <v>245</v>
      </c>
      <c r="S28" s="40" t="s">
        <v>261</v>
      </c>
      <c r="T28" s="42">
        <f>IF(ISBLANK(Table1[[#This Row], [Date de fin de lecture FR]]),"",YEAR(Table1[[#This Row], [Date de fin de lecture FR]]))</f>
      </c>
      <c r="U28" s="10">
        <f>IF(ISBLANK(Table1[[#This Row], [Date de fin de lecture FR]]),"",MONTH(Table1[[#This Row], [Date de fin de lecture FR]]))</f>
      </c>
      <c r="V28" s="41">
        <f>IF(ISBLANK(Table1[[#This Row], [Date de début de lecture]]),"",(IF(ISBLANK(Table1[[#This Row], [Date de fin de lecture FR]]),0,Table1[[#This Row], [Date de fin de lecture FR]]-Table1[[#This Row], [Date de début de lecture]])))</f>
      </c>
      <c r="W28" s="46">
        <f>IF(Table1[[#This Row], [Temps de lecture en jours]]="","",IF(ISBLANK(Table1[[#This Row], [Nbr Pages]]),0,Table1[[#This Row], [Nbr Pages]]/Table1[[#This Row], [Temps de lecture en jours]]))</f>
      </c>
      <c r="X28" s="42">
        <f>IF(ISBLANK(Table1[[#This Row], [Date d''achat]]),"",IF(ISBLANK(Table1[[#This Row], [Date de fin de lecture FR]]),0,Table1[[#This Row], [Date de fin de lecture FR]]-Table1[[#This Row], [Date d''achat]]))</f>
      </c>
      <c r="Y28" s="10">
        <f>IF(ISBLANK(Table1[[#This Row], [Date de sortie]]),"",ROUNDDOWN(YEAR(Table1[[#This Row], [Date de sortie]]),-1))</f>
      </c>
    </row>
    <row x14ac:dyDescent="0.25" r="29" customHeight="1" ht="18.75">
      <c r="A29" s="1" t="s">
        <v>78</v>
      </c>
      <c r="B29" s="1" t="s">
        <v>262</v>
      </c>
      <c r="C29" s="4"/>
      <c r="D29" s="9">
        <v>1</v>
      </c>
      <c r="E29" s="9">
        <v>1</v>
      </c>
      <c r="F29" s="2"/>
      <c r="G29" s="1" t="s">
        <v>227</v>
      </c>
      <c r="H29" s="19"/>
      <c r="I29" s="9">
        <v>502</v>
      </c>
      <c r="J29" s="22">
        <v>34335</v>
      </c>
      <c r="K29" s="17"/>
      <c r="L29" s="17"/>
      <c r="M29" s="22">
        <v>40393</v>
      </c>
      <c r="N29" s="11" t="s">
        <v>255</v>
      </c>
      <c r="O29" s="21">
        <v>1</v>
      </c>
      <c r="P29" s="49"/>
      <c r="Q29" s="49"/>
      <c r="R29" s="11" t="s">
        <v>245</v>
      </c>
      <c r="S29" s="1" t="s">
        <v>263</v>
      </c>
      <c r="T29" s="9">
        <f>IF(ISBLANK(Table1[[#This Row], [Date de fin de lecture FR]]),"",YEAR(Table1[[#This Row], [Date de fin de lecture FR]]))</f>
      </c>
      <c r="U29" s="10">
        <f>IF(ISBLANK(Table1[[#This Row], [Date de fin de lecture FR]]),"",MONTH(Table1[[#This Row], [Date de fin de lecture FR]]))</f>
      </c>
      <c r="V29" s="4">
        <f>IF(ISBLANK(Table1[[#This Row], [Date de début de lecture]]),"",(IF(ISBLANK(Table1[[#This Row], [Date de fin de lecture FR]]),0,Table1[[#This Row], [Date de fin de lecture FR]]-Table1[[#This Row], [Date de début de lecture]])))</f>
      </c>
      <c r="W29" s="46">
        <f>IF(Table1[[#This Row], [Temps de lecture en jours]]="","",IF(ISBLANK(Table1[[#This Row], [Nbr Pages]]),0,Table1[[#This Row], [Nbr Pages]]/Table1[[#This Row], [Temps de lecture en jours]]))</f>
      </c>
      <c r="X29" s="4">
        <f>IF(ISBLANK(Table1[[#This Row], [Date d''achat]]),"",IF(ISBLANK(Table1[[#This Row], [Date de fin de lecture FR]]),0,Table1[[#This Row], [Date de fin de lecture FR]]-Table1[[#This Row], [Date d''achat]]))</f>
      </c>
      <c r="Y29" s="10">
        <f>IF(ISBLANK(Table1[[#This Row], [Date de sortie]]),"",ROUNDDOWN(YEAR(Table1[[#This Row], [Date de sortie]]),-1))</f>
      </c>
    </row>
    <row x14ac:dyDescent="0.25" r="30" customHeight="1" ht="18.75">
      <c r="A30" s="1" t="s">
        <v>79</v>
      </c>
      <c r="B30" s="1" t="s">
        <v>26</v>
      </c>
      <c r="C30" s="9">
        <v>1</v>
      </c>
      <c r="D30" s="9">
        <v>1</v>
      </c>
      <c r="E30" s="9">
        <v>1</v>
      </c>
      <c r="F30" s="2"/>
      <c r="G30" s="1" t="s">
        <v>246</v>
      </c>
      <c r="H30" s="19"/>
      <c r="I30" s="9">
        <v>528</v>
      </c>
      <c r="J30" s="22">
        <v>41541</v>
      </c>
      <c r="K30" s="17"/>
      <c r="L30" s="17"/>
      <c r="M30" s="22">
        <v>43515</v>
      </c>
      <c r="N30" s="11" t="s">
        <v>255</v>
      </c>
      <c r="O30" s="21">
        <v>1</v>
      </c>
      <c r="P30" s="49"/>
      <c r="Q30" s="50" t="s">
        <v>264</v>
      </c>
      <c r="R30" s="11" t="s">
        <v>245</v>
      </c>
      <c r="S30" s="1" t="s">
        <v>265</v>
      </c>
      <c r="T30" s="9">
        <f>IF(ISBLANK(Table1[[#This Row], [Date de fin de lecture FR]]),"",YEAR(Table1[[#This Row], [Date de fin de lecture FR]]))</f>
      </c>
      <c r="U30" s="10">
        <f>IF(ISBLANK(Table1[[#This Row], [Date de fin de lecture FR]]),"",MONTH(Table1[[#This Row], [Date de fin de lecture FR]]))</f>
      </c>
      <c r="V30" s="4">
        <f>IF(ISBLANK(Table1[[#This Row], [Date de début de lecture]]),"",(IF(ISBLANK(Table1[[#This Row], [Date de fin de lecture FR]]),0,Table1[[#This Row], [Date de fin de lecture FR]]-Table1[[#This Row], [Date de début de lecture]])))</f>
      </c>
      <c r="W30" s="46">
        <f>IF(Table1[[#This Row], [Temps de lecture en jours]]="","",IF(ISBLANK(Table1[[#This Row], [Nbr Pages]]),0,Table1[[#This Row], [Nbr Pages]]/Table1[[#This Row], [Temps de lecture en jours]]))</f>
      </c>
      <c r="X30" s="4">
        <f>IF(ISBLANK(Table1[[#This Row], [Date d''achat]]),"",IF(ISBLANK(Table1[[#This Row], [Date de fin de lecture FR]]),0,Table1[[#This Row], [Date de fin de lecture FR]]-Table1[[#This Row], [Date d''achat]]))</f>
      </c>
      <c r="Y30" s="10">
        <f>IF(ISBLANK(Table1[[#This Row], [Date de sortie]]),"",ROUNDDOWN(YEAR(Table1[[#This Row], [Date de sortie]]),-1))</f>
      </c>
    </row>
    <row x14ac:dyDescent="0.25" r="31" customHeight="1" ht="18.75">
      <c r="A31" s="1" t="s">
        <v>80</v>
      </c>
      <c r="B31" s="1" t="s">
        <v>26</v>
      </c>
      <c r="C31" s="9">
        <v>1</v>
      </c>
      <c r="D31" s="9">
        <v>1</v>
      </c>
      <c r="E31" s="4"/>
      <c r="F31" s="2"/>
      <c r="G31" s="1" t="s">
        <v>246</v>
      </c>
      <c r="H31" s="19"/>
      <c r="I31" s="9">
        <v>544</v>
      </c>
      <c r="J31" s="22">
        <v>42501</v>
      </c>
      <c r="K31" s="22">
        <v>43678</v>
      </c>
      <c r="L31" s="17"/>
      <c r="M31" s="22">
        <v>43707</v>
      </c>
      <c r="N31" s="11" t="s">
        <v>255</v>
      </c>
      <c r="O31" s="21">
        <v>2</v>
      </c>
      <c r="P31" s="49"/>
      <c r="Q31" s="50" t="s">
        <v>266</v>
      </c>
      <c r="R31" s="11" t="s">
        <v>245</v>
      </c>
      <c r="S31" s="19"/>
      <c r="T31" s="9">
        <f>IF(ISBLANK(Table1[[#This Row], [Date de fin de lecture FR]]),"",YEAR(Table1[[#This Row], [Date de fin de lecture FR]]))</f>
      </c>
      <c r="U31" s="10">
        <f>IF(ISBLANK(Table1[[#This Row], [Date de fin de lecture FR]]),"",MONTH(Table1[[#This Row], [Date de fin de lecture FR]]))</f>
      </c>
      <c r="V31" s="4">
        <f>IF(ISBLANK(Table1[[#This Row], [Date de début de lecture]]),"",(IF(ISBLANK(Table1[[#This Row], [Date de fin de lecture FR]]),0,Table1[[#This Row], [Date de fin de lecture FR]]-Table1[[#This Row], [Date de début de lecture]])))</f>
      </c>
      <c r="W31" s="46">
        <f>IF(Table1[[#This Row], [Temps de lecture en jours]]="","",IF(ISBLANK(Table1[[#This Row], [Nbr Pages]]),0,Table1[[#This Row], [Nbr Pages]]/Table1[[#This Row], [Temps de lecture en jours]]))</f>
      </c>
      <c r="X31" s="9">
        <f>IF(ISBLANK(Table1[[#This Row], [Date d''achat]]),"",IF(ISBLANK(Table1[[#This Row], [Date de fin de lecture FR]]),0,Table1[[#This Row], [Date de fin de lecture FR]]-Table1[[#This Row], [Date d''achat]]))</f>
      </c>
      <c r="Y31" s="10">
        <f>IF(ISBLANK(Table1[[#This Row], [Date de sortie]]),"",ROUNDDOWN(YEAR(Table1[[#This Row], [Date de sortie]]),-1))</f>
      </c>
    </row>
    <row x14ac:dyDescent="0.25" r="32" customHeight="1" ht="18.75">
      <c r="A32" s="1" t="s">
        <v>81</v>
      </c>
      <c r="B32" s="1" t="s">
        <v>26</v>
      </c>
      <c r="C32" s="9">
        <v>1</v>
      </c>
      <c r="D32" s="9">
        <v>1</v>
      </c>
      <c r="E32" s="4"/>
      <c r="F32" s="2"/>
      <c r="G32" s="1" t="s">
        <v>246</v>
      </c>
      <c r="H32" s="19"/>
      <c r="I32" s="9">
        <v>480</v>
      </c>
      <c r="J32" s="22">
        <v>43138</v>
      </c>
      <c r="K32" s="22">
        <v>43678</v>
      </c>
      <c r="L32" s="17"/>
      <c r="M32" s="22">
        <v>43735</v>
      </c>
      <c r="N32" s="11" t="s">
        <v>255</v>
      </c>
      <c r="O32" s="21">
        <v>3</v>
      </c>
      <c r="P32" s="49"/>
      <c r="Q32" s="50" t="s">
        <v>267</v>
      </c>
      <c r="R32" s="11" t="s">
        <v>245</v>
      </c>
      <c r="S32" s="19"/>
      <c r="T32" s="9">
        <f>IF(ISBLANK(Table1[[#This Row], [Date de fin de lecture FR]]),"",YEAR(Table1[[#This Row], [Date de fin de lecture FR]]))</f>
      </c>
      <c r="U32" s="10">
        <f>IF(ISBLANK(Table1[[#This Row], [Date de fin de lecture FR]]),"",MONTH(Table1[[#This Row], [Date de fin de lecture FR]]))</f>
      </c>
      <c r="V32" s="4">
        <f>IF(ISBLANK(Table1[[#This Row], [Date de début de lecture]]),"",(IF(ISBLANK(Table1[[#This Row], [Date de fin de lecture FR]]),0,Table1[[#This Row], [Date de fin de lecture FR]]-Table1[[#This Row], [Date de début de lecture]])))</f>
      </c>
      <c r="W32" s="46">
        <f>IF(Table1[[#This Row], [Temps de lecture en jours]]="","",IF(ISBLANK(Table1[[#This Row], [Nbr Pages]]),0,Table1[[#This Row], [Nbr Pages]]/Table1[[#This Row], [Temps de lecture en jours]]))</f>
      </c>
      <c r="X32" s="9">
        <f>IF(ISBLANK(Table1[[#This Row], [Date d''achat]]),"",IF(ISBLANK(Table1[[#This Row], [Date de fin de lecture FR]]),0,Table1[[#This Row], [Date de fin de lecture FR]]-Table1[[#This Row], [Date d''achat]]))</f>
      </c>
      <c r="Y32" s="10">
        <f>IF(ISBLANK(Table1[[#This Row], [Date de sortie]]),"",ROUNDDOWN(YEAR(Table1[[#This Row], [Date de sortie]]),-1))</f>
      </c>
    </row>
    <row x14ac:dyDescent="0.25" r="33" customHeight="1" ht="18.75">
      <c r="A33" s="1" t="s">
        <v>47</v>
      </c>
      <c r="B33" s="1" t="s">
        <v>26</v>
      </c>
      <c r="C33" s="9">
        <v>1</v>
      </c>
      <c r="D33" s="9">
        <v>1</v>
      </c>
      <c r="E33" s="9">
        <v>1</v>
      </c>
      <c r="F33" s="2"/>
      <c r="G33" s="1" t="s">
        <v>246</v>
      </c>
      <c r="H33" s="19"/>
      <c r="I33" s="9">
        <v>320</v>
      </c>
      <c r="J33" s="22">
        <v>44811</v>
      </c>
      <c r="K33" s="17"/>
      <c r="L33" s="22">
        <v>45019</v>
      </c>
      <c r="M33" s="22">
        <v>45023</v>
      </c>
      <c r="N33" s="19"/>
      <c r="O33" s="22"/>
      <c r="P33" s="49"/>
      <c r="Q33" s="49"/>
      <c r="R33" s="22"/>
      <c r="S33" s="1" t="s">
        <v>268</v>
      </c>
      <c r="T33" s="9">
        <f>IF(ISBLANK(Table1[[#This Row], [Date de fin de lecture FR]]),"",YEAR(Table1[[#This Row], [Date de fin de lecture FR]]))</f>
      </c>
      <c r="U33" s="10">
        <f>IF(ISBLANK(Table1[[#This Row], [Date de fin de lecture FR]]),"",MONTH(Table1[[#This Row], [Date de fin de lecture FR]]))</f>
      </c>
      <c r="V33" s="9">
        <f>IF(ISBLANK(Table1[[#This Row], [Date de début de lecture]]),"",(IF(ISBLANK(Table1[[#This Row], [Date de fin de lecture FR]]),0,Table1[[#This Row], [Date de fin de lecture FR]]-Table1[[#This Row], [Date de début de lecture]])))</f>
      </c>
      <c r="W33" s="46">
        <f>IF(Table1[[#This Row], [Temps de lecture en jours]]="","",IF(ISBLANK(Table1[[#This Row], [Nbr Pages]]),0,Table1[[#This Row], [Nbr Pages]]/Table1[[#This Row], [Temps de lecture en jours]]))</f>
      </c>
      <c r="X33" s="4">
        <f>IF(ISBLANK(Table1[[#This Row], [Date d''achat]]),"",IF(ISBLANK(Table1[[#This Row], [Date de fin de lecture FR]]),0,Table1[[#This Row], [Date de fin de lecture FR]]-Table1[[#This Row], [Date d''achat]]))</f>
      </c>
      <c r="Y33" s="10">
        <f>IF(ISBLANK(Table1[[#This Row], [Date de sortie]]),"",ROUNDDOWN(YEAR(Table1[[#This Row], [Date de sortie]]),-1))</f>
      </c>
    </row>
    <row x14ac:dyDescent="0.25" r="34" customHeight="1" ht="18.75">
      <c r="A34" s="1" t="s">
        <v>82</v>
      </c>
      <c r="B34" s="1" t="s">
        <v>26</v>
      </c>
      <c r="C34" s="9">
        <v>1</v>
      </c>
      <c r="D34" s="9">
        <v>1</v>
      </c>
      <c r="E34" s="4"/>
      <c r="F34" s="2"/>
      <c r="G34" s="1" t="s">
        <v>246</v>
      </c>
      <c r="H34" s="19"/>
      <c r="I34" s="9">
        <v>285</v>
      </c>
      <c r="J34" s="22">
        <v>38463</v>
      </c>
      <c r="K34" s="17"/>
      <c r="L34" s="17"/>
      <c r="M34" s="22">
        <v>42370</v>
      </c>
      <c r="N34" s="11" t="s">
        <v>255</v>
      </c>
      <c r="O34" s="21">
        <v>1</v>
      </c>
      <c r="P34" s="49"/>
      <c r="Q34" s="49"/>
      <c r="R34" s="11" t="s">
        <v>245</v>
      </c>
      <c r="S34" s="1" t="s">
        <v>269</v>
      </c>
      <c r="T34" s="9">
        <f>IF(ISBLANK(Table1[[#This Row], [Date de fin de lecture FR]]),"",YEAR(Table1[[#This Row], [Date de fin de lecture FR]]))</f>
      </c>
      <c r="U34" s="10">
        <f>IF(ISBLANK(Table1[[#This Row], [Date de fin de lecture FR]]),"",MONTH(Table1[[#This Row], [Date de fin de lecture FR]]))</f>
      </c>
      <c r="V34" s="4">
        <f>IF(ISBLANK(Table1[[#This Row], [Date de début de lecture]]),"",(IF(ISBLANK(Table1[[#This Row], [Date de fin de lecture FR]]),0,Table1[[#This Row], [Date de fin de lecture FR]]-Table1[[#This Row], [Date de début de lecture]])))</f>
      </c>
      <c r="W34" s="46">
        <f>IF(Table1[[#This Row], [Temps de lecture en jours]]="","",IF(ISBLANK(Table1[[#This Row], [Nbr Pages]]),0,Table1[[#This Row], [Nbr Pages]]/Table1[[#This Row], [Temps de lecture en jours]]))</f>
      </c>
      <c r="X34" s="4">
        <f>IF(ISBLANK(Table1[[#This Row], [Date d''achat]]),"",IF(ISBLANK(Table1[[#This Row], [Date de fin de lecture FR]]),0,Table1[[#This Row], [Date de fin de lecture FR]]-Table1[[#This Row], [Date d''achat]]))</f>
      </c>
      <c r="Y34" s="10">
        <f>IF(ISBLANK(Table1[[#This Row], [Date de sortie]]),"",ROUNDDOWN(YEAR(Table1[[#This Row], [Date de sortie]]),-1))</f>
      </c>
    </row>
    <row x14ac:dyDescent="0.25" r="35" customHeight="1" ht="18.75">
      <c r="A35" s="1" t="s">
        <v>34</v>
      </c>
      <c r="B35" s="1" t="s">
        <v>26</v>
      </c>
      <c r="C35" s="4"/>
      <c r="D35" s="9">
        <v>1</v>
      </c>
      <c r="E35" s="9">
        <v>1</v>
      </c>
      <c r="F35" s="2"/>
      <c r="G35" s="1" t="s">
        <v>246</v>
      </c>
      <c r="H35" s="19"/>
      <c r="I35" s="9">
        <v>616</v>
      </c>
      <c r="J35" s="22">
        <v>38915</v>
      </c>
      <c r="K35" s="17"/>
      <c r="L35" s="17"/>
      <c r="M35" s="22">
        <v>40179</v>
      </c>
      <c r="N35" s="11" t="s">
        <v>255</v>
      </c>
      <c r="O35" s="21">
        <v>1</v>
      </c>
      <c r="P35" s="49"/>
      <c r="Q35" s="50" t="s">
        <v>270</v>
      </c>
      <c r="R35" s="11" t="s">
        <v>245</v>
      </c>
      <c r="S35" s="19"/>
      <c r="T35" s="9">
        <f>IF(ISBLANK(Table1[[#This Row], [Date de fin de lecture FR]]),"",YEAR(Table1[[#This Row], [Date de fin de lecture FR]]))</f>
      </c>
      <c r="U35" s="10">
        <f>IF(ISBLANK(Table1[[#This Row], [Date de fin de lecture FR]]),"",MONTH(Table1[[#This Row], [Date de fin de lecture FR]]))</f>
      </c>
      <c r="V35" s="4">
        <f>IF(ISBLANK(Table1[[#This Row], [Date de début de lecture]]),"",(IF(ISBLANK(Table1[[#This Row], [Date de fin de lecture FR]]),0,Table1[[#This Row], [Date de fin de lecture FR]]-Table1[[#This Row], [Date de début de lecture]])))</f>
      </c>
      <c r="W35" s="46">
        <f>IF(Table1[[#This Row], [Temps de lecture en jours]]="","",IF(ISBLANK(Table1[[#This Row], [Nbr Pages]]),0,Table1[[#This Row], [Nbr Pages]]/Table1[[#This Row], [Temps de lecture en jours]]))</f>
      </c>
      <c r="X35" s="4">
        <f>IF(ISBLANK(Table1[[#This Row], [Date d''achat]]),"",IF(ISBLANK(Table1[[#This Row], [Date de fin de lecture FR]]),0,Table1[[#This Row], [Date de fin de lecture FR]]-Table1[[#This Row], [Date d''achat]]))</f>
      </c>
      <c r="Y35" s="10">
        <f>IF(ISBLANK(Table1[[#This Row], [Date de sortie]]),"",ROUNDDOWN(YEAR(Table1[[#This Row], [Date de sortie]]),-1))</f>
      </c>
    </row>
    <row x14ac:dyDescent="0.25" r="36" customHeight="1" ht="18.75">
      <c r="A36" s="1" t="s">
        <v>33</v>
      </c>
      <c r="B36" s="1" t="s">
        <v>26</v>
      </c>
      <c r="C36" s="4"/>
      <c r="D36" s="9">
        <v>1</v>
      </c>
      <c r="E36" s="9">
        <v>1</v>
      </c>
      <c r="F36" s="2"/>
      <c r="G36" s="1" t="s">
        <v>246</v>
      </c>
      <c r="H36" s="19"/>
      <c r="I36" s="9">
        <v>1080</v>
      </c>
      <c r="J36" s="22">
        <v>38915</v>
      </c>
      <c r="K36" s="17"/>
      <c r="L36" s="17"/>
      <c r="M36" s="22">
        <v>40179</v>
      </c>
      <c r="N36" s="11" t="s">
        <v>255</v>
      </c>
      <c r="O36" s="21">
        <v>2</v>
      </c>
      <c r="P36" s="49"/>
      <c r="Q36" s="50" t="s">
        <v>271</v>
      </c>
      <c r="R36" s="11" t="s">
        <v>245</v>
      </c>
      <c r="S36" s="19"/>
      <c r="T36" s="9">
        <f>IF(ISBLANK(Table1[[#This Row], [Date de fin de lecture FR]]),"",YEAR(Table1[[#This Row], [Date de fin de lecture FR]]))</f>
      </c>
      <c r="U36" s="10">
        <f>IF(ISBLANK(Table1[[#This Row], [Date de fin de lecture FR]]),"",MONTH(Table1[[#This Row], [Date de fin de lecture FR]]))</f>
      </c>
      <c r="V36" s="4">
        <f>IF(ISBLANK(Table1[[#This Row], [Date de début de lecture]]),"",(IF(ISBLANK(Table1[[#This Row], [Date de fin de lecture FR]]),0,Table1[[#This Row], [Date de fin de lecture FR]]-Table1[[#This Row], [Date de début de lecture]])))</f>
      </c>
      <c r="W36" s="46">
        <f>IF(Table1[[#This Row], [Temps de lecture en jours]]="","",IF(ISBLANK(Table1[[#This Row], [Nbr Pages]]),0,Table1[[#This Row], [Nbr Pages]]/Table1[[#This Row], [Temps de lecture en jours]]))</f>
      </c>
      <c r="X36" s="4">
        <f>IF(ISBLANK(Table1[[#This Row], [Date d''achat]]),"",IF(ISBLANK(Table1[[#This Row], [Date de fin de lecture FR]]),0,Table1[[#This Row], [Date de fin de lecture FR]]-Table1[[#This Row], [Date d''achat]]))</f>
      </c>
      <c r="Y36" s="10">
        <f>IF(ISBLANK(Table1[[#This Row], [Date de sortie]]),"",ROUNDDOWN(YEAR(Table1[[#This Row], [Date de sortie]]),-1))</f>
      </c>
    </row>
    <row x14ac:dyDescent="0.25" r="37" customHeight="1" ht="18.75">
      <c r="A37" s="1" t="s">
        <v>32</v>
      </c>
      <c r="B37" s="1" t="s">
        <v>26</v>
      </c>
      <c r="C37" s="9">
        <v>1</v>
      </c>
      <c r="D37" s="9">
        <v>1</v>
      </c>
      <c r="E37" s="9">
        <v>1</v>
      </c>
      <c r="F37" s="2"/>
      <c r="G37" s="1" t="s">
        <v>246</v>
      </c>
      <c r="H37" s="19"/>
      <c r="I37" s="9">
        <v>1032</v>
      </c>
      <c r="J37" s="22">
        <v>38915</v>
      </c>
      <c r="K37" s="17"/>
      <c r="L37" s="17"/>
      <c r="M37" s="22">
        <v>40179</v>
      </c>
      <c r="N37" s="11" t="s">
        <v>255</v>
      </c>
      <c r="O37" s="21">
        <v>3</v>
      </c>
      <c r="P37" s="49"/>
      <c r="Q37" s="50" t="s">
        <v>272</v>
      </c>
      <c r="R37" s="11" t="s">
        <v>245</v>
      </c>
      <c r="S37" s="19"/>
      <c r="T37" s="9">
        <f>IF(ISBLANK(Table1[[#This Row], [Date de fin de lecture FR]]),"",YEAR(Table1[[#This Row], [Date de fin de lecture FR]]))</f>
      </c>
      <c r="U37" s="10">
        <f>IF(ISBLANK(Table1[[#This Row], [Date de fin de lecture FR]]),"",MONTH(Table1[[#This Row], [Date de fin de lecture FR]]))</f>
      </c>
      <c r="V37" s="4">
        <f>IF(ISBLANK(Table1[[#This Row], [Date de début de lecture]]),"",(IF(ISBLANK(Table1[[#This Row], [Date de fin de lecture FR]]),0,Table1[[#This Row], [Date de fin de lecture FR]]-Table1[[#This Row], [Date de début de lecture]])))</f>
      </c>
      <c r="W37" s="46">
        <f>IF(Table1[[#This Row], [Temps de lecture en jours]]="","",IF(ISBLANK(Table1[[#This Row], [Nbr Pages]]),0,Table1[[#This Row], [Nbr Pages]]/Table1[[#This Row], [Temps de lecture en jours]]))</f>
      </c>
      <c r="X37" s="4">
        <f>IF(ISBLANK(Table1[[#This Row], [Date d''achat]]),"",IF(ISBLANK(Table1[[#This Row], [Date de fin de lecture FR]]),0,Table1[[#This Row], [Date de fin de lecture FR]]-Table1[[#This Row], [Date d''achat]]))</f>
      </c>
      <c r="Y37" s="10">
        <f>IF(ISBLANK(Table1[[#This Row], [Date de sortie]]),"",ROUNDDOWN(YEAR(Table1[[#This Row], [Date de sortie]]),-1))</f>
      </c>
    </row>
    <row x14ac:dyDescent="0.25" r="38" customHeight="1" ht="18.75">
      <c r="A38" s="1" t="s">
        <v>50</v>
      </c>
      <c r="B38" s="1" t="s">
        <v>26</v>
      </c>
      <c r="C38" s="9">
        <v>1</v>
      </c>
      <c r="D38" s="9">
        <v>1</v>
      </c>
      <c r="E38" s="4"/>
      <c r="F38" s="2"/>
      <c r="G38" s="1" t="s">
        <v>246</v>
      </c>
      <c r="H38" s="19"/>
      <c r="I38" s="9">
        <v>456</v>
      </c>
      <c r="J38" s="22">
        <v>40855</v>
      </c>
      <c r="K38" s="17"/>
      <c r="L38" s="22">
        <v>44962</v>
      </c>
      <c r="M38" s="22">
        <v>44968</v>
      </c>
      <c r="N38" s="11" t="s">
        <v>255</v>
      </c>
      <c r="O38" s="21">
        <v>4</v>
      </c>
      <c r="P38" s="49"/>
      <c r="Q38" s="50" t="s">
        <v>273</v>
      </c>
      <c r="R38" s="11" t="s">
        <v>245</v>
      </c>
      <c r="S38" s="1" t="s">
        <v>274</v>
      </c>
      <c r="T38" s="9">
        <f>IF(ISBLANK(Table1[[#This Row], [Date de fin de lecture FR]]),"",YEAR(Table1[[#This Row], [Date de fin de lecture FR]]))</f>
      </c>
      <c r="U38" s="10">
        <f>IF(ISBLANK(Table1[[#This Row], [Date de fin de lecture FR]]),"",MONTH(Table1[[#This Row], [Date de fin de lecture FR]]))</f>
      </c>
      <c r="V38" s="9">
        <f>IF(ISBLANK(Table1[[#This Row], [Date de début de lecture]]),"",(IF(ISBLANK(Table1[[#This Row], [Date de fin de lecture FR]]),0,Table1[[#This Row], [Date de fin de lecture FR]]-Table1[[#This Row], [Date de début de lecture]])))</f>
      </c>
      <c r="W38" s="46">
        <f>IF(Table1[[#This Row], [Temps de lecture en jours]]="","",IF(ISBLANK(Table1[[#This Row], [Nbr Pages]]),0,Table1[[#This Row], [Nbr Pages]]/Table1[[#This Row], [Temps de lecture en jours]]))</f>
      </c>
      <c r="X38" s="4">
        <f>IF(ISBLANK(Table1[[#This Row], [Date d''achat]]),"",IF(ISBLANK(Table1[[#This Row], [Date de fin de lecture FR]]),0,Table1[[#This Row], [Date de fin de lecture FR]]-Table1[[#This Row], [Date d''achat]]))</f>
      </c>
      <c r="Y38" s="10">
        <f>IF(ISBLANK(Table1[[#This Row], [Date de sortie]]),"",ROUNDDOWN(YEAR(Table1[[#This Row], [Date de sortie]]),-1))</f>
      </c>
    </row>
    <row x14ac:dyDescent="0.25" r="39" customHeight="1" ht="18.75">
      <c r="A39" s="1" t="s">
        <v>49</v>
      </c>
      <c r="B39" s="1" t="s">
        <v>26</v>
      </c>
      <c r="C39" s="9">
        <v>1</v>
      </c>
      <c r="D39" s="9">
        <v>1</v>
      </c>
      <c r="E39" s="4"/>
      <c r="F39" s="2"/>
      <c r="G39" s="1" t="s">
        <v>246</v>
      </c>
      <c r="H39" s="19"/>
      <c r="I39" s="9">
        <v>576</v>
      </c>
      <c r="J39" s="17"/>
      <c r="K39" s="17"/>
      <c r="L39" s="22">
        <v>44968</v>
      </c>
      <c r="M39" s="22">
        <v>44983</v>
      </c>
      <c r="N39" s="11" t="s">
        <v>255</v>
      </c>
      <c r="O39" s="21">
        <v>1</v>
      </c>
      <c r="P39" s="49"/>
      <c r="Q39" s="50" t="s">
        <v>275</v>
      </c>
      <c r="R39" s="11" t="s">
        <v>245</v>
      </c>
      <c r="S39" s="1" t="s">
        <v>276</v>
      </c>
      <c r="T39" s="9">
        <f>IF(ISBLANK(Table1[[#This Row], [Date de fin de lecture FR]]),"",YEAR(Table1[[#This Row], [Date de fin de lecture FR]]))</f>
      </c>
      <c r="U39" s="10">
        <f>IF(ISBLANK(Table1[[#This Row], [Date de fin de lecture FR]]),"",MONTH(Table1[[#This Row], [Date de fin de lecture FR]]))</f>
      </c>
      <c r="V39" s="9">
        <f>IF(ISBLANK(Table1[[#This Row], [Date de début de lecture]]),"",(IF(ISBLANK(Table1[[#This Row], [Date de fin de lecture FR]]),0,Table1[[#This Row], [Date de fin de lecture FR]]-Table1[[#This Row], [Date de début de lecture]])))</f>
      </c>
      <c r="W39" s="46">
        <f>IF(Table1[[#This Row], [Temps de lecture en jours]]="","",IF(ISBLANK(Table1[[#This Row], [Nbr Pages]]),0,Table1[[#This Row], [Nbr Pages]]/Table1[[#This Row], [Temps de lecture en jours]]))</f>
      </c>
      <c r="X39" s="4">
        <f>IF(ISBLANK(Table1[[#This Row], [Date d''achat]]),"",IF(ISBLANK(Table1[[#This Row], [Date de fin de lecture FR]]),0,Table1[[#This Row], [Date de fin de lecture FR]]-Table1[[#This Row], [Date d''achat]]))</f>
      </c>
      <c r="Y39" s="10">
        <f>IF(ISBLANK(Table1[[#This Row], [Date de sortie]]),"",ROUNDDOWN(YEAR(Table1[[#This Row], [Date de sortie]]),-1))</f>
      </c>
    </row>
    <row x14ac:dyDescent="0.25" r="40" customHeight="1" ht="18.75">
      <c r="A40" s="1" t="s">
        <v>277</v>
      </c>
      <c r="B40" s="1" t="s">
        <v>26</v>
      </c>
      <c r="C40" s="9">
        <v>1</v>
      </c>
      <c r="D40" s="4"/>
      <c r="E40" s="4"/>
      <c r="F40" s="2"/>
      <c r="G40" s="1" t="s">
        <v>246</v>
      </c>
      <c r="H40" s="19"/>
      <c r="I40" s="9">
        <v>800</v>
      </c>
      <c r="J40" s="17"/>
      <c r="K40" s="22">
        <v>43792</v>
      </c>
      <c r="L40" s="17"/>
      <c r="M40" s="17"/>
      <c r="N40" s="19"/>
      <c r="O40" s="22"/>
      <c r="P40" s="49"/>
      <c r="Q40" s="50" t="s">
        <v>278</v>
      </c>
      <c r="R40" s="22"/>
      <c r="S40" s="1" t="s">
        <v>279</v>
      </c>
      <c r="T40" s="4">
        <f>IF(ISBLANK(Table1[[#This Row], [Date de fin de lecture FR]]),"",YEAR(Table1[[#This Row], [Date de fin de lecture FR]]))</f>
      </c>
      <c r="U40" s="10">
        <f>IF(ISBLANK(Table1[[#This Row], [Date de fin de lecture FR]]),"",MONTH(Table1[[#This Row], [Date de fin de lecture FR]]))</f>
      </c>
      <c r="V40" s="4">
        <f>IF(ISBLANK(Table1[[#This Row], [Date de début de lecture]]),"",(IF(ISBLANK(Table1[[#This Row], [Date de fin de lecture FR]]),0,Table1[[#This Row], [Date de fin de lecture FR]]-Table1[[#This Row], [Date de début de lecture]])))</f>
      </c>
      <c r="W40" s="46">
        <f>IF(Table1[[#This Row], [Temps de lecture en jours]]="","",IF(ISBLANK(Table1[[#This Row], [Nbr Pages]]),0,Table1[[#This Row], [Nbr Pages]]/Table1[[#This Row], [Temps de lecture en jours]]))</f>
      </c>
      <c r="X40" s="9">
        <f>IF(ISBLANK(Table1[[#This Row], [Date d''achat]]),"",IF(ISBLANK(Table1[[#This Row], [Date de fin de lecture FR]]),0,Table1[[#This Row], [Date de fin de lecture FR]]-Table1[[#This Row], [Date d''achat]]))</f>
      </c>
      <c r="Y40" s="10">
        <f>IF(ISBLANK(Table1[[#This Row], [Date de sortie]]),"",ROUNDDOWN(YEAR(Table1[[#This Row], [Date de sortie]]),-1))</f>
      </c>
    </row>
    <row x14ac:dyDescent="0.25" r="41" customHeight="1" ht="18.75">
      <c r="A41" s="1" t="s">
        <v>280</v>
      </c>
      <c r="B41" s="1" t="s">
        <v>26</v>
      </c>
      <c r="C41" s="4"/>
      <c r="D41" s="4"/>
      <c r="E41" s="4"/>
      <c r="F41" s="2"/>
      <c r="G41" s="1" t="s">
        <v>246</v>
      </c>
      <c r="H41" s="19"/>
      <c r="I41" s="4"/>
      <c r="J41" s="17"/>
      <c r="K41" s="17"/>
      <c r="L41" s="17"/>
      <c r="M41" s="17"/>
      <c r="N41" s="19"/>
      <c r="O41" s="22"/>
      <c r="P41" s="49"/>
      <c r="Q41" s="50" t="s">
        <v>281</v>
      </c>
      <c r="R41" s="19"/>
      <c r="S41" s="1" t="s">
        <v>282</v>
      </c>
      <c r="T41" s="4">
        <f>IF(ISBLANK(Table1[[#This Row], [Date de fin de lecture FR]]),"",YEAR(Table1[[#This Row], [Date de fin de lecture FR]]))</f>
      </c>
      <c r="U41" s="10">
        <f>IF(ISBLANK(Table1[[#This Row], [Date de fin de lecture FR]]),"",MONTH(Table1[[#This Row], [Date de fin de lecture FR]]))</f>
      </c>
      <c r="V41" s="4">
        <f>IF(ISBLANK(Table1[[#This Row], [Date de début de lecture]]),"",(IF(ISBLANK(Table1[[#This Row], [Date de fin de lecture FR]]),0,Table1[[#This Row], [Date de fin de lecture FR]]-Table1[[#This Row], [Date de début de lecture]])))</f>
      </c>
      <c r="W41" s="46">
        <f>IF(Table1[[#This Row], [Temps de lecture en jours]]="","",IF(ISBLANK(Table1[[#This Row], [Nbr Pages]]),0,Table1[[#This Row], [Nbr Pages]]/Table1[[#This Row], [Temps de lecture en jours]]))</f>
      </c>
      <c r="X41" s="4">
        <f>IF(ISBLANK(Table1[[#This Row], [Date d''achat]]),"",IF(ISBLANK(Table1[[#This Row], [Date de fin de lecture FR]]),0,Table1[[#This Row], [Date de fin de lecture FR]]-Table1[[#This Row], [Date d''achat]]))</f>
      </c>
      <c r="Y41" s="10">
        <f>IF(ISBLANK(Table1[[#This Row], [Date de sortie]]),"",ROUNDDOWN(YEAR(Table1[[#This Row], [Date de sortie]]),-1))</f>
      </c>
    </row>
    <row x14ac:dyDescent="0.25" r="42" customHeight="1" ht="18.75">
      <c r="A42" s="1" t="s">
        <v>83</v>
      </c>
      <c r="B42" s="1" t="s">
        <v>26</v>
      </c>
      <c r="C42" s="9">
        <v>1</v>
      </c>
      <c r="D42" s="9">
        <v>1</v>
      </c>
      <c r="E42" s="9">
        <v>1</v>
      </c>
      <c r="F42" s="2"/>
      <c r="G42" s="1" t="s">
        <v>246</v>
      </c>
      <c r="H42" s="19"/>
      <c r="I42" s="9">
        <v>216</v>
      </c>
      <c r="J42" s="22">
        <v>37539</v>
      </c>
      <c r="K42" s="17"/>
      <c r="L42" s="17"/>
      <c r="M42" s="22">
        <v>43405</v>
      </c>
      <c r="N42" s="11" t="s">
        <v>217</v>
      </c>
      <c r="O42" s="21">
        <v>0</v>
      </c>
      <c r="P42" s="49"/>
      <c r="Q42" s="49"/>
      <c r="R42" s="11" t="s">
        <v>245</v>
      </c>
      <c r="S42" s="19"/>
      <c r="T42" s="9">
        <f>IF(ISBLANK(Table1[[#This Row], [Date de fin de lecture FR]]),"",YEAR(Table1[[#This Row], [Date de fin de lecture FR]]))</f>
      </c>
      <c r="U42" s="10">
        <f>IF(ISBLANK(Table1[[#This Row], [Date de fin de lecture FR]]),"",MONTH(Table1[[#This Row], [Date de fin de lecture FR]]))</f>
      </c>
      <c r="V42" s="4">
        <f>IF(ISBLANK(Table1[[#This Row], [Date de début de lecture]]),"",(IF(ISBLANK(Table1[[#This Row], [Date de fin de lecture FR]]),0,Table1[[#This Row], [Date de fin de lecture FR]]-Table1[[#This Row], [Date de début de lecture]])))</f>
      </c>
      <c r="W42" s="46">
        <f>IF(Table1[[#This Row], [Temps de lecture en jours]]="","",IF(ISBLANK(Table1[[#This Row], [Nbr Pages]]),0,Table1[[#This Row], [Nbr Pages]]/Table1[[#This Row], [Temps de lecture en jours]]))</f>
      </c>
      <c r="X42" s="4">
        <f>IF(ISBLANK(Table1[[#This Row], [Date d''achat]]),"",IF(ISBLANK(Table1[[#This Row], [Date de fin de lecture FR]]),0,Table1[[#This Row], [Date de fin de lecture FR]]-Table1[[#This Row], [Date d''achat]]))</f>
      </c>
      <c r="Y42" s="10">
        <f>IF(ISBLANK(Table1[[#This Row], [Date de sortie]]),"",ROUNDDOWN(YEAR(Table1[[#This Row], [Date de sortie]]),-1))</f>
      </c>
    </row>
    <row x14ac:dyDescent="0.25" r="43" customHeight="1" ht="18.75">
      <c r="A43" s="1" t="s">
        <v>61</v>
      </c>
      <c r="B43" s="1" t="s">
        <v>26</v>
      </c>
      <c r="C43" s="9">
        <v>1</v>
      </c>
      <c r="D43" s="9">
        <v>1</v>
      </c>
      <c r="E43" s="9">
        <v>1</v>
      </c>
      <c r="F43" s="2"/>
      <c r="G43" s="1" t="s">
        <v>227</v>
      </c>
      <c r="H43" s="19"/>
      <c r="I43" s="9">
        <v>512</v>
      </c>
      <c r="J43" s="22">
        <v>44111</v>
      </c>
      <c r="K43" s="22">
        <v>44713</v>
      </c>
      <c r="L43" s="22">
        <v>44740</v>
      </c>
      <c r="M43" s="22">
        <v>44742</v>
      </c>
      <c r="N43" s="11" t="s">
        <v>217</v>
      </c>
      <c r="O43" s="21">
        <v>0</v>
      </c>
      <c r="P43" s="49"/>
      <c r="Q43" s="49"/>
      <c r="R43" s="11" t="s">
        <v>245</v>
      </c>
      <c r="S43" s="19"/>
      <c r="T43" s="9">
        <f>IF(ISBLANK(Table1[[#This Row], [Date de fin de lecture FR]]),"",YEAR(Table1[[#This Row], [Date de fin de lecture FR]]))</f>
      </c>
      <c r="U43" s="10">
        <f>IF(ISBLANK(Table1[[#This Row], [Date de fin de lecture FR]]),"",MONTH(Table1[[#This Row], [Date de fin de lecture FR]]))</f>
      </c>
      <c r="V43" s="9">
        <f>IF(ISBLANK(Table1[[#This Row], [Date de début de lecture]]),"",(IF(ISBLANK(Table1[[#This Row], [Date de fin de lecture FR]]),0,Table1[[#This Row], [Date de fin de lecture FR]]-Table1[[#This Row], [Date de début de lecture]])))</f>
      </c>
      <c r="W43" s="46">
        <f>IF(Table1[[#This Row], [Temps de lecture en jours]]="","",IF(ISBLANK(Table1[[#This Row], [Nbr Pages]]),0,Table1[[#This Row], [Nbr Pages]]/Table1[[#This Row], [Temps de lecture en jours]]))</f>
      </c>
      <c r="X43" s="9">
        <f>IF(ISBLANK(Table1[[#This Row], [Date d''achat]]),"",IF(ISBLANK(Table1[[#This Row], [Date de fin de lecture FR]]),0,Table1[[#This Row], [Date de fin de lecture FR]]-Table1[[#This Row], [Date d''achat]]))</f>
      </c>
      <c r="Y43" s="10">
        <f>IF(ISBLANK(Table1[[#This Row], [Date de sortie]]),"",ROUNDDOWN(YEAR(Table1[[#This Row], [Date de sortie]]),-1))</f>
      </c>
    </row>
    <row x14ac:dyDescent="0.25" r="44" customHeight="1" ht="18.75">
      <c r="A44" s="1" t="s">
        <v>84</v>
      </c>
      <c r="B44" s="1" t="s">
        <v>26</v>
      </c>
      <c r="C44" s="9">
        <v>1</v>
      </c>
      <c r="D44" s="9">
        <v>1</v>
      </c>
      <c r="E44" s="9">
        <v>1</v>
      </c>
      <c r="F44" s="2"/>
      <c r="G44" s="1" t="s">
        <v>246</v>
      </c>
      <c r="H44" s="1" t="s">
        <v>283</v>
      </c>
      <c r="I44" s="9">
        <v>768</v>
      </c>
      <c r="J44" s="22">
        <v>42144</v>
      </c>
      <c r="K44" s="17"/>
      <c r="L44" s="17"/>
      <c r="M44" s="22">
        <v>43401</v>
      </c>
      <c r="N44" s="11" t="s">
        <v>255</v>
      </c>
      <c r="O44" s="21">
        <v>1</v>
      </c>
      <c r="P44" s="49"/>
      <c r="Q44" s="49"/>
      <c r="R44" s="11" t="s">
        <v>245</v>
      </c>
      <c r="S44" s="19"/>
      <c r="T44" s="9">
        <f>IF(ISBLANK(Table1[[#This Row], [Date de fin de lecture FR]]),"",YEAR(Table1[[#This Row], [Date de fin de lecture FR]]))</f>
      </c>
      <c r="U44" s="10">
        <f>IF(ISBLANK(Table1[[#This Row], [Date de fin de lecture FR]]),"",MONTH(Table1[[#This Row], [Date de fin de lecture FR]]))</f>
      </c>
      <c r="V44" s="4">
        <f>IF(ISBLANK(Table1[[#This Row], [Date de début de lecture]]),"",(IF(ISBLANK(Table1[[#This Row], [Date de fin de lecture FR]]),0,Table1[[#This Row], [Date de fin de lecture FR]]-Table1[[#This Row], [Date de début de lecture]])))</f>
      </c>
      <c r="W44" s="46">
        <f>IF(Table1[[#This Row], [Temps de lecture en jours]]="","",IF(ISBLANK(Table1[[#This Row], [Nbr Pages]]),0,Table1[[#This Row], [Nbr Pages]]/Table1[[#This Row], [Temps de lecture en jours]]))</f>
      </c>
      <c r="X44" s="4">
        <f>IF(ISBLANK(Table1[[#This Row], [Date d''achat]]),"",IF(ISBLANK(Table1[[#This Row], [Date de fin de lecture FR]]),0,Table1[[#This Row], [Date de fin de lecture FR]]-Table1[[#This Row], [Date d''achat]]))</f>
      </c>
      <c r="Y44" s="10">
        <f>IF(ISBLANK(Table1[[#This Row], [Date de sortie]]),"",ROUNDDOWN(YEAR(Table1[[#This Row], [Date de sortie]]),-1))</f>
      </c>
    </row>
    <row x14ac:dyDescent="0.25" r="45" customHeight="1" ht="18.75">
      <c r="A45" s="1" t="s">
        <v>85</v>
      </c>
      <c r="B45" s="1" t="s">
        <v>26</v>
      </c>
      <c r="C45" s="9">
        <v>1</v>
      </c>
      <c r="D45" s="9">
        <v>1</v>
      </c>
      <c r="E45" s="9">
        <v>1</v>
      </c>
      <c r="F45" s="2"/>
      <c r="G45" s="1" t="s">
        <v>246</v>
      </c>
      <c r="H45" s="1" t="s">
        <v>283</v>
      </c>
      <c r="I45" s="9">
        <v>799</v>
      </c>
      <c r="J45" s="22">
        <v>42144</v>
      </c>
      <c r="K45" s="17"/>
      <c r="L45" s="17"/>
      <c r="M45" s="22">
        <v>43770</v>
      </c>
      <c r="N45" s="11" t="s">
        <v>255</v>
      </c>
      <c r="O45" s="21">
        <v>2</v>
      </c>
      <c r="P45" s="49"/>
      <c r="Q45" s="49"/>
      <c r="R45" s="11" t="s">
        <v>245</v>
      </c>
      <c r="S45" s="1" t="s">
        <v>284</v>
      </c>
      <c r="T45" s="9">
        <f>IF(ISBLANK(Table1[[#This Row], [Date de fin de lecture FR]]),"",YEAR(Table1[[#This Row], [Date de fin de lecture FR]]))</f>
      </c>
      <c r="U45" s="10">
        <f>IF(ISBLANK(Table1[[#This Row], [Date de fin de lecture FR]]),"",MONTH(Table1[[#This Row], [Date de fin de lecture FR]]))</f>
      </c>
      <c r="V45" s="4">
        <f>IF(ISBLANK(Table1[[#This Row], [Date de début de lecture]]),"",(IF(ISBLANK(Table1[[#This Row], [Date de fin de lecture FR]]),0,Table1[[#This Row], [Date de fin de lecture FR]]-Table1[[#This Row], [Date de début de lecture]])))</f>
      </c>
      <c r="W45" s="46">
        <f>IF(Table1[[#This Row], [Temps de lecture en jours]]="","",IF(ISBLANK(Table1[[#This Row], [Nbr Pages]]),0,Table1[[#This Row], [Nbr Pages]]/Table1[[#This Row], [Temps de lecture en jours]]))</f>
      </c>
      <c r="X45" s="4">
        <f>IF(ISBLANK(Table1[[#This Row], [Date d''achat]]),"",IF(ISBLANK(Table1[[#This Row], [Date de fin de lecture FR]]),0,Table1[[#This Row], [Date de fin de lecture FR]]-Table1[[#This Row], [Date d''achat]]))</f>
      </c>
      <c r="Y45" s="10">
        <f>IF(ISBLANK(Table1[[#This Row], [Date de sortie]]),"",ROUNDDOWN(YEAR(Table1[[#This Row], [Date de sortie]]),-1))</f>
      </c>
    </row>
    <row x14ac:dyDescent="0.25" r="46" customHeight="1" ht="18.75">
      <c r="A46" s="1" t="s">
        <v>86</v>
      </c>
      <c r="B46" s="1" t="s">
        <v>26</v>
      </c>
      <c r="C46" s="9">
        <v>1</v>
      </c>
      <c r="D46" s="9">
        <v>1</v>
      </c>
      <c r="E46" s="9">
        <v>1</v>
      </c>
      <c r="F46" s="2"/>
      <c r="G46" s="1" t="s">
        <v>246</v>
      </c>
      <c r="H46" s="1" t="s">
        <v>283</v>
      </c>
      <c r="I46" s="9">
        <v>896</v>
      </c>
      <c r="J46" s="22">
        <v>42865</v>
      </c>
      <c r="K46" s="17"/>
      <c r="L46" s="17"/>
      <c r="M46" s="22">
        <v>43832</v>
      </c>
      <c r="N46" s="11" t="s">
        <v>255</v>
      </c>
      <c r="O46" s="21">
        <v>3</v>
      </c>
      <c r="P46" s="49"/>
      <c r="Q46" s="49"/>
      <c r="R46" s="11" t="s">
        <v>245</v>
      </c>
      <c r="S46" s="1" t="s">
        <v>285</v>
      </c>
      <c r="T46" s="9">
        <f>IF(ISBLANK(Table1[[#This Row], [Date de fin de lecture FR]]),"",YEAR(Table1[[#This Row], [Date de fin de lecture FR]]))</f>
      </c>
      <c r="U46" s="10">
        <f>IF(ISBLANK(Table1[[#This Row], [Date de fin de lecture FR]]),"",MONTH(Table1[[#This Row], [Date de fin de lecture FR]]))</f>
      </c>
      <c r="V46" s="4">
        <f>IF(ISBLANK(Table1[[#This Row], [Date de début de lecture]]),"",(IF(ISBLANK(Table1[[#This Row], [Date de fin de lecture FR]]),0,Table1[[#This Row], [Date de fin de lecture FR]]-Table1[[#This Row], [Date de début de lecture]])))</f>
      </c>
      <c r="W46" s="46">
        <f>IF(Table1[[#This Row], [Temps de lecture en jours]]="","",IF(ISBLANK(Table1[[#This Row], [Nbr Pages]]),0,Table1[[#This Row], [Nbr Pages]]/Table1[[#This Row], [Temps de lecture en jours]]))</f>
      </c>
      <c r="X46" s="4">
        <f>IF(ISBLANK(Table1[[#This Row], [Date d''achat]]),"",IF(ISBLANK(Table1[[#This Row], [Date de fin de lecture FR]]),0,Table1[[#This Row], [Date de fin de lecture FR]]-Table1[[#This Row], [Date d''achat]]))</f>
      </c>
      <c r="Y46" s="10">
        <f>IF(ISBLANK(Table1[[#This Row], [Date de sortie]]),"",ROUNDDOWN(YEAR(Table1[[#This Row], [Date de sortie]]),-1))</f>
      </c>
    </row>
    <row x14ac:dyDescent="0.25" r="47" customHeight="1" ht="18.75">
      <c r="A47" s="1" t="s">
        <v>87</v>
      </c>
      <c r="B47" s="1" t="s">
        <v>26</v>
      </c>
      <c r="C47" s="9">
        <v>1</v>
      </c>
      <c r="D47" s="9">
        <v>1</v>
      </c>
      <c r="E47" s="9">
        <v>1</v>
      </c>
      <c r="F47" s="2"/>
      <c r="G47" s="1" t="s">
        <v>246</v>
      </c>
      <c r="H47" s="1" t="s">
        <v>283</v>
      </c>
      <c r="I47" s="9">
        <v>774</v>
      </c>
      <c r="J47" s="22">
        <v>42865</v>
      </c>
      <c r="K47" s="22">
        <v>43832</v>
      </c>
      <c r="L47" s="17"/>
      <c r="M47" s="22">
        <v>43843</v>
      </c>
      <c r="N47" s="11" t="s">
        <v>255</v>
      </c>
      <c r="O47" s="21">
        <v>4</v>
      </c>
      <c r="P47" s="49"/>
      <c r="Q47" s="49"/>
      <c r="R47" s="11" t="s">
        <v>245</v>
      </c>
      <c r="S47" s="1" t="s">
        <v>286</v>
      </c>
      <c r="T47" s="9">
        <f>IF(ISBLANK(Table1[[#This Row], [Date de fin de lecture FR]]),"",YEAR(Table1[[#This Row], [Date de fin de lecture FR]]))</f>
      </c>
      <c r="U47" s="10">
        <f>IF(ISBLANK(Table1[[#This Row], [Date de fin de lecture FR]]),"",MONTH(Table1[[#This Row], [Date de fin de lecture FR]]))</f>
      </c>
      <c r="V47" s="4">
        <f>IF(ISBLANK(Table1[[#This Row], [Date de début de lecture]]),"",(IF(ISBLANK(Table1[[#This Row], [Date de fin de lecture FR]]),0,Table1[[#This Row], [Date de fin de lecture FR]]-Table1[[#This Row], [Date de début de lecture]])))</f>
      </c>
      <c r="W47" s="46">
        <f>IF(Table1[[#This Row], [Temps de lecture en jours]]="","",IF(ISBLANK(Table1[[#This Row], [Nbr Pages]]),0,Table1[[#This Row], [Nbr Pages]]/Table1[[#This Row], [Temps de lecture en jours]]))</f>
      </c>
      <c r="X47" s="9">
        <f>IF(ISBLANK(Table1[[#This Row], [Date d''achat]]),"",IF(ISBLANK(Table1[[#This Row], [Date de fin de lecture FR]]),0,Table1[[#This Row], [Date de fin de lecture FR]]-Table1[[#This Row], [Date d''achat]]))</f>
      </c>
      <c r="Y47" s="10">
        <f>IF(ISBLANK(Table1[[#This Row], [Date de sortie]]),"",ROUNDDOWN(YEAR(Table1[[#This Row], [Date de sortie]]),-1))</f>
      </c>
    </row>
    <row x14ac:dyDescent="0.25" r="48" customHeight="1" ht="18.75">
      <c r="A48" s="1" t="s">
        <v>88</v>
      </c>
      <c r="B48" s="1" t="s">
        <v>26</v>
      </c>
      <c r="C48" s="9">
        <v>1</v>
      </c>
      <c r="D48" s="9">
        <v>1</v>
      </c>
      <c r="E48" s="9">
        <v>1</v>
      </c>
      <c r="F48" s="2"/>
      <c r="G48" s="1" t="s">
        <v>246</v>
      </c>
      <c r="H48" s="1" t="s">
        <v>283</v>
      </c>
      <c r="I48" s="9">
        <v>864</v>
      </c>
      <c r="J48" s="22">
        <v>43587</v>
      </c>
      <c r="K48" s="22">
        <v>43871</v>
      </c>
      <c r="L48" s="17"/>
      <c r="M48" s="22">
        <v>44309</v>
      </c>
      <c r="N48" s="11" t="s">
        <v>255</v>
      </c>
      <c r="O48" s="21">
        <v>5</v>
      </c>
      <c r="P48" s="49"/>
      <c r="Q48" s="49"/>
      <c r="R48" s="11" t="s">
        <v>245</v>
      </c>
      <c r="S48" s="1" t="s">
        <v>287</v>
      </c>
      <c r="T48" s="9">
        <f>IF(ISBLANK(Table1[[#This Row], [Date de fin de lecture FR]]),"",YEAR(Table1[[#This Row], [Date de fin de lecture FR]]))</f>
      </c>
      <c r="U48" s="10">
        <f>IF(ISBLANK(Table1[[#This Row], [Date de fin de lecture FR]]),"",MONTH(Table1[[#This Row], [Date de fin de lecture FR]]))</f>
      </c>
      <c r="V48" s="4">
        <f>IF(ISBLANK(Table1[[#This Row], [Date de début de lecture]]),"",(IF(ISBLANK(Table1[[#This Row], [Date de fin de lecture FR]]),0,Table1[[#This Row], [Date de fin de lecture FR]]-Table1[[#This Row], [Date de début de lecture]])))</f>
      </c>
      <c r="W48" s="46">
        <f>IF(Table1[[#This Row], [Temps de lecture en jours]]="","",IF(ISBLANK(Table1[[#This Row], [Nbr Pages]]),0,Table1[[#This Row], [Nbr Pages]]/Table1[[#This Row], [Temps de lecture en jours]]))</f>
      </c>
      <c r="X48" s="9">
        <f>IF(ISBLANK(Table1[[#This Row], [Date d''achat]]),"",IF(ISBLANK(Table1[[#This Row], [Date de fin de lecture FR]]),0,Table1[[#This Row], [Date de fin de lecture FR]]-Table1[[#This Row], [Date d''achat]]))</f>
      </c>
      <c r="Y48" s="10">
        <f>IF(ISBLANK(Table1[[#This Row], [Date de sortie]]),"",ROUNDDOWN(YEAR(Table1[[#This Row], [Date de sortie]]),-1))</f>
      </c>
    </row>
    <row x14ac:dyDescent="0.25" r="49" customHeight="1" ht="18.75">
      <c r="A49" s="1" t="s">
        <v>89</v>
      </c>
      <c r="B49" s="1" t="s">
        <v>26</v>
      </c>
      <c r="C49" s="9">
        <v>1</v>
      </c>
      <c r="D49" s="9">
        <v>1</v>
      </c>
      <c r="E49" s="9">
        <v>1</v>
      </c>
      <c r="F49" s="2"/>
      <c r="G49" s="1" t="s">
        <v>246</v>
      </c>
      <c r="H49" s="1" t="s">
        <v>283</v>
      </c>
      <c r="I49" s="9">
        <v>992</v>
      </c>
      <c r="J49" s="22">
        <v>43587</v>
      </c>
      <c r="K49" s="17"/>
      <c r="L49" s="17"/>
      <c r="M49" s="22">
        <v>44198</v>
      </c>
      <c r="N49" s="11" t="s">
        <v>255</v>
      </c>
      <c r="O49" s="21">
        <v>6</v>
      </c>
      <c r="P49" s="49"/>
      <c r="Q49" s="49"/>
      <c r="R49" s="11" t="s">
        <v>245</v>
      </c>
      <c r="S49" s="19"/>
      <c r="T49" s="9">
        <f>IF(ISBLANK(Table1[[#This Row], [Date de fin de lecture FR]]),"",YEAR(Table1[[#This Row], [Date de fin de lecture FR]]))</f>
      </c>
      <c r="U49" s="10">
        <f>IF(ISBLANK(Table1[[#This Row], [Date de fin de lecture FR]]),"",MONTH(Table1[[#This Row], [Date de fin de lecture FR]]))</f>
      </c>
      <c r="V49" s="4">
        <f>IF(ISBLANK(Table1[[#This Row], [Date de début de lecture]]),"",(IF(ISBLANK(Table1[[#This Row], [Date de fin de lecture FR]]),0,Table1[[#This Row], [Date de fin de lecture FR]]-Table1[[#This Row], [Date de début de lecture]])))</f>
      </c>
      <c r="W49" s="46">
        <f>IF(Table1[[#This Row], [Temps de lecture en jours]]="","",IF(ISBLANK(Table1[[#This Row], [Nbr Pages]]),0,Table1[[#This Row], [Nbr Pages]]/Table1[[#This Row], [Temps de lecture en jours]]))</f>
      </c>
      <c r="X49" s="4">
        <f>IF(ISBLANK(Table1[[#This Row], [Date d''achat]]),"",IF(ISBLANK(Table1[[#This Row], [Date de fin de lecture FR]]),0,Table1[[#This Row], [Date de fin de lecture FR]]-Table1[[#This Row], [Date d''achat]]))</f>
      </c>
      <c r="Y49" s="10">
        <f>IF(ISBLANK(Table1[[#This Row], [Date de sortie]]),"",ROUNDDOWN(YEAR(Table1[[#This Row], [Date de sortie]]),-1))</f>
      </c>
    </row>
    <row x14ac:dyDescent="0.25" r="50" customHeight="1" ht="18.75">
      <c r="A50" s="1" t="s">
        <v>46</v>
      </c>
      <c r="B50" s="1" t="s">
        <v>26</v>
      </c>
      <c r="C50" s="9">
        <v>1</v>
      </c>
      <c r="D50" s="9">
        <v>1</v>
      </c>
      <c r="E50" s="9">
        <v>1</v>
      </c>
      <c r="F50" s="2"/>
      <c r="G50" s="1" t="s">
        <v>246</v>
      </c>
      <c r="H50" s="1" t="s">
        <v>283</v>
      </c>
      <c r="I50" s="9">
        <v>736</v>
      </c>
      <c r="J50" s="17"/>
      <c r="K50" s="22">
        <v>45041</v>
      </c>
      <c r="L50" s="22">
        <v>45025</v>
      </c>
      <c r="M50" s="22">
        <v>45052</v>
      </c>
      <c r="N50" s="19"/>
      <c r="O50" s="22"/>
      <c r="P50" s="49"/>
      <c r="Q50" s="49"/>
      <c r="R50" s="22"/>
      <c r="S50" s="1" t="s">
        <v>288</v>
      </c>
      <c r="T50" s="9">
        <f>IF(ISBLANK(Table1[[#This Row], [Date de fin de lecture FR]]),"",YEAR(Table1[[#This Row], [Date de fin de lecture FR]]))</f>
      </c>
      <c r="U50" s="10">
        <f>IF(ISBLANK(Table1[[#This Row], [Date de fin de lecture FR]]),"",MONTH(Table1[[#This Row], [Date de fin de lecture FR]]))</f>
      </c>
      <c r="V50" s="9">
        <f>IF(ISBLANK(Table1[[#This Row], [Date de début de lecture]]),"",(IF(ISBLANK(Table1[[#This Row], [Date de fin de lecture FR]]),0,Table1[[#This Row], [Date de fin de lecture FR]]-Table1[[#This Row], [Date de début de lecture]])))</f>
      </c>
      <c r="W50" s="46">
        <f>IF(Table1[[#This Row], [Temps de lecture en jours]]="","",IF(ISBLANK(Table1[[#This Row], [Nbr Pages]]),0,Table1[[#This Row], [Nbr Pages]]/Table1[[#This Row], [Temps de lecture en jours]]))</f>
      </c>
      <c r="X50" s="9">
        <f>IF(ISBLANK(Table1[[#This Row], [Date d''achat]]),"",IF(ISBLANK(Table1[[#This Row], [Date de fin de lecture FR]]),0,Table1[[#This Row], [Date de fin de lecture FR]]-Table1[[#This Row], [Date d''achat]]))</f>
      </c>
      <c r="Y50" s="10">
        <f>IF(ISBLANK(Table1[[#This Row], [Date de sortie]]),"",ROUNDDOWN(YEAR(Table1[[#This Row], [Date de sortie]]),-1))</f>
      </c>
    </row>
    <row x14ac:dyDescent="0.25" r="51" customHeight="1" ht="18.75">
      <c r="A51" s="1" t="s">
        <v>42</v>
      </c>
      <c r="B51" s="1" t="s">
        <v>26</v>
      </c>
      <c r="C51" s="9">
        <v>1</v>
      </c>
      <c r="D51" s="9">
        <v>1</v>
      </c>
      <c r="E51" s="9">
        <v>1</v>
      </c>
      <c r="F51" s="2"/>
      <c r="G51" s="1" t="s">
        <v>246</v>
      </c>
      <c r="H51" s="1" t="s">
        <v>283</v>
      </c>
      <c r="I51" s="9">
        <v>1200</v>
      </c>
      <c r="J51" s="22">
        <v>44454</v>
      </c>
      <c r="K51" s="17"/>
      <c r="L51" s="22">
        <v>45119</v>
      </c>
      <c r="M51" s="22">
        <v>45133</v>
      </c>
      <c r="N51" s="19"/>
      <c r="O51" s="22"/>
      <c r="P51" s="49"/>
      <c r="Q51" s="49"/>
      <c r="R51" s="22"/>
      <c r="S51" s="1" t="s">
        <v>289</v>
      </c>
      <c r="T51" s="9">
        <f>IF(ISBLANK(Table1[[#This Row], [Date de fin de lecture FR]]),"",YEAR(Table1[[#This Row], [Date de fin de lecture FR]]))</f>
      </c>
      <c r="U51" s="10">
        <f>IF(ISBLANK(Table1[[#This Row], [Date de fin de lecture FR]]),"",MONTH(Table1[[#This Row], [Date de fin de lecture FR]]))</f>
      </c>
      <c r="V51" s="9">
        <f>IF(ISBLANK(Table1[[#This Row], [Date de début de lecture]]),"",(IF(ISBLANK(Table1[[#This Row], [Date de fin de lecture FR]]),0,Table1[[#This Row], [Date de fin de lecture FR]]-Table1[[#This Row], [Date de début de lecture]])))</f>
      </c>
      <c r="W51" s="46">
        <f>IF(Table1[[#This Row], [Temps de lecture en jours]]="","",IF(ISBLANK(Table1[[#This Row], [Nbr Pages]]),0,Table1[[#This Row], [Nbr Pages]]/Table1[[#This Row], [Temps de lecture en jours]]))</f>
      </c>
      <c r="X51" s="4">
        <f>IF(ISBLANK(Table1[[#This Row], [Date d''achat]]),"",IF(ISBLANK(Table1[[#This Row], [Date de fin de lecture FR]]),0,Table1[[#This Row], [Date de fin de lecture FR]]-Table1[[#This Row], [Date d''achat]]))</f>
      </c>
      <c r="Y51" s="10">
        <f>IF(ISBLANK(Table1[[#This Row], [Date de sortie]]),"",ROUNDDOWN(YEAR(Table1[[#This Row], [Date de sortie]]),-1))</f>
      </c>
    </row>
    <row x14ac:dyDescent="0.25" r="52" customHeight="1" ht="18.75">
      <c r="A52" s="1" t="s">
        <v>90</v>
      </c>
      <c r="B52" s="1" t="s">
        <v>26</v>
      </c>
      <c r="C52" s="9">
        <v>1</v>
      </c>
      <c r="D52" s="9">
        <v>1</v>
      </c>
      <c r="E52" s="4"/>
      <c r="F52" s="2"/>
      <c r="G52" s="1" t="s">
        <v>246</v>
      </c>
      <c r="H52" s="19"/>
      <c r="I52" s="9">
        <v>512</v>
      </c>
      <c r="J52" s="22">
        <v>42530</v>
      </c>
      <c r="K52" s="17"/>
      <c r="L52" s="17"/>
      <c r="M52" s="22">
        <v>43524</v>
      </c>
      <c r="N52" s="11" t="s">
        <v>244</v>
      </c>
      <c r="O52" s="17"/>
      <c r="P52" s="49"/>
      <c r="Q52" s="49"/>
      <c r="R52" s="11" t="s">
        <v>245</v>
      </c>
      <c r="S52" s="19"/>
      <c r="T52" s="9">
        <f>IF(ISBLANK(Table1[[#This Row], [Date de fin de lecture FR]]),"",YEAR(Table1[[#This Row], [Date de fin de lecture FR]]))</f>
      </c>
      <c r="U52" s="10">
        <f>IF(ISBLANK(Table1[[#This Row], [Date de fin de lecture FR]]),"",MONTH(Table1[[#This Row], [Date de fin de lecture FR]]))</f>
      </c>
      <c r="V52" s="4">
        <f>IF(ISBLANK(Table1[[#This Row], [Date de début de lecture]]),"",(IF(ISBLANK(Table1[[#This Row], [Date de fin de lecture FR]]),0,Table1[[#This Row], [Date de fin de lecture FR]]-Table1[[#This Row], [Date de début de lecture]])))</f>
      </c>
      <c r="W52" s="46">
        <f>IF(Table1[[#This Row], [Temps de lecture en jours]]="","",IF(ISBLANK(Table1[[#This Row], [Nbr Pages]]),0,Table1[[#This Row], [Nbr Pages]]/Table1[[#This Row], [Temps de lecture en jours]]))</f>
      </c>
      <c r="X52" s="4">
        <f>IF(ISBLANK(Table1[[#This Row], [Date d''achat]]),"",IF(ISBLANK(Table1[[#This Row], [Date de fin de lecture FR]]),0,Table1[[#This Row], [Date de fin de lecture FR]]-Table1[[#This Row], [Date d''achat]]))</f>
      </c>
      <c r="Y52" s="10">
        <f>IF(ISBLANK(Table1[[#This Row], [Date de sortie]]),"",ROUNDDOWN(YEAR(Table1[[#This Row], [Date de sortie]]),-1))</f>
      </c>
    </row>
    <row x14ac:dyDescent="0.25" r="53" customHeight="1" ht="18.75">
      <c r="A53" s="1" t="s">
        <v>91</v>
      </c>
      <c r="B53" s="1" t="s">
        <v>26</v>
      </c>
      <c r="C53" s="9">
        <v>1</v>
      </c>
      <c r="D53" s="9">
        <v>1</v>
      </c>
      <c r="E53" s="9">
        <v>1</v>
      </c>
      <c r="F53" s="2"/>
      <c r="G53" s="1" t="s">
        <v>246</v>
      </c>
      <c r="H53" s="19"/>
      <c r="I53" s="9">
        <v>544</v>
      </c>
      <c r="J53" s="22">
        <v>43101</v>
      </c>
      <c r="K53" s="22">
        <v>44189</v>
      </c>
      <c r="L53" s="17"/>
      <c r="M53" s="22">
        <v>44270</v>
      </c>
      <c r="N53" s="11" t="s">
        <v>255</v>
      </c>
      <c r="O53" s="21">
        <v>0</v>
      </c>
      <c r="P53" s="49"/>
      <c r="Q53" s="49"/>
      <c r="R53" s="11" t="s">
        <v>290</v>
      </c>
      <c r="S53" s="1" t="s">
        <v>291</v>
      </c>
      <c r="T53" s="9">
        <f>IF(ISBLANK(Table1[[#This Row], [Date de fin de lecture FR]]),"",YEAR(Table1[[#This Row], [Date de fin de lecture FR]]))</f>
      </c>
      <c r="U53" s="10">
        <f>IF(ISBLANK(Table1[[#This Row], [Date de fin de lecture FR]]),"",MONTH(Table1[[#This Row], [Date de fin de lecture FR]]))</f>
      </c>
      <c r="V53" s="4">
        <f>IF(ISBLANK(Table1[[#This Row], [Date de début de lecture]]),"",(IF(ISBLANK(Table1[[#This Row], [Date de fin de lecture FR]]),0,Table1[[#This Row], [Date de fin de lecture FR]]-Table1[[#This Row], [Date de début de lecture]])))</f>
      </c>
      <c r="W53" s="46">
        <f>IF(Table1[[#This Row], [Temps de lecture en jours]]="","",IF(ISBLANK(Table1[[#This Row], [Nbr Pages]]),0,Table1[[#This Row], [Nbr Pages]]/Table1[[#This Row], [Temps de lecture en jours]]))</f>
      </c>
      <c r="X53" s="9">
        <f>IF(ISBLANK(Table1[[#This Row], [Date d''achat]]),"",IF(ISBLANK(Table1[[#This Row], [Date de fin de lecture FR]]),0,Table1[[#This Row], [Date de fin de lecture FR]]-Table1[[#This Row], [Date d''achat]]))</f>
      </c>
      <c r="Y53" s="10">
        <f>IF(ISBLANK(Table1[[#This Row], [Date de sortie]]),"",ROUNDDOWN(YEAR(Table1[[#This Row], [Date de sortie]]),-1))</f>
      </c>
    </row>
    <row x14ac:dyDescent="0.25" r="54" customHeight="1" ht="18.75">
      <c r="A54" s="1" t="s">
        <v>70</v>
      </c>
      <c r="B54" s="1" t="s">
        <v>26</v>
      </c>
      <c r="C54" s="9">
        <v>1</v>
      </c>
      <c r="D54" s="9">
        <v>1</v>
      </c>
      <c r="E54" s="9">
        <v>1</v>
      </c>
      <c r="F54" s="2"/>
      <c r="G54" s="1" t="s">
        <v>227</v>
      </c>
      <c r="H54" s="19"/>
      <c r="I54" s="9">
        <v>736</v>
      </c>
      <c r="J54" s="22">
        <v>44111</v>
      </c>
      <c r="K54" s="22">
        <v>44527</v>
      </c>
      <c r="L54" s="22">
        <v>44527</v>
      </c>
      <c r="M54" s="22">
        <v>44542</v>
      </c>
      <c r="N54" s="11" t="s">
        <v>255</v>
      </c>
      <c r="O54" s="21">
        <v>1</v>
      </c>
      <c r="P54" s="49"/>
      <c r="Q54" s="49"/>
      <c r="R54" s="11" t="s">
        <v>245</v>
      </c>
      <c r="S54" s="19"/>
      <c r="T54" s="9">
        <f>IF(ISBLANK(Table1[[#This Row], [Date de fin de lecture FR]]),"",YEAR(Table1[[#This Row], [Date de fin de lecture FR]]))</f>
      </c>
      <c r="U54" s="10">
        <f>IF(ISBLANK(Table1[[#This Row], [Date de fin de lecture FR]]),"",MONTH(Table1[[#This Row], [Date de fin de lecture FR]]))</f>
      </c>
      <c r="V54" s="9">
        <f>IF(ISBLANK(Table1[[#This Row], [Date de début de lecture]]),"",(IF(ISBLANK(Table1[[#This Row], [Date de fin de lecture FR]]),0,Table1[[#This Row], [Date de fin de lecture FR]]-Table1[[#This Row], [Date de début de lecture]])))</f>
      </c>
      <c r="W54" s="46">
        <f>IF(Table1[[#This Row], [Temps de lecture en jours]]="","",IF(ISBLANK(Table1[[#This Row], [Nbr Pages]]),0,Table1[[#This Row], [Nbr Pages]]/Table1[[#This Row], [Temps de lecture en jours]]))</f>
      </c>
      <c r="X54" s="9">
        <f>IF(ISBLANK(Table1[[#This Row], [Date d''achat]]),"",IF(ISBLANK(Table1[[#This Row], [Date de fin de lecture FR]]),0,Table1[[#This Row], [Date de fin de lecture FR]]-Table1[[#This Row], [Date d''achat]]))</f>
      </c>
      <c r="Y54" s="10">
        <f>IF(ISBLANK(Table1[[#This Row], [Date de sortie]]),"",ROUNDDOWN(YEAR(Table1[[#This Row], [Date de sortie]]),-1))</f>
      </c>
    </row>
    <row x14ac:dyDescent="0.25" r="55" customHeight="1" ht="18.75">
      <c r="A55" s="1" t="s">
        <v>60</v>
      </c>
      <c r="B55" s="1" t="s">
        <v>26</v>
      </c>
      <c r="C55" s="9">
        <v>1</v>
      </c>
      <c r="D55" s="9">
        <v>1</v>
      </c>
      <c r="E55" s="9">
        <v>1</v>
      </c>
      <c r="F55" s="2"/>
      <c r="G55" s="1" t="s">
        <v>227</v>
      </c>
      <c r="H55" s="19"/>
      <c r="I55" s="9">
        <v>659</v>
      </c>
      <c r="J55" s="22">
        <v>44328</v>
      </c>
      <c r="K55" s="22">
        <v>44787</v>
      </c>
      <c r="L55" s="22">
        <v>44787</v>
      </c>
      <c r="M55" s="22">
        <v>44795</v>
      </c>
      <c r="N55" s="11" t="s">
        <v>255</v>
      </c>
      <c r="O55" s="21">
        <v>2</v>
      </c>
      <c r="P55" s="49"/>
      <c r="Q55" s="49"/>
      <c r="R55" s="11" t="s">
        <v>245</v>
      </c>
      <c r="S55" s="1" t="s">
        <v>292</v>
      </c>
      <c r="T55" s="9">
        <f>IF(ISBLANK(Table1[[#This Row], [Date de fin de lecture FR]]),"",YEAR(Table1[[#This Row], [Date de fin de lecture FR]]))</f>
      </c>
      <c r="U55" s="10">
        <f>IF(ISBLANK(Table1[[#This Row], [Date de fin de lecture FR]]),"",MONTH(Table1[[#This Row], [Date de fin de lecture FR]]))</f>
      </c>
      <c r="V55" s="9">
        <f>IF(ISBLANK(Table1[[#This Row], [Date de début de lecture]]),"",(IF(ISBLANK(Table1[[#This Row], [Date de fin de lecture FR]]),0,Table1[[#This Row], [Date de fin de lecture FR]]-Table1[[#This Row], [Date de début de lecture]])))</f>
      </c>
      <c r="W55" s="46">
        <f>IF(Table1[[#This Row], [Temps de lecture en jours]]="","",IF(ISBLANK(Table1[[#This Row], [Nbr Pages]]),0,Table1[[#This Row], [Nbr Pages]]/Table1[[#This Row], [Temps de lecture en jours]]))</f>
      </c>
      <c r="X55" s="9">
        <f>IF(ISBLANK(Table1[[#This Row], [Date d''achat]]),"",IF(ISBLANK(Table1[[#This Row], [Date de fin de lecture FR]]),0,Table1[[#This Row], [Date de fin de lecture FR]]-Table1[[#This Row], [Date d''achat]]))</f>
      </c>
      <c r="Y55" s="10">
        <f>IF(ISBLANK(Table1[[#This Row], [Date de sortie]]),"",ROUNDDOWN(YEAR(Table1[[#This Row], [Date de sortie]]),-1))</f>
      </c>
    </row>
    <row x14ac:dyDescent="0.25" r="56" customHeight="1" ht="18.75">
      <c r="A56" s="1" t="s">
        <v>92</v>
      </c>
      <c r="B56" s="1" t="s">
        <v>26</v>
      </c>
      <c r="C56" s="9">
        <v>1</v>
      </c>
      <c r="D56" s="9">
        <v>1</v>
      </c>
      <c r="E56" s="4"/>
      <c r="F56" s="2"/>
      <c r="G56" s="1" t="s">
        <v>246</v>
      </c>
      <c r="H56" s="1" t="s">
        <v>283</v>
      </c>
      <c r="I56" s="9">
        <v>984</v>
      </c>
      <c r="J56" s="22">
        <v>43991</v>
      </c>
      <c r="K56" s="17"/>
      <c r="L56" s="17"/>
      <c r="M56" s="17"/>
      <c r="N56" s="11" t="s">
        <v>244</v>
      </c>
      <c r="O56" s="17"/>
      <c r="P56" s="49"/>
      <c r="Q56" s="49"/>
      <c r="R56" s="11" t="s">
        <v>245</v>
      </c>
      <c r="S56" s="1" t="s">
        <v>293</v>
      </c>
      <c r="T56" s="4">
        <f>IF(ISBLANK(Table1[[#This Row], [Date de fin de lecture FR]]),"",YEAR(Table1[[#This Row], [Date de fin de lecture FR]]))</f>
      </c>
      <c r="U56" s="10">
        <f>IF(ISBLANK(Table1[[#This Row], [Date de fin de lecture FR]]),"",MONTH(Table1[[#This Row], [Date de fin de lecture FR]]))</f>
      </c>
      <c r="V56" s="4">
        <f>IF(ISBLANK(Table1[[#This Row], [Date de début de lecture]]),"",(IF(ISBLANK(Table1[[#This Row], [Date de fin de lecture FR]]),0,Table1[[#This Row], [Date de fin de lecture FR]]-Table1[[#This Row], [Date de début de lecture]])))</f>
      </c>
      <c r="W56" s="46">
        <f>IF(Table1[[#This Row], [Temps de lecture en jours]]="","",IF(ISBLANK(Table1[[#This Row], [Nbr Pages]]),0,Table1[[#This Row], [Nbr Pages]]/Table1[[#This Row], [Temps de lecture en jours]]))</f>
      </c>
      <c r="X56" s="4">
        <f>IF(ISBLANK(Table1[[#This Row], [Date d''achat]]),"",IF(ISBLANK(Table1[[#This Row], [Date de fin de lecture FR]]),0,Table1[[#This Row], [Date de fin de lecture FR]]-Table1[[#This Row], [Date d''achat]]))</f>
      </c>
      <c r="Y56" s="10">
        <f>IF(ISBLANK(Table1[[#This Row], [Date de sortie]]),"",ROUNDDOWN(YEAR(Table1[[#This Row], [Date de sortie]]),-1))</f>
      </c>
    </row>
    <row x14ac:dyDescent="0.25" r="57" customHeight="1" ht="18.75">
      <c r="A57" s="10" t="s">
        <v>39</v>
      </c>
      <c r="B57" s="10" t="s">
        <v>294</v>
      </c>
      <c r="C57" s="4"/>
      <c r="D57" s="9">
        <v>1</v>
      </c>
      <c r="E57" s="9">
        <v>1</v>
      </c>
      <c r="F57" s="2"/>
      <c r="G57" s="1" t="s">
        <v>246</v>
      </c>
      <c r="H57" s="1" t="s">
        <v>295</v>
      </c>
      <c r="I57" s="9">
        <v>576</v>
      </c>
      <c r="J57" s="17"/>
      <c r="K57" s="17"/>
      <c r="L57" s="22">
        <v>45149</v>
      </c>
      <c r="M57" s="22">
        <v>45165</v>
      </c>
      <c r="N57" s="19"/>
      <c r="O57" s="22"/>
      <c r="P57" s="49"/>
      <c r="Q57" s="49"/>
      <c r="R57" s="19"/>
      <c r="S57" s="1" t="s">
        <v>296</v>
      </c>
      <c r="T57" s="9">
        <f>IF(ISBLANK(Table1[[#This Row], [Date de fin de lecture FR]]),"",YEAR(Table1[[#This Row], [Date de fin de lecture FR]]))</f>
      </c>
      <c r="U57" s="9">
        <f>IF(ISBLANK(Table1[[#This Row], [Date de fin de lecture FR]]),"",MONTH(Table1[[#This Row], [Date de fin de lecture FR]]))</f>
      </c>
      <c r="V57" s="9">
        <f>IF(ISBLANK(Table1[[#This Row], [Date de début de lecture]]),"",(IF(ISBLANK(Table1[[#This Row], [Date de fin de lecture FR]]),0,Table1[[#This Row], [Date de fin de lecture FR]]-Table1[[#This Row], [Date de début de lecture]])))</f>
      </c>
      <c r="W57" s="21">
        <f>IF(Table1[[#This Row], [Temps de lecture en jours]]="","",IF(ISBLANK(Table1[[#This Row], [Nbr Pages]]),0,Table1[[#This Row], [Nbr Pages]]/Table1[[#This Row], [Temps de lecture en jours]]))</f>
      </c>
      <c r="X57" s="4">
        <f>IF(ISBLANK(Table1[[#This Row], [Date d''achat]]),"",IF(ISBLANK(Table1[[#This Row], [Date de fin de lecture FR]]),0,Table1[[#This Row], [Date de fin de lecture FR]]-Table1[[#This Row], [Date d''achat]]))</f>
      </c>
      <c r="Y57" s="1">
        <f>IF(ISBLANK(Table1[[#This Row], [Date de sortie]]),"",ROUNDDOWN(YEAR(Table1[[#This Row], [Date de sortie]]),-1))</f>
      </c>
    </row>
    <row x14ac:dyDescent="0.25" r="58" customHeight="1" ht="18.75">
      <c r="A58" s="10" t="s">
        <v>35</v>
      </c>
      <c r="B58" s="10" t="s">
        <v>294</v>
      </c>
      <c r="C58" s="9">
        <v>1</v>
      </c>
      <c r="D58" s="9">
        <v>1</v>
      </c>
      <c r="E58" s="9">
        <v>1</v>
      </c>
      <c r="F58" s="2"/>
      <c r="G58" s="1" t="s">
        <v>246</v>
      </c>
      <c r="H58" s="19"/>
      <c r="I58" s="4"/>
      <c r="J58" s="17"/>
      <c r="K58" s="17"/>
      <c r="L58" s="22">
        <v>45166</v>
      </c>
      <c r="M58" s="22">
        <v>45185</v>
      </c>
      <c r="N58" s="19"/>
      <c r="O58" s="22"/>
      <c r="P58" s="49"/>
      <c r="Q58" s="49"/>
      <c r="R58" s="19"/>
      <c r="S58" s="19"/>
      <c r="T58" s="9">
        <f>IF(ISBLANK(Table1[[#This Row], [Date de fin de lecture FR]]),"",YEAR(Table1[[#This Row], [Date de fin de lecture FR]]))</f>
      </c>
      <c r="U58" s="9">
        <f>IF(ISBLANK(Table1[[#This Row], [Date de fin de lecture FR]]),"",MONTH(Table1[[#This Row], [Date de fin de lecture FR]]))</f>
      </c>
      <c r="V58" s="9">
        <f>IF(ISBLANK(Table1[[#This Row], [Date de début de lecture]]),"",(IF(ISBLANK(Table1[[#This Row], [Date de fin de lecture FR]]),0,Table1[[#This Row], [Date de fin de lecture FR]]-Table1[[#This Row], [Date de début de lecture]])))</f>
      </c>
      <c r="W58" s="21">
        <f>IF(Table1[[#This Row], [Temps de lecture en jours]]="","",IF(ISBLANK(Table1[[#This Row], [Nbr Pages]]),0,Table1[[#This Row], [Nbr Pages]]/Table1[[#This Row], [Temps de lecture en jours]]))</f>
      </c>
      <c r="X58" s="4">
        <f>IF(ISBLANK(Table1[[#This Row], [Date d''achat]]),"",IF(ISBLANK(Table1[[#This Row], [Date de fin de lecture FR]]),0,Table1[[#This Row], [Date de fin de lecture FR]]-Table1[[#This Row], [Date d''achat]]))</f>
      </c>
      <c r="Y58" s="1">
        <f>IF(ISBLANK(Table1[[#This Row], [Date de sortie]]),"",ROUNDDOWN(YEAR(Table1[[#This Row], [Date de sortie]]),-1))</f>
      </c>
    </row>
    <row x14ac:dyDescent="0.25" r="59" customHeight="1" ht="18.75">
      <c r="A59" s="1" t="s">
        <v>297</v>
      </c>
      <c r="B59" s="1" t="s">
        <v>298</v>
      </c>
      <c r="C59" s="9">
        <v>1</v>
      </c>
      <c r="D59" s="4"/>
      <c r="E59" s="4"/>
      <c r="F59" s="2"/>
      <c r="G59" s="1" t="s">
        <v>299</v>
      </c>
      <c r="H59" s="19"/>
      <c r="I59" s="9">
        <v>576</v>
      </c>
      <c r="J59" s="22">
        <v>42005</v>
      </c>
      <c r="K59" s="17"/>
      <c r="L59" s="17"/>
      <c r="M59" s="17"/>
      <c r="N59" s="19"/>
      <c r="O59" s="22"/>
      <c r="P59" s="49"/>
      <c r="Q59" s="49"/>
      <c r="R59" s="22"/>
      <c r="S59" s="19"/>
      <c r="T59" s="4">
        <f>IF(ISBLANK(Table1[[#This Row], [Date de fin de lecture FR]]),"",YEAR(Table1[[#This Row], [Date de fin de lecture FR]]))</f>
      </c>
      <c r="U59" s="10">
        <f>IF(ISBLANK(Table1[[#This Row], [Date de fin de lecture FR]]),"",MONTH(Table1[[#This Row], [Date de fin de lecture FR]]))</f>
      </c>
      <c r="V59" s="4">
        <f>IF(ISBLANK(Table1[[#This Row], [Date de début de lecture]]),"",(IF(ISBLANK(Table1[[#This Row], [Date de fin de lecture FR]]),0,Table1[[#This Row], [Date de fin de lecture FR]]-Table1[[#This Row], [Date de début de lecture]])))</f>
      </c>
      <c r="W59" s="46">
        <f>IF(Table1[[#This Row], [Temps de lecture en jours]]="","",IF(ISBLANK(Table1[[#This Row], [Nbr Pages]]),0,Table1[[#This Row], [Nbr Pages]]/Table1[[#This Row], [Temps de lecture en jours]]))</f>
      </c>
      <c r="X59" s="4">
        <f>IF(ISBLANK(Table1[[#This Row], [Date d''achat]]),"",IF(ISBLANK(Table1[[#This Row], [Date de fin de lecture FR]]),0,Table1[[#This Row], [Date de fin de lecture FR]]-Table1[[#This Row], [Date d''achat]]))</f>
      </c>
      <c r="Y59" s="10">
        <f>IF(ISBLANK(Table1[[#This Row], [Date de sortie]]),"",ROUNDDOWN(YEAR(Table1[[#This Row], [Date de sortie]]),-1))</f>
      </c>
    </row>
    <row x14ac:dyDescent="0.25" r="60" customHeight="1" ht="18.75">
      <c r="A60" s="1" t="s">
        <v>300</v>
      </c>
      <c r="B60" s="1" t="s">
        <v>301</v>
      </c>
      <c r="C60" s="4"/>
      <c r="D60" s="4"/>
      <c r="E60" s="4"/>
      <c r="F60" s="47" t="s">
        <v>29</v>
      </c>
      <c r="G60" s="51"/>
      <c r="H60" s="19"/>
      <c r="I60" s="4"/>
      <c r="J60" s="17"/>
      <c r="K60" s="17"/>
      <c r="L60" s="17"/>
      <c r="M60" s="17"/>
      <c r="N60" s="19"/>
      <c r="O60" s="22"/>
      <c r="P60" s="52">
        <v>9782010003691</v>
      </c>
      <c r="Q60" s="50" t="s">
        <v>302</v>
      </c>
      <c r="R60" s="19"/>
      <c r="S60" s="10" t="s">
        <v>303</v>
      </c>
      <c r="T60" s="4">
        <f>IF(ISBLANK(Table1[[#This Row], [Date de fin de lecture FR]]),"",YEAR(Table1[[#This Row], [Date de fin de lecture FR]]))</f>
      </c>
      <c r="U60" s="10">
        <f>IF(ISBLANK(Table1[[#This Row], [Date de fin de lecture FR]]),"",MONTH(Table1[[#This Row], [Date de fin de lecture FR]]))</f>
      </c>
      <c r="V60" s="4">
        <f>IF(ISBLANK(Table1[[#This Row], [Date de début de lecture]]),"",(IF(ISBLANK(Table1[[#This Row], [Date de fin de lecture FR]]),0,Table1[[#This Row], [Date de fin de lecture FR]]-Table1[[#This Row], [Date de début de lecture]])))</f>
      </c>
      <c r="W60" s="46">
        <f>IF(Table1[[#This Row], [Temps de lecture en jours]]="","",IF(ISBLANK(Table1[[#This Row], [Nbr Pages]]),0,Table1[[#This Row], [Nbr Pages]]/Table1[[#This Row], [Temps de lecture en jours]]))</f>
      </c>
      <c r="X60" s="4">
        <f>IF(ISBLANK(Table1[[#This Row], [Date d''achat]]),"",IF(ISBLANK(Table1[[#This Row], [Date de fin de lecture FR]]),0,Table1[[#This Row], [Date de fin de lecture FR]]-Table1[[#This Row], [Date d''achat]]))</f>
      </c>
      <c r="Y60" s="10">
        <f>IF(ISBLANK(Table1[[#This Row], [Date de sortie]]),"",ROUNDDOWN(YEAR(Table1[[#This Row], [Date de sortie]]),-1))</f>
      </c>
    </row>
    <row x14ac:dyDescent="0.25" r="61" customHeight="1" ht="18.75">
      <c r="A61" s="1" t="s">
        <v>304</v>
      </c>
      <c r="B61" s="1" t="s">
        <v>305</v>
      </c>
      <c r="C61" s="4"/>
      <c r="D61" s="4"/>
      <c r="E61" s="4"/>
      <c r="F61" s="47" t="s">
        <v>29</v>
      </c>
      <c r="G61" s="10" t="s">
        <v>227</v>
      </c>
      <c r="H61" s="19"/>
      <c r="I61" s="4"/>
      <c r="J61" s="17"/>
      <c r="K61" s="17"/>
      <c r="L61" s="17"/>
      <c r="M61" s="17"/>
      <c r="N61" s="19"/>
      <c r="O61" s="22"/>
      <c r="P61" s="49"/>
      <c r="Q61" s="49"/>
      <c r="R61" s="19"/>
      <c r="S61" s="10" t="s">
        <v>303</v>
      </c>
      <c r="T61" s="4">
        <f>IF(ISBLANK(Table1[[#This Row], [Date de fin de lecture FR]]),"",YEAR(Table1[[#This Row], [Date de fin de lecture FR]]))</f>
      </c>
      <c r="U61" s="10">
        <f>IF(ISBLANK(Table1[[#This Row], [Date de fin de lecture FR]]),"",MONTH(Table1[[#This Row], [Date de fin de lecture FR]]))</f>
      </c>
      <c r="V61" s="4">
        <f>IF(ISBLANK(Table1[[#This Row], [Date de début de lecture]]),"",(IF(ISBLANK(Table1[[#This Row], [Date de fin de lecture FR]]),0,Table1[[#This Row], [Date de fin de lecture FR]]-Table1[[#This Row], [Date de début de lecture]])))</f>
      </c>
      <c r="W61" s="46">
        <f>IF(Table1[[#This Row], [Temps de lecture en jours]]="","",IF(ISBLANK(Table1[[#This Row], [Nbr Pages]]),0,Table1[[#This Row], [Nbr Pages]]/Table1[[#This Row], [Temps de lecture en jours]]))</f>
      </c>
      <c r="X61" s="4">
        <f>IF(ISBLANK(Table1[[#This Row], [Date d''achat]]),"",IF(ISBLANK(Table1[[#This Row], [Date de fin de lecture FR]]),0,Table1[[#This Row], [Date de fin de lecture FR]]-Table1[[#This Row], [Date d''achat]]))</f>
      </c>
      <c r="Y61" s="10">
        <f>IF(ISBLANK(Table1[[#This Row], [Date de sortie]]),"",ROUNDDOWN(YEAR(Table1[[#This Row], [Date de sortie]]),-1))</f>
      </c>
    </row>
    <row x14ac:dyDescent="0.25" r="62" customHeight="1" ht="18.75">
      <c r="A62" s="1" t="s">
        <v>306</v>
      </c>
      <c r="B62" s="1" t="s">
        <v>307</v>
      </c>
      <c r="C62" s="9">
        <v>1</v>
      </c>
      <c r="D62" s="4"/>
      <c r="E62" s="4"/>
      <c r="F62" s="2"/>
      <c r="G62" s="1" t="s">
        <v>246</v>
      </c>
      <c r="H62" s="19"/>
      <c r="I62" s="9">
        <v>480</v>
      </c>
      <c r="J62" s="22">
        <v>36739</v>
      </c>
      <c r="K62" s="22">
        <v>43728</v>
      </c>
      <c r="L62" s="17"/>
      <c r="M62" s="17"/>
      <c r="N62" s="19"/>
      <c r="O62" s="22"/>
      <c r="P62" s="49"/>
      <c r="Q62" s="49"/>
      <c r="R62" s="22"/>
      <c r="S62" s="19"/>
      <c r="T62" s="4">
        <f>IF(ISBLANK(Table1[[#This Row], [Date de fin de lecture FR]]),"",YEAR(Table1[[#This Row], [Date de fin de lecture FR]]))</f>
      </c>
      <c r="U62" s="10">
        <f>IF(ISBLANK(Table1[[#This Row], [Date de fin de lecture FR]]),"",MONTH(Table1[[#This Row], [Date de fin de lecture FR]]))</f>
      </c>
      <c r="V62" s="4">
        <f>IF(ISBLANK(Table1[[#This Row], [Date de début de lecture]]),"",(IF(ISBLANK(Table1[[#This Row], [Date de fin de lecture FR]]),0,Table1[[#This Row], [Date de fin de lecture FR]]-Table1[[#This Row], [Date de début de lecture]])))</f>
      </c>
      <c r="W62" s="46">
        <f>IF(Table1[[#This Row], [Temps de lecture en jours]]="","",IF(ISBLANK(Table1[[#This Row], [Nbr Pages]]),0,Table1[[#This Row], [Nbr Pages]]/Table1[[#This Row], [Temps de lecture en jours]]))</f>
      </c>
      <c r="X62" s="9">
        <f>IF(ISBLANK(Table1[[#This Row], [Date d''achat]]),"",IF(ISBLANK(Table1[[#This Row], [Date de fin de lecture FR]]),0,Table1[[#This Row], [Date de fin de lecture FR]]-Table1[[#This Row], [Date d''achat]]))</f>
      </c>
      <c r="Y62" s="10">
        <f>IF(ISBLANK(Table1[[#This Row], [Date de sortie]]),"",ROUNDDOWN(YEAR(Table1[[#This Row], [Date de sortie]]),-1))</f>
      </c>
    </row>
    <row x14ac:dyDescent="0.25" r="63" customHeight="1" ht="18.75">
      <c r="A63" s="1" t="s">
        <v>308</v>
      </c>
      <c r="B63" s="1" t="s">
        <v>309</v>
      </c>
      <c r="C63" s="9">
        <v>1</v>
      </c>
      <c r="D63" s="4"/>
      <c r="E63" s="4"/>
      <c r="F63" s="2"/>
      <c r="G63" s="1" t="s">
        <v>227</v>
      </c>
      <c r="H63" s="1" t="s">
        <v>310</v>
      </c>
      <c r="I63" s="9">
        <v>328</v>
      </c>
      <c r="J63" s="22">
        <v>40382</v>
      </c>
      <c r="K63" s="17"/>
      <c r="L63" s="17"/>
      <c r="M63" s="17"/>
      <c r="N63" s="19"/>
      <c r="O63" s="22"/>
      <c r="P63" s="49"/>
      <c r="Q63" s="49"/>
      <c r="R63" s="22"/>
      <c r="S63" s="19"/>
      <c r="T63" s="4">
        <f>IF(ISBLANK(Table1[[#This Row], [Date de fin de lecture FR]]),"",YEAR(Table1[[#This Row], [Date de fin de lecture FR]]))</f>
      </c>
      <c r="U63" s="10">
        <f>IF(ISBLANK(Table1[[#This Row], [Date de fin de lecture FR]]),"",MONTH(Table1[[#This Row], [Date de fin de lecture FR]]))</f>
      </c>
      <c r="V63" s="4">
        <f>IF(ISBLANK(Table1[[#This Row], [Date de début de lecture]]),"",(IF(ISBLANK(Table1[[#This Row], [Date de fin de lecture FR]]),0,Table1[[#This Row], [Date de fin de lecture FR]]-Table1[[#This Row], [Date de début de lecture]])))</f>
      </c>
      <c r="W63" s="46">
        <f>IF(Table1[[#This Row], [Temps de lecture en jours]]="","",IF(ISBLANK(Table1[[#This Row], [Nbr Pages]]),0,Table1[[#This Row], [Nbr Pages]]/Table1[[#This Row], [Temps de lecture en jours]]))</f>
      </c>
      <c r="X63" s="4">
        <f>IF(ISBLANK(Table1[[#This Row], [Date d''achat]]),"",IF(ISBLANK(Table1[[#This Row], [Date de fin de lecture FR]]),0,Table1[[#This Row], [Date de fin de lecture FR]]-Table1[[#This Row], [Date d''achat]]))</f>
      </c>
      <c r="Y63" s="10">
        <f>IF(ISBLANK(Table1[[#This Row], [Date de sortie]]),"",ROUNDDOWN(YEAR(Table1[[#This Row], [Date de sortie]]),-1))</f>
      </c>
    </row>
    <row x14ac:dyDescent="0.25" r="64" customHeight="1" ht="18.75">
      <c r="A64" s="1" t="s">
        <v>93</v>
      </c>
      <c r="B64" s="1" t="s">
        <v>311</v>
      </c>
      <c r="C64" s="9">
        <v>1</v>
      </c>
      <c r="D64" s="9">
        <v>1</v>
      </c>
      <c r="E64" s="9">
        <v>1</v>
      </c>
      <c r="F64" s="2"/>
      <c r="G64" s="1" t="s">
        <v>246</v>
      </c>
      <c r="H64" s="19"/>
      <c r="I64" s="9">
        <v>608</v>
      </c>
      <c r="J64" s="22">
        <v>42501</v>
      </c>
      <c r="K64" s="17"/>
      <c r="L64" s="17"/>
      <c r="M64" s="22">
        <v>43636</v>
      </c>
      <c r="N64" s="11" t="s">
        <v>255</v>
      </c>
      <c r="O64" s="21">
        <v>1</v>
      </c>
      <c r="P64" s="49"/>
      <c r="Q64" s="49"/>
      <c r="R64" s="11" t="s">
        <v>245</v>
      </c>
      <c r="S64" s="19"/>
      <c r="T64" s="9">
        <f>IF(ISBLANK(Table1[[#This Row], [Date de fin de lecture FR]]),"",YEAR(Table1[[#This Row], [Date de fin de lecture FR]]))</f>
      </c>
      <c r="U64" s="10">
        <f>IF(ISBLANK(Table1[[#This Row], [Date de fin de lecture FR]]),"",MONTH(Table1[[#This Row], [Date de fin de lecture FR]]))</f>
      </c>
      <c r="V64" s="4">
        <f>IF(ISBLANK(Table1[[#This Row], [Date de début de lecture]]),"",(IF(ISBLANK(Table1[[#This Row], [Date de fin de lecture FR]]),0,Table1[[#This Row], [Date de fin de lecture FR]]-Table1[[#This Row], [Date de début de lecture]])))</f>
      </c>
      <c r="W64" s="46">
        <f>IF(Table1[[#This Row], [Temps de lecture en jours]]="","",IF(ISBLANK(Table1[[#This Row], [Nbr Pages]]),0,Table1[[#This Row], [Nbr Pages]]/Table1[[#This Row], [Temps de lecture en jours]]))</f>
      </c>
      <c r="X64" s="4">
        <f>IF(ISBLANK(Table1[[#This Row], [Date d''achat]]),"",IF(ISBLANK(Table1[[#This Row], [Date de fin de lecture FR]]),0,Table1[[#This Row], [Date de fin de lecture FR]]-Table1[[#This Row], [Date d''achat]]))</f>
      </c>
      <c r="Y64" s="10">
        <f>IF(ISBLANK(Table1[[#This Row], [Date de sortie]]),"",ROUNDDOWN(YEAR(Table1[[#This Row], [Date de sortie]]),-1))</f>
      </c>
    </row>
    <row x14ac:dyDescent="0.25" r="65" customHeight="1" ht="18.75">
      <c r="A65" s="1" t="s">
        <v>94</v>
      </c>
      <c r="B65" s="1" t="s">
        <v>311</v>
      </c>
      <c r="C65" s="9">
        <v>1</v>
      </c>
      <c r="D65" s="9">
        <v>1</v>
      </c>
      <c r="E65" s="9">
        <v>1</v>
      </c>
      <c r="F65" s="2"/>
      <c r="G65" s="1" t="s">
        <v>246</v>
      </c>
      <c r="H65" s="19"/>
      <c r="I65" s="9">
        <v>704</v>
      </c>
      <c r="J65" s="22">
        <v>42306</v>
      </c>
      <c r="K65" s="17"/>
      <c r="L65" s="17"/>
      <c r="M65" s="22">
        <v>43644</v>
      </c>
      <c r="N65" s="11" t="s">
        <v>255</v>
      </c>
      <c r="O65" s="21">
        <v>2</v>
      </c>
      <c r="P65" s="49"/>
      <c r="Q65" s="49"/>
      <c r="R65" s="11" t="s">
        <v>245</v>
      </c>
      <c r="S65" s="19"/>
      <c r="T65" s="9">
        <f>IF(ISBLANK(Table1[[#This Row], [Date de fin de lecture FR]]),"",YEAR(Table1[[#This Row], [Date de fin de lecture FR]]))</f>
      </c>
      <c r="U65" s="10">
        <f>IF(ISBLANK(Table1[[#This Row], [Date de fin de lecture FR]]),"",MONTH(Table1[[#This Row], [Date de fin de lecture FR]]))</f>
      </c>
      <c r="V65" s="4">
        <f>IF(ISBLANK(Table1[[#This Row], [Date de début de lecture]]),"",(IF(ISBLANK(Table1[[#This Row], [Date de fin de lecture FR]]),0,Table1[[#This Row], [Date de fin de lecture FR]]-Table1[[#This Row], [Date de début de lecture]])))</f>
      </c>
      <c r="W65" s="46">
        <f>IF(Table1[[#This Row], [Temps de lecture en jours]]="","",IF(ISBLANK(Table1[[#This Row], [Nbr Pages]]),0,Table1[[#This Row], [Nbr Pages]]/Table1[[#This Row], [Temps de lecture en jours]]))</f>
      </c>
      <c r="X65" s="4">
        <f>IF(ISBLANK(Table1[[#This Row], [Date d''achat]]),"",IF(ISBLANK(Table1[[#This Row], [Date de fin de lecture FR]]),0,Table1[[#This Row], [Date de fin de lecture FR]]-Table1[[#This Row], [Date d''achat]]))</f>
      </c>
      <c r="Y65" s="10">
        <f>IF(ISBLANK(Table1[[#This Row], [Date de sortie]]),"",ROUNDDOWN(YEAR(Table1[[#This Row], [Date de sortie]]),-1))</f>
      </c>
    </row>
    <row x14ac:dyDescent="0.25" r="66" customHeight="1" ht="18.75">
      <c r="A66" s="1" t="s">
        <v>95</v>
      </c>
      <c r="B66" s="1" t="s">
        <v>311</v>
      </c>
      <c r="C66" s="9">
        <v>1</v>
      </c>
      <c r="D66" s="9">
        <v>1</v>
      </c>
      <c r="E66" s="4"/>
      <c r="F66" s="2"/>
      <c r="G66" s="1" t="s">
        <v>246</v>
      </c>
      <c r="H66" s="19"/>
      <c r="I66" s="9">
        <v>576</v>
      </c>
      <c r="J66" s="22">
        <v>42887</v>
      </c>
      <c r="K66" s="17"/>
      <c r="L66" s="17"/>
      <c r="M66" s="22">
        <v>43658</v>
      </c>
      <c r="N66" s="11" t="s">
        <v>255</v>
      </c>
      <c r="O66" s="21">
        <v>3</v>
      </c>
      <c r="P66" s="49"/>
      <c r="Q66" s="49"/>
      <c r="R66" s="11" t="s">
        <v>245</v>
      </c>
      <c r="S66" s="19"/>
      <c r="T66" s="9">
        <f>IF(ISBLANK(Table1[[#This Row], [Date de fin de lecture FR]]),"",YEAR(Table1[[#This Row], [Date de fin de lecture FR]]))</f>
      </c>
      <c r="U66" s="10">
        <f>IF(ISBLANK(Table1[[#This Row], [Date de fin de lecture FR]]),"",MONTH(Table1[[#This Row], [Date de fin de lecture FR]]))</f>
      </c>
      <c r="V66" s="4">
        <f>IF(ISBLANK(Table1[[#This Row], [Date de début de lecture]]),"",(IF(ISBLANK(Table1[[#This Row], [Date de fin de lecture FR]]),0,Table1[[#This Row], [Date de fin de lecture FR]]-Table1[[#This Row], [Date de début de lecture]])))</f>
      </c>
      <c r="W66" s="46">
        <f>IF(Table1[[#This Row], [Temps de lecture en jours]]="","",IF(ISBLANK(Table1[[#This Row], [Nbr Pages]]),0,Table1[[#This Row], [Nbr Pages]]/Table1[[#This Row], [Temps de lecture en jours]]))</f>
      </c>
      <c r="X66" s="4">
        <f>IF(ISBLANK(Table1[[#This Row], [Date d''achat]]),"",IF(ISBLANK(Table1[[#This Row], [Date de fin de lecture FR]]),0,Table1[[#This Row], [Date de fin de lecture FR]]-Table1[[#This Row], [Date d''achat]]))</f>
      </c>
      <c r="Y66" s="10">
        <f>IF(ISBLANK(Table1[[#This Row], [Date de sortie]]),"",ROUNDDOWN(YEAR(Table1[[#This Row], [Date de sortie]]),-1))</f>
      </c>
    </row>
    <row x14ac:dyDescent="0.25" r="67" customHeight="1" ht="18.75">
      <c r="A67" s="1" t="s">
        <v>96</v>
      </c>
      <c r="B67" s="1" t="s">
        <v>312</v>
      </c>
      <c r="C67" s="9">
        <v>1</v>
      </c>
      <c r="D67" s="9">
        <v>1</v>
      </c>
      <c r="E67" s="9">
        <v>1</v>
      </c>
      <c r="F67" s="2"/>
      <c r="G67" s="1" t="s">
        <v>227</v>
      </c>
      <c r="H67" s="1" t="s">
        <v>243</v>
      </c>
      <c r="I67" s="9">
        <v>448</v>
      </c>
      <c r="J67" s="22">
        <v>43327</v>
      </c>
      <c r="K67" s="22">
        <v>44044</v>
      </c>
      <c r="L67" s="17"/>
      <c r="M67" s="22">
        <v>44055</v>
      </c>
      <c r="N67" s="11" t="s">
        <v>244</v>
      </c>
      <c r="O67" s="17"/>
      <c r="P67" s="49"/>
      <c r="Q67" s="49"/>
      <c r="R67" s="11" t="s">
        <v>245</v>
      </c>
      <c r="S67" s="1" t="s">
        <v>313</v>
      </c>
      <c r="T67" s="9">
        <f>IF(ISBLANK(Table1[[#This Row], [Date de fin de lecture FR]]),"",YEAR(Table1[[#This Row], [Date de fin de lecture FR]]))</f>
      </c>
      <c r="U67" s="10">
        <f>IF(ISBLANK(Table1[[#This Row], [Date de fin de lecture FR]]),"",MONTH(Table1[[#This Row], [Date de fin de lecture FR]]))</f>
      </c>
      <c r="V67" s="4">
        <f>IF(ISBLANK(Table1[[#This Row], [Date de début de lecture]]),"",(IF(ISBLANK(Table1[[#This Row], [Date de fin de lecture FR]]),0,Table1[[#This Row], [Date de fin de lecture FR]]-Table1[[#This Row], [Date de début de lecture]])))</f>
      </c>
      <c r="W67" s="46">
        <f>IF(Table1[[#This Row], [Temps de lecture en jours]]="","",IF(ISBLANK(Table1[[#This Row], [Nbr Pages]]),0,Table1[[#This Row], [Nbr Pages]]/Table1[[#This Row], [Temps de lecture en jours]]))</f>
      </c>
      <c r="X67" s="9">
        <f>IF(ISBLANK(Table1[[#This Row], [Date d''achat]]),"",IF(ISBLANK(Table1[[#This Row], [Date de fin de lecture FR]]),0,Table1[[#This Row], [Date de fin de lecture FR]]-Table1[[#This Row], [Date d''achat]]))</f>
      </c>
      <c r="Y67" s="10">
        <f>IF(ISBLANK(Table1[[#This Row], [Date de sortie]]),"",ROUNDDOWN(YEAR(Table1[[#This Row], [Date de sortie]]),-1))</f>
      </c>
    </row>
    <row x14ac:dyDescent="0.25" r="68" customHeight="1" ht="18.75">
      <c r="A68" s="1" t="s">
        <v>97</v>
      </c>
      <c r="B68" s="1" t="s">
        <v>314</v>
      </c>
      <c r="C68" s="4"/>
      <c r="D68" s="9">
        <v>1</v>
      </c>
      <c r="E68" s="9">
        <v>1</v>
      </c>
      <c r="F68" s="2"/>
      <c r="G68" s="1" t="s">
        <v>246</v>
      </c>
      <c r="H68" s="19"/>
      <c r="I68" s="9">
        <v>702</v>
      </c>
      <c r="J68" s="22">
        <v>43709</v>
      </c>
      <c r="K68" s="17"/>
      <c r="L68" s="17"/>
      <c r="M68" s="22">
        <v>37987</v>
      </c>
      <c r="N68" s="11" t="s">
        <v>255</v>
      </c>
      <c r="O68" s="21">
        <v>1</v>
      </c>
      <c r="P68" s="49"/>
      <c r="Q68" s="49"/>
      <c r="R68" s="11" t="s">
        <v>245</v>
      </c>
      <c r="S68" s="19"/>
      <c r="T68" s="9">
        <f>IF(ISBLANK(Table1[[#This Row], [Date de fin de lecture FR]]),"",YEAR(Table1[[#This Row], [Date de fin de lecture FR]]))</f>
      </c>
      <c r="U68" s="10">
        <f>IF(ISBLANK(Table1[[#This Row], [Date de fin de lecture FR]]),"",MONTH(Table1[[#This Row], [Date de fin de lecture FR]]))</f>
      </c>
      <c r="V68" s="4">
        <f>IF(ISBLANK(Table1[[#This Row], [Date de début de lecture]]),"",(IF(ISBLANK(Table1[[#This Row], [Date de fin de lecture FR]]),0,Table1[[#This Row], [Date de fin de lecture FR]]-Table1[[#This Row], [Date de début de lecture]])))</f>
      </c>
      <c r="W68" s="46">
        <f>IF(Table1[[#This Row], [Temps de lecture en jours]]="","",IF(ISBLANK(Table1[[#This Row], [Nbr Pages]]),0,Table1[[#This Row], [Nbr Pages]]/Table1[[#This Row], [Temps de lecture en jours]]))</f>
      </c>
      <c r="X68" s="4">
        <f>IF(ISBLANK(Table1[[#This Row], [Date d''achat]]),"",IF(ISBLANK(Table1[[#This Row], [Date de fin de lecture FR]]),0,Table1[[#This Row], [Date de fin de lecture FR]]-Table1[[#This Row], [Date d''achat]]))</f>
      </c>
      <c r="Y68" s="10">
        <f>IF(ISBLANK(Table1[[#This Row], [Date de sortie]]),"",ROUNDDOWN(YEAR(Table1[[#This Row], [Date de sortie]]),-1))</f>
      </c>
    </row>
    <row x14ac:dyDescent="0.25" r="69" customHeight="1" ht="18.75">
      <c r="A69" s="1" t="s">
        <v>98</v>
      </c>
      <c r="B69" s="1" t="s">
        <v>315</v>
      </c>
      <c r="C69" s="9">
        <v>1</v>
      </c>
      <c r="D69" s="9">
        <v>1</v>
      </c>
      <c r="E69" s="9">
        <v>1</v>
      </c>
      <c r="F69" s="2"/>
      <c r="G69" s="1" t="s">
        <v>246</v>
      </c>
      <c r="H69" s="19"/>
      <c r="I69" s="9">
        <v>512</v>
      </c>
      <c r="J69" s="22">
        <v>39030</v>
      </c>
      <c r="K69" s="17"/>
      <c r="L69" s="17"/>
      <c r="M69" s="22">
        <v>43493</v>
      </c>
      <c r="N69" s="11" t="s">
        <v>244</v>
      </c>
      <c r="O69" s="17"/>
      <c r="P69" s="49"/>
      <c r="Q69" s="49"/>
      <c r="R69" s="11" t="s">
        <v>245</v>
      </c>
      <c r="S69" s="19"/>
      <c r="T69" s="9">
        <f>IF(ISBLANK(Table1[[#This Row], [Date de fin de lecture FR]]),"",YEAR(Table1[[#This Row], [Date de fin de lecture FR]]))</f>
      </c>
      <c r="U69" s="10">
        <f>IF(ISBLANK(Table1[[#This Row], [Date de fin de lecture FR]]),"",MONTH(Table1[[#This Row], [Date de fin de lecture FR]]))</f>
      </c>
      <c r="V69" s="4">
        <f>IF(ISBLANK(Table1[[#This Row], [Date de début de lecture]]),"",(IF(ISBLANK(Table1[[#This Row], [Date de fin de lecture FR]]),0,Table1[[#This Row], [Date de fin de lecture FR]]-Table1[[#This Row], [Date de début de lecture]])))</f>
      </c>
      <c r="W69" s="46">
        <f>IF(Table1[[#This Row], [Temps de lecture en jours]]="","",IF(ISBLANK(Table1[[#This Row], [Nbr Pages]]),0,Table1[[#This Row], [Nbr Pages]]/Table1[[#This Row], [Temps de lecture en jours]]))</f>
      </c>
      <c r="X69" s="4">
        <f>IF(ISBLANK(Table1[[#This Row], [Date d''achat]]),"",IF(ISBLANK(Table1[[#This Row], [Date de fin de lecture FR]]),0,Table1[[#This Row], [Date de fin de lecture FR]]-Table1[[#This Row], [Date d''achat]]))</f>
      </c>
      <c r="Y69" s="10">
        <f>IF(ISBLANK(Table1[[#This Row], [Date de sortie]]),"",ROUNDDOWN(YEAR(Table1[[#This Row], [Date de sortie]]),-1))</f>
      </c>
    </row>
    <row x14ac:dyDescent="0.25" r="70" customHeight="1" ht="18.75">
      <c r="A70" s="1" t="s">
        <v>99</v>
      </c>
      <c r="B70" s="1" t="s">
        <v>316</v>
      </c>
      <c r="C70" s="9">
        <v>1</v>
      </c>
      <c r="D70" s="9">
        <v>1</v>
      </c>
      <c r="E70" s="9">
        <v>1</v>
      </c>
      <c r="F70" s="2"/>
      <c r="G70" s="1" t="s">
        <v>227</v>
      </c>
      <c r="H70" s="1" t="s">
        <v>243</v>
      </c>
      <c r="I70" s="9">
        <v>290</v>
      </c>
      <c r="J70" s="22">
        <v>35294</v>
      </c>
      <c r="K70" s="17"/>
      <c r="L70" s="17"/>
      <c r="M70" s="17"/>
      <c r="N70" s="11" t="s">
        <v>244</v>
      </c>
      <c r="O70" s="17"/>
      <c r="P70" s="49"/>
      <c r="Q70" s="49"/>
      <c r="R70" s="11" t="s">
        <v>245</v>
      </c>
      <c r="S70" s="19"/>
      <c r="T70" s="4">
        <f>IF(ISBLANK(Table1[[#This Row], [Date de fin de lecture FR]]),"",YEAR(Table1[[#This Row], [Date de fin de lecture FR]]))</f>
      </c>
      <c r="U70" s="10">
        <f>IF(ISBLANK(Table1[[#This Row], [Date de fin de lecture FR]]),"",MONTH(Table1[[#This Row], [Date de fin de lecture FR]]))</f>
      </c>
      <c r="V70" s="4">
        <f>IF(ISBLANK(Table1[[#This Row], [Date de début de lecture]]),"",(IF(ISBLANK(Table1[[#This Row], [Date de fin de lecture FR]]),0,Table1[[#This Row], [Date de fin de lecture FR]]-Table1[[#This Row], [Date de début de lecture]])))</f>
      </c>
      <c r="W70" s="46">
        <f>IF(Table1[[#This Row], [Temps de lecture en jours]]="","",IF(ISBLANK(Table1[[#This Row], [Nbr Pages]]),0,Table1[[#This Row], [Nbr Pages]]/Table1[[#This Row], [Temps de lecture en jours]]))</f>
      </c>
      <c r="X70" s="4">
        <f>IF(ISBLANK(Table1[[#This Row], [Date d''achat]]),"",IF(ISBLANK(Table1[[#This Row], [Date de fin de lecture FR]]),0,Table1[[#This Row], [Date de fin de lecture FR]]-Table1[[#This Row], [Date d''achat]]))</f>
      </c>
      <c r="Y70" s="10">
        <f>IF(ISBLANK(Table1[[#This Row], [Date de sortie]]),"",ROUNDDOWN(YEAR(Table1[[#This Row], [Date de sortie]]),-1))</f>
      </c>
    </row>
    <row x14ac:dyDescent="0.25" r="71" customHeight="1" ht="18.75">
      <c r="A71" s="1" t="s">
        <v>317</v>
      </c>
      <c r="B71" s="1" t="s">
        <v>318</v>
      </c>
      <c r="C71" s="4"/>
      <c r="D71" s="4"/>
      <c r="E71" s="4"/>
      <c r="F71" s="47" t="s">
        <v>29</v>
      </c>
      <c r="G71" s="1" t="s">
        <v>299</v>
      </c>
      <c r="H71" s="19"/>
      <c r="I71" s="9">
        <v>845</v>
      </c>
      <c r="J71" s="22">
        <v>43648</v>
      </c>
      <c r="K71" s="17"/>
      <c r="L71" s="17"/>
      <c r="M71" s="17"/>
      <c r="N71" s="19"/>
      <c r="O71" s="22"/>
      <c r="P71" s="49"/>
      <c r="Q71" s="49"/>
      <c r="R71" s="22"/>
      <c r="S71" s="19"/>
      <c r="T71" s="4">
        <f>IF(ISBLANK(Table1[[#This Row], [Date de fin de lecture FR]]),"",YEAR(Table1[[#This Row], [Date de fin de lecture FR]]))</f>
      </c>
      <c r="U71" s="10">
        <f>IF(ISBLANK(Table1[[#This Row], [Date de fin de lecture FR]]),"",MONTH(Table1[[#This Row], [Date de fin de lecture FR]]))</f>
      </c>
      <c r="V71" s="4">
        <f>IF(ISBLANK(Table1[[#This Row], [Date de début de lecture]]),"",(IF(ISBLANK(Table1[[#This Row], [Date de fin de lecture FR]]),0,Table1[[#This Row], [Date de fin de lecture FR]]-Table1[[#This Row], [Date de début de lecture]])))</f>
      </c>
      <c r="W71" s="46">
        <f>IF(Table1[[#This Row], [Temps de lecture en jours]]="","",IF(ISBLANK(Table1[[#This Row], [Nbr Pages]]),0,Table1[[#This Row], [Nbr Pages]]/Table1[[#This Row], [Temps de lecture en jours]]))</f>
      </c>
      <c r="X71" s="4">
        <f>IF(ISBLANK(Table1[[#This Row], [Date d''achat]]),"",IF(ISBLANK(Table1[[#This Row], [Date de fin de lecture FR]]),0,Table1[[#This Row], [Date de fin de lecture FR]]-Table1[[#This Row], [Date d''achat]]))</f>
      </c>
      <c r="Y71" s="10">
        <f>IF(ISBLANK(Table1[[#This Row], [Date de sortie]]),"",ROUNDDOWN(YEAR(Table1[[#This Row], [Date de sortie]]),-1))</f>
      </c>
    </row>
    <row x14ac:dyDescent="0.25" r="72" customHeight="1" ht="18.75">
      <c r="A72" s="1" t="s">
        <v>319</v>
      </c>
      <c r="B72" s="1" t="s">
        <v>320</v>
      </c>
      <c r="C72" s="9">
        <v>1</v>
      </c>
      <c r="D72" s="4"/>
      <c r="E72" s="4"/>
      <c r="F72" s="2"/>
      <c r="G72" s="1" t="s">
        <v>227</v>
      </c>
      <c r="H72" s="19"/>
      <c r="I72" s="9">
        <v>310</v>
      </c>
      <c r="J72" s="22">
        <v>18994</v>
      </c>
      <c r="K72" s="17"/>
      <c r="L72" s="17"/>
      <c r="M72" s="17"/>
      <c r="N72" s="19"/>
      <c r="O72" s="22"/>
      <c r="P72" s="49"/>
      <c r="Q72" s="49"/>
      <c r="R72" s="22"/>
      <c r="S72" s="19"/>
      <c r="T72" s="4">
        <f>IF(ISBLANK(Table1[[#This Row], [Date de fin de lecture FR]]),"",YEAR(Table1[[#This Row], [Date de fin de lecture FR]]))</f>
      </c>
      <c r="U72" s="10">
        <f>IF(ISBLANK(Table1[[#This Row], [Date de fin de lecture FR]]),"",MONTH(Table1[[#This Row], [Date de fin de lecture FR]]))</f>
      </c>
      <c r="V72" s="4">
        <f>IF(ISBLANK(Table1[[#This Row], [Date de début de lecture]]),"",(IF(ISBLANK(Table1[[#This Row], [Date de fin de lecture FR]]),0,Table1[[#This Row], [Date de fin de lecture FR]]-Table1[[#This Row], [Date de début de lecture]])))</f>
      </c>
      <c r="W72" s="46">
        <f>IF(Table1[[#This Row], [Temps de lecture en jours]]="","",IF(ISBLANK(Table1[[#This Row], [Nbr Pages]]),0,Table1[[#This Row], [Nbr Pages]]/Table1[[#This Row], [Temps de lecture en jours]]))</f>
      </c>
      <c r="X72" s="4">
        <f>IF(ISBLANK(Table1[[#This Row], [Date d''achat]]),"",IF(ISBLANK(Table1[[#This Row], [Date de fin de lecture FR]]),0,Table1[[#This Row], [Date de fin de lecture FR]]-Table1[[#This Row], [Date d''achat]]))</f>
      </c>
      <c r="Y72" s="10">
        <f>IF(ISBLANK(Table1[[#This Row], [Date de sortie]]),"",ROUNDDOWN(YEAR(Table1[[#This Row], [Date de sortie]]),-1))</f>
      </c>
    </row>
    <row x14ac:dyDescent="0.25" r="73" customHeight="1" ht="18.75">
      <c r="A73" s="1" t="s">
        <v>321</v>
      </c>
      <c r="B73" s="1" t="s">
        <v>322</v>
      </c>
      <c r="C73" s="4"/>
      <c r="D73" s="4"/>
      <c r="E73" s="4"/>
      <c r="F73" s="47" t="s">
        <v>29</v>
      </c>
      <c r="G73" s="51"/>
      <c r="H73" s="19"/>
      <c r="I73" s="4"/>
      <c r="J73" s="17"/>
      <c r="K73" s="17"/>
      <c r="L73" s="17"/>
      <c r="M73" s="17"/>
      <c r="N73" s="19"/>
      <c r="O73" s="22"/>
      <c r="P73" s="52">
        <v>9782298038231</v>
      </c>
      <c r="Q73" s="49"/>
      <c r="R73" s="19"/>
      <c r="S73" s="10" t="s">
        <v>303</v>
      </c>
      <c r="T73" s="4">
        <f>IF(ISBLANK(Table1[[#This Row], [Date de fin de lecture FR]]),"",YEAR(Table1[[#This Row], [Date de fin de lecture FR]]))</f>
      </c>
      <c r="U73" s="10">
        <f>IF(ISBLANK(Table1[[#This Row], [Date de fin de lecture FR]]),"",MONTH(Table1[[#This Row], [Date de fin de lecture FR]]))</f>
      </c>
      <c r="V73" s="4">
        <f>IF(ISBLANK(Table1[[#This Row], [Date de début de lecture]]),"",(IF(ISBLANK(Table1[[#This Row], [Date de fin de lecture FR]]),0,Table1[[#This Row], [Date de fin de lecture FR]]-Table1[[#This Row], [Date de début de lecture]])))</f>
      </c>
      <c r="W73" s="46">
        <f>IF(Table1[[#This Row], [Temps de lecture en jours]]="","",IF(ISBLANK(Table1[[#This Row], [Nbr Pages]]),0,Table1[[#This Row], [Nbr Pages]]/Table1[[#This Row], [Temps de lecture en jours]]))</f>
      </c>
      <c r="X73" s="4">
        <f>IF(ISBLANK(Table1[[#This Row], [Date d''achat]]),"",IF(ISBLANK(Table1[[#This Row], [Date de fin de lecture FR]]),0,Table1[[#This Row], [Date de fin de lecture FR]]-Table1[[#This Row], [Date d''achat]]))</f>
      </c>
      <c r="Y73" s="10">
        <f>IF(ISBLANK(Table1[[#This Row], [Date de sortie]]),"",ROUNDDOWN(YEAR(Table1[[#This Row], [Date de sortie]]),-1))</f>
      </c>
    </row>
    <row x14ac:dyDescent="0.25" r="74" customHeight="1" ht="18.75">
      <c r="A74" s="1" t="s">
        <v>323</v>
      </c>
      <c r="B74" s="1" t="s">
        <v>324</v>
      </c>
      <c r="C74" s="4"/>
      <c r="D74" s="4"/>
      <c r="E74" s="4"/>
      <c r="F74" s="47" t="s">
        <v>29</v>
      </c>
      <c r="G74" s="19"/>
      <c r="H74" s="19"/>
      <c r="I74" s="9">
        <v>256</v>
      </c>
      <c r="J74" s="22">
        <v>38986</v>
      </c>
      <c r="K74" s="17"/>
      <c r="L74" s="17"/>
      <c r="M74" s="17"/>
      <c r="N74" s="19"/>
      <c r="O74" s="22"/>
      <c r="P74" s="49"/>
      <c r="Q74" s="49"/>
      <c r="R74" s="22"/>
      <c r="S74" s="1" t="s">
        <v>325</v>
      </c>
      <c r="T74" s="4">
        <f>IF(ISBLANK(Table1[[#This Row], [Date de fin de lecture FR]]),"",YEAR(Table1[[#This Row], [Date de fin de lecture FR]]))</f>
      </c>
      <c r="U74" s="10">
        <f>IF(ISBLANK(Table1[[#This Row], [Date de fin de lecture FR]]),"",MONTH(Table1[[#This Row], [Date de fin de lecture FR]]))</f>
      </c>
      <c r="V74" s="4">
        <f>IF(ISBLANK(Table1[[#This Row], [Date de début de lecture]]),"",(IF(ISBLANK(Table1[[#This Row], [Date de fin de lecture FR]]),0,Table1[[#This Row], [Date de fin de lecture FR]]-Table1[[#This Row], [Date de début de lecture]])))</f>
      </c>
      <c r="W74" s="46">
        <f>IF(Table1[[#This Row], [Temps de lecture en jours]]="","",IF(ISBLANK(Table1[[#This Row], [Nbr Pages]]),0,Table1[[#This Row], [Nbr Pages]]/Table1[[#This Row], [Temps de lecture en jours]]))</f>
      </c>
      <c r="X74" s="4">
        <f>IF(ISBLANK(Table1[[#This Row], [Date d''achat]]),"",IF(ISBLANK(Table1[[#This Row], [Date de fin de lecture FR]]),0,Table1[[#This Row], [Date de fin de lecture FR]]-Table1[[#This Row], [Date d''achat]]))</f>
      </c>
      <c r="Y74" s="10">
        <f>IF(ISBLANK(Table1[[#This Row], [Date de sortie]]),"",ROUNDDOWN(YEAR(Table1[[#This Row], [Date de sortie]]),-1))</f>
      </c>
    </row>
    <row x14ac:dyDescent="0.25" r="75" customHeight="1" ht="18.75">
      <c r="A75" s="1" t="s">
        <v>326</v>
      </c>
      <c r="B75" s="1" t="s">
        <v>327</v>
      </c>
      <c r="C75" s="4"/>
      <c r="D75" s="4"/>
      <c r="E75" s="4"/>
      <c r="F75" s="47" t="s">
        <v>29</v>
      </c>
      <c r="G75" s="10" t="s">
        <v>227</v>
      </c>
      <c r="H75" s="19"/>
      <c r="I75" s="4"/>
      <c r="J75" s="17"/>
      <c r="K75" s="17"/>
      <c r="L75" s="17"/>
      <c r="M75" s="17"/>
      <c r="N75" s="19"/>
      <c r="O75" s="22"/>
      <c r="P75" s="49"/>
      <c r="Q75" s="49"/>
      <c r="R75" s="19"/>
      <c r="S75" s="10" t="s">
        <v>303</v>
      </c>
      <c r="T75" s="4">
        <f>IF(ISBLANK(Table1[[#This Row], [Date de fin de lecture FR]]),"",YEAR(Table1[[#This Row], [Date de fin de lecture FR]]))</f>
      </c>
      <c r="U75" s="10">
        <f>IF(ISBLANK(Table1[[#This Row], [Date de fin de lecture FR]]),"",MONTH(Table1[[#This Row], [Date de fin de lecture FR]]))</f>
      </c>
      <c r="V75" s="4">
        <f>IF(ISBLANK(Table1[[#This Row], [Date de début de lecture]]),"",(IF(ISBLANK(Table1[[#This Row], [Date de fin de lecture FR]]),0,Table1[[#This Row], [Date de fin de lecture FR]]-Table1[[#This Row], [Date de début de lecture]])))</f>
      </c>
      <c r="W75" s="46">
        <f>IF(Table1[[#This Row], [Temps de lecture en jours]]="","",IF(ISBLANK(Table1[[#This Row], [Nbr Pages]]),0,Table1[[#This Row], [Nbr Pages]]/Table1[[#This Row], [Temps de lecture en jours]]))</f>
      </c>
      <c r="X75" s="4">
        <f>IF(ISBLANK(Table1[[#This Row], [Date d''achat]]),"",IF(ISBLANK(Table1[[#This Row], [Date de fin de lecture FR]]),0,Table1[[#This Row], [Date de fin de lecture FR]]-Table1[[#This Row], [Date d''achat]]))</f>
      </c>
      <c r="Y75" s="10">
        <f>IF(ISBLANK(Table1[[#This Row], [Date de sortie]]),"",ROUNDDOWN(YEAR(Table1[[#This Row], [Date de sortie]]),-1))</f>
      </c>
    </row>
    <row x14ac:dyDescent="0.25" r="76" customHeight="1" ht="18.75">
      <c r="A76" s="1" t="s">
        <v>328</v>
      </c>
      <c r="B76" s="1" t="s">
        <v>329</v>
      </c>
      <c r="C76" s="4"/>
      <c r="D76" s="4"/>
      <c r="E76" s="4"/>
      <c r="F76" s="47" t="s">
        <v>29</v>
      </c>
      <c r="G76" s="1" t="s">
        <v>227</v>
      </c>
      <c r="H76" s="19"/>
      <c r="I76" s="9">
        <v>251</v>
      </c>
      <c r="J76" s="22">
        <v>24108</v>
      </c>
      <c r="K76" s="17"/>
      <c r="L76" s="17"/>
      <c r="M76" s="17"/>
      <c r="N76" s="19"/>
      <c r="O76" s="22"/>
      <c r="P76" s="49"/>
      <c r="Q76" s="49"/>
      <c r="R76" s="22"/>
      <c r="S76" s="19"/>
      <c r="T76" s="4">
        <f>IF(ISBLANK(Table1[[#This Row], [Date de fin de lecture FR]]),"",YEAR(Table1[[#This Row], [Date de fin de lecture FR]]))</f>
      </c>
      <c r="U76" s="10">
        <f>IF(ISBLANK(Table1[[#This Row], [Date de fin de lecture FR]]),"",MONTH(Table1[[#This Row], [Date de fin de lecture FR]]))</f>
      </c>
      <c r="V76" s="4">
        <f>IF(ISBLANK(Table1[[#This Row], [Date de début de lecture]]),"",(IF(ISBLANK(Table1[[#This Row], [Date de fin de lecture FR]]),0,Table1[[#This Row], [Date de fin de lecture FR]]-Table1[[#This Row], [Date de début de lecture]])))</f>
      </c>
      <c r="W76" s="46">
        <f>IF(Table1[[#This Row], [Temps de lecture en jours]]="","",IF(ISBLANK(Table1[[#This Row], [Nbr Pages]]),0,Table1[[#This Row], [Nbr Pages]]/Table1[[#This Row], [Temps de lecture en jours]]))</f>
      </c>
      <c r="X76" s="4">
        <f>IF(ISBLANK(Table1[[#This Row], [Date d''achat]]),"",IF(ISBLANK(Table1[[#This Row], [Date de fin de lecture FR]]),0,Table1[[#This Row], [Date de fin de lecture FR]]-Table1[[#This Row], [Date d''achat]]))</f>
      </c>
      <c r="Y76" s="10">
        <f>IF(ISBLANK(Table1[[#This Row], [Date de sortie]]),"",ROUNDDOWN(YEAR(Table1[[#This Row], [Date de sortie]]),-1))</f>
      </c>
    </row>
    <row x14ac:dyDescent="0.25" r="77" customHeight="1" ht="18.75">
      <c r="A77" s="1" t="s">
        <v>67</v>
      </c>
      <c r="B77" s="1" t="s">
        <v>330</v>
      </c>
      <c r="C77" s="9">
        <v>1</v>
      </c>
      <c r="D77" s="9">
        <v>1</v>
      </c>
      <c r="E77" s="9">
        <v>1</v>
      </c>
      <c r="F77" s="2"/>
      <c r="G77" s="1" t="s">
        <v>246</v>
      </c>
      <c r="H77" s="1" t="s">
        <v>331</v>
      </c>
      <c r="I77" s="9">
        <v>440</v>
      </c>
      <c r="J77" s="22">
        <v>44128</v>
      </c>
      <c r="K77" s="22">
        <v>44555</v>
      </c>
      <c r="L77" s="22">
        <v>44560</v>
      </c>
      <c r="M77" s="22">
        <v>44571</v>
      </c>
      <c r="N77" s="11" t="s">
        <v>255</v>
      </c>
      <c r="O77" s="21">
        <v>1</v>
      </c>
      <c r="P77" s="49"/>
      <c r="Q77" s="49"/>
      <c r="R77" s="11" t="s">
        <v>245</v>
      </c>
      <c r="S77" s="1" t="s">
        <v>332</v>
      </c>
      <c r="T77" s="9">
        <f>IF(ISBLANK(Table1[[#This Row], [Date de fin de lecture FR]]),"",YEAR(Table1[[#This Row], [Date de fin de lecture FR]]))</f>
      </c>
      <c r="U77" s="10">
        <f>IF(ISBLANK(Table1[[#This Row], [Date de fin de lecture FR]]),"",MONTH(Table1[[#This Row], [Date de fin de lecture FR]]))</f>
      </c>
      <c r="V77" s="9">
        <f>IF(ISBLANK(Table1[[#This Row], [Date de début de lecture]]),"",(IF(ISBLANK(Table1[[#This Row], [Date de fin de lecture FR]]),0,Table1[[#This Row], [Date de fin de lecture FR]]-Table1[[#This Row], [Date de début de lecture]])))</f>
      </c>
      <c r="W77" s="46">
        <f>IF(Table1[[#This Row], [Temps de lecture en jours]]="","",IF(ISBLANK(Table1[[#This Row], [Nbr Pages]]),0,Table1[[#This Row], [Nbr Pages]]/Table1[[#This Row], [Temps de lecture en jours]]))</f>
      </c>
      <c r="X77" s="9">
        <f>IF(ISBLANK(Table1[[#This Row], [Date d''achat]]),"",IF(ISBLANK(Table1[[#This Row], [Date de fin de lecture FR]]),0,Table1[[#This Row], [Date de fin de lecture FR]]-Table1[[#This Row], [Date d''achat]]))</f>
      </c>
      <c r="Y77" s="10">
        <f>IF(ISBLANK(Table1[[#This Row], [Date de sortie]]),"",ROUNDDOWN(YEAR(Table1[[#This Row], [Date de sortie]]),-1))</f>
      </c>
    </row>
    <row x14ac:dyDescent="0.25" r="78" customHeight="1" ht="18.75">
      <c r="A78" s="1" t="s">
        <v>333</v>
      </c>
      <c r="B78" s="1" t="s">
        <v>330</v>
      </c>
      <c r="C78" s="4"/>
      <c r="D78" s="4"/>
      <c r="E78" s="4"/>
      <c r="F78" s="47" t="s">
        <v>29</v>
      </c>
      <c r="G78" s="1" t="s">
        <v>246</v>
      </c>
      <c r="H78" s="19"/>
      <c r="I78" s="4"/>
      <c r="J78" s="17"/>
      <c r="K78" s="17"/>
      <c r="L78" s="17"/>
      <c r="M78" s="17"/>
      <c r="N78" s="19"/>
      <c r="O78" s="22"/>
      <c r="P78" s="49"/>
      <c r="Q78" s="49"/>
      <c r="R78" s="22"/>
      <c r="S78" s="19"/>
      <c r="T78" s="4">
        <f>IF(ISBLANK(Table1[[#This Row], [Date de fin de lecture FR]]),"",YEAR(Table1[[#This Row], [Date de fin de lecture FR]]))</f>
      </c>
      <c r="U78" s="10">
        <f>IF(ISBLANK(Table1[[#This Row], [Date de fin de lecture FR]]),"",MONTH(Table1[[#This Row], [Date de fin de lecture FR]]))</f>
      </c>
      <c r="V78" s="4">
        <f>IF(ISBLANK(Table1[[#This Row], [Date de début de lecture]]),"",(IF(ISBLANK(Table1[[#This Row], [Date de fin de lecture FR]]),0,Table1[[#This Row], [Date de fin de lecture FR]]-Table1[[#This Row], [Date de début de lecture]])))</f>
      </c>
      <c r="W78" s="46">
        <f>IF(Table1[[#This Row], [Temps de lecture en jours]]="","",IF(ISBLANK(Table1[[#This Row], [Nbr Pages]]),0,Table1[[#This Row], [Nbr Pages]]/Table1[[#This Row], [Temps de lecture en jours]]))</f>
      </c>
      <c r="X78" s="4">
        <f>IF(ISBLANK(Table1[[#This Row], [Date d''achat]]),"",IF(ISBLANK(Table1[[#This Row], [Date de fin de lecture FR]]),0,Table1[[#This Row], [Date de fin de lecture FR]]-Table1[[#This Row], [Date d''achat]]))</f>
      </c>
      <c r="Y78" s="10">
        <f>IF(ISBLANK(Table1[[#This Row], [Date de sortie]]),"",ROUNDDOWN(YEAR(Table1[[#This Row], [Date de sortie]]),-1))</f>
      </c>
    </row>
    <row x14ac:dyDescent="0.25" r="79" customHeight="1" ht="18.75">
      <c r="A79" s="1" t="s">
        <v>334</v>
      </c>
      <c r="B79" s="1" t="s">
        <v>330</v>
      </c>
      <c r="C79" s="4"/>
      <c r="D79" s="4"/>
      <c r="E79" s="4"/>
      <c r="F79" s="2"/>
      <c r="G79" s="1" t="s">
        <v>246</v>
      </c>
      <c r="H79" s="19"/>
      <c r="I79" s="4"/>
      <c r="J79" s="17"/>
      <c r="K79" s="17"/>
      <c r="L79" s="17"/>
      <c r="M79" s="17"/>
      <c r="N79" s="19"/>
      <c r="O79" s="22"/>
      <c r="P79" s="49"/>
      <c r="Q79" s="49"/>
      <c r="R79" s="22"/>
      <c r="S79" s="1" t="s">
        <v>335</v>
      </c>
      <c r="T79" s="4">
        <f>IF(ISBLANK(Table1[[#This Row], [Date de fin de lecture FR]]),"",YEAR(Table1[[#This Row], [Date de fin de lecture FR]]))</f>
      </c>
      <c r="U79" s="10">
        <f>IF(ISBLANK(Table1[[#This Row], [Date de fin de lecture FR]]),"",MONTH(Table1[[#This Row], [Date de fin de lecture FR]]))</f>
      </c>
      <c r="V79" s="4">
        <f>IF(ISBLANK(Table1[[#This Row], [Date de début de lecture]]),"",(IF(ISBLANK(Table1[[#This Row], [Date de fin de lecture FR]]),0,Table1[[#This Row], [Date de fin de lecture FR]]-Table1[[#This Row], [Date de début de lecture]])))</f>
      </c>
      <c r="W79" s="46">
        <f>IF(Table1[[#This Row], [Temps de lecture en jours]]="","",IF(ISBLANK(Table1[[#This Row], [Nbr Pages]]),0,Table1[[#This Row], [Nbr Pages]]/Table1[[#This Row], [Temps de lecture en jours]]))</f>
      </c>
      <c r="X79" s="4">
        <f>IF(ISBLANK(Table1[[#This Row], [Date d''achat]]),"",IF(ISBLANK(Table1[[#This Row], [Date de fin de lecture FR]]),0,Table1[[#This Row], [Date de fin de lecture FR]]-Table1[[#This Row], [Date d''achat]]))</f>
      </c>
      <c r="Y79" s="10">
        <f>IF(ISBLANK(Table1[[#This Row], [Date de sortie]]),"",ROUNDDOWN(YEAR(Table1[[#This Row], [Date de sortie]]),-1))</f>
      </c>
    </row>
    <row x14ac:dyDescent="0.25" r="80" customHeight="1" ht="18.75">
      <c r="A80" s="1" t="s">
        <v>100</v>
      </c>
      <c r="B80" s="1" t="s">
        <v>336</v>
      </c>
      <c r="C80" s="4"/>
      <c r="D80" s="9">
        <v>1</v>
      </c>
      <c r="E80" s="4"/>
      <c r="F80" s="2"/>
      <c r="G80" s="1" t="s">
        <v>246</v>
      </c>
      <c r="H80" s="1" t="s">
        <v>295</v>
      </c>
      <c r="I80" s="9">
        <v>400</v>
      </c>
      <c r="J80" s="22">
        <v>30773</v>
      </c>
      <c r="K80" s="17"/>
      <c r="L80" s="17"/>
      <c r="M80" s="22">
        <v>42311</v>
      </c>
      <c r="N80" s="11" t="s">
        <v>217</v>
      </c>
      <c r="O80" s="17"/>
      <c r="P80" s="49"/>
      <c r="Q80" s="49"/>
      <c r="R80" s="11" t="s">
        <v>245</v>
      </c>
      <c r="S80" s="19"/>
      <c r="T80" s="9">
        <f>IF(ISBLANK(Table1[[#This Row], [Date de fin de lecture FR]]),"",YEAR(Table1[[#This Row], [Date de fin de lecture FR]]))</f>
      </c>
      <c r="U80" s="10">
        <f>IF(ISBLANK(Table1[[#This Row], [Date de fin de lecture FR]]),"",MONTH(Table1[[#This Row], [Date de fin de lecture FR]]))</f>
      </c>
      <c r="V80" s="4">
        <f>IF(ISBLANK(Table1[[#This Row], [Date de début de lecture]]),"",(IF(ISBLANK(Table1[[#This Row], [Date de fin de lecture FR]]),0,Table1[[#This Row], [Date de fin de lecture FR]]-Table1[[#This Row], [Date de début de lecture]])))</f>
      </c>
      <c r="W80" s="46">
        <f>IF(Table1[[#This Row], [Temps de lecture en jours]]="","",IF(ISBLANK(Table1[[#This Row], [Nbr Pages]]),0,Table1[[#This Row], [Nbr Pages]]/Table1[[#This Row], [Temps de lecture en jours]]))</f>
      </c>
      <c r="X80" s="4">
        <f>IF(ISBLANK(Table1[[#This Row], [Date d''achat]]),"",IF(ISBLANK(Table1[[#This Row], [Date de fin de lecture FR]]),0,Table1[[#This Row], [Date de fin de lecture FR]]-Table1[[#This Row], [Date d''achat]]))</f>
      </c>
      <c r="Y80" s="10">
        <f>IF(ISBLANK(Table1[[#This Row], [Date de sortie]]),"",ROUNDDOWN(YEAR(Table1[[#This Row], [Date de sortie]]),-1))</f>
      </c>
    </row>
    <row x14ac:dyDescent="0.25" r="81" customHeight="1" ht="18.75">
      <c r="A81" s="1" t="s">
        <v>337</v>
      </c>
      <c r="B81" s="1" t="s">
        <v>338</v>
      </c>
      <c r="C81" s="4"/>
      <c r="D81" s="4"/>
      <c r="E81" s="4"/>
      <c r="F81" s="47" t="s">
        <v>29</v>
      </c>
      <c r="G81" s="19"/>
      <c r="H81" s="19"/>
      <c r="I81" s="9">
        <v>380</v>
      </c>
      <c r="J81" s="22">
        <v>42633</v>
      </c>
      <c r="K81" s="17"/>
      <c r="L81" s="17"/>
      <c r="M81" s="17"/>
      <c r="N81" s="19"/>
      <c r="O81" s="22"/>
      <c r="P81" s="49"/>
      <c r="Q81" s="49"/>
      <c r="R81" s="22"/>
      <c r="S81" s="1" t="s">
        <v>339</v>
      </c>
      <c r="T81" s="4">
        <f>IF(ISBLANK(Table1[[#This Row], [Date de fin de lecture FR]]),"",YEAR(Table1[[#This Row], [Date de fin de lecture FR]]))</f>
      </c>
      <c r="U81" s="10">
        <f>IF(ISBLANK(Table1[[#This Row], [Date de fin de lecture FR]]),"",MONTH(Table1[[#This Row], [Date de fin de lecture FR]]))</f>
      </c>
      <c r="V81" s="4">
        <f>IF(ISBLANK(Table1[[#This Row], [Date de début de lecture]]),"",(IF(ISBLANK(Table1[[#This Row], [Date de fin de lecture FR]]),0,Table1[[#This Row], [Date de fin de lecture FR]]-Table1[[#This Row], [Date de début de lecture]])))</f>
      </c>
      <c r="W81" s="46">
        <f>IF(Table1[[#This Row], [Temps de lecture en jours]]="","",IF(ISBLANK(Table1[[#This Row], [Nbr Pages]]),0,Table1[[#This Row], [Nbr Pages]]/Table1[[#This Row], [Temps de lecture en jours]]))</f>
      </c>
      <c r="X81" s="4">
        <f>IF(ISBLANK(Table1[[#This Row], [Date d''achat]]),"",IF(ISBLANK(Table1[[#This Row], [Date de fin de lecture FR]]),0,Table1[[#This Row], [Date de fin de lecture FR]]-Table1[[#This Row], [Date d''achat]]))</f>
      </c>
      <c r="Y81" s="10">
        <f>IF(ISBLANK(Table1[[#This Row], [Date de sortie]]),"",ROUNDDOWN(YEAR(Table1[[#This Row], [Date de sortie]]),-1))</f>
      </c>
    </row>
    <row x14ac:dyDescent="0.25" r="82" customHeight="1" ht="18.75">
      <c r="A82" s="1" t="s">
        <v>340</v>
      </c>
      <c r="B82" s="1" t="s">
        <v>341</v>
      </c>
      <c r="C82" s="4"/>
      <c r="D82" s="4"/>
      <c r="E82" s="4"/>
      <c r="F82" s="2" t="s">
        <v>29</v>
      </c>
      <c r="G82" s="19"/>
      <c r="H82" s="19"/>
      <c r="I82" s="4"/>
      <c r="J82" s="17"/>
      <c r="K82" s="17"/>
      <c r="L82" s="17"/>
      <c r="M82" s="17"/>
      <c r="N82" s="19"/>
      <c r="O82" s="22"/>
      <c r="P82" s="49"/>
      <c r="Q82" s="49"/>
      <c r="R82" s="19"/>
      <c r="S82" s="10" t="s">
        <v>303</v>
      </c>
      <c r="T82" s="4">
        <f>IF(ISBLANK(Table1[[#This Row], [Date de fin de lecture FR]]),"",YEAR(Table1[[#This Row], [Date de fin de lecture FR]]))</f>
      </c>
      <c r="U82" s="10">
        <f>IF(ISBLANK(Table1[[#This Row], [Date de fin de lecture FR]]),"",MONTH(Table1[[#This Row], [Date de fin de lecture FR]]))</f>
      </c>
      <c r="V82" s="4">
        <f>IF(ISBLANK(Table1[[#This Row], [Date de début de lecture]]),"",(IF(ISBLANK(Table1[[#This Row], [Date de fin de lecture FR]]),0,Table1[[#This Row], [Date de fin de lecture FR]]-Table1[[#This Row], [Date de début de lecture]])))</f>
      </c>
      <c r="W82" s="46">
        <f>IF(Table1[[#This Row], [Temps de lecture en jours]]="","",IF(ISBLANK(Table1[[#This Row], [Nbr Pages]]),0,Table1[[#This Row], [Nbr Pages]]/Table1[[#This Row], [Temps de lecture en jours]]))</f>
      </c>
      <c r="X82" s="4">
        <f>IF(ISBLANK(Table1[[#This Row], [Date d''achat]]),"",IF(ISBLANK(Table1[[#This Row], [Date de fin de lecture FR]]),0,Table1[[#This Row], [Date de fin de lecture FR]]-Table1[[#This Row], [Date d''achat]]))</f>
      </c>
      <c r="Y82" s="10">
        <f>IF(ISBLANK(Table1[[#This Row], [Date de sortie]]),"",ROUNDDOWN(YEAR(Table1[[#This Row], [Date de sortie]]),-1))</f>
      </c>
    </row>
    <row x14ac:dyDescent="0.25" r="83" customHeight="1" ht="18.75">
      <c r="A83" s="1" t="s">
        <v>101</v>
      </c>
      <c r="B83" s="1" t="s">
        <v>342</v>
      </c>
      <c r="C83" s="9">
        <v>1</v>
      </c>
      <c r="D83" s="9">
        <v>1</v>
      </c>
      <c r="E83" s="9">
        <v>1</v>
      </c>
      <c r="F83" s="2"/>
      <c r="G83" s="1" t="s">
        <v>227</v>
      </c>
      <c r="H83" s="1" t="s">
        <v>310</v>
      </c>
      <c r="I83" s="9">
        <v>303</v>
      </c>
      <c r="J83" s="22">
        <v>29140</v>
      </c>
      <c r="K83" s="17"/>
      <c r="L83" s="17"/>
      <c r="M83" s="17"/>
      <c r="N83" s="11" t="s">
        <v>255</v>
      </c>
      <c r="O83" s="21">
        <v>1</v>
      </c>
      <c r="P83" s="49"/>
      <c r="Q83" s="49"/>
      <c r="R83" s="11" t="s">
        <v>245</v>
      </c>
      <c r="S83" s="19"/>
      <c r="T83" s="4">
        <f>IF(ISBLANK(Table1[[#This Row], [Date de fin de lecture FR]]),"",YEAR(Table1[[#This Row], [Date de fin de lecture FR]]))</f>
      </c>
      <c r="U83" s="10">
        <f>IF(ISBLANK(Table1[[#This Row], [Date de fin de lecture FR]]),"",MONTH(Table1[[#This Row], [Date de fin de lecture FR]]))</f>
      </c>
      <c r="V83" s="4">
        <f>IF(ISBLANK(Table1[[#This Row], [Date de début de lecture]]),"",(IF(ISBLANK(Table1[[#This Row], [Date de fin de lecture FR]]),0,Table1[[#This Row], [Date de fin de lecture FR]]-Table1[[#This Row], [Date de début de lecture]])))</f>
      </c>
      <c r="W83" s="46">
        <f>IF(Table1[[#This Row], [Temps de lecture en jours]]="","",IF(ISBLANK(Table1[[#This Row], [Nbr Pages]]),0,Table1[[#This Row], [Nbr Pages]]/Table1[[#This Row], [Temps de lecture en jours]]))</f>
      </c>
      <c r="X83" s="4">
        <f>IF(ISBLANK(Table1[[#This Row], [Date d''achat]]),"",IF(ISBLANK(Table1[[#This Row], [Date de fin de lecture FR]]),0,Table1[[#This Row], [Date de fin de lecture FR]]-Table1[[#This Row], [Date d''achat]]))</f>
      </c>
      <c r="Y83" s="10">
        <f>IF(ISBLANK(Table1[[#This Row], [Date de sortie]]),"",ROUNDDOWN(YEAR(Table1[[#This Row], [Date de sortie]]),-1))</f>
      </c>
    </row>
    <row x14ac:dyDescent="0.25" r="84" customHeight="1" ht="18.75">
      <c r="A84" s="1" t="s">
        <v>102</v>
      </c>
      <c r="B84" s="1" t="s">
        <v>342</v>
      </c>
      <c r="C84" s="9">
        <v>1</v>
      </c>
      <c r="D84" s="9">
        <v>1</v>
      </c>
      <c r="E84" s="4"/>
      <c r="F84" s="2"/>
      <c r="G84" s="1" t="s">
        <v>227</v>
      </c>
      <c r="H84" s="1" t="s">
        <v>310</v>
      </c>
      <c r="I84" s="9">
        <v>214</v>
      </c>
      <c r="J84" s="22">
        <v>29140</v>
      </c>
      <c r="K84" s="17"/>
      <c r="L84" s="17"/>
      <c r="M84" s="17"/>
      <c r="N84" s="11" t="s">
        <v>255</v>
      </c>
      <c r="O84" s="21">
        <v>2</v>
      </c>
      <c r="P84" s="49"/>
      <c r="Q84" s="49"/>
      <c r="R84" s="11" t="s">
        <v>245</v>
      </c>
      <c r="S84" s="19"/>
      <c r="T84" s="4">
        <f>IF(ISBLANK(Table1[[#This Row], [Date de fin de lecture FR]]),"",YEAR(Table1[[#This Row], [Date de fin de lecture FR]]))</f>
      </c>
      <c r="U84" s="10">
        <f>IF(ISBLANK(Table1[[#This Row], [Date de fin de lecture FR]]),"",MONTH(Table1[[#This Row], [Date de fin de lecture FR]]))</f>
      </c>
      <c r="V84" s="4">
        <f>IF(ISBLANK(Table1[[#This Row], [Date de début de lecture]]),"",(IF(ISBLANK(Table1[[#This Row], [Date de fin de lecture FR]]),0,Table1[[#This Row], [Date de fin de lecture FR]]-Table1[[#This Row], [Date de début de lecture]])))</f>
      </c>
      <c r="W84" s="46">
        <f>IF(Table1[[#This Row], [Temps de lecture en jours]]="","",IF(ISBLANK(Table1[[#This Row], [Nbr Pages]]),0,Table1[[#This Row], [Nbr Pages]]/Table1[[#This Row], [Temps de lecture en jours]]))</f>
      </c>
      <c r="X84" s="4">
        <f>IF(ISBLANK(Table1[[#This Row], [Date d''achat]]),"",IF(ISBLANK(Table1[[#This Row], [Date de fin de lecture FR]]),0,Table1[[#This Row], [Date de fin de lecture FR]]-Table1[[#This Row], [Date d''achat]]))</f>
      </c>
      <c r="Y84" s="10">
        <f>IF(ISBLANK(Table1[[#This Row], [Date de sortie]]),"",ROUNDDOWN(YEAR(Table1[[#This Row], [Date de sortie]]),-1))</f>
      </c>
    </row>
    <row x14ac:dyDescent="0.25" r="85" customHeight="1" ht="18.75">
      <c r="A85" s="1" t="s">
        <v>343</v>
      </c>
      <c r="B85" s="1" t="s">
        <v>342</v>
      </c>
      <c r="C85" s="9">
        <v>1</v>
      </c>
      <c r="D85" s="4"/>
      <c r="E85" s="4"/>
      <c r="F85" s="2"/>
      <c r="G85" s="1" t="s">
        <v>246</v>
      </c>
      <c r="H85" s="1" t="s">
        <v>310</v>
      </c>
      <c r="I85" s="4"/>
      <c r="J85" s="17"/>
      <c r="K85" s="17"/>
      <c r="L85" s="17"/>
      <c r="M85" s="17"/>
      <c r="N85" s="19"/>
      <c r="O85" s="22"/>
      <c r="P85" s="49"/>
      <c r="Q85" s="49"/>
      <c r="R85" s="22"/>
      <c r="S85" s="1" t="s">
        <v>344</v>
      </c>
      <c r="T85" s="4">
        <f>IF(ISBLANK(Table1[[#This Row], [Date de fin de lecture FR]]),"",YEAR(Table1[[#This Row], [Date de fin de lecture FR]]))</f>
      </c>
      <c r="U85" s="10">
        <f>IF(ISBLANK(Table1[[#This Row], [Date de fin de lecture FR]]),"",MONTH(Table1[[#This Row], [Date de fin de lecture FR]]))</f>
      </c>
      <c r="V85" s="4">
        <f>IF(ISBLANK(Table1[[#This Row], [Date de début de lecture]]),"",(IF(ISBLANK(Table1[[#This Row], [Date de fin de lecture FR]]),0,Table1[[#This Row], [Date de fin de lecture FR]]-Table1[[#This Row], [Date de début de lecture]])))</f>
      </c>
      <c r="W85" s="46">
        <f>IF(Table1[[#This Row], [Temps de lecture en jours]]="","",IF(ISBLANK(Table1[[#This Row], [Nbr Pages]]),0,Table1[[#This Row], [Nbr Pages]]/Table1[[#This Row], [Temps de lecture en jours]]))</f>
      </c>
      <c r="X85" s="4">
        <f>IF(ISBLANK(Table1[[#This Row], [Date d''achat]]),"",IF(ISBLANK(Table1[[#This Row], [Date de fin de lecture FR]]),0,Table1[[#This Row], [Date de fin de lecture FR]]-Table1[[#This Row], [Date d''achat]]))</f>
      </c>
      <c r="Y85" s="10">
        <f>IF(ISBLANK(Table1[[#This Row], [Date de sortie]]),"",ROUNDDOWN(YEAR(Table1[[#This Row], [Date de sortie]]),-1))</f>
      </c>
    </row>
    <row x14ac:dyDescent="0.25" r="86" customHeight="1" ht="18.75">
      <c r="A86" s="1" t="s">
        <v>345</v>
      </c>
      <c r="B86" s="1" t="s">
        <v>346</v>
      </c>
      <c r="C86" s="4"/>
      <c r="D86" s="4"/>
      <c r="E86" s="4"/>
      <c r="F86" s="47" t="s">
        <v>29</v>
      </c>
      <c r="G86" s="1" t="s">
        <v>347</v>
      </c>
      <c r="H86" s="19"/>
      <c r="I86" s="4"/>
      <c r="J86" s="17"/>
      <c r="K86" s="17"/>
      <c r="L86" s="17"/>
      <c r="M86" s="17"/>
      <c r="N86" s="19"/>
      <c r="O86" s="22"/>
      <c r="P86" s="49"/>
      <c r="Q86" s="49"/>
      <c r="R86" s="22"/>
      <c r="S86" s="1" t="s">
        <v>348</v>
      </c>
      <c r="T86" s="4">
        <f>IF(ISBLANK(Table1[[#This Row], [Date de fin de lecture FR]]),"",YEAR(Table1[[#This Row], [Date de fin de lecture FR]]))</f>
      </c>
      <c r="U86" s="10">
        <f>IF(ISBLANK(Table1[[#This Row], [Date de fin de lecture FR]]),"",MONTH(Table1[[#This Row], [Date de fin de lecture FR]]))</f>
      </c>
      <c r="V86" s="4">
        <f>IF(ISBLANK(Table1[[#This Row], [Date de début de lecture]]),"",(IF(ISBLANK(Table1[[#This Row], [Date de fin de lecture FR]]),0,Table1[[#This Row], [Date de fin de lecture FR]]-Table1[[#This Row], [Date de début de lecture]])))</f>
      </c>
      <c r="W86" s="46">
        <f>IF(Table1[[#This Row], [Temps de lecture en jours]]="","",IF(ISBLANK(Table1[[#This Row], [Nbr Pages]]),0,Table1[[#This Row], [Nbr Pages]]/Table1[[#This Row], [Temps de lecture en jours]]))</f>
      </c>
      <c r="X86" s="4">
        <f>IF(ISBLANK(Table1[[#This Row], [Date d''achat]]),"",IF(ISBLANK(Table1[[#This Row], [Date de fin de lecture FR]]),0,Table1[[#This Row], [Date de fin de lecture FR]]-Table1[[#This Row], [Date d''achat]]))</f>
      </c>
      <c r="Y86" s="10">
        <f>IF(ISBLANK(Table1[[#This Row], [Date de sortie]]),"",ROUNDDOWN(YEAR(Table1[[#This Row], [Date de sortie]]),-1))</f>
      </c>
    </row>
    <row x14ac:dyDescent="0.25" r="87" customHeight="1" ht="18.75">
      <c r="A87" s="1" t="s">
        <v>349</v>
      </c>
      <c r="B87" s="1" t="s">
        <v>350</v>
      </c>
      <c r="C87" s="4"/>
      <c r="D87" s="4"/>
      <c r="E87" s="4"/>
      <c r="F87" s="2"/>
      <c r="G87" s="1" t="s">
        <v>227</v>
      </c>
      <c r="H87" s="19"/>
      <c r="I87" s="4"/>
      <c r="J87" s="22">
        <v>44656</v>
      </c>
      <c r="K87" s="17"/>
      <c r="L87" s="17"/>
      <c r="M87" s="17"/>
      <c r="N87" s="19"/>
      <c r="O87" s="22"/>
      <c r="P87" s="49"/>
      <c r="Q87" s="49"/>
      <c r="R87" s="22"/>
      <c r="S87" s="1" t="s">
        <v>351</v>
      </c>
      <c r="T87" s="4">
        <f>IF(ISBLANK(Table1[[#This Row], [Date de fin de lecture FR]]),"",YEAR(Table1[[#This Row], [Date de fin de lecture FR]]))</f>
      </c>
      <c r="U87" s="10">
        <f>IF(ISBLANK(Table1[[#This Row], [Date de fin de lecture FR]]),"",MONTH(Table1[[#This Row], [Date de fin de lecture FR]]))</f>
      </c>
      <c r="V87" s="4">
        <f>IF(ISBLANK(Table1[[#This Row], [Date de début de lecture]]),"",(IF(ISBLANK(Table1[[#This Row], [Date de fin de lecture FR]]),0,Table1[[#This Row], [Date de fin de lecture FR]]-Table1[[#This Row], [Date de début de lecture]])))</f>
      </c>
      <c r="W87" s="46">
        <f>IF(Table1[[#This Row], [Temps de lecture en jours]]="","",IF(ISBLANK(Table1[[#This Row], [Nbr Pages]]),0,Table1[[#This Row], [Nbr Pages]]/Table1[[#This Row], [Temps de lecture en jours]]))</f>
      </c>
      <c r="X87" s="4">
        <f>IF(ISBLANK(Table1[[#This Row], [Date d''achat]]),"",IF(ISBLANK(Table1[[#This Row], [Date de fin de lecture FR]]),0,Table1[[#This Row], [Date de fin de lecture FR]]-Table1[[#This Row], [Date d''achat]]))</f>
      </c>
      <c r="Y87" s="10">
        <f>IF(ISBLANK(Table1[[#This Row], [Date de sortie]]),"",ROUNDDOWN(YEAR(Table1[[#This Row], [Date de sortie]]),-1))</f>
      </c>
    </row>
    <row x14ac:dyDescent="0.25" r="88" customHeight="1" ht="18.75">
      <c r="A88" s="1" t="s">
        <v>52</v>
      </c>
      <c r="B88" s="1" t="s">
        <v>352</v>
      </c>
      <c r="C88" s="4"/>
      <c r="D88" s="9">
        <v>1</v>
      </c>
      <c r="E88" s="4"/>
      <c r="F88" s="2"/>
      <c r="G88" s="1" t="s">
        <v>246</v>
      </c>
      <c r="H88" s="1" t="s">
        <v>353</v>
      </c>
      <c r="I88" s="9">
        <v>306</v>
      </c>
      <c r="J88" s="22">
        <v>37630</v>
      </c>
      <c r="K88" s="22">
        <v>44946</v>
      </c>
      <c r="L88" s="22">
        <v>44948</v>
      </c>
      <c r="M88" s="22">
        <v>44956</v>
      </c>
      <c r="N88" s="19"/>
      <c r="O88" s="22"/>
      <c r="P88" s="49"/>
      <c r="Q88" s="49"/>
      <c r="R88" s="22"/>
      <c r="S88" s="19"/>
      <c r="T88" s="9">
        <f>IF(ISBLANK(Table1[[#This Row], [Date de fin de lecture FR]]),"",YEAR(Table1[[#This Row], [Date de fin de lecture FR]]))</f>
      </c>
      <c r="U88" s="10">
        <f>IF(ISBLANK(Table1[[#This Row], [Date de fin de lecture FR]]),"",MONTH(Table1[[#This Row], [Date de fin de lecture FR]]))</f>
      </c>
      <c r="V88" s="9">
        <f>IF(ISBLANK(Table1[[#This Row], [Date de début de lecture]]),"",(IF(ISBLANK(Table1[[#This Row], [Date de fin de lecture FR]]),0,Table1[[#This Row], [Date de fin de lecture FR]]-Table1[[#This Row], [Date de début de lecture]])))</f>
      </c>
      <c r="W88" s="46">
        <f>IF(Table1[[#This Row], [Temps de lecture en jours]]="","",IF(ISBLANK(Table1[[#This Row], [Nbr Pages]]),0,Table1[[#This Row], [Nbr Pages]]/Table1[[#This Row], [Temps de lecture en jours]]))</f>
      </c>
      <c r="X88" s="9">
        <f>IF(ISBLANK(Table1[[#This Row], [Date d''achat]]),"",IF(ISBLANK(Table1[[#This Row], [Date de fin de lecture FR]]),0,Table1[[#This Row], [Date de fin de lecture FR]]-Table1[[#This Row], [Date d''achat]]))</f>
      </c>
      <c r="Y88" s="10">
        <f>IF(ISBLANK(Table1[[#This Row], [Date de sortie]]),"",ROUNDDOWN(YEAR(Table1[[#This Row], [Date de sortie]]),-1))</f>
      </c>
    </row>
    <row x14ac:dyDescent="0.25" r="89" customHeight="1" ht="18.75">
      <c r="A89" s="1" t="s">
        <v>103</v>
      </c>
      <c r="B89" s="1" t="s">
        <v>354</v>
      </c>
      <c r="C89" s="9">
        <v>1</v>
      </c>
      <c r="D89" s="9">
        <v>1</v>
      </c>
      <c r="E89" s="4"/>
      <c r="F89" s="2"/>
      <c r="G89" s="1" t="s">
        <v>246</v>
      </c>
      <c r="H89" s="1" t="s">
        <v>295</v>
      </c>
      <c r="I89" s="9">
        <v>736</v>
      </c>
      <c r="J89" s="22">
        <v>43622</v>
      </c>
      <c r="K89" s="22">
        <v>43728</v>
      </c>
      <c r="L89" s="17"/>
      <c r="M89" s="22">
        <v>43773</v>
      </c>
      <c r="N89" s="11" t="s">
        <v>244</v>
      </c>
      <c r="O89" s="17"/>
      <c r="P89" s="49"/>
      <c r="Q89" s="49"/>
      <c r="R89" s="11" t="s">
        <v>245</v>
      </c>
      <c r="S89" s="1" t="s">
        <v>355</v>
      </c>
      <c r="T89" s="9">
        <f>IF(ISBLANK(Table1[[#This Row], [Date de fin de lecture FR]]),"",YEAR(Table1[[#This Row], [Date de fin de lecture FR]]))</f>
      </c>
      <c r="U89" s="10">
        <f>IF(ISBLANK(Table1[[#This Row], [Date de fin de lecture FR]]),"",MONTH(Table1[[#This Row], [Date de fin de lecture FR]]))</f>
      </c>
      <c r="V89" s="4">
        <f>IF(ISBLANK(Table1[[#This Row], [Date de début de lecture]]),"",(IF(ISBLANK(Table1[[#This Row], [Date de fin de lecture FR]]),0,Table1[[#This Row], [Date de fin de lecture FR]]-Table1[[#This Row], [Date de début de lecture]])))</f>
      </c>
      <c r="W89" s="46">
        <f>IF(Table1[[#This Row], [Temps de lecture en jours]]="","",IF(ISBLANK(Table1[[#This Row], [Nbr Pages]]),0,Table1[[#This Row], [Nbr Pages]]/Table1[[#This Row], [Temps de lecture en jours]]))</f>
      </c>
      <c r="X89" s="9">
        <f>IF(ISBLANK(Table1[[#This Row], [Date d''achat]]),"",IF(ISBLANK(Table1[[#This Row], [Date de fin de lecture FR]]),0,Table1[[#This Row], [Date de fin de lecture FR]]-Table1[[#This Row], [Date d''achat]]))</f>
      </c>
      <c r="Y89" s="10">
        <f>IF(ISBLANK(Table1[[#This Row], [Date de sortie]]),"",ROUNDDOWN(YEAR(Table1[[#This Row], [Date de sortie]]),-1))</f>
      </c>
    </row>
    <row x14ac:dyDescent="0.25" r="90" customHeight="1" ht="18.75">
      <c r="A90" s="1" t="s">
        <v>104</v>
      </c>
      <c r="B90" s="1" t="s">
        <v>356</v>
      </c>
      <c r="C90" s="9">
        <v>1</v>
      </c>
      <c r="D90" s="9">
        <v>1</v>
      </c>
      <c r="E90" s="4"/>
      <c r="F90" s="2"/>
      <c r="G90" s="1" t="s">
        <v>246</v>
      </c>
      <c r="H90" s="1" t="s">
        <v>357</v>
      </c>
      <c r="I90" s="9">
        <v>528</v>
      </c>
      <c r="J90" s="22">
        <v>42859</v>
      </c>
      <c r="K90" s="22">
        <v>43728</v>
      </c>
      <c r="L90" s="17"/>
      <c r="M90" s="22">
        <v>43756</v>
      </c>
      <c r="N90" s="11" t="s">
        <v>244</v>
      </c>
      <c r="O90" s="17"/>
      <c r="P90" s="49"/>
      <c r="Q90" s="49"/>
      <c r="R90" s="11" t="s">
        <v>245</v>
      </c>
      <c r="S90" s="1" t="s">
        <v>358</v>
      </c>
      <c r="T90" s="9">
        <f>IF(ISBLANK(Table1[[#This Row], [Date de fin de lecture FR]]),"",YEAR(Table1[[#This Row], [Date de fin de lecture FR]]))</f>
      </c>
      <c r="U90" s="10">
        <f>IF(ISBLANK(Table1[[#This Row], [Date de fin de lecture FR]]),"",MONTH(Table1[[#This Row], [Date de fin de lecture FR]]))</f>
      </c>
      <c r="V90" s="4">
        <f>IF(ISBLANK(Table1[[#This Row], [Date de début de lecture]]),"",(IF(ISBLANK(Table1[[#This Row], [Date de fin de lecture FR]]),0,Table1[[#This Row], [Date de fin de lecture FR]]-Table1[[#This Row], [Date de début de lecture]])))</f>
      </c>
      <c r="W90" s="46">
        <f>IF(Table1[[#This Row], [Temps de lecture en jours]]="","",IF(ISBLANK(Table1[[#This Row], [Nbr Pages]]),0,Table1[[#This Row], [Nbr Pages]]/Table1[[#This Row], [Temps de lecture en jours]]))</f>
      </c>
      <c r="X90" s="9">
        <f>IF(ISBLANK(Table1[[#This Row], [Date d''achat]]),"",IF(ISBLANK(Table1[[#This Row], [Date de fin de lecture FR]]),0,Table1[[#This Row], [Date de fin de lecture FR]]-Table1[[#This Row], [Date d''achat]]))</f>
      </c>
      <c r="Y90" s="10">
        <f>IF(ISBLANK(Table1[[#This Row], [Date de sortie]]),"",ROUNDDOWN(YEAR(Table1[[#This Row], [Date de sortie]]),-1))</f>
      </c>
    </row>
    <row x14ac:dyDescent="0.25" r="91" customHeight="1" ht="18.75">
      <c r="A91" s="1" t="s">
        <v>359</v>
      </c>
      <c r="B91" s="1" t="s">
        <v>360</v>
      </c>
      <c r="C91" s="9">
        <v>1</v>
      </c>
      <c r="D91" s="4"/>
      <c r="E91" s="4"/>
      <c r="F91" s="2"/>
      <c r="G91" s="19"/>
      <c r="H91" s="19"/>
      <c r="I91" s="9">
        <v>355</v>
      </c>
      <c r="J91" s="22">
        <v>42466</v>
      </c>
      <c r="K91" s="17"/>
      <c r="L91" s="17"/>
      <c r="M91" s="17"/>
      <c r="N91" s="19"/>
      <c r="O91" s="22"/>
      <c r="P91" s="49"/>
      <c r="Q91" s="49"/>
      <c r="R91" s="22"/>
      <c r="S91" s="19"/>
      <c r="T91" s="4">
        <f>IF(ISBLANK(Table1[[#This Row], [Date de fin de lecture FR]]),"",YEAR(Table1[[#This Row], [Date de fin de lecture FR]]))</f>
      </c>
      <c r="U91" s="10">
        <f>IF(ISBLANK(Table1[[#This Row], [Date de fin de lecture FR]]),"",MONTH(Table1[[#This Row], [Date de fin de lecture FR]]))</f>
      </c>
      <c r="V91" s="4">
        <f>IF(ISBLANK(Table1[[#This Row], [Date de début de lecture]]),"",(IF(ISBLANK(Table1[[#This Row], [Date de fin de lecture FR]]),0,Table1[[#This Row], [Date de fin de lecture FR]]-Table1[[#This Row], [Date de début de lecture]])))</f>
      </c>
      <c r="W91" s="46">
        <f>IF(Table1[[#This Row], [Temps de lecture en jours]]="","",IF(ISBLANK(Table1[[#This Row], [Nbr Pages]]),0,Table1[[#This Row], [Nbr Pages]]/Table1[[#This Row], [Temps de lecture en jours]]))</f>
      </c>
      <c r="X91" s="4">
        <f>IF(ISBLANK(Table1[[#This Row], [Date d''achat]]),"",IF(ISBLANK(Table1[[#This Row], [Date de fin de lecture FR]]),0,Table1[[#This Row], [Date de fin de lecture FR]]-Table1[[#This Row], [Date d''achat]]))</f>
      </c>
      <c r="Y91" s="10">
        <f>IF(ISBLANK(Table1[[#This Row], [Date de sortie]]),"",ROUNDDOWN(YEAR(Table1[[#This Row], [Date de sortie]]),-1))</f>
      </c>
    </row>
    <row x14ac:dyDescent="0.25" r="92" customHeight="1" ht="18.75">
      <c r="A92" s="1" t="s">
        <v>105</v>
      </c>
      <c r="B92" s="1" t="s">
        <v>361</v>
      </c>
      <c r="C92" s="9">
        <v>1</v>
      </c>
      <c r="D92" s="9">
        <v>1</v>
      </c>
      <c r="E92" s="9">
        <v>1</v>
      </c>
      <c r="F92" s="2"/>
      <c r="G92" s="1" t="s">
        <v>243</v>
      </c>
      <c r="H92" s="19"/>
      <c r="I92" s="9">
        <v>136</v>
      </c>
      <c r="J92" s="22">
        <v>44063</v>
      </c>
      <c r="K92" s="22">
        <v>44189</v>
      </c>
      <c r="L92" s="17"/>
      <c r="M92" s="22">
        <v>44351</v>
      </c>
      <c r="N92" s="11" t="s">
        <v>244</v>
      </c>
      <c r="O92" s="17"/>
      <c r="P92" s="49"/>
      <c r="Q92" s="49"/>
      <c r="R92" s="11" t="s">
        <v>245</v>
      </c>
      <c r="S92" s="19"/>
      <c r="T92" s="9">
        <f>IF(ISBLANK(Table1[[#This Row], [Date de fin de lecture FR]]),"",YEAR(Table1[[#This Row], [Date de fin de lecture FR]]))</f>
      </c>
      <c r="U92" s="10">
        <f>IF(ISBLANK(Table1[[#This Row], [Date de fin de lecture FR]]),"",MONTH(Table1[[#This Row], [Date de fin de lecture FR]]))</f>
      </c>
      <c r="V92" s="4">
        <f>IF(ISBLANK(Table1[[#This Row], [Date de début de lecture]]),"",(IF(ISBLANK(Table1[[#This Row], [Date de fin de lecture FR]]),0,Table1[[#This Row], [Date de fin de lecture FR]]-Table1[[#This Row], [Date de début de lecture]])))</f>
      </c>
      <c r="W92" s="46">
        <f>IF(Table1[[#This Row], [Temps de lecture en jours]]="","",IF(ISBLANK(Table1[[#This Row], [Nbr Pages]]),0,Table1[[#This Row], [Nbr Pages]]/Table1[[#This Row], [Temps de lecture en jours]]))</f>
      </c>
      <c r="X92" s="9">
        <f>IF(ISBLANK(Table1[[#This Row], [Date d''achat]]),"",IF(ISBLANK(Table1[[#This Row], [Date de fin de lecture FR]]),0,Table1[[#This Row], [Date de fin de lecture FR]]-Table1[[#This Row], [Date d''achat]]))</f>
      </c>
      <c r="Y92" s="10">
        <f>IF(ISBLANK(Table1[[#This Row], [Date de sortie]]),"",ROUNDDOWN(YEAR(Table1[[#This Row], [Date de sortie]]),-1))</f>
      </c>
    </row>
    <row x14ac:dyDescent="0.25" r="93" customHeight="1" ht="18.75">
      <c r="A93" s="1" t="s">
        <v>106</v>
      </c>
      <c r="B93" s="1" t="s">
        <v>362</v>
      </c>
      <c r="C93" s="4"/>
      <c r="D93" s="9">
        <v>1</v>
      </c>
      <c r="E93" s="4"/>
      <c r="F93" s="2"/>
      <c r="G93" s="1" t="s">
        <v>227</v>
      </c>
      <c r="H93" s="1" t="s">
        <v>363</v>
      </c>
      <c r="I93" s="9">
        <v>630</v>
      </c>
      <c r="J93" s="22">
        <v>23955</v>
      </c>
      <c r="K93" s="17"/>
      <c r="L93" s="17"/>
      <c r="M93" s="22">
        <v>42394</v>
      </c>
      <c r="N93" s="11" t="s">
        <v>255</v>
      </c>
      <c r="O93" s="21">
        <v>1</v>
      </c>
      <c r="P93" s="49"/>
      <c r="Q93" s="49"/>
      <c r="R93" s="11" t="s">
        <v>245</v>
      </c>
      <c r="S93" s="19"/>
      <c r="T93" s="9">
        <f>IF(ISBLANK(Table1[[#This Row], [Date de fin de lecture FR]]),"",YEAR(Table1[[#This Row], [Date de fin de lecture FR]]))</f>
      </c>
      <c r="U93" s="10">
        <f>IF(ISBLANK(Table1[[#This Row], [Date de fin de lecture FR]]),"",MONTH(Table1[[#This Row], [Date de fin de lecture FR]]))</f>
      </c>
      <c r="V93" s="4">
        <f>IF(ISBLANK(Table1[[#This Row], [Date de début de lecture]]),"",(IF(ISBLANK(Table1[[#This Row], [Date de fin de lecture FR]]),0,Table1[[#This Row], [Date de fin de lecture FR]]-Table1[[#This Row], [Date de début de lecture]])))</f>
      </c>
      <c r="W93" s="46">
        <f>IF(Table1[[#This Row], [Temps de lecture en jours]]="","",IF(ISBLANK(Table1[[#This Row], [Nbr Pages]]),0,Table1[[#This Row], [Nbr Pages]]/Table1[[#This Row], [Temps de lecture en jours]]))</f>
      </c>
      <c r="X93" s="4">
        <f>IF(ISBLANK(Table1[[#This Row], [Date d''achat]]),"",IF(ISBLANK(Table1[[#This Row], [Date de fin de lecture FR]]),0,Table1[[#This Row], [Date de fin de lecture FR]]-Table1[[#This Row], [Date d''achat]]))</f>
      </c>
      <c r="Y93" s="10">
        <f>IF(ISBLANK(Table1[[#This Row], [Date de sortie]]),"",ROUNDDOWN(YEAR(Table1[[#This Row], [Date de sortie]]),-1))</f>
      </c>
    </row>
    <row x14ac:dyDescent="0.25" r="94" customHeight="1" ht="18.75">
      <c r="A94" s="1" t="s">
        <v>40</v>
      </c>
      <c r="B94" s="1" t="s">
        <v>364</v>
      </c>
      <c r="C94" s="9">
        <v>1</v>
      </c>
      <c r="D94" s="9">
        <v>1</v>
      </c>
      <c r="E94" s="4"/>
      <c r="F94" s="2"/>
      <c r="G94" s="1" t="s">
        <v>246</v>
      </c>
      <c r="H94" s="19"/>
      <c r="I94" s="9">
        <v>346</v>
      </c>
      <c r="J94" s="22">
        <v>42531</v>
      </c>
      <c r="K94" s="22">
        <v>44718</v>
      </c>
      <c r="L94" s="22">
        <v>45138</v>
      </c>
      <c r="M94" s="22">
        <v>45143</v>
      </c>
      <c r="N94" s="11" t="s">
        <v>255</v>
      </c>
      <c r="O94" s="22"/>
      <c r="P94" s="49"/>
      <c r="Q94" s="49"/>
      <c r="R94" s="22"/>
      <c r="S94" s="19"/>
      <c r="T94" s="9">
        <f>IF(ISBLANK(Table1[[#This Row], [Date de fin de lecture FR]]),"",YEAR(Table1[[#This Row], [Date de fin de lecture FR]]))</f>
      </c>
      <c r="U94" s="10">
        <f>IF(ISBLANK(Table1[[#This Row], [Date de fin de lecture FR]]),"",MONTH(Table1[[#This Row], [Date de fin de lecture FR]]))</f>
      </c>
      <c r="V94" s="9">
        <f>IF(ISBLANK(Table1[[#This Row], [Date de début de lecture]]),"",(IF(ISBLANK(Table1[[#This Row], [Date de fin de lecture FR]]),0,Table1[[#This Row], [Date de fin de lecture FR]]-Table1[[#This Row], [Date de début de lecture]])))</f>
      </c>
      <c r="W94" s="46">
        <f>IF(Table1[[#This Row], [Temps de lecture en jours]]="","",IF(ISBLANK(Table1[[#This Row], [Nbr Pages]]),0,Table1[[#This Row], [Nbr Pages]]/Table1[[#This Row], [Temps de lecture en jours]]))</f>
      </c>
      <c r="X94" s="9">
        <f>IF(ISBLANK(Table1[[#This Row], [Date d''achat]]),"",IF(ISBLANK(Table1[[#This Row], [Date de fin de lecture FR]]),0,Table1[[#This Row], [Date de fin de lecture FR]]-Table1[[#This Row], [Date d''achat]]))</f>
      </c>
      <c r="Y94" s="10">
        <f>IF(ISBLANK(Table1[[#This Row], [Date de sortie]]),"",ROUNDDOWN(YEAR(Table1[[#This Row], [Date de sortie]]),-1))</f>
      </c>
    </row>
    <row x14ac:dyDescent="0.25" r="95" customHeight="1" ht="18.75">
      <c r="A95" s="1" t="s">
        <v>107</v>
      </c>
      <c r="B95" s="1" t="s">
        <v>364</v>
      </c>
      <c r="C95" s="9">
        <v>1</v>
      </c>
      <c r="D95" s="9">
        <v>1</v>
      </c>
      <c r="E95" s="4"/>
      <c r="F95" s="2"/>
      <c r="G95" s="1" t="s">
        <v>246</v>
      </c>
      <c r="H95" s="1" t="s">
        <v>283</v>
      </c>
      <c r="I95" s="9">
        <v>400</v>
      </c>
      <c r="J95" s="22">
        <v>41047</v>
      </c>
      <c r="K95" s="17"/>
      <c r="L95" s="17"/>
      <c r="M95" s="22">
        <v>42264</v>
      </c>
      <c r="N95" s="11" t="s">
        <v>255</v>
      </c>
      <c r="O95" s="21">
        <v>1</v>
      </c>
      <c r="P95" s="49"/>
      <c r="Q95" s="49"/>
      <c r="R95" s="11" t="s">
        <v>245</v>
      </c>
      <c r="S95" s="19"/>
      <c r="T95" s="9">
        <f>IF(ISBLANK(Table1[[#This Row], [Date de fin de lecture FR]]),"",YEAR(Table1[[#This Row], [Date de fin de lecture FR]]))</f>
      </c>
      <c r="U95" s="10">
        <f>IF(ISBLANK(Table1[[#This Row], [Date de fin de lecture FR]]),"",MONTH(Table1[[#This Row], [Date de fin de lecture FR]]))</f>
      </c>
      <c r="V95" s="4">
        <f>IF(ISBLANK(Table1[[#This Row], [Date de début de lecture]]),"",(IF(ISBLANK(Table1[[#This Row], [Date de fin de lecture FR]]),0,Table1[[#This Row], [Date de fin de lecture FR]]-Table1[[#This Row], [Date de début de lecture]])))</f>
      </c>
      <c r="W95" s="46">
        <f>IF(Table1[[#This Row], [Temps de lecture en jours]]="","",IF(ISBLANK(Table1[[#This Row], [Nbr Pages]]),0,Table1[[#This Row], [Nbr Pages]]/Table1[[#This Row], [Temps de lecture en jours]]))</f>
      </c>
      <c r="X95" s="4">
        <f>IF(ISBLANK(Table1[[#This Row], [Date d''achat]]),"",IF(ISBLANK(Table1[[#This Row], [Date de fin de lecture FR]]),0,Table1[[#This Row], [Date de fin de lecture FR]]-Table1[[#This Row], [Date d''achat]]))</f>
      </c>
      <c r="Y95" s="10">
        <f>IF(ISBLANK(Table1[[#This Row], [Date de sortie]]),"",ROUNDDOWN(YEAR(Table1[[#This Row], [Date de sortie]]),-1))</f>
      </c>
    </row>
    <row x14ac:dyDescent="0.25" r="96" customHeight="1" ht="18.75">
      <c r="A96" s="1" t="s">
        <v>108</v>
      </c>
      <c r="B96" s="1" t="s">
        <v>364</v>
      </c>
      <c r="C96" s="9">
        <v>1</v>
      </c>
      <c r="D96" s="9">
        <v>1</v>
      </c>
      <c r="E96" s="9">
        <v>1</v>
      </c>
      <c r="F96" s="2"/>
      <c r="G96" s="1" t="s">
        <v>246</v>
      </c>
      <c r="H96" s="1" t="s">
        <v>283</v>
      </c>
      <c r="I96" s="9">
        <v>400</v>
      </c>
      <c r="J96" s="22">
        <v>41200</v>
      </c>
      <c r="K96" s="17"/>
      <c r="L96" s="17"/>
      <c r="M96" s="22">
        <v>42269</v>
      </c>
      <c r="N96" s="11" t="s">
        <v>255</v>
      </c>
      <c r="O96" s="21">
        <v>2</v>
      </c>
      <c r="P96" s="49"/>
      <c r="Q96" s="49"/>
      <c r="R96" s="11" t="s">
        <v>245</v>
      </c>
      <c r="S96" s="19"/>
      <c r="T96" s="9">
        <f>IF(ISBLANK(Table1[[#This Row], [Date de fin de lecture FR]]),"",YEAR(Table1[[#This Row], [Date de fin de lecture FR]]))</f>
      </c>
      <c r="U96" s="10">
        <f>IF(ISBLANK(Table1[[#This Row], [Date de fin de lecture FR]]),"",MONTH(Table1[[#This Row], [Date de fin de lecture FR]]))</f>
      </c>
      <c r="V96" s="4">
        <f>IF(ISBLANK(Table1[[#This Row], [Date de début de lecture]]),"",(IF(ISBLANK(Table1[[#This Row], [Date de fin de lecture FR]]),0,Table1[[#This Row], [Date de fin de lecture FR]]-Table1[[#This Row], [Date de début de lecture]])))</f>
      </c>
      <c r="W96" s="46">
        <f>IF(Table1[[#This Row], [Temps de lecture en jours]]="","",IF(ISBLANK(Table1[[#This Row], [Nbr Pages]]),0,Table1[[#This Row], [Nbr Pages]]/Table1[[#This Row], [Temps de lecture en jours]]))</f>
      </c>
      <c r="X96" s="4">
        <f>IF(ISBLANK(Table1[[#This Row], [Date d''achat]]),"",IF(ISBLANK(Table1[[#This Row], [Date de fin de lecture FR]]),0,Table1[[#This Row], [Date de fin de lecture FR]]-Table1[[#This Row], [Date d''achat]]))</f>
      </c>
      <c r="Y96" s="10">
        <f>IF(ISBLANK(Table1[[#This Row], [Date de sortie]]),"",ROUNDDOWN(YEAR(Table1[[#This Row], [Date de sortie]]),-1))</f>
      </c>
    </row>
    <row x14ac:dyDescent="0.25" r="97" customHeight="1" ht="18.75">
      <c r="A97" s="1" t="s">
        <v>109</v>
      </c>
      <c r="B97" s="1" t="s">
        <v>364</v>
      </c>
      <c r="C97" s="9">
        <v>1</v>
      </c>
      <c r="D97" s="9">
        <v>1</v>
      </c>
      <c r="E97" s="4"/>
      <c r="F97" s="2"/>
      <c r="G97" s="1" t="s">
        <v>246</v>
      </c>
      <c r="H97" s="1" t="s">
        <v>283</v>
      </c>
      <c r="I97" s="9">
        <v>427</v>
      </c>
      <c r="J97" s="22">
        <v>42257</v>
      </c>
      <c r="K97" s="17"/>
      <c r="L97" s="17"/>
      <c r="M97" s="22">
        <v>42005</v>
      </c>
      <c r="N97" s="11" t="s">
        <v>255</v>
      </c>
      <c r="O97" s="21">
        <v>3</v>
      </c>
      <c r="P97" s="49"/>
      <c r="Q97" s="49"/>
      <c r="R97" s="11" t="s">
        <v>245</v>
      </c>
      <c r="S97" s="19"/>
      <c r="T97" s="9">
        <f>IF(ISBLANK(Table1[[#This Row], [Date de fin de lecture FR]]),"",YEAR(Table1[[#This Row], [Date de fin de lecture FR]]))</f>
      </c>
      <c r="U97" s="10">
        <f>IF(ISBLANK(Table1[[#This Row], [Date de fin de lecture FR]]),"",MONTH(Table1[[#This Row], [Date de fin de lecture FR]]))</f>
      </c>
      <c r="V97" s="4">
        <f>IF(ISBLANK(Table1[[#This Row], [Date de début de lecture]]),"",(IF(ISBLANK(Table1[[#This Row], [Date de fin de lecture FR]]),0,Table1[[#This Row], [Date de fin de lecture FR]]-Table1[[#This Row], [Date de début de lecture]])))</f>
      </c>
      <c r="W97" s="46">
        <f>IF(Table1[[#This Row], [Temps de lecture en jours]]="","",IF(ISBLANK(Table1[[#This Row], [Nbr Pages]]),0,Table1[[#This Row], [Nbr Pages]]/Table1[[#This Row], [Temps de lecture en jours]]))</f>
      </c>
      <c r="X97" s="4">
        <f>IF(ISBLANK(Table1[[#This Row], [Date d''achat]]),"",IF(ISBLANK(Table1[[#This Row], [Date de fin de lecture FR]]),0,Table1[[#This Row], [Date de fin de lecture FR]]-Table1[[#This Row], [Date d''achat]]))</f>
      </c>
      <c r="Y97" s="10">
        <f>IF(ISBLANK(Table1[[#This Row], [Date de sortie]]),"",ROUNDDOWN(YEAR(Table1[[#This Row], [Date de sortie]]),-1))</f>
      </c>
    </row>
    <row x14ac:dyDescent="0.25" r="98" customHeight="1" ht="18.75">
      <c r="A98" s="1" t="s">
        <v>365</v>
      </c>
      <c r="B98" s="1" t="s">
        <v>366</v>
      </c>
      <c r="C98" s="9">
        <v>1</v>
      </c>
      <c r="D98" s="4"/>
      <c r="E98" s="4"/>
      <c r="F98" s="2"/>
      <c r="G98" s="1" t="s">
        <v>227</v>
      </c>
      <c r="H98" s="19"/>
      <c r="I98" s="9">
        <v>347</v>
      </c>
      <c r="J98" s="22">
        <v>26390</v>
      </c>
      <c r="K98" s="22">
        <v>44555</v>
      </c>
      <c r="L98" s="17"/>
      <c r="M98" s="17"/>
      <c r="N98" s="19"/>
      <c r="O98" s="22"/>
      <c r="P98" s="49"/>
      <c r="Q98" s="49"/>
      <c r="R98" s="22"/>
      <c r="S98" s="1" t="s">
        <v>367</v>
      </c>
      <c r="T98" s="4">
        <f>IF(ISBLANK(Table1[[#This Row], [Date de fin de lecture FR]]),"",YEAR(Table1[[#This Row], [Date de fin de lecture FR]]))</f>
      </c>
      <c r="U98" s="10">
        <f>IF(ISBLANK(Table1[[#This Row], [Date de fin de lecture FR]]),"",MONTH(Table1[[#This Row], [Date de fin de lecture FR]]))</f>
      </c>
      <c r="V98" s="4">
        <f>IF(ISBLANK(Table1[[#This Row], [Date de début de lecture]]),"",(IF(ISBLANK(Table1[[#This Row], [Date de fin de lecture FR]]),0,Table1[[#This Row], [Date de fin de lecture FR]]-Table1[[#This Row], [Date de début de lecture]])))</f>
      </c>
      <c r="W98" s="46">
        <f>IF(Table1[[#This Row], [Temps de lecture en jours]]="","",IF(ISBLANK(Table1[[#This Row], [Nbr Pages]]),0,Table1[[#This Row], [Nbr Pages]]/Table1[[#This Row], [Temps de lecture en jours]]))</f>
      </c>
      <c r="X98" s="9">
        <f>IF(ISBLANK(Table1[[#This Row], [Date d''achat]]),"",IF(ISBLANK(Table1[[#This Row], [Date de fin de lecture FR]]),0,Table1[[#This Row], [Date de fin de lecture FR]]-Table1[[#This Row], [Date d''achat]]))</f>
      </c>
      <c r="Y98" s="10">
        <f>IF(ISBLANK(Table1[[#This Row], [Date de sortie]]),"",ROUNDDOWN(YEAR(Table1[[#This Row], [Date de sortie]]),-1))</f>
      </c>
    </row>
    <row x14ac:dyDescent="0.25" r="99" customHeight="1" ht="18.75">
      <c r="A99" s="1" t="s">
        <v>110</v>
      </c>
      <c r="B99" s="1" t="s">
        <v>368</v>
      </c>
      <c r="C99" s="9">
        <v>1</v>
      </c>
      <c r="D99" s="9">
        <v>1</v>
      </c>
      <c r="E99" s="4"/>
      <c r="F99" s="2"/>
      <c r="G99" s="1" t="s">
        <v>246</v>
      </c>
      <c r="H99" s="1" t="s">
        <v>369</v>
      </c>
      <c r="I99" s="9">
        <v>790</v>
      </c>
      <c r="J99" s="22">
        <v>35278</v>
      </c>
      <c r="K99" s="17"/>
      <c r="L99" s="17"/>
      <c r="M99" s="22">
        <v>40909</v>
      </c>
      <c r="N99" s="11" t="s">
        <v>255</v>
      </c>
      <c r="O99" s="21">
        <v>1</v>
      </c>
      <c r="P99" s="49"/>
      <c r="Q99" s="49"/>
      <c r="R99" s="11" t="s">
        <v>245</v>
      </c>
      <c r="S99" s="1" t="s">
        <v>370</v>
      </c>
      <c r="T99" s="9">
        <f>IF(ISBLANK(Table1[[#This Row], [Date de fin de lecture FR]]),"",YEAR(Table1[[#This Row], [Date de fin de lecture FR]]))</f>
      </c>
      <c r="U99" s="10">
        <f>IF(ISBLANK(Table1[[#This Row], [Date de fin de lecture FR]]),"",MONTH(Table1[[#This Row], [Date de fin de lecture FR]]))</f>
      </c>
      <c r="V99" s="4">
        <f>IF(ISBLANK(Table1[[#This Row], [Date de début de lecture]]),"",(IF(ISBLANK(Table1[[#This Row], [Date de fin de lecture FR]]),0,Table1[[#This Row], [Date de fin de lecture FR]]-Table1[[#This Row], [Date de début de lecture]])))</f>
      </c>
      <c r="W99" s="46">
        <f>IF(Table1[[#This Row], [Temps de lecture en jours]]="","",IF(ISBLANK(Table1[[#This Row], [Nbr Pages]]),0,Table1[[#This Row], [Nbr Pages]]/Table1[[#This Row], [Temps de lecture en jours]]))</f>
      </c>
      <c r="X99" s="4">
        <f>IF(ISBLANK(Table1[[#This Row], [Date d''achat]]),"",IF(ISBLANK(Table1[[#This Row], [Date de fin de lecture FR]]),0,Table1[[#This Row], [Date de fin de lecture FR]]-Table1[[#This Row], [Date d''achat]]))</f>
      </c>
      <c r="Y99" s="10">
        <f>IF(ISBLANK(Table1[[#This Row], [Date de sortie]]),"",ROUNDDOWN(YEAR(Table1[[#This Row], [Date de sortie]]),-1))</f>
      </c>
    </row>
    <row x14ac:dyDescent="0.25" r="100" customHeight="1" ht="18.75">
      <c r="A100" s="1" t="s">
        <v>111</v>
      </c>
      <c r="B100" s="1" t="s">
        <v>368</v>
      </c>
      <c r="C100" s="9">
        <v>1</v>
      </c>
      <c r="D100" s="9">
        <v>1</v>
      </c>
      <c r="E100" s="4"/>
      <c r="F100" s="2"/>
      <c r="G100" s="1" t="s">
        <v>246</v>
      </c>
      <c r="H100" s="1" t="s">
        <v>369</v>
      </c>
      <c r="I100" s="9">
        <v>954</v>
      </c>
      <c r="J100" s="22">
        <v>36193</v>
      </c>
      <c r="K100" s="17"/>
      <c r="L100" s="17"/>
      <c r="M100" s="22">
        <v>41275</v>
      </c>
      <c r="N100" s="11" t="s">
        <v>255</v>
      </c>
      <c r="O100" s="21">
        <v>2</v>
      </c>
      <c r="P100" s="49"/>
      <c r="Q100" s="49"/>
      <c r="R100" s="11" t="s">
        <v>245</v>
      </c>
      <c r="S100" s="19"/>
      <c r="T100" s="9">
        <f>IF(ISBLANK(Table1[[#This Row], [Date de fin de lecture FR]]),"",YEAR(Table1[[#This Row], [Date de fin de lecture FR]]))</f>
      </c>
      <c r="U100" s="10">
        <f>IF(ISBLANK(Table1[[#This Row], [Date de fin de lecture FR]]),"",MONTH(Table1[[#This Row], [Date de fin de lecture FR]]))</f>
      </c>
      <c r="V100" s="4">
        <f>IF(ISBLANK(Table1[[#This Row], [Date de début de lecture]]),"",(IF(ISBLANK(Table1[[#This Row], [Date de fin de lecture FR]]),0,Table1[[#This Row], [Date de fin de lecture FR]]-Table1[[#This Row], [Date de début de lecture]])))</f>
      </c>
      <c r="W100" s="46">
        <f>IF(Table1[[#This Row], [Temps de lecture en jours]]="","",IF(ISBLANK(Table1[[#This Row], [Nbr Pages]]),0,Table1[[#This Row], [Nbr Pages]]/Table1[[#This Row], [Temps de lecture en jours]]))</f>
      </c>
      <c r="X100" s="4">
        <f>IF(ISBLANK(Table1[[#This Row], [Date d''achat]]),"",IF(ISBLANK(Table1[[#This Row], [Date de fin de lecture FR]]),0,Table1[[#This Row], [Date de fin de lecture FR]]-Table1[[#This Row], [Date d''achat]]))</f>
      </c>
      <c r="Y100" s="10">
        <f>IF(ISBLANK(Table1[[#This Row], [Date de sortie]]),"",ROUNDDOWN(YEAR(Table1[[#This Row], [Date de sortie]]),-1))</f>
      </c>
    </row>
    <row x14ac:dyDescent="0.25" r="101" customHeight="1" ht="18.75">
      <c r="A101" s="1" t="s">
        <v>112</v>
      </c>
      <c r="B101" s="1" t="s">
        <v>368</v>
      </c>
      <c r="C101" s="9">
        <v>1</v>
      </c>
      <c r="D101" s="9">
        <v>1</v>
      </c>
      <c r="E101" s="9">
        <v>1</v>
      </c>
      <c r="F101" s="2"/>
      <c r="G101" s="1" t="s">
        <v>246</v>
      </c>
      <c r="H101" s="1" t="s">
        <v>369</v>
      </c>
      <c r="I101" s="9">
        <v>1149</v>
      </c>
      <c r="J101" s="22">
        <v>36830</v>
      </c>
      <c r="K101" s="17"/>
      <c r="L101" s="17"/>
      <c r="M101" s="22">
        <v>41640</v>
      </c>
      <c r="N101" s="11" t="s">
        <v>255</v>
      </c>
      <c r="O101" s="21">
        <v>3</v>
      </c>
      <c r="P101" s="49"/>
      <c r="Q101" s="49"/>
      <c r="R101" s="11" t="s">
        <v>245</v>
      </c>
      <c r="S101" s="19"/>
      <c r="T101" s="9">
        <f>IF(ISBLANK(Table1[[#This Row], [Date de fin de lecture FR]]),"",YEAR(Table1[[#This Row], [Date de fin de lecture FR]]))</f>
      </c>
      <c r="U101" s="10">
        <f>IF(ISBLANK(Table1[[#This Row], [Date de fin de lecture FR]]),"",MONTH(Table1[[#This Row], [Date de fin de lecture FR]]))</f>
      </c>
      <c r="V101" s="4">
        <f>IF(ISBLANK(Table1[[#This Row], [Date de début de lecture]]),"",(IF(ISBLANK(Table1[[#This Row], [Date de fin de lecture FR]]),0,Table1[[#This Row], [Date de fin de lecture FR]]-Table1[[#This Row], [Date de début de lecture]])))</f>
      </c>
      <c r="W101" s="46">
        <f>IF(Table1[[#This Row], [Temps de lecture en jours]]="","",IF(ISBLANK(Table1[[#This Row], [Nbr Pages]]),0,Table1[[#This Row], [Nbr Pages]]/Table1[[#This Row], [Temps de lecture en jours]]))</f>
      </c>
      <c r="X101" s="4">
        <f>IF(ISBLANK(Table1[[#This Row], [Date d''achat]]),"",IF(ISBLANK(Table1[[#This Row], [Date de fin de lecture FR]]),0,Table1[[#This Row], [Date de fin de lecture FR]]-Table1[[#This Row], [Date d''achat]]))</f>
      </c>
      <c r="Y101" s="10">
        <f>IF(ISBLANK(Table1[[#This Row], [Date de sortie]]),"",ROUNDDOWN(YEAR(Table1[[#This Row], [Date de sortie]]),-1))</f>
      </c>
    </row>
    <row x14ac:dyDescent="0.25" r="102" customHeight="1" ht="18.75">
      <c r="A102" s="1" t="s">
        <v>371</v>
      </c>
      <c r="B102" s="1" t="s">
        <v>368</v>
      </c>
      <c r="C102" s="9">
        <v>1</v>
      </c>
      <c r="D102" s="4"/>
      <c r="E102" s="4"/>
      <c r="F102" s="2"/>
      <c r="G102" s="1" t="s">
        <v>246</v>
      </c>
      <c r="H102" s="1" t="s">
        <v>369</v>
      </c>
      <c r="I102" s="4"/>
      <c r="J102" s="17"/>
      <c r="K102" s="17"/>
      <c r="L102" s="17"/>
      <c r="M102" s="17"/>
      <c r="N102" s="19"/>
      <c r="O102" s="22"/>
      <c r="P102" s="49"/>
      <c r="Q102" s="49"/>
      <c r="R102" s="22"/>
      <c r="S102" s="19"/>
      <c r="T102" s="4">
        <f>IF(ISBLANK(Table1[[#This Row], [Date de fin de lecture FR]]),"",YEAR(Table1[[#This Row], [Date de fin de lecture FR]]))</f>
      </c>
      <c r="U102" s="10">
        <f>IF(ISBLANK(Table1[[#This Row], [Date de fin de lecture FR]]),"",MONTH(Table1[[#This Row], [Date de fin de lecture FR]]))</f>
      </c>
      <c r="V102" s="4">
        <f>IF(ISBLANK(Table1[[#This Row], [Date de début de lecture]]),"",(IF(ISBLANK(Table1[[#This Row], [Date de fin de lecture FR]]),0,Table1[[#This Row], [Date de fin de lecture FR]]-Table1[[#This Row], [Date de début de lecture]])))</f>
      </c>
      <c r="W102" s="46">
        <f>IF(Table1[[#This Row], [Temps de lecture en jours]]="","",IF(ISBLANK(Table1[[#This Row], [Nbr Pages]]),0,Table1[[#This Row], [Nbr Pages]]/Table1[[#This Row], [Temps de lecture en jours]]))</f>
      </c>
      <c r="X102" s="4">
        <f>IF(ISBLANK(Table1[[#This Row], [Date d''achat]]),"",IF(ISBLANK(Table1[[#This Row], [Date de fin de lecture FR]]),0,Table1[[#This Row], [Date de fin de lecture FR]]-Table1[[#This Row], [Date d''achat]]))</f>
      </c>
      <c r="Y102" s="10">
        <f>IF(ISBLANK(Table1[[#This Row], [Date de sortie]]),"",ROUNDDOWN(YEAR(Table1[[#This Row], [Date de sortie]]),-1))</f>
      </c>
    </row>
    <row x14ac:dyDescent="0.25" r="103" customHeight="1" ht="18.75">
      <c r="A103" s="1" t="s">
        <v>372</v>
      </c>
      <c r="B103" s="1" t="s">
        <v>368</v>
      </c>
      <c r="C103" s="9">
        <v>1</v>
      </c>
      <c r="D103" s="4"/>
      <c r="E103" s="4"/>
      <c r="F103" s="2"/>
      <c r="G103" s="1" t="s">
        <v>246</v>
      </c>
      <c r="H103" s="1" t="s">
        <v>369</v>
      </c>
      <c r="I103" s="4"/>
      <c r="J103" s="17"/>
      <c r="K103" s="17"/>
      <c r="L103" s="17"/>
      <c r="M103" s="17"/>
      <c r="N103" s="19"/>
      <c r="O103" s="22"/>
      <c r="P103" s="49"/>
      <c r="Q103" s="49"/>
      <c r="R103" s="22"/>
      <c r="S103" s="19"/>
      <c r="T103" s="4">
        <f>IF(ISBLANK(Table1[[#This Row], [Date de fin de lecture FR]]),"",YEAR(Table1[[#This Row], [Date de fin de lecture FR]]))</f>
      </c>
      <c r="U103" s="10">
        <f>IF(ISBLANK(Table1[[#This Row], [Date de fin de lecture FR]]),"",MONTH(Table1[[#This Row], [Date de fin de lecture FR]]))</f>
      </c>
      <c r="V103" s="4">
        <f>IF(ISBLANK(Table1[[#This Row], [Date de début de lecture]]),"",(IF(ISBLANK(Table1[[#This Row], [Date de fin de lecture FR]]),0,Table1[[#This Row], [Date de fin de lecture FR]]-Table1[[#This Row], [Date de début de lecture]])))</f>
      </c>
      <c r="W103" s="46">
        <f>IF(Table1[[#This Row], [Temps de lecture en jours]]="","",IF(ISBLANK(Table1[[#This Row], [Nbr Pages]]),0,Table1[[#This Row], [Nbr Pages]]/Table1[[#This Row], [Temps de lecture en jours]]))</f>
      </c>
      <c r="X103" s="4">
        <f>IF(ISBLANK(Table1[[#This Row], [Date d''achat]]),"",IF(ISBLANK(Table1[[#This Row], [Date de fin de lecture FR]]),0,Table1[[#This Row], [Date de fin de lecture FR]]-Table1[[#This Row], [Date d''achat]]))</f>
      </c>
      <c r="Y103" s="10">
        <f>IF(ISBLANK(Table1[[#This Row], [Date de sortie]]),"",ROUNDDOWN(YEAR(Table1[[#This Row], [Date de sortie]]),-1))</f>
      </c>
    </row>
    <row x14ac:dyDescent="0.25" r="104" customHeight="1" ht="18.75">
      <c r="A104" s="1" t="s">
        <v>373</v>
      </c>
      <c r="B104" s="1" t="s">
        <v>368</v>
      </c>
      <c r="C104" s="9">
        <v>1</v>
      </c>
      <c r="D104" s="4"/>
      <c r="E104" s="4"/>
      <c r="F104" s="2"/>
      <c r="G104" s="1" t="s">
        <v>246</v>
      </c>
      <c r="H104" s="1" t="s">
        <v>369</v>
      </c>
      <c r="I104" s="4"/>
      <c r="J104" s="17"/>
      <c r="K104" s="17"/>
      <c r="L104" s="17"/>
      <c r="M104" s="17"/>
      <c r="N104" s="19"/>
      <c r="O104" s="22"/>
      <c r="P104" s="49"/>
      <c r="Q104" s="49"/>
      <c r="R104" s="22"/>
      <c r="S104" s="19"/>
      <c r="T104" s="4">
        <f>IF(ISBLANK(Table1[[#This Row], [Date de fin de lecture FR]]),"",YEAR(Table1[[#This Row], [Date de fin de lecture FR]]))</f>
      </c>
      <c r="U104" s="10">
        <f>IF(ISBLANK(Table1[[#This Row], [Date de fin de lecture FR]]),"",MONTH(Table1[[#This Row], [Date de fin de lecture FR]]))</f>
      </c>
      <c r="V104" s="4">
        <f>IF(ISBLANK(Table1[[#This Row], [Date de début de lecture]]),"",(IF(ISBLANK(Table1[[#This Row], [Date de fin de lecture FR]]),0,Table1[[#This Row], [Date de fin de lecture FR]]-Table1[[#This Row], [Date de début de lecture]])))</f>
      </c>
      <c r="W104" s="46">
        <f>IF(Table1[[#This Row], [Temps de lecture en jours]]="","",IF(ISBLANK(Table1[[#This Row], [Nbr Pages]]),0,Table1[[#This Row], [Nbr Pages]]/Table1[[#This Row], [Temps de lecture en jours]]))</f>
      </c>
      <c r="X104" s="4">
        <f>IF(ISBLANK(Table1[[#This Row], [Date d''achat]]),"",IF(ISBLANK(Table1[[#This Row], [Date de fin de lecture FR]]),0,Table1[[#This Row], [Date de fin de lecture FR]]-Table1[[#This Row], [Date d''achat]]))</f>
      </c>
      <c r="Y104" s="10">
        <f>IF(ISBLANK(Table1[[#This Row], [Date de sortie]]),"",ROUNDDOWN(YEAR(Table1[[#This Row], [Date de sortie]]),-1))</f>
      </c>
    </row>
    <row x14ac:dyDescent="0.25" r="105" customHeight="1" ht="18.75">
      <c r="A105" s="11">
        <v>1984</v>
      </c>
      <c r="B105" s="1" t="s">
        <v>374</v>
      </c>
      <c r="C105" s="4"/>
      <c r="D105" s="9">
        <v>1</v>
      </c>
      <c r="E105" s="4"/>
      <c r="F105" s="2"/>
      <c r="G105" s="1" t="s">
        <v>243</v>
      </c>
      <c r="H105" s="19"/>
      <c r="I105" s="9">
        <v>438</v>
      </c>
      <c r="J105" s="22">
        <v>18057</v>
      </c>
      <c r="K105" s="17"/>
      <c r="L105" s="17"/>
      <c r="M105" s="22">
        <v>42335</v>
      </c>
      <c r="N105" s="11" t="s">
        <v>244</v>
      </c>
      <c r="O105" s="17"/>
      <c r="P105" s="49"/>
      <c r="Q105" s="49"/>
      <c r="R105" s="11" t="s">
        <v>245</v>
      </c>
      <c r="S105" s="19"/>
      <c r="T105" s="9">
        <f>IF(ISBLANK(Table1[[#This Row], [Date de fin de lecture FR]]),"",YEAR(Table1[[#This Row], [Date de fin de lecture FR]]))</f>
      </c>
      <c r="U105" s="10">
        <f>IF(ISBLANK(Table1[[#This Row], [Date de fin de lecture FR]]),"",MONTH(Table1[[#This Row], [Date de fin de lecture FR]]))</f>
      </c>
      <c r="V105" s="4">
        <f>IF(ISBLANK(Table1[[#This Row], [Date de début de lecture]]),"",(IF(ISBLANK(Table1[[#This Row], [Date de fin de lecture FR]]),0,Table1[[#This Row], [Date de fin de lecture FR]]-Table1[[#This Row], [Date de début de lecture]])))</f>
      </c>
      <c r="W105" s="46">
        <f>IF(Table1[[#This Row], [Temps de lecture en jours]]="","",IF(ISBLANK(Table1[[#This Row], [Nbr Pages]]),0,Table1[[#This Row], [Nbr Pages]]/Table1[[#This Row], [Temps de lecture en jours]]))</f>
      </c>
      <c r="X105" s="4">
        <f>IF(ISBLANK(Table1[[#This Row], [Date d''achat]]),"",IF(ISBLANK(Table1[[#This Row], [Date de fin de lecture FR]]),0,Table1[[#This Row], [Date de fin de lecture FR]]-Table1[[#This Row], [Date d''achat]]))</f>
      </c>
      <c r="Y105" s="10">
        <f>IF(ISBLANK(Table1[[#This Row], [Date de sortie]]),"",ROUNDDOWN(YEAR(Table1[[#This Row], [Date de sortie]]),-1))</f>
      </c>
    </row>
    <row x14ac:dyDescent="0.25" r="106" customHeight="1" ht="18.75">
      <c r="A106" s="1" t="s">
        <v>375</v>
      </c>
      <c r="B106" s="1" t="s">
        <v>374</v>
      </c>
      <c r="C106" s="4"/>
      <c r="D106" s="4"/>
      <c r="E106" s="4"/>
      <c r="F106" s="47" t="s">
        <v>29</v>
      </c>
      <c r="G106" s="1" t="s">
        <v>245</v>
      </c>
      <c r="H106" s="19"/>
      <c r="I106" s="4"/>
      <c r="J106" s="17"/>
      <c r="K106" s="17"/>
      <c r="L106" s="17"/>
      <c r="M106" s="17"/>
      <c r="N106" s="19"/>
      <c r="O106" s="22"/>
      <c r="P106" s="49"/>
      <c r="Q106" s="49"/>
      <c r="R106" s="22"/>
      <c r="S106" s="19"/>
      <c r="T106" s="4">
        <f>IF(ISBLANK(Table1[[#This Row], [Date de fin de lecture FR]]),"",YEAR(Table1[[#This Row], [Date de fin de lecture FR]]))</f>
      </c>
      <c r="U106" s="10">
        <f>IF(ISBLANK(Table1[[#This Row], [Date de fin de lecture FR]]),"",MONTH(Table1[[#This Row], [Date de fin de lecture FR]]))</f>
      </c>
      <c r="V106" s="4">
        <f>IF(ISBLANK(Table1[[#This Row], [Date de début de lecture]]),"",(IF(ISBLANK(Table1[[#This Row], [Date de fin de lecture FR]]),0,Table1[[#This Row], [Date de fin de lecture FR]]-Table1[[#This Row], [Date de début de lecture]])))</f>
      </c>
      <c r="W106" s="46">
        <f>IF(Table1[[#This Row], [Temps de lecture en jours]]="","",IF(ISBLANK(Table1[[#This Row], [Nbr Pages]]),0,Table1[[#This Row], [Nbr Pages]]/Table1[[#This Row], [Temps de lecture en jours]]))</f>
      </c>
      <c r="X106" s="4">
        <f>IF(ISBLANK(Table1[[#This Row], [Date d''achat]]),"",IF(ISBLANK(Table1[[#This Row], [Date de fin de lecture FR]]),0,Table1[[#This Row], [Date de fin de lecture FR]]-Table1[[#This Row], [Date d''achat]]))</f>
      </c>
      <c r="Y106" s="10">
        <f>IF(ISBLANK(Table1[[#This Row], [Date de sortie]]),"",ROUNDDOWN(YEAR(Table1[[#This Row], [Date de sortie]]),-1))</f>
      </c>
    </row>
    <row x14ac:dyDescent="0.25" r="107" customHeight="1" ht="18.75">
      <c r="A107" s="1" t="s">
        <v>376</v>
      </c>
      <c r="B107" s="1" t="s">
        <v>374</v>
      </c>
      <c r="C107" s="4"/>
      <c r="D107" s="4"/>
      <c r="E107" s="4"/>
      <c r="F107" s="47" t="s">
        <v>29</v>
      </c>
      <c r="G107" s="1" t="s">
        <v>245</v>
      </c>
      <c r="H107" s="19"/>
      <c r="I107" s="4"/>
      <c r="J107" s="17"/>
      <c r="K107" s="17"/>
      <c r="L107" s="17"/>
      <c r="M107" s="17"/>
      <c r="N107" s="19"/>
      <c r="O107" s="22"/>
      <c r="P107" s="49"/>
      <c r="Q107" s="49"/>
      <c r="R107" s="22"/>
      <c r="S107" s="19"/>
      <c r="T107" s="4">
        <f>IF(ISBLANK(Table1[[#This Row], [Date de fin de lecture FR]]),"",YEAR(Table1[[#This Row], [Date de fin de lecture FR]]))</f>
      </c>
      <c r="U107" s="10">
        <f>IF(ISBLANK(Table1[[#This Row], [Date de fin de lecture FR]]),"",MONTH(Table1[[#This Row], [Date de fin de lecture FR]]))</f>
      </c>
      <c r="V107" s="4">
        <f>IF(ISBLANK(Table1[[#This Row], [Date de début de lecture]]),"",(IF(ISBLANK(Table1[[#This Row], [Date de fin de lecture FR]]),0,Table1[[#This Row], [Date de fin de lecture FR]]-Table1[[#This Row], [Date de début de lecture]])))</f>
      </c>
      <c r="W107" s="46">
        <f>IF(Table1[[#This Row], [Temps de lecture en jours]]="","",IF(ISBLANK(Table1[[#This Row], [Nbr Pages]]),0,Table1[[#This Row], [Nbr Pages]]/Table1[[#This Row], [Temps de lecture en jours]]))</f>
      </c>
      <c r="X107" s="4">
        <f>IF(ISBLANK(Table1[[#This Row], [Date d''achat]]),"",IF(ISBLANK(Table1[[#This Row], [Date de fin de lecture FR]]),0,Table1[[#This Row], [Date de fin de lecture FR]]-Table1[[#This Row], [Date d''achat]]))</f>
      </c>
      <c r="Y107" s="10">
        <f>IF(ISBLANK(Table1[[#This Row], [Date de sortie]]),"",ROUNDDOWN(YEAR(Table1[[#This Row], [Date de sortie]]),-1))</f>
      </c>
    </row>
    <row x14ac:dyDescent="0.25" r="108" customHeight="1" ht="18.75">
      <c r="A108" s="1" t="s">
        <v>113</v>
      </c>
      <c r="B108" s="1" t="s">
        <v>374</v>
      </c>
      <c r="C108" s="9">
        <v>1</v>
      </c>
      <c r="D108" s="9">
        <v>1</v>
      </c>
      <c r="E108" s="9">
        <v>1</v>
      </c>
      <c r="F108" s="2"/>
      <c r="G108" s="1" t="s">
        <v>243</v>
      </c>
      <c r="H108" s="19"/>
      <c r="I108" s="9">
        <v>224</v>
      </c>
      <c r="J108" s="22">
        <v>16666</v>
      </c>
      <c r="K108" s="17"/>
      <c r="L108" s="17"/>
      <c r="M108" s="22">
        <v>43492</v>
      </c>
      <c r="N108" s="11" t="s">
        <v>244</v>
      </c>
      <c r="O108" s="17"/>
      <c r="P108" s="49"/>
      <c r="Q108" s="49"/>
      <c r="R108" s="11" t="s">
        <v>245</v>
      </c>
      <c r="S108" s="19"/>
      <c r="T108" s="9">
        <f>IF(ISBLANK(Table1[[#This Row], [Date de fin de lecture FR]]),"",YEAR(Table1[[#This Row], [Date de fin de lecture FR]]))</f>
      </c>
      <c r="U108" s="10">
        <f>IF(ISBLANK(Table1[[#This Row], [Date de fin de lecture FR]]),"",MONTH(Table1[[#This Row], [Date de fin de lecture FR]]))</f>
      </c>
      <c r="V108" s="4">
        <f>IF(ISBLANK(Table1[[#This Row], [Date de début de lecture]]),"",(IF(ISBLANK(Table1[[#This Row], [Date de fin de lecture FR]]),0,Table1[[#This Row], [Date de fin de lecture FR]]-Table1[[#This Row], [Date de début de lecture]])))</f>
      </c>
      <c r="W108" s="46">
        <f>IF(Table1[[#This Row], [Temps de lecture en jours]]="","",IF(ISBLANK(Table1[[#This Row], [Nbr Pages]]),0,Table1[[#This Row], [Nbr Pages]]/Table1[[#This Row], [Temps de lecture en jours]]))</f>
      </c>
      <c r="X108" s="4">
        <f>IF(ISBLANK(Table1[[#This Row], [Date d''achat]]),"",IF(ISBLANK(Table1[[#This Row], [Date de fin de lecture FR]]),0,Table1[[#This Row], [Date de fin de lecture FR]]-Table1[[#This Row], [Date d''achat]]))</f>
      </c>
      <c r="Y108" s="10">
        <f>IF(ISBLANK(Table1[[#This Row], [Date de sortie]]),"",ROUNDDOWN(YEAR(Table1[[#This Row], [Date de sortie]]),-1))</f>
      </c>
    </row>
    <row x14ac:dyDescent="0.25" r="109" customHeight="1" ht="18.75">
      <c r="A109" s="1" t="s">
        <v>114</v>
      </c>
      <c r="B109" s="1" t="s">
        <v>377</v>
      </c>
      <c r="C109" s="4"/>
      <c r="D109" s="9">
        <v>1</v>
      </c>
      <c r="E109" s="9">
        <v>1</v>
      </c>
      <c r="F109" s="2"/>
      <c r="G109" s="1" t="s">
        <v>246</v>
      </c>
      <c r="H109" s="1" t="s">
        <v>295</v>
      </c>
      <c r="I109" s="9">
        <v>384</v>
      </c>
      <c r="J109" s="22">
        <v>38317</v>
      </c>
      <c r="K109" s="17"/>
      <c r="L109" s="17"/>
      <c r="M109" s="22">
        <v>44526</v>
      </c>
      <c r="N109" s="11" t="s">
        <v>255</v>
      </c>
      <c r="O109" s="21">
        <v>1</v>
      </c>
      <c r="P109" s="49"/>
      <c r="Q109" s="49"/>
      <c r="R109" s="11" t="s">
        <v>245</v>
      </c>
      <c r="S109" s="1" t="s">
        <v>378</v>
      </c>
      <c r="T109" s="9">
        <f>IF(ISBLANK(Table1[[#This Row], [Date de fin de lecture FR]]),"",YEAR(Table1[[#This Row], [Date de fin de lecture FR]]))</f>
      </c>
      <c r="U109" s="10">
        <f>IF(ISBLANK(Table1[[#This Row], [Date de fin de lecture FR]]),"",MONTH(Table1[[#This Row], [Date de fin de lecture FR]]))</f>
      </c>
      <c r="V109" s="4">
        <f>IF(ISBLANK(Table1[[#This Row], [Date de début de lecture]]),"",(IF(ISBLANK(Table1[[#This Row], [Date de fin de lecture FR]]),0,Table1[[#This Row], [Date de fin de lecture FR]]-Table1[[#This Row], [Date de début de lecture]])))</f>
      </c>
      <c r="W109" s="46">
        <f>IF(Table1[[#This Row], [Temps de lecture en jours]]="","",IF(ISBLANK(Table1[[#This Row], [Nbr Pages]]),0,Table1[[#This Row], [Nbr Pages]]/Table1[[#This Row], [Temps de lecture en jours]]))</f>
      </c>
      <c r="X109" s="4">
        <f>IF(ISBLANK(Table1[[#This Row], [Date d''achat]]),"",IF(ISBLANK(Table1[[#This Row], [Date de fin de lecture FR]]),0,Table1[[#This Row], [Date de fin de lecture FR]]-Table1[[#This Row], [Date d''achat]]))</f>
      </c>
      <c r="Y109" s="10">
        <f>IF(ISBLANK(Table1[[#This Row], [Date de sortie]]),"",ROUNDDOWN(YEAR(Table1[[#This Row], [Date de sortie]]),-1))</f>
      </c>
    </row>
    <row x14ac:dyDescent="0.25" r="110" customHeight="1" ht="18.75">
      <c r="A110" s="1" t="s">
        <v>45</v>
      </c>
      <c r="B110" s="1" t="s">
        <v>377</v>
      </c>
      <c r="C110" s="4"/>
      <c r="D110" s="9">
        <v>1</v>
      </c>
      <c r="E110" s="9">
        <v>1</v>
      </c>
      <c r="F110" s="2"/>
      <c r="G110" s="1" t="s">
        <v>246</v>
      </c>
      <c r="H110" s="1" t="s">
        <v>295</v>
      </c>
      <c r="I110" s="4"/>
      <c r="J110" s="17"/>
      <c r="K110" s="17"/>
      <c r="L110" s="22">
        <v>45065</v>
      </c>
      <c r="M110" s="22">
        <v>45067</v>
      </c>
      <c r="N110" s="19"/>
      <c r="O110" s="22"/>
      <c r="P110" s="49"/>
      <c r="Q110" s="49"/>
      <c r="R110" s="19"/>
      <c r="S110" s="19"/>
      <c r="T110" s="9">
        <f>IF(ISBLANK(Table1[[#This Row], [Date de fin de lecture FR]]),"",YEAR(Table1[[#This Row], [Date de fin de lecture FR]]))</f>
      </c>
      <c r="U110" s="10">
        <f>IF(ISBLANK(Table1[[#This Row], [Date de fin de lecture FR]]),"",MONTH(Table1[[#This Row], [Date de fin de lecture FR]]))</f>
      </c>
      <c r="V110" s="9">
        <f>IF(ISBLANK(Table1[[#This Row], [Date de début de lecture]]),"",(IF(ISBLANK(Table1[[#This Row], [Date de fin de lecture FR]]),0,Table1[[#This Row], [Date de fin de lecture FR]]-Table1[[#This Row], [Date de début de lecture]])))</f>
      </c>
      <c r="W110" s="46">
        <f>IF(Table1[[#This Row], [Temps de lecture en jours]]="","",IF(ISBLANK(Table1[[#This Row], [Nbr Pages]]),0,Table1[[#This Row], [Nbr Pages]]/Table1[[#This Row], [Temps de lecture en jours]]))</f>
      </c>
      <c r="X110" s="4">
        <f>IF(ISBLANK(Table1[[#This Row], [Date d''achat]]),"",IF(ISBLANK(Table1[[#This Row], [Date de fin de lecture FR]]),0,Table1[[#This Row], [Date de fin de lecture FR]]-Table1[[#This Row], [Date d''achat]]))</f>
      </c>
      <c r="Y110" s="10">
        <f>IF(ISBLANK(Table1[[#This Row], [Date de sortie]]),"",ROUNDDOWN(YEAR(Table1[[#This Row], [Date de sortie]]),-1))</f>
      </c>
    </row>
    <row x14ac:dyDescent="0.25" r="111" customHeight="1" ht="18.75">
      <c r="A111" s="1" t="s">
        <v>44</v>
      </c>
      <c r="B111" s="1" t="s">
        <v>377</v>
      </c>
      <c r="C111" s="4"/>
      <c r="D111" s="9">
        <v>1</v>
      </c>
      <c r="E111" s="9">
        <v>1</v>
      </c>
      <c r="F111" s="2"/>
      <c r="G111" s="1" t="s">
        <v>246</v>
      </c>
      <c r="H111" s="1" t="s">
        <v>295</v>
      </c>
      <c r="I111" s="4"/>
      <c r="J111" s="17"/>
      <c r="K111" s="17"/>
      <c r="L111" s="22">
        <v>45069</v>
      </c>
      <c r="M111" s="22">
        <v>45087</v>
      </c>
      <c r="N111" s="19"/>
      <c r="O111" s="22"/>
      <c r="P111" s="49"/>
      <c r="Q111" s="49"/>
      <c r="R111" s="19"/>
      <c r="S111" s="19"/>
      <c r="T111" s="9">
        <f>IF(ISBLANK(Table1[[#This Row], [Date de fin de lecture FR]]),"",YEAR(Table1[[#This Row], [Date de fin de lecture FR]]))</f>
      </c>
      <c r="U111" s="10">
        <f>IF(ISBLANK(Table1[[#This Row], [Date de fin de lecture FR]]),"",MONTH(Table1[[#This Row], [Date de fin de lecture FR]]))</f>
      </c>
      <c r="V111" s="9">
        <f>IF(ISBLANK(Table1[[#This Row], [Date de début de lecture]]),"",(IF(ISBLANK(Table1[[#This Row], [Date de fin de lecture FR]]),0,Table1[[#This Row], [Date de fin de lecture FR]]-Table1[[#This Row], [Date de début de lecture]])))</f>
      </c>
      <c r="W111" s="46">
        <f>IF(Table1[[#This Row], [Temps de lecture en jours]]="","",IF(ISBLANK(Table1[[#This Row], [Nbr Pages]]),0,Table1[[#This Row], [Nbr Pages]]/Table1[[#This Row], [Temps de lecture en jours]]))</f>
      </c>
      <c r="X111" s="4">
        <f>IF(ISBLANK(Table1[[#This Row], [Date d''achat]]),"",IF(ISBLANK(Table1[[#This Row], [Date de fin de lecture FR]]),0,Table1[[#This Row], [Date de fin de lecture FR]]-Table1[[#This Row], [Date d''achat]]))</f>
      </c>
      <c r="Y111" s="10">
        <f>IF(ISBLANK(Table1[[#This Row], [Date de sortie]]),"",ROUNDDOWN(YEAR(Table1[[#This Row], [Date de sortie]]),-1))</f>
      </c>
    </row>
    <row x14ac:dyDescent="0.25" r="112" customHeight="1" ht="18.75">
      <c r="A112" s="1" t="s">
        <v>379</v>
      </c>
      <c r="B112" s="1" t="s">
        <v>380</v>
      </c>
      <c r="C112" s="9">
        <v>1</v>
      </c>
      <c r="D112" s="4"/>
      <c r="E112" s="4"/>
      <c r="F112" s="2"/>
      <c r="G112" s="19"/>
      <c r="H112" s="19"/>
      <c r="I112" s="4"/>
      <c r="J112" s="17"/>
      <c r="K112" s="17"/>
      <c r="L112" s="17"/>
      <c r="M112" s="17"/>
      <c r="N112" s="19"/>
      <c r="O112" s="22"/>
      <c r="P112" s="49"/>
      <c r="Q112" s="49"/>
      <c r="R112" s="22"/>
      <c r="S112" s="19"/>
      <c r="T112" s="4">
        <f>IF(ISBLANK(Table1[[#This Row], [Date de fin de lecture FR]]),"",YEAR(Table1[[#This Row], [Date de fin de lecture FR]]))</f>
      </c>
      <c r="U112" s="10">
        <f>IF(ISBLANK(Table1[[#This Row], [Date de fin de lecture FR]]),"",MONTH(Table1[[#This Row], [Date de fin de lecture FR]]))</f>
      </c>
      <c r="V112" s="4">
        <f>IF(ISBLANK(Table1[[#This Row], [Date de début de lecture]]),"",(IF(ISBLANK(Table1[[#This Row], [Date de fin de lecture FR]]),0,Table1[[#This Row], [Date de fin de lecture FR]]-Table1[[#This Row], [Date de début de lecture]])))</f>
      </c>
      <c r="W112" s="46">
        <f>IF(Table1[[#This Row], [Temps de lecture en jours]]="","",IF(ISBLANK(Table1[[#This Row], [Nbr Pages]]),0,Table1[[#This Row], [Nbr Pages]]/Table1[[#This Row], [Temps de lecture en jours]]))</f>
      </c>
      <c r="X112" s="4">
        <f>IF(ISBLANK(Table1[[#This Row], [Date d''achat]]),"",IF(ISBLANK(Table1[[#This Row], [Date de fin de lecture FR]]),0,Table1[[#This Row], [Date de fin de lecture FR]]-Table1[[#This Row], [Date d''achat]]))</f>
      </c>
      <c r="Y112" s="10">
        <f>IF(ISBLANK(Table1[[#This Row], [Date de sortie]]),"",ROUNDDOWN(YEAR(Table1[[#This Row], [Date de sortie]]),-1))</f>
      </c>
    </row>
    <row x14ac:dyDescent="0.25" r="113" customHeight="1" ht="18.75">
      <c r="A113" s="1" t="s">
        <v>381</v>
      </c>
      <c r="B113" s="1" t="s">
        <v>382</v>
      </c>
      <c r="C113" s="9">
        <v>1</v>
      </c>
      <c r="D113" s="4"/>
      <c r="E113" s="4"/>
      <c r="F113" s="2"/>
      <c r="G113" s="1" t="s">
        <v>299</v>
      </c>
      <c r="H113" s="19"/>
      <c r="I113" s="4"/>
      <c r="J113" s="17"/>
      <c r="K113" s="17"/>
      <c r="L113" s="17"/>
      <c r="M113" s="17"/>
      <c r="N113" s="19"/>
      <c r="O113" s="22"/>
      <c r="P113" s="49"/>
      <c r="Q113" s="49"/>
      <c r="R113" s="22"/>
      <c r="S113" s="19"/>
      <c r="T113" s="4">
        <f>IF(ISBLANK(Table1[[#This Row], [Date de fin de lecture FR]]),"",YEAR(Table1[[#This Row], [Date de fin de lecture FR]]))</f>
      </c>
      <c r="U113" s="10">
        <f>IF(ISBLANK(Table1[[#This Row], [Date de fin de lecture FR]]),"",MONTH(Table1[[#This Row], [Date de fin de lecture FR]]))</f>
      </c>
      <c r="V113" s="4">
        <f>IF(ISBLANK(Table1[[#This Row], [Date de début de lecture]]),"",(IF(ISBLANK(Table1[[#This Row], [Date de fin de lecture FR]]),0,Table1[[#This Row], [Date de fin de lecture FR]]-Table1[[#This Row], [Date de début de lecture]])))</f>
      </c>
      <c r="W113" s="46">
        <f>IF(Table1[[#This Row], [Temps de lecture en jours]]="","",IF(ISBLANK(Table1[[#This Row], [Nbr Pages]]),0,Table1[[#This Row], [Nbr Pages]]/Table1[[#This Row], [Temps de lecture en jours]]))</f>
      </c>
      <c r="X113" s="4">
        <f>IF(ISBLANK(Table1[[#This Row], [Date d''achat]]),"",IF(ISBLANK(Table1[[#This Row], [Date de fin de lecture FR]]),0,Table1[[#This Row], [Date de fin de lecture FR]]-Table1[[#This Row], [Date d''achat]]))</f>
      </c>
      <c r="Y113" s="10">
        <f>IF(ISBLANK(Table1[[#This Row], [Date de sortie]]),"",ROUNDDOWN(YEAR(Table1[[#This Row], [Date de sortie]]),-1))</f>
      </c>
    </row>
    <row x14ac:dyDescent="0.25" r="114" customHeight="1" ht="18.75">
      <c r="A114" s="1" t="s">
        <v>383</v>
      </c>
      <c r="B114" s="1" t="s">
        <v>384</v>
      </c>
      <c r="C114" s="4"/>
      <c r="D114" s="4"/>
      <c r="E114" s="4"/>
      <c r="F114" s="47" t="s">
        <v>29</v>
      </c>
      <c r="G114" s="51"/>
      <c r="H114" s="19"/>
      <c r="I114" s="4"/>
      <c r="J114" s="17"/>
      <c r="K114" s="17"/>
      <c r="L114" s="17"/>
      <c r="M114" s="17"/>
      <c r="N114" s="19"/>
      <c r="O114" s="22"/>
      <c r="P114" s="49"/>
      <c r="Q114" s="49"/>
      <c r="R114" s="19"/>
      <c r="S114" s="10" t="s">
        <v>303</v>
      </c>
      <c r="T114" s="4">
        <f>IF(ISBLANK(Table1[[#This Row], [Date de fin de lecture FR]]),"",YEAR(Table1[[#This Row], [Date de fin de lecture FR]]))</f>
      </c>
      <c r="U114" s="10">
        <f>IF(ISBLANK(Table1[[#This Row], [Date de fin de lecture FR]]),"",MONTH(Table1[[#This Row], [Date de fin de lecture FR]]))</f>
      </c>
      <c r="V114" s="4">
        <f>IF(ISBLANK(Table1[[#This Row], [Date de début de lecture]]),"",(IF(ISBLANK(Table1[[#This Row], [Date de fin de lecture FR]]),0,Table1[[#This Row], [Date de fin de lecture FR]]-Table1[[#This Row], [Date de début de lecture]])))</f>
      </c>
      <c r="W114" s="46">
        <f>IF(Table1[[#This Row], [Temps de lecture en jours]]="","",IF(ISBLANK(Table1[[#This Row], [Nbr Pages]]),0,Table1[[#This Row], [Nbr Pages]]/Table1[[#This Row], [Temps de lecture en jours]]))</f>
      </c>
      <c r="X114" s="4">
        <f>IF(ISBLANK(Table1[[#This Row], [Date d''achat]]),"",IF(ISBLANK(Table1[[#This Row], [Date de fin de lecture FR]]),0,Table1[[#This Row], [Date de fin de lecture FR]]-Table1[[#This Row], [Date d''achat]]))</f>
      </c>
      <c r="Y114" s="10">
        <f>IF(ISBLANK(Table1[[#This Row], [Date de sortie]]),"",ROUNDDOWN(YEAR(Table1[[#This Row], [Date de sortie]]),-1))</f>
      </c>
    </row>
    <row x14ac:dyDescent="0.25" r="115" customHeight="1" ht="18.75">
      <c r="A115" s="1" t="s">
        <v>115</v>
      </c>
      <c r="B115" s="1" t="s">
        <v>385</v>
      </c>
      <c r="C115" s="9">
        <v>1</v>
      </c>
      <c r="D115" s="9">
        <v>1</v>
      </c>
      <c r="E115" s="9">
        <v>1</v>
      </c>
      <c r="F115" s="2"/>
      <c r="G115" s="1" t="s">
        <v>386</v>
      </c>
      <c r="H115" s="19"/>
      <c r="I115" s="9">
        <v>176</v>
      </c>
      <c r="J115" s="22">
        <v>41976</v>
      </c>
      <c r="K115" s="22">
        <v>44189</v>
      </c>
      <c r="L115" s="17"/>
      <c r="M115" s="22">
        <v>44198</v>
      </c>
      <c r="N115" s="11" t="s">
        <v>255</v>
      </c>
      <c r="O115" s="21">
        <v>1</v>
      </c>
      <c r="P115" s="49"/>
      <c r="Q115" s="49"/>
      <c r="R115" s="11" t="s">
        <v>387</v>
      </c>
      <c r="S115" s="1" t="s">
        <v>388</v>
      </c>
      <c r="T115" s="9">
        <f>IF(ISBLANK(Table1[[#This Row], [Date de fin de lecture FR]]),"",YEAR(Table1[[#This Row], [Date de fin de lecture FR]]))</f>
      </c>
      <c r="U115" s="10">
        <f>IF(ISBLANK(Table1[[#This Row], [Date de fin de lecture FR]]),"",MONTH(Table1[[#This Row], [Date de fin de lecture FR]]))</f>
      </c>
      <c r="V115" s="4">
        <f>IF(ISBLANK(Table1[[#This Row], [Date de début de lecture]]),"",(IF(ISBLANK(Table1[[#This Row], [Date de fin de lecture FR]]),0,Table1[[#This Row], [Date de fin de lecture FR]]-Table1[[#This Row], [Date de début de lecture]])))</f>
      </c>
      <c r="W115" s="46">
        <f>IF(Table1[[#This Row], [Temps de lecture en jours]]="","",IF(ISBLANK(Table1[[#This Row], [Nbr Pages]]),0,Table1[[#This Row], [Nbr Pages]]/Table1[[#This Row], [Temps de lecture en jours]]))</f>
      </c>
      <c r="X115" s="9">
        <f>IF(ISBLANK(Table1[[#This Row], [Date d''achat]]),"",IF(ISBLANK(Table1[[#This Row], [Date de fin de lecture FR]]),0,Table1[[#This Row], [Date de fin de lecture FR]]-Table1[[#This Row], [Date d''achat]]))</f>
      </c>
      <c r="Y115" s="10">
        <f>IF(ISBLANK(Table1[[#This Row], [Date de sortie]]),"",ROUNDDOWN(YEAR(Table1[[#This Row], [Date de sortie]]),-1))</f>
      </c>
    </row>
    <row x14ac:dyDescent="0.25" r="116" customHeight="1" ht="18.75">
      <c r="A116" s="1" t="s">
        <v>116</v>
      </c>
      <c r="B116" s="1" t="s">
        <v>389</v>
      </c>
      <c r="C116" s="9">
        <v>1</v>
      </c>
      <c r="D116" s="9">
        <v>1</v>
      </c>
      <c r="E116" s="9">
        <v>1</v>
      </c>
      <c r="F116" s="2"/>
      <c r="G116" s="1" t="s">
        <v>227</v>
      </c>
      <c r="H116" s="19"/>
      <c r="I116" s="9">
        <v>208</v>
      </c>
      <c r="J116" s="22">
        <v>27395</v>
      </c>
      <c r="K116" s="17"/>
      <c r="L116" s="17"/>
      <c r="M116" s="17"/>
      <c r="N116" s="11" t="s">
        <v>244</v>
      </c>
      <c r="O116" s="17"/>
      <c r="P116" s="49"/>
      <c r="Q116" s="49"/>
      <c r="R116" s="11" t="s">
        <v>290</v>
      </c>
      <c r="S116" s="19"/>
      <c r="T116" s="4">
        <f>IF(ISBLANK(Table1[[#This Row], [Date de fin de lecture FR]]),"",YEAR(Table1[[#This Row], [Date de fin de lecture FR]]))</f>
      </c>
      <c r="U116" s="10">
        <f>IF(ISBLANK(Table1[[#This Row], [Date de fin de lecture FR]]),"",MONTH(Table1[[#This Row], [Date de fin de lecture FR]]))</f>
      </c>
      <c r="V116" s="4">
        <f>IF(ISBLANK(Table1[[#This Row], [Date de début de lecture]]),"",(IF(ISBLANK(Table1[[#This Row], [Date de fin de lecture FR]]),0,Table1[[#This Row], [Date de fin de lecture FR]]-Table1[[#This Row], [Date de début de lecture]])))</f>
      </c>
      <c r="W116" s="46">
        <f>IF(Table1[[#This Row], [Temps de lecture en jours]]="","",IF(ISBLANK(Table1[[#This Row], [Nbr Pages]]),0,Table1[[#This Row], [Nbr Pages]]/Table1[[#This Row], [Temps de lecture en jours]]))</f>
      </c>
      <c r="X116" s="4">
        <f>IF(ISBLANK(Table1[[#This Row], [Date d''achat]]),"",IF(ISBLANK(Table1[[#This Row], [Date de fin de lecture FR]]),0,Table1[[#This Row], [Date de fin de lecture FR]]-Table1[[#This Row], [Date d''achat]]))</f>
      </c>
      <c r="Y116" s="10">
        <f>IF(ISBLANK(Table1[[#This Row], [Date de sortie]]),"",ROUNDDOWN(YEAR(Table1[[#This Row], [Date de sortie]]),-1))</f>
      </c>
    </row>
    <row x14ac:dyDescent="0.25" r="117" customHeight="1" ht="18.75">
      <c r="A117" s="1" t="s">
        <v>117</v>
      </c>
      <c r="B117" s="1" t="s">
        <v>389</v>
      </c>
      <c r="C117" s="9">
        <v>1</v>
      </c>
      <c r="D117" s="9">
        <v>1</v>
      </c>
      <c r="E117" s="4"/>
      <c r="F117" s="2"/>
      <c r="G117" s="1" t="s">
        <v>227</v>
      </c>
      <c r="H117" s="19"/>
      <c r="I117" s="9">
        <v>253</v>
      </c>
      <c r="J117" s="22">
        <v>15250</v>
      </c>
      <c r="K117" s="17"/>
      <c r="L117" s="17"/>
      <c r="M117" s="22">
        <v>43401</v>
      </c>
      <c r="N117" s="11" t="s">
        <v>244</v>
      </c>
      <c r="O117" s="17"/>
      <c r="P117" s="49"/>
      <c r="Q117" s="49"/>
      <c r="R117" s="11" t="s">
        <v>290</v>
      </c>
      <c r="S117" s="19"/>
      <c r="T117" s="9">
        <f>IF(ISBLANK(Table1[[#This Row], [Date de fin de lecture FR]]),"",YEAR(Table1[[#This Row], [Date de fin de lecture FR]]))</f>
      </c>
      <c r="U117" s="10">
        <f>IF(ISBLANK(Table1[[#This Row], [Date de fin de lecture FR]]),"",MONTH(Table1[[#This Row], [Date de fin de lecture FR]]))</f>
      </c>
      <c r="V117" s="4">
        <f>IF(ISBLANK(Table1[[#This Row], [Date de début de lecture]]),"",(IF(ISBLANK(Table1[[#This Row], [Date de fin de lecture FR]]),0,Table1[[#This Row], [Date de fin de lecture FR]]-Table1[[#This Row], [Date de début de lecture]])))</f>
      </c>
      <c r="W117" s="46">
        <f>IF(Table1[[#This Row], [Temps de lecture en jours]]="","",IF(ISBLANK(Table1[[#This Row], [Nbr Pages]]),0,Table1[[#This Row], [Nbr Pages]]/Table1[[#This Row], [Temps de lecture en jours]]))</f>
      </c>
      <c r="X117" s="4">
        <f>IF(ISBLANK(Table1[[#This Row], [Date d''achat]]),"",IF(ISBLANK(Table1[[#This Row], [Date de fin de lecture FR]]),0,Table1[[#This Row], [Date de fin de lecture FR]]-Table1[[#This Row], [Date d''achat]]))</f>
      </c>
      <c r="Y117" s="10">
        <f>IF(ISBLANK(Table1[[#This Row], [Date de sortie]]),"",ROUNDDOWN(YEAR(Table1[[#This Row], [Date de sortie]]),-1))</f>
      </c>
    </row>
    <row x14ac:dyDescent="0.25" r="118" customHeight="1" ht="18.75">
      <c r="A118" s="1" t="s">
        <v>118</v>
      </c>
      <c r="B118" s="1" t="s">
        <v>389</v>
      </c>
      <c r="C118" s="9">
        <v>1</v>
      </c>
      <c r="D118" s="9">
        <v>1</v>
      </c>
      <c r="E118" s="4"/>
      <c r="F118" s="2"/>
      <c r="G118" s="1" t="s">
        <v>227</v>
      </c>
      <c r="H118" s="19"/>
      <c r="I118" s="9">
        <v>352</v>
      </c>
      <c r="J118" s="22">
        <v>21551</v>
      </c>
      <c r="K118" s="17"/>
      <c r="L118" s="17"/>
      <c r="M118" s="22">
        <v>42817</v>
      </c>
      <c r="N118" s="11" t="s">
        <v>244</v>
      </c>
      <c r="O118" s="17"/>
      <c r="P118" s="49"/>
      <c r="Q118" s="49"/>
      <c r="R118" s="11" t="s">
        <v>290</v>
      </c>
      <c r="S118" s="19"/>
      <c r="T118" s="9">
        <f>IF(ISBLANK(Table1[[#This Row], [Date de fin de lecture FR]]),"",YEAR(Table1[[#This Row], [Date de fin de lecture FR]]))</f>
      </c>
      <c r="U118" s="10">
        <f>IF(ISBLANK(Table1[[#This Row], [Date de fin de lecture FR]]),"",MONTH(Table1[[#This Row], [Date de fin de lecture FR]]))</f>
      </c>
      <c r="V118" s="4">
        <f>IF(ISBLANK(Table1[[#This Row], [Date de début de lecture]]),"",(IF(ISBLANK(Table1[[#This Row], [Date de fin de lecture FR]]),0,Table1[[#This Row], [Date de fin de lecture FR]]-Table1[[#This Row], [Date de début de lecture]])))</f>
      </c>
      <c r="W118" s="46">
        <f>IF(Table1[[#This Row], [Temps de lecture en jours]]="","",IF(ISBLANK(Table1[[#This Row], [Nbr Pages]]),0,Table1[[#This Row], [Nbr Pages]]/Table1[[#This Row], [Temps de lecture en jours]]))</f>
      </c>
      <c r="X118" s="4">
        <f>IF(ISBLANK(Table1[[#This Row], [Date d''achat]]),"",IF(ISBLANK(Table1[[#This Row], [Date de fin de lecture FR]]),0,Table1[[#This Row], [Date de fin de lecture FR]]-Table1[[#This Row], [Date d''achat]]))</f>
      </c>
      <c r="Y118" s="10">
        <f>IF(ISBLANK(Table1[[#This Row], [Date de sortie]]),"",ROUNDDOWN(YEAR(Table1[[#This Row], [Date de sortie]]),-1))</f>
      </c>
    </row>
    <row x14ac:dyDescent="0.25" r="119" customHeight="1" ht="18.75">
      <c r="A119" s="1" t="s">
        <v>119</v>
      </c>
      <c r="B119" s="1" t="s">
        <v>389</v>
      </c>
      <c r="C119" s="9">
        <v>1</v>
      </c>
      <c r="D119" s="9">
        <v>1</v>
      </c>
      <c r="E119" s="9">
        <v>1</v>
      </c>
      <c r="F119" s="2"/>
      <c r="G119" s="1" t="s">
        <v>241</v>
      </c>
      <c r="H119" s="19"/>
      <c r="I119" s="9">
        <v>127</v>
      </c>
      <c r="J119" s="22">
        <v>29221</v>
      </c>
      <c r="K119" s="17"/>
      <c r="L119" s="17"/>
      <c r="M119" s="22">
        <v>43599</v>
      </c>
      <c r="N119" s="11" t="s">
        <v>244</v>
      </c>
      <c r="O119" s="17"/>
      <c r="P119" s="49"/>
      <c r="Q119" s="49"/>
      <c r="R119" s="11" t="s">
        <v>290</v>
      </c>
      <c r="S119" s="19"/>
      <c r="T119" s="9">
        <f>IF(ISBLANK(Table1[[#This Row], [Date de fin de lecture FR]]),"",YEAR(Table1[[#This Row], [Date de fin de lecture FR]]))</f>
      </c>
      <c r="U119" s="10">
        <f>IF(ISBLANK(Table1[[#This Row], [Date de fin de lecture FR]]),"",MONTH(Table1[[#This Row], [Date de fin de lecture FR]]))</f>
      </c>
      <c r="V119" s="4">
        <f>IF(ISBLANK(Table1[[#This Row], [Date de début de lecture]]),"",(IF(ISBLANK(Table1[[#This Row], [Date de fin de lecture FR]]),0,Table1[[#This Row], [Date de fin de lecture FR]]-Table1[[#This Row], [Date de début de lecture]])))</f>
      </c>
      <c r="W119" s="46">
        <f>IF(Table1[[#This Row], [Temps de lecture en jours]]="","",IF(ISBLANK(Table1[[#This Row], [Nbr Pages]]),0,Table1[[#This Row], [Nbr Pages]]/Table1[[#This Row], [Temps de lecture en jours]]))</f>
      </c>
      <c r="X119" s="4">
        <f>IF(ISBLANK(Table1[[#This Row], [Date d''achat]]),"",IF(ISBLANK(Table1[[#This Row], [Date de fin de lecture FR]]),0,Table1[[#This Row], [Date de fin de lecture FR]]-Table1[[#This Row], [Date d''achat]]))</f>
      </c>
      <c r="Y119" s="10">
        <f>IF(ISBLANK(Table1[[#This Row], [Date de sortie]]),"",ROUNDDOWN(YEAR(Table1[[#This Row], [Date de sortie]]),-1))</f>
      </c>
    </row>
    <row x14ac:dyDescent="0.25" r="120" customHeight="1" ht="18.75">
      <c r="A120" s="1" t="s">
        <v>120</v>
      </c>
      <c r="B120" s="1" t="s">
        <v>389</v>
      </c>
      <c r="C120" s="9">
        <v>1</v>
      </c>
      <c r="D120" s="9">
        <v>1</v>
      </c>
      <c r="E120" s="9">
        <v>1</v>
      </c>
      <c r="F120" s="2"/>
      <c r="G120" s="1" t="s">
        <v>227</v>
      </c>
      <c r="H120" s="19"/>
      <c r="I120" s="9">
        <v>251</v>
      </c>
      <c r="J120" s="22">
        <v>18870</v>
      </c>
      <c r="K120" s="17"/>
      <c r="L120" s="17"/>
      <c r="M120" s="22">
        <v>41640</v>
      </c>
      <c r="N120" s="11" t="s">
        <v>255</v>
      </c>
      <c r="O120" s="21">
        <v>1</v>
      </c>
      <c r="P120" s="49"/>
      <c r="Q120" s="49"/>
      <c r="R120" s="11" t="s">
        <v>245</v>
      </c>
      <c r="S120" s="19"/>
      <c r="T120" s="9">
        <f>IF(ISBLANK(Table1[[#This Row], [Date de fin de lecture FR]]),"",YEAR(Table1[[#This Row], [Date de fin de lecture FR]]))</f>
      </c>
      <c r="U120" s="10">
        <f>IF(ISBLANK(Table1[[#This Row], [Date de fin de lecture FR]]),"",MONTH(Table1[[#This Row], [Date de fin de lecture FR]]))</f>
      </c>
      <c r="V120" s="4">
        <f>IF(ISBLANK(Table1[[#This Row], [Date de début de lecture]]),"",(IF(ISBLANK(Table1[[#This Row], [Date de fin de lecture FR]]),0,Table1[[#This Row], [Date de fin de lecture FR]]-Table1[[#This Row], [Date de début de lecture]])))</f>
      </c>
      <c r="W120" s="46">
        <f>IF(Table1[[#This Row], [Temps de lecture en jours]]="","",IF(ISBLANK(Table1[[#This Row], [Nbr Pages]]),0,Table1[[#This Row], [Nbr Pages]]/Table1[[#This Row], [Temps de lecture en jours]]))</f>
      </c>
      <c r="X120" s="4">
        <f>IF(ISBLANK(Table1[[#This Row], [Date d''achat]]),"",IF(ISBLANK(Table1[[#This Row], [Date de fin de lecture FR]]),0,Table1[[#This Row], [Date de fin de lecture FR]]-Table1[[#This Row], [Date d''achat]]))</f>
      </c>
      <c r="Y120" s="10">
        <f>IF(ISBLANK(Table1[[#This Row], [Date de sortie]]),"",ROUNDDOWN(YEAR(Table1[[#This Row], [Date de sortie]]),-1))</f>
      </c>
    </row>
    <row x14ac:dyDescent="0.25" r="121" customHeight="1" ht="18.75">
      <c r="A121" s="1" t="s">
        <v>121</v>
      </c>
      <c r="B121" s="1" t="s">
        <v>389</v>
      </c>
      <c r="C121" s="9">
        <v>1</v>
      </c>
      <c r="D121" s="9">
        <v>1</v>
      </c>
      <c r="E121" s="9">
        <v>1</v>
      </c>
      <c r="F121" s="2"/>
      <c r="G121" s="1" t="s">
        <v>227</v>
      </c>
      <c r="H121" s="19"/>
      <c r="I121" s="9">
        <v>270</v>
      </c>
      <c r="J121" s="22">
        <v>18994</v>
      </c>
      <c r="K121" s="17"/>
      <c r="L121" s="17"/>
      <c r="M121" s="22">
        <v>41640</v>
      </c>
      <c r="N121" s="11" t="s">
        <v>255</v>
      </c>
      <c r="O121" s="21">
        <v>2</v>
      </c>
      <c r="P121" s="49"/>
      <c r="Q121" s="49"/>
      <c r="R121" s="11" t="s">
        <v>245</v>
      </c>
      <c r="S121" s="19"/>
      <c r="T121" s="9">
        <f>IF(ISBLANK(Table1[[#This Row], [Date de fin de lecture FR]]),"",YEAR(Table1[[#This Row], [Date de fin de lecture FR]]))</f>
      </c>
      <c r="U121" s="10">
        <f>IF(ISBLANK(Table1[[#This Row], [Date de fin de lecture FR]]),"",MONTH(Table1[[#This Row], [Date de fin de lecture FR]]))</f>
      </c>
      <c r="V121" s="4">
        <f>IF(ISBLANK(Table1[[#This Row], [Date de début de lecture]]),"",(IF(ISBLANK(Table1[[#This Row], [Date de fin de lecture FR]]),0,Table1[[#This Row], [Date de fin de lecture FR]]-Table1[[#This Row], [Date de début de lecture]])))</f>
      </c>
      <c r="W121" s="46">
        <f>IF(Table1[[#This Row], [Temps de lecture en jours]]="","",IF(ISBLANK(Table1[[#This Row], [Nbr Pages]]),0,Table1[[#This Row], [Nbr Pages]]/Table1[[#This Row], [Temps de lecture en jours]]))</f>
      </c>
      <c r="X121" s="4">
        <f>IF(ISBLANK(Table1[[#This Row], [Date d''achat]]),"",IF(ISBLANK(Table1[[#This Row], [Date de fin de lecture FR]]),0,Table1[[#This Row], [Date de fin de lecture FR]]-Table1[[#This Row], [Date d''achat]]))</f>
      </c>
      <c r="Y121" s="10">
        <f>IF(ISBLANK(Table1[[#This Row], [Date de sortie]]),"",ROUNDDOWN(YEAR(Table1[[#This Row], [Date de sortie]]),-1))</f>
      </c>
    </row>
    <row x14ac:dyDescent="0.25" r="122" customHeight="1" ht="18.75">
      <c r="A122" s="1" t="s">
        <v>122</v>
      </c>
      <c r="B122" s="1" t="s">
        <v>389</v>
      </c>
      <c r="C122" s="9">
        <v>1</v>
      </c>
      <c r="D122" s="9">
        <v>1</v>
      </c>
      <c r="E122" s="9">
        <v>1</v>
      </c>
      <c r="F122" s="2"/>
      <c r="G122" s="1" t="s">
        <v>227</v>
      </c>
      <c r="H122" s="19"/>
      <c r="I122" s="9">
        <v>271</v>
      </c>
      <c r="J122" s="22">
        <v>19360</v>
      </c>
      <c r="K122" s="17"/>
      <c r="L122" s="17"/>
      <c r="M122" s="22">
        <v>41640</v>
      </c>
      <c r="N122" s="11" t="s">
        <v>255</v>
      </c>
      <c r="O122" s="21">
        <v>3</v>
      </c>
      <c r="P122" s="49"/>
      <c r="Q122" s="49"/>
      <c r="R122" s="11" t="s">
        <v>245</v>
      </c>
      <c r="S122" s="19"/>
      <c r="T122" s="9">
        <f>IF(ISBLANK(Table1[[#This Row], [Date de fin de lecture FR]]),"",YEAR(Table1[[#This Row], [Date de fin de lecture FR]]))</f>
      </c>
      <c r="U122" s="10">
        <f>IF(ISBLANK(Table1[[#This Row], [Date de fin de lecture FR]]),"",MONTH(Table1[[#This Row], [Date de fin de lecture FR]]))</f>
      </c>
      <c r="V122" s="4">
        <f>IF(ISBLANK(Table1[[#This Row], [Date de début de lecture]]),"",(IF(ISBLANK(Table1[[#This Row], [Date de fin de lecture FR]]),0,Table1[[#This Row], [Date de fin de lecture FR]]-Table1[[#This Row], [Date de début de lecture]])))</f>
      </c>
      <c r="W122" s="46">
        <f>IF(Table1[[#This Row], [Temps de lecture en jours]]="","",IF(ISBLANK(Table1[[#This Row], [Nbr Pages]]),0,Table1[[#This Row], [Nbr Pages]]/Table1[[#This Row], [Temps de lecture en jours]]))</f>
      </c>
      <c r="X122" s="4">
        <f>IF(ISBLANK(Table1[[#This Row], [Date d''achat]]),"",IF(ISBLANK(Table1[[#This Row], [Date de fin de lecture FR]]),0,Table1[[#This Row], [Date de fin de lecture FR]]-Table1[[#This Row], [Date d''achat]]))</f>
      </c>
      <c r="Y122" s="10">
        <f>IF(ISBLANK(Table1[[#This Row], [Date de sortie]]),"",ROUNDDOWN(YEAR(Table1[[#This Row], [Date de sortie]]),-1))</f>
      </c>
    </row>
    <row x14ac:dyDescent="0.25" r="123" customHeight="1" ht="18.75">
      <c r="A123" s="1" t="s">
        <v>123</v>
      </c>
      <c r="B123" s="1" t="s">
        <v>389</v>
      </c>
      <c r="C123" s="9">
        <v>1</v>
      </c>
      <c r="D123" s="9">
        <v>1</v>
      </c>
      <c r="E123" s="9">
        <v>1</v>
      </c>
      <c r="F123" s="2"/>
      <c r="G123" s="1" t="s">
        <v>227</v>
      </c>
      <c r="H123" s="19"/>
      <c r="I123" s="9">
        <v>508</v>
      </c>
      <c r="J123" s="22">
        <v>29952</v>
      </c>
      <c r="K123" s="17"/>
      <c r="L123" s="17"/>
      <c r="M123" s="22">
        <v>41640</v>
      </c>
      <c r="N123" s="11" t="s">
        <v>255</v>
      </c>
      <c r="O123" s="21">
        <v>4</v>
      </c>
      <c r="P123" s="49"/>
      <c r="Q123" s="49"/>
      <c r="R123" s="11" t="s">
        <v>245</v>
      </c>
      <c r="S123" s="19"/>
      <c r="T123" s="9">
        <f>IF(ISBLANK(Table1[[#This Row], [Date de fin de lecture FR]]),"",YEAR(Table1[[#This Row], [Date de fin de lecture FR]]))</f>
      </c>
      <c r="U123" s="10">
        <f>IF(ISBLANK(Table1[[#This Row], [Date de fin de lecture FR]]),"",MONTH(Table1[[#This Row], [Date de fin de lecture FR]]))</f>
      </c>
      <c r="V123" s="4">
        <f>IF(ISBLANK(Table1[[#This Row], [Date de début de lecture]]),"",(IF(ISBLANK(Table1[[#This Row], [Date de fin de lecture FR]]),0,Table1[[#This Row], [Date de fin de lecture FR]]-Table1[[#This Row], [Date de début de lecture]])))</f>
      </c>
      <c r="W123" s="46">
        <f>IF(Table1[[#This Row], [Temps de lecture en jours]]="","",IF(ISBLANK(Table1[[#This Row], [Nbr Pages]]),0,Table1[[#This Row], [Nbr Pages]]/Table1[[#This Row], [Temps de lecture en jours]]))</f>
      </c>
      <c r="X123" s="4">
        <f>IF(ISBLANK(Table1[[#This Row], [Date d''achat]]),"",IF(ISBLANK(Table1[[#This Row], [Date de fin de lecture FR]]),0,Table1[[#This Row], [Date de fin de lecture FR]]-Table1[[#This Row], [Date d''achat]]))</f>
      </c>
      <c r="Y123" s="10">
        <f>IF(ISBLANK(Table1[[#This Row], [Date de sortie]]),"",ROUNDDOWN(YEAR(Table1[[#This Row], [Date de sortie]]),-1))</f>
      </c>
    </row>
    <row x14ac:dyDescent="0.25" r="124" customHeight="1" ht="18.75">
      <c r="A124" s="1" t="s">
        <v>124</v>
      </c>
      <c r="B124" s="1" t="s">
        <v>389</v>
      </c>
      <c r="C124" s="9">
        <v>1</v>
      </c>
      <c r="D124" s="9">
        <v>1</v>
      </c>
      <c r="E124" s="9">
        <v>1</v>
      </c>
      <c r="F124" s="2"/>
      <c r="G124" s="1" t="s">
        <v>227</v>
      </c>
      <c r="H124" s="19"/>
      <c r="I124" s="9">
        <v>506</v>
      </c>
      <c r="J124" s="22">
        <v>31413</v>
      </c>
      <c r="K124" s="17"/>
      <c r="L124" s="17"/>
      <c r="M124" s="22">
        <v>41640</v>
      </c>
      <c r="N124" s="11" t="s">
        <v>255</v>
      </c>
      <c r="O124" s="21">
        <v>5</v>
      </c>
      <c r="P124" s="49"/>
      <c r="Q124" s="49"/>
      <c r="R124" s="11" t="s">
        <v>245</v>
      </c>
      <c r="S124" s="19"/>
      <c r="T124" s="9">
        <f>IF(ISBLANK(Table1[[#This Row], [Date de fin de lecture FR]]),"",YEAR(Table1[[#This Row], [Date de fin de lecture FR]]))</f>
      </c>
      <c r="U124" s="10">
        <f>IF(ISBLANK(Table1[[#This Row], [Date de fin de lecture FR]]),"",MONTH(Table1[[#This Row], [Date de fin de lecture FR]]))</f>
      </c>
      <c r="V124" s="4">
        <f>IF(ISBLANK(Table1[[#This Row], [Date de début de lecture]]),"",(IF(ISBLANK(Table1[[#This Row], [Date de fin de lecture FR]]),0,Table1[[#This Row], [Date de fin de lecture FR]]-Table1[[#This Row], [Date de début de lecture]])))</f>
      </c>
      <c r="W124" s="46">
        <f>IF(Table1[[#This Row], [Temps de lecture en jours]]="","",IF(ISBLANK(Table1[[#This Row], [Nbr Pages]]),0,Table1[[#This Row], [Nbr Pages]]/Table1[[#This Row], [Temps de lecture en jours]]))</f>
      </c>
      <c r="X124" s="4">
        <f>IF(ISBLANK(Table1[[#This Row], [Date d''achat]]),"",IF(ISBLANK(Table1[[#This Row], [Date de fin de lecture FR]]),0,Table1[[#This Row], [Date de fin de lecture FR]]-Table1[[#This Row], [Date d''achat]]))</f>
      </c>
      <c r="Y124" s="10">
        <f>IF(ISBLANK(Table1[[#This Row], [Date de sortie]]),"",ROUNDDOWN(YEAR(Table1[[#This Row], [Date de sortie]]),-1))</f>
      </c>
    </row>
    <row x14ac:dyDescent="0.25" r="125" customHeight="1" ht="18.75">
      <c r="A125" s="1" t="s">
        <v>125</v>
      </c>
      <c r="B125" s="1" t="s">
        <v>389</v>
      </c>
      <c r="C125" s="9">
        <v>1</v>
      </c>
      <c r="D125" s="9">
        <v>1</v>
      </c>
      <c r="E125" s="9">
        <v>1</v>
      </c>
      <c r="F125" s="2"/>
      <c r="G125" s="1" t="s">
        <v>227</v>
      </c>
      <c r="H125" s="19"/>
      <c r="I125" s="9">
        <v>608</v>
      </c>
      <c r="J125" s="22">
        <v>32143</v>
      </c>
      <c r="K125" s="22">
        <v>44011</v>
      </c>
      <c r="L125" s="17"/>
      <c r="M125" s="22">
        <v>44051</v>
      </c>
      <c r="N125" s="11" t="s">
        <v>255</v>
      </c>
      <c r="O125" s="21">
        <v>6</v>
      </c>
      <c r="P125" s="49"/>
      <c r="Q125" s="49"/>
      <c r="R125" s="11" t="s">
        <v>245</v>
      </c>
      <c r="S125" s="1" t="s">
        <v>390</v>
      </c>
      <c r="T125" s="9">
        <f>IF(ISBLANK(Table1[[#This Row], [Date de fin de lecture FR]]),"",YEAR(Table1[[#This Row], [Date de fin de lecture FR]]))</f>
      </c>
      <c r="U125" s="10">
        <f>IF(ISBLANK(Table1[[#This Row], [Date de fin de lecture FR]]),"",MONTH(Table1[[#This Row], [Date de fin de lecture FR]]))</f>
      </c>
      <c r="V125" s="4">
        <f>IF(ISBLANK(Table1[[#This Row], [Date de début de lecture]]),"",(IF(ISBLANK(Table1[[#This Row], [Date de fin de lecture FR]]),0,Table1[[#This Row], [Date de fin de lecture FR]]-Table1[[#This Row], [Date de début de lecture]])))</f>
      </c>
      <c r="W125" s="46">
        <f>IF(Table1[[#This Row], [Temps de lecture en jours]]="","",IF(ISBLANK(Table1[[#This Row], [Nbr Pages]]),0,Table1[[#This Row], [Nbr Pages]]/Table1[[#This Row], [Temps de lecture en jours]]))</f>
      </c>
      <c r="X125" s="9">
        <f>IF(ISBLANK(Table1[[#This Row], [Date d''achat]]),"",IF(ISBLANK(Table1[[#This Row], [Date de fin de lecture FR]]),0,Table1[[#This Row], [Date de fin de lecture FR]]-Table1[[#This Row], [Date d''achat]]))</f>
      </c>
      <c r="Y125" s="10">
        <f>IF(ISBLANK(Table1[[#This Row], [Date de sortie]]),"",ROUNDDOWN(YEAR(Table1[[#This Row], [Date de sortie]]),-1))</f>
      </c>
    </row>
    <row x14ac:dyDescent="0.25" r="126" customHeight="1" ht="18.75">
      <c r="A126" s="1" t="s">
        <v>126</v>
      </c>
      <c r="B126" s="1" t="s">
        <v>389</v>
      </c>
      <c r="C126" s="9">
        <v>1</v>
      </c>
      <c r="D126" s="9">
        <v>1</v>
      </c>
      <c r="E126" s="4"/>
      <c r="F126" s="2"/>
      <c r="G126" s="1" t="s">
        <v>227</v>
      </c>
      <c r="H126" s="19"/>
      <c r="I126" s="9">
        <v>480</v>
      </c>
      <c r="J126" s="22">
        <v>34060</v>
      </c>
      <c r="K126" s="22">
        <v>44011</v>
      </c>
      <c r="L126" s="17"/>
      <c r="M126" s="22">
        <v>44393</v>
      </c>
      <c r="N126" s="11" t="s">
        <v>255</v>
      </c>
      <c r="O126" s="21">
        <v>7</v>
      </c>
      <c r="P126" s="49"/>
      <c r="Q126" s="49"/>
      <c r="R126" s="11" t="s">
        <v>245</v>
      </c>
      <c r="S126" s="1" t="s">
        <v>391</v>
      </c>
      <c r="T126" s="9">
        <f>IF(ISBLANK(Table1[[#This Row], [Date de fin de lecture FR]]),"",YEAR(Table1[[#This Row], [Date de fin de lecture FR]]))</f>
      </c>
      <c r="U126" s="10">
        <f>IF(ISBLANK(Table1[[#This Row], [Date de fin de lecture FR]]),"",MONTH(Table1[[#This Row], [Date de fin de lecture FR]]))</f>
      </c>
      <c r="V126" s="4">
        <f>IF(ISBLANK(Table1[[#This Row], [Date de début de lecture]]),"",(IF(ISBLANK(Table1[[#This Row], [Date de fin de lecture FR]]),0,Table1[[#This Row], [Date de fin de lecture FR]]-Table1[[#This Row], [Date de début de lecture]])))</f>
      </c>
      <c r="W126" s="46">
        <f>IF(Table1[[#This Row], [Temps de lecture en jours]]="","",IF(ISBLANK(Table1[[#This Row], [Nbr Pages]]),0,Table1[[#This Row], [Nbr Pages]]/Table1[[#This Row], [Temps de lecture en jours]]))</f>
      </c>
      <c r="X126" s="9">
        <f>IF(ISBLANK(Table1[[#This Row], [Date d''achat]]),"",IF(ISBLANK(Table1[[#This Row], [Date de fin de lecture FR]]),0,Table1[[#This Row], [Date de fin de lecture FR]]-Table1[[#This Row], [Date d''achat]]))</f>
      </c>
      <c r="Y126" s="10">
        <f>IF(ISBLANK(Table1[[#This Row], [Date de sortie]]),"",ROUNDDOWN(YEAR(Table1[[#This Row], [Date de sortie]]),-1))</f>
      </c>
    </row>
    <row x14ac:dyDescent="0.25" r="127" customHeight="1" ht="18.75">
      <c r="A127" s="1" t="s">
        <v>127</v>
      </c>
      <c r="B127" s="1" t="s">
        <v>389</v>
      </c>
      <c r="C127" s="9">
        <v>1</v>
      </c>
      <c r="D127" s="9">
        <v>1</v>
      </c>
      <c r="E127" s="9">
        <v>1</v>
      </c>
      <c r="F127" s="2"/>
      <c r="G127" s="1" t="s">
        <v>227</v>
      </c>
      <c r="H127" s="19"/>
      <c r="I127" s="9">
        <v>320</v>
      </c>
      <c r="J127" s="22">
        <v>18599</v>
      </c>
      <c r="K127" s="17"/>
      <c r="L127" s="17"/>
      <c r="M127" s="22">
        <v>42156</v>
      </c>
      <c r="N127" s="11" t="s">
        <v>255</v>
      </c>
      <c r="O127" s="21">
        <v>1</v>
      </c>
      <c r="P127" s="49"/>
      <c r="Q127" s="49"/>
      <c r="R127" s="11" t="s">
        <v>245</v>
      </c>
      <c r="S127" s="19"/>
      <c r="T127" s="9">
        <f>IF(ISBLANK(Table1[[#This Row], [Date de fin de lecture FR]]),"",YEAR(Table1[[#This Row], [Date de fin de lecture FR]]))</f>
      </c>
      <c r="U127" s="10">
        <f>IF(ISBLANK(Table1[[#This Row], [Date de fin de lecture FR]]),"",MONTH(Table1[[#This Row], [Date de fin de lecture FR]]))</f>
      </c>
      <c r="V127" s="4">
        <f>IF(ISBLANK(Table1[[#This Row], [Date de début de lecture]]),"",(IF(ISBLANK(Table1[[#This Row], [Date de fin de lecture FR]]),0,Table1[[#This Row], [Date de fin de lecture FR]]-Table1[[#This Row], [Date de début de lecture]])))</f>
      </c>
      <c r="W127" s="46">
        <f>IF(Table1[[#This Row], [Temps de lecture en jours]]="","",IF(ISBLANK(Table1[[#This Row], [Nbr Pages]]),0,Table1[[#This Row], [Nbr Pages]]/Table1[[#This Row], [Temps de lecture en jours]]))</f>
      </c>
      <c r="X127" s="4">
        <f>IF(ISBLANK(Table1[[#This Row], [Date d''achat]]),"",IF(ISBLANK(Table1[[#This Row], [Date de fin de lecture FR]]),0,Table1[[#This Row], [Date de fin de lecture FR]]-Table1[[#This Row], [Date d''achat]]))</f>
      </c>
      <c r="Y127" s="10">
        <f>IF(ISBLANK(Table1[[#This Row], [Date de sortie]]),"",ROUNDDOWN(YEAR(Table1[[#This Row], [Date de sortie]]),-1))</f>
      </c>
    </row>
    <row x14ac:dyDescent="0.25" r="128" customHeight="1" ht="18.75">
      <c r="A128" s="1" t="s">
        <v>128</v>
      </c>
      <c r="B128" s="1" t="s">
        <v>389</v>
      </c>
      <c r="C128" s="9">
        <v>1</v>
      </c>
      <c r="D128" s="9">
        <v>1</v>
      </c>
      <c r="E128" s="9">
        <v>1</v>
      </c>
      <c r="F128" s="2"/>
      <c r="G128" s="1" t="s">
        <v>227</v>
      </c>
      <c r="H128" s="19"/>
      <c r="I128" s="9">
        <v>246</v>
      </c>
      <c r="J128" s="22">
        <v>23377</v>
      </c>
      <c r="K128" s="17"/>
      <c r="L128" s="17"/>
      <c r="M128" s="22">
        <v>42887</v>
      </c>
      <c r="N128" s="11" t="s">
        <v>255</v>
      </c>
      <c r="O128" s="21">
        <v>2</v>
      </c>
      <c r="P128" s="49"/>
      <c r="Q128" s="49"/>
      <c r="R128" s="11" t="s">
        <v>245</v>
      </c>
      <c r="S128" s="19"/>
      <c r="T128" s="9">
        <f>IF(ISBLANK(Table1[[#This Row], [Date de fin de lecture FR]]),"",YEAR(Table1[[#This Row], [Date de fin de lecture FR]]))</f>
      </c>
      <c r="U128" s="10">
        <f>IF(ISBLANK(Table1[[#This Row], [Date de fin de lecture FR]]),"",MONTH(Table1[[#This Row], [Date de fin de lecture FR]]))</f>
      </c>
      <c r="V128" s="4">
        <f>IF(ISBLANK(Table1[[#This Row], [Date de début de lecture]]),"",(IF(ISBLANK(Table1[[#This Row], [Date de fin de lecture FR]]),0,Table1[[#This Row], [Date de fin de lecture FR]]-Table1[[#This Row], [Date de début de lecture]])))</f>
      </c>
      <c r="W128" s="46">
        <f>IF(Table1[[#This Row], [Temps de lecture en jours]]="","",IF(ISBLANK(Table1[[#This Row], [Nbr Pages]]),0,Table1[[#This Row], [Nbr Pages]]/Table1[[#This Row], [Temps de lecture en jours]]))</f>
      </c>
      <c r="X128" s="4">
        <f>IF(ISBLANK(Table1[[#This Row], [Date d''achat]]),"",IF(ISBLANK(Table1[[#This Row], [Date de fin de lecture FR]]),0,Table1[[#This Row], [Date de fin de lecture FR]]-Table1[[#This Row], [Date d''achat]]))</f>
      </c>
      <c r="Y128" s="10">
        <f>IF(ISBLANK(Table1[[#This Row], [Date de sortie]]),"",ROUNDDOWN(YEAR(Table1[[#This Row], [Date de sortie]]),-1))</f>
      </c>
    </row>
    <row x14ac:dyDescent="0.25" r="129" customHeight="1" ht="18.75">
      <c r="A129" s="1" t="s">
        <v>129</v>
      </c>
      <c r="B129" s="1" t="s">
        <v>389</v>
      </c>
      <c r="C129" s="9">
        <v>1</v>
      </c>
      <c r="D129" s="9">
        <v>1</v>
      </c>
      <c r="E129" s="9">
        <v>1</v>
      </c>
      <c r="F129" s="2"/>
      <c r="G129" s="1" t="s">
        <v>227</v>
      </c>
      <c r="H129" s="19"/>
      <c r="I129" s="9">
        <v>374</v>
      </c>
      <c r="J129" s="22">
        <v>19633</v>
      </c>
      <c r="K129" s="17"/>
      <c r="L129" s="17"/>
      <c r="M129" s="22">
        <v>42208</v>
      </c>
      <c r="N129" s="11" t="s">
        <v>255</v>
      </c>
      <c r="O129" s="21">
        <v>3</v>
      </c>
      <c r="P129" s="49"/>
      <c r="Q129" s="49"/>
      <c r="R129" s="11" t="s">
        <v>245</v>
      </c>
      <c r="S129" s="19"/>
      <c r="T129" s="9">
        <f>IF(ISBLANK(Table1[[#This Row], [Date de fin de lecture FR]]),"",YEAR(Table1[[#This Row], [Date de fin de lecture FR]]))</f>
      </c>
      <c r="U129" s="10">
        <f>IF(ISBLANK(Table1[[#This Row], [Date de fin de lecture FR]]),"",MONTH(Table1[[#This Row], [Date de fin de lecture FR]]))</f>
      </c>
      <c r="V129" s="4">
        <f>IF(ISBLANK(Table1[[#This Row], [Date de début de lecture]]),"",(IF(ISBLANK(Table1[[#This Row], [Date de fin de lecture FR]]),0,Table1[[#This Row], [Date de fin de lecture FR]]-Table1[[#This Row], [Date de début de lecture]])))</f>
      </c>
      <c r="W129" s="46">
        <f>IF(Table1[[#This Row], [Temps de lecture en jours]]="","",IF(ISBLANK(Table1[[#This Row], [Nbr Pages]]),0,Table1[[#This Row], [Nbr Pages]]/Table1[[#This Row], [Temps de lecture en jours]]))</f>
      </c>
      <c r="X129" s="4">
        <f>IF(ISBLANK(Table1[[#This Row], [Date d''achat]]),"",IF(ISBLANK(Table1[[#This Row], [Date de fin de lecture FR]]),0,Table1[[#This Row], [Date de fin de lecture FR]]-Table1[[#This Row], [Date d''achat]]))</f>
      </c>
      <c r="Y129" s="10">
        <f>IF(ISBLANK(Table1[[#This Row], [Date de sortie]]),"",ROUNDDOWN(YEAR(Table1[[#This Row], [Date de sortie]]),-1))</f>
      </c>
    </row>
    <row x14ac:dyDescent="0.25" r="130" customHeight="1" ht="18.75">
      <c r="A130" s="1" t="s">
        <v>130</v>
      </c>
      <c r="B130" s="1" t="s">
        <v>389</v>
      </c>
      <c r="C130" s="9">
        <v>1</v>
      </c>
      <c r="D130" s="9">
        <v>1</v>
      </c>
      <c r="E130" s="9">
        <v>1</v>
      </c>
      <c r="F130" s="2"/>
      <c r="G130" s="1" t="s">
        <v>227</v>
      </c>
      <c r="H130" s="19"/>
      <c r="I130" s="9">
        <v>508</v>
      </c>
      <c r="J130" s="22">
        <v>20455</v>
      </c>
      <c r="K130" s="17"/>
      <c r="L130" s="17"/>
      <c r="M130" s="22">
        <v>42208</v>
      </c>
      <c r="N130" s="11" t="s">
        <v>255</v>
      </c>
      <c r="O130" s="21">
        <v>4</v>
      </c>
      <c r="P130" s="49"/>
      <c r="Q130" s="49"/>
      <c r="R130" s="11" t="s">
        <v>245</v>
      </c>
      <c r="S130" s="19"/>
      <c r="T130" s="9">
        <f>IF(ISBLANK(Table1[[#This Row], [Date de fin de lecture FR]]),"",YEAR(Table1[[#This Row], [Date de fin de lecture FR]]))</f>
      </c>
      <c r="U130" s="10">
        <f>IF(ISBLANK(Table1[[#This Row], [Date de fin de lecture FR]]),"",MONTH(Table1[[#This Row], [Date de fin de lecture FR]]))</f>
      </c>
      <c r="V130" s="4">
        <f>IF(ISBLANK(Table1[[#This Row], [Date de début de lecture]]),"",(IF(ISBLANK(Table1[[#This Row], [Date de fin de lecture FR]]),0,Table1[[#This Row], [Date de fin de lecture FR]]-Table1[[#This Row], [Date de début de lecture]])))</f>
      </c>
      <c r="W130" s="46">
        <f>IF(Table1[[#This Row], [Temps de lecture en jours]]="","",IF(ISBLANK(Table1[[#This Row], [Nbr Pages]]),0,Table1[[#This Row], [Nbr Pages]]/Table1[[#This Row], [Temps de lecture en jours]]))</f>
      </c>
      <c r="X130" s="4">
        <f>IF(ISBLANK(Table1[[#This Row], [Date d''achat]]),"",IF(ISBLANK(Table1[[#This Row], [Date de fin de lecture FR]]),0,Table1[[#This Row], [Date de fin de lecture FR]]-Table1[[#This Row], [Date d''achat]]))</f>
      </c>
      <c r="Y130" s="10">
        <f>IF(ISBLANK(Table1[[#This Row], [Date de sortie]]),"",ROUNDDOWN(YEAR(Table1[[#This Row], [Date de sortie]]),-1))</f>
      </c>
    </row>
    <row x14ac:dyDescent="0.25" r="131" customHeight="1" ht="18.75">
      <c r="A131" s="1" t="s">
        <v>131</v>
      </c>
      <c r="B131" s="1" t="s">
        <v>389</v>
      </c>
      <c r="C131" s="9">
        <v>1</v>
      </c>
      <c r="D131" s="9">
        <v>1</v>
      </c>
      <c r="E131" s="9">
        <v>1</v>
      </c>
      <c r="F131" s="2"/>
      <c r="G131" s="1" t="s">
        <v>227</v>
      </c>
      <c r="H131" s="19"/>
      <c r="I131" s="9">
        <v>528</v>
      </c>
      <c r="J131" s="22">
        <v>31260</v>
      </c>
      <c r="K131" s="17"/>
      <c r="L131" s="17"/>
      <c r="M131" s="22">
        <v>42256</v>
      </c>
      <c r="N131" s="11" t="s">
        <v>255</v>
      </c>
      <c r="O131" s="21">
        <v>5</v>
      </c>
      <c r="P131" s="49"/>
      <c r="Q131" s="49"/>
      <c r="R131" s="11" t="s">
        <v>245</v>
      </c>
      <c r="S131" s="19"/>
      <c r="T131" s="9">
        <f>IF(ISBLANK(Table1[[#This Row], [Date de fin de lecture FR]]),"",YEAR(Table1[[#This Row], [Date de fin de lecture FR]]))</f>
      </c>
      <c r="U131" s="10">
        <f>IF(ISBLANK(Table1[[#This Row], [Date de fin de lecture FR]]),"",MONTH(Table1[[#This Row], [Date de fin de lecture FR]]))</f>
      </c>
      <c r="V131" s="4">
        <f>IF(ISBLANK(Table1[[#This Row], [Date de début de lecture]]),"",(IF(ISBLANK(Table1[[#This Row], [Date de fin de lecture FR]]),0,Table1[[#This Row], [Date de fin de lecture FR]]-Table1[[#This Row], [Date de début de lecture]])))</f>
      </c>
      <c r="W131" s="46">
        <f>IF(Table1[[#This Row], [Temps de lecture en jours]]="","",IF(ISBLANK(Table1[[#This Row], [Nbr Pages]]),0,Table1[[#This Row], [Nbr Pages]]/Table1[[#This Row], [Temps de lecture en jours]]))</f>
      </c>
      <c r="X131" s="4">
        <f>IF(ISBLANK(Table1[[#This Row], [Date d''achat]]),"",IF(ISBLANK(Table1[[#This Row], [Date de fin de lecture FR]]),0,Table1[[#This Row], [Date de fin de lecture FR]]-Table1[[#This Row], [Date d''achat]]))</f>
      </c>
      <c r="Y131" s="10">
        <f>IF(ISBLANK(Table1[[#This Row], [Date de sortie]]),"",ROUNDDOWN(YEAR(Table1[[#This Row], [Date de sortie]]),-1))</f>
      </c>
    </row>
    <row x14ac:dyDescent="0.25" r="132" customHeight="1" ht="18.75">
      <c r="A132" s="1" t="s">
        <v>132</v>
      </c>
      <c r="B132" s="1" t="s">
        <v>389</v>
      </c>
      <c r="C132" s="9">
        <v>1</v>
      </c>
      <c r="D132" s="9">
        <v>1</v>
      </c>
      <c r="E132" s="9">
        <v>1</v>
      </c>
      <c r="F132" s="2"/>
      <c r="G132" s="1" t="s">
        <v>227</v>
      </c>
      <c r="H132" s="19"/>
      <c r="I132" s="9">
        <v>567</v>
      </c>
      <c r="J132" s="22">
        <v>31260</v>
      </c>
      <c r="K132" s="17"/>
      <c r="L132" s="17"/>
      <c r="M132" s="22">
        <v>42298</v>
      </c>
      <c r="N132" s="11" t="s">
        <v>255</v>
      </c>
      <c r="O132" s="21">
        <v>6</v>
      </c>
      <c r="P132" s="49"/>
      <c r="Q132" s="49"/>
      <c r="R132" s="11" t="s">
        <v>245</v>
      </c>
      <c r="S132" s="19"/>
      <c r="T132" s="9">
        <f>IF(ISBLANK(Table1[[#This Row], [Date de fin de lecture FR]]),"",YEAR(Table1[[#This Row], [Date de fin de lecture FR]]))</f>
      </c>
      <c r="U132" s="10">
        <f>IF(ISBLANK(Table1[[#This Row], [Date de fin de lecture FR]]),"",MONTH(Table1[[#This Row], [Date de fin de lecture FR]]))</f>
      </c>
      <c r="V132" s="4">
        <f>IF(ISBLANK(Table1[[#This Row], [Date de début de lecture]]),"",(IF(ISBLANK(Table1[[#This Row], [Date de fin de lecture FR]]),0,Table1[[#This Row], [Date de fin de lecture FR]]-Table1[[#This Row], [Date de début de lecture]])))</f>
      </c>
      <c r="W132" s="46">
        <f>IF(Table1[[#This Row], [Temps de lecture en jours]]="","",IF(ISBLANK(Table1[[#This Row], [Nbr Pages]]),0,Table1[[#This Row], [Nbr Pages]]/Table1[[#This Row], [Temps de lecture en jours]]))</f>
      </c>
      <c r="X132" s="4">
        <f>IF(ISBLANK(Table1[[#This Row], [Date d''achat]]),"",IF(ISBLANK(Table1[[#This Row], [Date de fin de lecture FR]]),0,Table1[[#This Row], [Date de fin de lecture FR]]-Table1[[#This Row], [Date d''achat]]))</f>
      </c>
      <c r="Y132" s="10">
        <f>IF(ISBLANK(Table1[[#This Row], [Date de sortie]]),"",ROUNDDOWN(YEAR(Table1[[#This Row], [Date de sortie]]),-1))</f>
      </c>
    </row>
    <row x14ac:dyDescent="0.25" r="133" customHeight="1" ht="18.75">
      <c r="A133" s="1" t="s">
        <v>133</v>
      </c>
      <c r="B133" s="1" t="s">
        <v>389</v>
      </c>
      <c r="C133" s="9">
        <v>1</v>
      </c>
      <c r="D133" s="9">
        <v>1</v>
      </c>
      <c r="E133" s="4"/>
      <c r="F133" s="2"/>
      <c r="G133" s="1" t="s">
        <v>227</v>
      </c>
      <c r="H133" s="19"/>
      <c r="I133" s="9">
        <v>224</v>
      </c>
      <c r="J133" s="22">
        <v>18994</v>
      </c>
      <c r="K133" s="17"/>
      <c r="L133" s="17"/>
      <c r="M133" s="17"/>
      <c r="N133" s="11" t="s">
        <v>244</v>
      </c>
      <c r="O133" s="17"/>
      <c r="P133" s="49"/>
      <c r="Q133" s="49"/>
      <c r="R133" s="11" t="s">
        <v>245</v>
      </c>
      <c r="S133" s="19"/>
      <c r="T133" s="4">
        <f>IF(ISBLANK(Table1[[#This Row], [Date de fin de lecture FR]]),"",YEAR(Table1[[#This Row], [Date de fin de lecture FR]]))</f>
      </c>
      <c r="U133" s="10">
        <f>IF(ISBLANK(Table1[[#This Row], [Date de fin de lecture FR]]),"",MONTH(Table1[[#This Row], [Date de fin de lecture FR]]))</f>
      </c>
      <c r="V133" s="4">
        <f>IF(ISBLANK(Table1[[#This Row], [Date de début de lecture]]),"",(IF(ISBLANK(Table1[[#This Row], [Date de fin de lecture FR]]),0,Table1[[#This Row], [Date de fin de lecture FR]]-Table1[[#This Row], [Date de début de lecture]])))</f>
      </c>
      <c r="W133" s="46">
        <f>IF(Table1[[#This Row], [Temps de lecture en jours]]="","",IF(ISBLANK(Table1[[#This Row], [Nbr Pages]]),0,Table1[[#This Row], [Nbr Pages]]/Table1[[#This Row], [Temps de lecture en jours]]))</f>
      </c>
      <c r="X133" s="4">
        <f>IF(ISBLANK(Table1[[#This Row], [Date d''achat]]),"",IF(ISBLANK(Table1[[#This Row], [Date de fin de lecture FR]]),0,Table1[[#This Row], [Date de fin de lecture FR]]-Table1[[#This Row], [Date d''achat]]))</f>
      </c>
      <c r="Y133" s="10">
        <f>IF(ISBLANK(Table1[[#This Row], [Date de sortie]]),"",ROUNDDOWN(YEAR(Table1[[#This Row], [Date de sortie]]),-1))</f>
      </c>
    </row>
    <row x14ac:dyDescent="0.25" r="134" customHeight="1" ht="18.75">
      <c r="A134" s="1" t="s">
        <v>134</v>
      </c>
      <c r="B134" s="1" t="s">
        <v>389</v>
      </c>
      <c r="C134" s="9">
        <v>1</v>
      </c>
      <c r="D134" s="9">
        <v>1</v>
      </c>
      <c r="E134" s="9">
        <v>1</v>
      </c>
      <c r="F134" s="2"/>
      <c r="G134" s="1" t="s">
        <v>227</v>
      </c>
      <c r="H134" s="19"/>
      <c r="I134" s="9">
        <v>284</v>
      </c>
      <c r="J134" s="22">
        <v>28004</v>
      </c>
      <c r="K134" s="17"/>
      <c r="L134" s="17"/>
      <c r="M134" s="22">
        <v>43148</v>
      </c>
      <c r="N134" s="11" t="s">
        <v>244</v>
      </c>
      <c r="O134" s="17"/>
      <c r="P134" s="49"/>
      <c r="Q134" s="49"/>
      <c r="R134" s="11" t="s">
        <v>290</v>
      </c>
      <c r="S134" s="19"/>
      <c r="T134" s="9">
        <f>IF(ISBLANK(Table1[[#This Row], [Date de fin de lecture FR]]),"",YEAR(Table1[[#This Row], [Date de fin de lecture FR]]))</f>
      </c>
      <c r="U134" s="10">
        <f>IF(ISBLANK(Table1[[#This Row], [Date de fin de lecture FR]]),"",MONTH(Table1[[#This Row], [Date de fin de lecture FR]]))</f>
      </c>
      <c r="V134" s="4">
        <f>IF(ISBLANK(Table1[[#This Row], [Date de début de lecture]]),"",(IF(ISBLANK(Table1[[#This Row], [Date de fin de lecture FR]]),0,Table1[[#This Row], [Date de fin de lecture FR]]-Table1[[#This Row], [Date de début de lecture]])))</f>
      </c>
      <c r="W134" s="46">
        <f>IF(Table1[[#This Row], [Temps de lecture en jours]]="","",IF(ISBLANK(Table1[[#This Row], [Nbr Pages]]),0,Table1[[#This Row], [Nbr Pages]]/Table1[[#This Row], [Temps de lecture en jours]]))</f>
      </c>
      <c r="X134" s="4">
        <f>IF(ISBLANK(Table1[[#This Row], [Date d''achat]]),"",IF(ISBLANK(Table1[[#This Row], [Date de fin de lecture FR]]),0,Table1[[#This Row], [Date de fin de lecture FR]]-Table1[[#This Row], [Date d''achat]]))</f>
      </c>
      <c r="Y134" s="10">
        <f>IF(ISBLANK(Table1[[#This Row], [Date de sortie]]),"",ROUNDDOWN(YEAR(Table1[[#This Row], [Date de sortie]]),-1))</f>
      </c>
    </row>
    <row x14ac:dyDescent="0.25" r="135" customHeight="1" ht="18.75">
      <c r="A135" s="1" t="s">
        <v>392</v>
      </c>
      <c r="B135" s="1" t="s">
        <v>389</v>
      </c>
      <c r="C135" s="9">
        <v>1</v>
      </c>
      <c r="D135" s="4"/>
      <c r="E135" s="4"/>
      <c r="F135" s="2"/>
      <c r="G135" s="1" t="s">
        <v>227</v>
      </c>
      <c r="H135" s="19"/>
      <c r="I135" s="9">
        <v>1088</v>
      </c>
      <c r="J135" s="17"/>
      <c r="K135" s="17"/>
      <c r="L135" s="17"/>
      <c r="M135" s="17"/>
      <c r="N135" s="19"/>
      <c r="O135" s="22"/>
      <c r="P135" s="49"/>
      <c r="Q135" s="49"/>
      <c r="R135" s="11" t="s">
        <v>290</v>
      </c>
      <c r="S135" s="19"/>
      <c r="T135" s="4">
        <f>IF(ISBLANK(Table1[[#This Row], [Date de fin de lecture FR]]),"",YEAR(Table1[[#This Row], [Date de fin de lecture FR]]))</f>
      </c>
      <c r="U135" s="10">
        <f>IF(ISBLANK(Table1[[#This Row], [Date de fin de lecture FR]]),"",MONTH(Table1[[#This Row], [Date de fin de lecture FR]]))</f>
      </c>
      <c r="V135" s="4">
        <f>IF(ISBLANK(Table1[[#This Row], [Date de début de lecture]]),"",(IF(ISBLANK(Table1[[#This Row], [Date de fin de lecture FR]]),0,Table1[[#This Row], [Date de fin de lecture FR]]-Table1[[#This Row], [Date de début de lecture]])))</f>
      </c>
      <c r="W135" s="46">
        <f>IF(Table1[[#This Row], [Temps de lecture en jours]]="","",IF(ISBLANK(Table1[[#This Row], [Nbr Pages]]),0,Table1[[#This Row], [Nbr Pages]]/Table1[[#This Row], [Temps de lecture en jours]]))</f>
      </c>
      <c r="X135" s="4">
        <f>IF(ISBLANK(Table1[[#This Row], [Date d''achat]]),"",IF(ISBLANK(Table1[[#This Row], [Date de fin de lecture FR]]),0,Table1[[#This Row], [Date de fin de lecture FR]]-Table1[[#This Row], [Date d''achat]]))</f>
      </c>
      <c r="Y135" s="10">
        <f>IF(ISBLANK(Table1[[#This Row], [Date de sortie]]),"",ROUNDDOWN(YEAR(Table1[[#This Row], [Date de sortie]]),-1))</f>
      </c>
    </row>
    <row x14ac:dyDescent="0.25" r="136" customHeight="1" ht="18.75">
      <c r="A136" s="1" t="s">
        <v>135</v>
      </c>
      <c r="B136" s="1" t="s">
        <v>389</v>
      </c>
      <c r="C136" s="9">
        <v>1</v>
      </c>
      <c r="D136" s="9">
        <v>1</v>
      </c>
      <c r="E136" s="9">
        <v>1</v>
      </c>
      <c r="F136" s="2"/>
      <c r="G136" s="1" t="s">
        <v>227</v>
      </c>
      <c r="H136" s="19"/>
      <c r="I136" s="9">
        <v>217</v>
      </c>
      <c r="J136" s="22">
        <v>14977</v>
      </c>
      <c r="K136" s="17"/>
      <c r="L136" s="17"/>
      <c r="M136" s="17"/>
      <c r="N136" s="11" t="s">
        <v>244</v>
      </c>
      <c r="O136" s="17"/>
      <c r="P136" s="49"/>
      <c r="Q136" s="49"/>
      <c r="R136" s="11" t="s">
        <v>290</v>
      </c>
      <c r="S136" s="19"/>
      <c r="T136" s="4">
        <f>IF(ISBLANK(Table1[[#This Row], [Date de fin de lecture FR]]),"",YEAR(Table1[[#This Row], [Date de fin de lecture FR]]))</f>
      </c>
      <c r="U136" s="10">
        <f>IF(ISBLANK(Table1[[#This Row], [Date de fin de lecture FR]]),"",MONTH(Table1[[#This Row], [Date de fin de lecture FR]]))</f>
      </c>
      <c r="V136" s="4">
        <f>IF(ISBLANK(Table1[[#This Row], [Date de début de lecture]]),"",(IF(ISBLANK(Table1[[#This Row], [Date de fin de lecture FR]]),0,Table1[[#This Row], [Date de fin de lecture FR]]-Table1[[#This Row], [Date de début de lecture]])))</f>
      </c>
      <c r="W136" s="46">
        <f>IF(Table1[[#This Row], [Temps de lecture en jours]]="","",IF(ISBLANK(Table1[[#This Row], [Nbr Pages]]),0,Table1[[#This Row], [Nbr Pages]]/Table1[[#This Row], [Temps de lecture en jours]]))</f>
      </c>
      <c r="X136" s="4">
        <f>IF(ISBLANK(Table1[[#This Row], [Date d''achat]]),"",IF(ISBLANK(Table1[[#This Row], [Date de fin de lecture FR]]),0,Table1[[#This Row], [Date de fin de lecture FR]]-Table1[[#This Row], [Date d''achat]]))</f>
      </c>
      <c r="Y136" s="10">
        <f>IF(ISBLANK(Table1[[#This Row], [Date de sortie]]),"",ROUNDDOWN(YEAR(Table1[[#This Row], [Date de sortie]]),-1))</f>
      </c>
    </row>
    <row x14ac:dyDescent="0.25" r="137" customHeight="1" ht="18.75">
      <c r="A137" s="1" t="s">
        <v>43</v>
      </c>
      <c r="B137" s="1" t="s">
        <v>389</v>
      </c>
      <c r="C137" s="9">
        <v>1</v>
      </c>
      <c r="D137" s="9">
        <v>1</v>
      </c>
      <c r="E137" s="4"/>
      <c r="F137" s="2"/>
      <c r="G137" s="1" t="s">
        <v>227</v>
      </c>
      <c r="H137" s="19"/>
      <c r="I137" s="9">
        <v>312</v>
      </c>
      <c r="J137" s="17"/>
      <c r="K137" s="22">
        <v>44718</v>
      </c>
      <c r="L137" s="22">
        <v>45088</v>
      </c>
      <c r="M137" s="22">
        <v>45116</v>
      </c>
      <c r="N137" s="19"/>
      <c r="O137" s="22"/>
      <c r="P137" s="49"/>
      <c r="Q137" s="49"/>
      <c r="R137" s="22"/>
      <c r="S137" s="1" t="s">
        <v>393</v>
      </c>
      <c r="T137" s="9">
        <f>IF(ISBLANK(Table1[[#This Row], [Date de fin de lecture FR]]),"",YEAR(Table1[[#This Row], [Date de fin de lecture FR]]))</f>
      </c>
      <c r="U137" s="10">
        <f>IF(ISBLANK(Table1[[#This Row], [Date de fin de lecture FR]]),"",MONTH(Table1[[#This Row], [Date de fin de lecture FR]]))</f>
      </c>
      <c r="V137" s="9">
        <f>IF(ISBLANK(Table1[[#This Row], [Date de début de lecture]]),"",(IF(ISBLANK(Table1[[#This Row], [Date de fin de lecture FR]]),0,Table1[[#This Row], [Date de fin de lecture FR]]-Table1[[#This Row], [Date de début de lecture]])))</f>
      </c>
      <c r="W137" s="46">
        <f>IF(Table1[[#This Row], [Temps de lecture en jours]]="","",IF(ISBLANK(Table1[[#This Row], [Nbr Pages]]),0,Table1[[#This Row], [Nbr Pages]]/Table1[[#This Row], [Temps de lecture en jours]]))</f>
      </c>
      <c r="X137" s="9">
        <f>IF(ISBLANK(Table1[[#This Row], [Date d''achat]]),"",IF(ISBLANK(Table1[[#This Row], [Date de fin de lecture FR]]),0,Table1[[#This Row], [Date de fin de lecture FR]]-Table1[[#This Row], [Date d''achat]]))</f>
      </c>
      <c r="Y137" s="10">
        <f>IF(ISBLANK(Table1[[#This Row], [Date de sortie]]),"",ROUNDDOWN(YEAR(Table1[[#This Row], [Date de sortie]]),-1))</f>
      </c>
    </row>
    <row x14ac:dyDescent="0.25" r="138" customHeight="1" ht="18.75">
      <c r="A138" s="1" t="s">
        <v>38</v>
      </c>
      <c r="B138" s="1" t="s">
        <v>394</v>
      </c>
      <c r="C138" s="4"/>
      <c r="D138" s="9">
        <v>1</v>
      </c>
      <c r="E138" s="9">
        <v>1</v>
      </c>
      <c r="F138" s="2"/>
      <c r="G138" s="1" t="s">
        <v>246</v>
      </c>
      <c r="H138" s="19"/>
      <c r="I138" s="4"/>
      <c r="J138" s="17"/>
      <c r="K138" s="17"/>
      <c r="L138" s="22">
        <v>45152</v>
      </c>
      <c r="M138" s="22">
        <v>45162</v>
      </c>
      <c r="N138" s="19"/>
      <c r="O138" s="22"/>
      <c r="P138" s="49"/>
      <c r="Q138" s="49"/>
      <c r="R138" s="19"/>
      <c r="S138" s="1" t="s">
        <v>395</v>
      </c>
      <c r="T138" s="9">
        <f>IF(ISBLANK(Table1[[#This Row], [Date de fin de lecture FR]]),"",YEAR(Table1[[#This Row], [Date de fin de lecture FR]]))</f>
      </c>
      <c r="U138" s="9">
        <f>IF(ISBLANK(Table1[[#This Row], [Date de fin de lecture FR]]),"",MONTH(Table1[[#This Row], [Date de fin de lecture FR]]))</f>
      </c>
      <c r="V138" s="9">
        <f>IF(ISBLANK(Table1[[#This Row], [Date de début de lecture]]),"",(IF(ISBLANK(Table1[[#This Row], [Date de fin de lecture FR]]),0,Table1[[#This Row], [Date de fin de lecture FR]]-Table1[[#This Row], [Date de début de lecture]])))</f>
      </c>
      <c r="W138" s="21">
        <f>IF(Table1[[#This Row], [Temps de lecture en jours]]="","",IF(ISBLANK(Table1[[#This Row], [Nbr Pages]]),0,Table1[[#This Row], [Nbr Pages]]/Table1[[#This Row], [Temps de lecture en jours]]))</f>
      </c>
      <c r="X138" s="4">
        <f>IF(ISBLANK(Table1[[#This Row], [Date d''achat]]),"",IF(ISBLANK(Table1[[#This Row], [Date de fin de lecture FR]]),0,Table1[[#This Row], [Date de fin de lecture FR]]-Table1[[#This Row], [Date d''achat]]))</f>
      </c>
      <c r="Y138" s="1">
        <f>IF(ISBLANK(Table1[[#This Row], [Date de sortie]]),"",ROUNDDOWN(YEAR(Table1[[#This Row], [Date de sortie]]),-1))</f>
      </c>
    </row>
    <row x14ac:dyDescent="0.25" r="139" customHeight="1" ht="18.75">
      <c r="A139" s="1" t="s">
        <v>136</v>
      </c>
      <c r="B139" s="1" t="s">
        <v>396</v>
      </c>
      <c r="C139" s="9">
        <v>1</v>
      </c>
      <c r="D139" s="9">
        <v>1</v>
      </c>
      <c r="E139" s="4"/>
      <c r="F139" s="2"/>
      <c r="G139" s="1" t="s">
        <v>246</v>
      </c>
      <c r="H139" s="19"/>
      <c r="I139" s="9">
        <v>352</v>
      </c>
      <c r="J139" s="22">
        <v>42581</v>
      </c>
      <c r="K139" s="17"/>
      <c r="L139" s="17"/>
      <c r="M139" s="22">
        <v>43101</v>
      </c>
      <c r="N139" s="11" t="s">
        <v>255</v>
      </c>
      <c r="O139" s="21">
        <v>0</v>
      </c>
      <c r="P139" s="49"/>
      <c r="Q139" s="49"/>
      <c r="R139" s="11" t="s">
        <v>397</v>
      </c>
      <c r="S139" s="19"/>
      <c r="T139" s="9">
        <f>IF(ISBLANK(Table1[[#This Row], [Date de fin de lecture FR]]),"",YEAR(Table1[[#This Row], [Date de fin de lecture FR]]))</f>
      </c>
      <c r="U139" s="10">
        <f>IF(ISBLANK(Table1[[#This Row], [Date de fin de lecture FR]]),"",MONTH(Table1[[#This Row], [Date de fin de lecture FR]]))</f>
      </c>
      <c r="V139" s="4">
        <f>IF(ISBLANK(Table1[[#This Row], [Date de début de lecture]]),"",(IF(ISBLANK(Table1[[#This Row], [Date de fin de lecture FR]]),0,Table1[[#This Row], [Date de fin de lecture FR]]-Table1[[#This Row], [Date de début de lecture]])))</f>
      </c>
      <c r="W139" s="46">
        <f>IF(Table1[[#This Row], [Temps de lecture en jours]]="","",IF(ISBLANK(Table1[[#This Row], [Nbr Pages]]),0,Table1[[#This Row], [Nbr Pages]]/Table1[[#This Row], [Temps de lecture en jours]]))</f>
      </c>
      <c r="X139" s="4">
        <f>IF(ISBLANK(Table1[[#This Row], [Date d''achat]]),"",IF(ISBLANK(Table1[[#This Row], [Date de fin de lecture FR]]),0,Table1[[#This Row], [Date de fin de lecture FR]]-Table1[[#This Row], [Date d''achat]]))</f>
      </c>
      <c r="Y139" s="10">
        <f>IF(ISBLANK(Table1[[#This Row], [Date de sortie]]),"",ROUNDDOWN(YEAR(Table1[[#This Row], [Date de sortie]]),-1))</f>
      </c>
    </row>
    <row x14ac:dyDescent="0.25" r="140" customHeight="1" ht="18.75">
      <c r="A140" s="1" t="s">
        <v>137</v>
      </c>
      <c r="B140" s="1" t="s">
        <v>396</v>
      </c>
      <c r="C140" s="9">
        <v>1</v>
      </c>
      <c r="D140" s="9">
        <v>1</v>
      </c>
      <c r="E140" s="9">
        <v>1</v>
      </c>
      <c r="F140" s="2"/>
      <c r="G140" s="1" t="s">
        <v>398</v>
      </c>
      <c r="H140" s="19"/>
      <c r="I140" s="9">
        <v>308</v>
      </c>
      <c r="J140" s="22">
        <v>35607</v>
      </c>
      <c r="K140" s="17"/>
      <c r="L140" s="17"/>
      <c r="M140" s="22">
        <v>43693</v>
      </c>
      <c r="N140" s="11" t="s">
        <v>255</v>
      </c>
      <c r="O140" s="21">
        <v>1</v>
      </c>
      <c r="P140" s="49"/>
      <c r="Q140" s="49"/>
      <c r="R140" s="11" t="s">
        <v>245</v>
      </c>
      <c r="S140" s="19"/>
      <c r="T140" s="9">
        <f>IF(ISBLANK(Table1[[#This Row], [Date de fin de lecture FR]]),"",YEAR(Table1[[#This Row], [Date de fin de lecture FR]]))</f>
      </c>
      <c r="U140" s="10">
        <f>IF(ISBLANK(Table1[[#This Row], [Date de fin de lecture FR]]),"",MONTH(Table1[[#This Row], [Date de fin de lecture FR]]))</f>
      </c>
      <c r="V140" s="4">
        <f>IF(ISBLANK(Table1[[#This Row], [Date de début de lecture]]),"",(IF(ISBLANK(Table1[[#This Row], [Date de fin de lecture FR]]),0,Table1[[#This Row], [Date de fin de lecture FR]]-Table1[[#This Row], [Date de début de lecture]])))</f>
      </c>
      <c r="W140" s="46">
        <f>IF(Table1[[#This Row], [Temps de lecture en jours]]="","",IF(ISBLANK(Table1[[#This Row], [Nbr Pages]]),0,Table1[[#This Row], [Nbr Pages]]/Table1[[#This Row], [Temps de lecture en jours]]))</f>
      </c>
      <c r="X140" s="4">
        <f>IF(ISBLANK(Table1[[#This Row], [Date d''achat]]),"",IF(ISBLANK(Table1[[#This Row], [Date de fin de lecture FR]]),0,Table1[[#This Row], [Date de fin de lecture FR]]-Table1[[#This Row], [Date d''achat]]))</f>
      </c>
      <c r="Y140" s="10">
        <f>IF(ISBLANK(Table1[[#This Row], [Date de sortie]]),"",ROUNDDOWN(YEAR(Table1[[#This Row], [Date de sortie]]),-1))</f>
      </c>
    </row>
    <row x14ac:dyDescent="0.25" r="141" customHeight="1" ht="18.75">
      <c r="A141" s="1" t="s">
        <v>138</v>
      </c>
      <c r="B141" s="1" t="s">
        <v>396</v>
      </c>
      <c r="C141" s="9">
        <v>1</v>
      </c>
      <c r="D141" s="9">
        <v>1</v>
      </c>
      <c r="E141" s="9">
        <v>1</v>
      </c>
      <c r="F141" s="2"/>
      <c r="G141" s="1" t="s">
        <v>398</v>
      </c>
      <c r="H141" s="19"/>
      <c r="I141" s="9">
        <v>364</v>
      </c>
      <c r="J141" s="22">
        <v>35978</v>
      </c>
      <c r="K141" s="17"/>
      <c r="L141" s="17"/>
      <c r="M141" s="22">
        <v>43693</v>
      </c>
      <c r="N141" s="11" t="s">
        <v>255</v>
      </c>
      <c r="O141" s="21">
        <v>2</v>
      </c>
      <c r="P141" s="49"/>
      <c r="Q141" s="49"/>
      <c r="R141" s="11" t="s">
        <v>245</v>
      </c>
      <c r="S141" s="19"/>
      <c r="T141" s="9">
        <f>IF(ISBLANK(Table1[[#This Row], [Date de fin de lecture FR]]),"",YEAR(Table1[[#This Row], [Date de fin de lecture FR]]))</f>
      </c>
      <c r="U141" s="10">
        <f>IF(ISBLANK(Table1[[#This Row], [Date de fin de lecture FR]]),"",MONTH(Table1[[#This Row], [Date de fin de lecture FR]]))</f>
      </c>
      <c r="V141" s="4">
        <f>IF(ISBLANK(Table1[[#This Row], [Date de début de lecture]]),"",(IF(ISBLANK(Table1[[#This Row], [Date de fin de lecture FR]]),0,Table1[[#This Row], [Date de fin de lecture FR]]-Table1[[#This Row], [Date de début de lecture]])))</f>
      </c>
      <c r="W141" s="46">
        <f>IF(Table1[[#This Row], [Temps de lecture en jours]]="","",IF(ISBLANK(Table1[[#This Row], [Nbr Pages]]),0,Table1[[#This Row], [Nbr Pages]]/Table1[[#This Row], [Temps de lecture en jours]]))</f>
      </c>
      <c r="X141" s="4">
        <f>IF(ISBLANK(Table1[[#This Row], [Date d''achat]]),"",IF(ISBLANK(Table1[[#This Row], [Date de fin de lecture FR]]),0,Table1[[#This Row], [Date de fin de lecture FR]]-Table1[[#This Row], [Date d''achat]]))</f>
      </c>
      <c r="Y141" s="10">
        <f>IF(ISBLANK(Table1[[#This Row], [Date de sortie]]),"",ROUNDDOWN(YEAR(Table1[[#This Row], [Date de sortie]]),-1))</f>
      </c>
    </row>
    <row x14ac:dyDescent="0.25" r="142" customHeight="1" ht="18.75">
      <c r="A142" s="1" t="s">
        <v>139</v>
      </c>
      <c r="B142" s="1" t="s">
        <v>396</v>
      </c>
      <c r="C142" s="9">
        <v>1</v>
      </c>
      <c r="D142" s="9">
        <v>1</v>
      </c>
      <c r="E142" s="9">
        <v>1</v>
      </c>
      <c r="F142" s="2"/>
      <c r="G142" s="1" t="s">
        <v>398</v>
      </c>
      <c r="H142" s="19"/>
      <c r="I142" s="9">
        <v>443</v>
      </c>
      <c r="J142" s="22">
        <v>36349</v>
      </c>
      <c r="K142" s="17"/>
      <c r="L142" s="17"/>
      <c r="M142" s="22">
        <v>43466</v>
      </c>
      <c r="N142" s="11" t="s">
        <v>255</v>
      </c>
      <c r="O142" s="21">
        <v>3</v>
      </c>
      <c r="P142" s="49"/>
      <c r="Q142" s="49"/>
      <c r="R142" s="11" t="s">
        <v>245</v>
      </c>
      <c r="S142" s="19"/>
      <c r="T142" s="9">
        <f>IF(ISBLANK(Table1[[#This Row], [Date de fin de lecture FR]]),"",YEAR(Table1[[#This Row], [Date de fin de lecture FR]]))</f>
      </c>
      <c r="U142" s="10">
        <f>IF(ISBLANK(Table1[[#This Row], [Date de fin de lecture FR]]),"",MONTH(Table1[[#This Row], [Date de fin de lecture FR]]))</f>
      </c>
      <c r="V142" s="4">
        <f>IF(ISBLANK(Table1[[#This Row], [Date de début de lecture]]),"",(IF(ISBLANK(Table1[[#This Row], [Date de fin de lecture FR]]),0,Table1[[#This Row], [Date de fin de lecture FR]]-Table1[[#This Row], [Date de début de lecture]])))</f>
      </c>
      <c r="W142" s="46">
        <f>IF(Table1[[#This Row], [Temps de lecture en jours]]="","",IF(ISBLANK(Table1[[#This Row], [Nbr Pages]]),0,Table1[[#This Row], [Nbr Pages]]/Table1[[#This Row], [Temps de lecture en jours]]))</f>
      </c>
      <c r="X142" s="4">
        <f>IF(ISBLANK(Table1[[#This Row], [Date d''achat]]),"",IF(ISBLANK(Table1[[#This Row], [Date de fin de lecture FR]]),0,Table1[[#This Row], [Date de fin de lecture FR]]-Table1[[#This Row], [Date d''achat]]))</f>
      </c>
      <c r="Y142" s="10">
        <f>IF(ISBLANK(Table1[[#This Row], [Date de sortie]]),"",ROUNDDOWN(YEAR(Table1[[#This Row], [Date de sortie]]),-1))</f>
      </c>
    </row>
    <row x14ac:dyDescent="0.25" r="143" customHeight="1" ht="18.75">
      <c r="A143" s="1" t="s">
        <v>140</v>
      </c>
      <c r="B143" s="1" t="s">
        <v>396</v>
      </c>
      <c r="C143" s="9">
        <v>1</v>
      </c>
      <c r="D143" s="9">
        <v>1</v>
      </c>
      <c r="E143" s="9">
        <v>1</v>
      </c>
      <c r="F143" s="2"/>
      <c r="G143" s="1" t="s">
        <v>398</v>
      </c>
      <c r="H143" s="19"/>
      <c r="I143" s="9">
        <v>768</v>
      </c>
      <c r="J143" s="22">
        <v>36715</v>
      </c>
      <c r="K143" s="17"/>
      <c r="L143" s="17"/>
      <c r="M143" s="22">
        <v>43724</v>
      </c>
      <c r="N143" s="11" t="s">
        <v>255</v>
      </c>
      <c r="O143" s="21">
        <v>4</v>
      </c>
      <c r="P143" s="49"/>
      <c r="Q143" s="49"/>
      <c r="R143" s="11" t="s">
        <v>245</v>
      </c>
      <c r="S143" s="19"/>
      <c r="T143" s="9">
        <f>IF(ISBLANK(Table1[[#This Row], [Date de fin de lecture FR]]),"",YEAR(Table1[[#This Row], [Date de fin de lecture FR]]))</f>
      </c>
      <c r="U143" s="10">
        <f>IF(ISBLANK(Table1[[#This Row], [Date de fin de lecture FR]]),"",MONTH(Table1[[#This Row], [Date de fin de lecture FR]]))</f>
      </c>
      <c r="V143" s="4">
        <f>IF(ISBLANK(Table1[[#This Row], [Date de début de lecture]]),"",(IF(ISBLANK(Table1[[#This Row], [Date de fin de lecture FR]]),0,Table1[[#This Row], [Date de fin de lecture FR]]-Table1[[#This Row], [Date de début de lecture]])))</f>
      </c>
      <c r="W143" s="46">
        <f>IF(Table1[[#This Row], [Temps de lecture en jours]]="","",IF(ISBLANK(Table1[[#This Row], [Nbr Pages]]),0,Table1[[#This Row], [Nbr Pages]]/Table1[[#This Row], [Temps de lecture en jours]]))</f>
      </c>
      <c r="X143" s="4">
        <f>IF(ISBLANK(Table1[[#This Row], [Date d''achat]]),"",IF(ISBLANK(Table1[[#This Row], [Date de fin de lecture FR]]),0,Table1[[#This Row], [Date de fin de lecture FR]]-Table1[[#This Row], [Date d''achat]]))</f>
      </c>
      <c r="Y143" s="10">
        <f>IF(ISBLANK(Table1[[#This Row], [Date de sortie]]),"",ROUNDDOWN(YEAR(Table1[[#This Row], [Date de sortie]]),-1))</f>
      </c>
    </row>
    <row x14ac:dyDescent="0.25" r="144" customHeight="1" ht="18.75">
      <c r="A144" s="1" t="s">
        <v>141</v>
      </c>
      <c r="B144" s="1" t="s">
        <v>396</v>
      </c>
      <c r="C144" s="9">
        <v>1</v>
      </c>
      <c r="D144" s="9">
        <v>1</v>
      </c>
      <c r="E144" s="9">
        <v>1</v>
      </c>
      <c r="F144" s="2"/>
      <c r="G144" s="1" t="s">
        <v>398</v>
      </c>
      <c r="H144" s="19"/>
      <c r="I144" s="9">
        <v>1036</v>
      </c>
      <c r="J144" s="22">
        <v>37793</v>
      </c>
      <c r="K144" s="17"/>
      <c r="L144" s="17"/>
      <c r="M144" s="22">
        <v>43863</v>
      </c>
      <c r="N144" s="11" t="s">
        <v>255</v>
      </c>
      <c r="O144" s="21">
        <v>5</v>
      </c>
      <c r="P144" s="49"/>
      <c r="Q144" s="49"/>
      <c r="R144" s="11" t="s">
        <v>245</v>
      </c>
      <c r="S144" s="1" t="s">
        <v>395</v>
      </c>
      <c r="T144" s="9">
        <f>IF(ISBLANK(Table1[[#This Row], [Date de fin de lecture FR]]),"",YEAR(Table1[[#This Row], [Date de fin de lecture FR]]))</f>
      </c>
      <c r="U144" s="10">
        <f>IF(ISBLANK(Table1[[#This Row], [Date de fin de lecture FR]]),"",MONTH(Table1[[#This Row], [Date de fin de lecture FR]]))</f>
      </c>
      <c r="V144" s="4">
        <f>IF(ISBLANK(Table1[[#This Row], [Date de début de lecture]]),"",(IF(ISBLANK(Table1[[#This Row], [Date de fin de lecture FR]]),0,Table1[[#This Row], [Date de fin de lecture FR]]-Table1[[#This Row], [Date de début de lecture]])))</f>
      </c>
      <c r="W144" s="46">
        <f>IF(Table1[[#This Row], [Temps de lecture en jours]]="","",IF(ISBLANK(Table1[[#This Row], [Nbr Pages]]),0,Table1[[#This Row], [Nbr Pages]]/Table1[[#This Row], [Temps de lecture en jours]]))</f>
      </c>
      <c r="X144" s="4">
        <f>IF(ISBLANK(Table1[[#This Row], [Date d''achat]]),"",IF(ISBLANK(Table1[[#This Row], [Date de fin de lecture FR]]),0,Table1[[#This Row], [Date de fin de lecture FR]]-Table1[[#This Row], [Date d''achat]]))</f>
      </c>
      <c r="Y144" s="10">
        <f>IF(ISBLANK(Table1[[#This Row], [Date de sortie]]),"",ROUNDDOWN(YEAR(Table1[[#This Row], [Date de sortie]]),-1))</f>
      </c>
    </row>
    <row x14ac:dyDescent="0.25" r="145" customHeight="1" ht="18.75">
      <c r="A145" s="1" t="s">
        <v>142</v>
      </c>
      <c r="B145" s="1" t="s">
        <v>396</v>
      </c>
      <c r="C145" s="9">
        <v>1</v>
      </c>
      <c r="D145" s="9">
        <v>1</v>
      </c>
      <c r="E145" s="9">
        <v>1</v>
      </c>
      <c r="F145" s="2"/>
      <c r="G145" s="1" t="s">
        <v>398</v>
      </c>
      <c r="H145" s="19"/>
      <c r="I145" s="9">
        <v>751</v>
      </c>
      <c r="J145" s="22">
        <v>38549</v>
      </c>
      <c r="K145" s="17"/>
      <c r="L145" s="17"/>
      <c r="M145" s="22">
        <v>43922</v>
      </c>
      <c r="N145" s="11" t="s">
        <v>255</v>
      </c>
      <c r="O145" s="21">
        <v>6</v>
      </c>
      <c r="P145" s="49"/>
      <c r="Q145" s="49"/>
      <c r="R145" s="11" t="s">
        <v>245</v>
      </c>
      <c r="S145" s="1" t="s">
        <v>399</v>
      </c>
      <c r="T145" s="9">
        <f>IF(ISBLANK(Table1[[#This Row], [Date de fin de lecture FR]]),"",YEAR(Table1[[#This Row], [Date de fin de lecture FR]]))</f>
      </c>
      <c r="U145" s="10">
        <f>IF(ISBLANK(Table1[[#This Row], [Date de fin de lecture FR]]),"",MONTH(Table1[[#This Row], [Date de fin de lecture FR]]))</f>
      </c>
      <c r="V145" s="4">
        <f>IF(ISBLANK(Table1[[#This Row], [Date de début de lecture]]),"",(IF(ISBLANK(Table1[[#This Row], [Date de fin de lecture FR]]),0,Table1[[#This Row], [Date de fin de lecture FR]]-Table1[[#This Row], [Date de début de lecture]])))</f>
      </c>
      <c r="W145" s="46">
        <f>IF(Table1[[#This Row], [Temps de lecture en jours]]="","",IF(ISBLANK(Table1[[#This Row], [Nbr Pages]]),0,Table1[[#This Row], [Nbr Pages]]/Table1[[#This Row], [Temps de lecture en jours]]))</f>
      </c>
      <c r="X145" s="4">
        <f>IF(ISBLANK(Table1[[#This Row], [Date d''achat]]),"",IF(ISBLANK(Table1[[#This Row], [Date de fin de lecture FR]]),0,Table1[[#This Row], [Date de fin de lecture FR]]-Table1[[#This Row], [Date d''achat]]))</f>
      </c>
      <c r="Y145" s="10">
        <f>IF(ISBLANK(Table1[[#This Row], [Date de sortie]]),"",ROUNDDOWN(YEAR(Table1[[#This Row], [Date de sortie]]),-1))</f>
      </c>
    </row>
    <row x14ac:dyDescent="0.25" r="146" customHeight="1" ht="18.75">
      <c r="A146" s="1" t="s">
        <v>143</v>
      </c>
      <c r="B146" s="1" t="s">
        <v>396</v>
      </c>
      <c r="C146" s="9">
        <v>1</v>
      </c>
      <c r="D146" s="9">
        <v>1</v>
      </c>
      <c r="E146" s="9">
        <v>1</v>
      </c>
      <c r="F146" s="2"/>
      <c r="G146" s="1" t="s">
        <v>398</v>
      </c>
      <c r="H146" s="19"/>
      <c r="I146" s="9">
        <v>891</v>
      </c>
      <c r="J146" s="22">
        <v>39284</v>
      </c>
      <c r="K146" s="17"/>
      <c r="L146" s="17"/>
      <c r="M146" s="22">
        <v>44099</v>
      </c>
      <c r="N146" s="11" t="s">
        <v>255</v>
      </c>
      <c r="O146" s="21">
        <v>7</v>
      </c>
      <c r="P146" s="49"/>
      <c r="Q146" s="49"/>
      <c r="R146" s="11" t="s">
        <v>245</v>
      </c>
      <c r="S146" s="19"/>
      <c r="T146" s="9">
        <f>IF(ISBLANK(Table1[[#This Row], [Date de fin de lecture FR]]),"",YEAR(Table1[[#This Row], [Date de fin de lecture FR]]))</f>
      </c>
      <c r="U146" s="10">
        <f>IF(ISBLANK(Table1[[#This Row], [Date de fin de lecture FR]]),"",MONTH(Table1[[#This Row], [Date de fin de lecture FR]]))</f>
      </c>
      <c r="V146" s="4">
        <f>IF(ISBLANK(Table1[[#This Row], [Date de début de lecture]]),"",(IF(ISBLANK(Table1[[#This Row], [Date de fin de lecture FR]]),0,Table1[[#This Row], [Date de fin de lecture FR]]-Table1[[#This Row], [Date de début de lecture]])))</f>
      </c>
      <c r="W146" s="46">
        <f>IF(Table1[[#This Row], [Temps de lecture en jours]]="","",IF(ISBLANK(Table1[[#This Row], [Nbr Pages]]),0,Table1[[#This Row], [Nbr Pages]]/Table1[[#This Row], [Temps de lecture en jours]]))</f>
      </c>
      <c r="X146" s="4">
        <f>IF(ISBLANK(Table1[[#This Row], [Date d''achat]]),"",IF(ISBLANK(Table1[[#This Row], [Date de fin de lecture FR]]),0,Table1[[#This Row], [Date de fin de lecture FR]]-Table1[[#This Row], [Date d''achat]]))</f>
      </c>
      <c r="Y146" s="10">
        <f>IF(ISBLANK(Table1[[#This Row], [Date de sortie]]),"",ROUNDDOWN(YEAR(Table1[[#This Row], [Date de sortie]]),-1))</f>
      </c>
    </row>
    <row x14ac:dyDescent="0.25" r="147" customHeight="1" ht="18.75">
      <c r="A147" s="1" t="s">
        <v>41</v>
      </c>
      <c r="B147" s="1" t="s">
        <v>396</v>
      </c>
      <c r="C147" s="9">
        <v>1</v>
      </c>
      <c r="D147" s="9">
        <v>1</v>
      </c>
      <c r="E147" s="9">
        <v>1</v>
      </c>
      <c r="F147" s="2"/>
      <c r="G147" s="1" t="s">
        <v>245</v>
      </c>
      <c r="H147" s="19"/>
      <c r="I147" s="9">
        <v>682</v>
      </c>
      <c r="J147" s="17"/>
      <c r="K147" s="22">
        <v>45108</v>
      </c>
      <c r="L147" s="22">
        <v>45135</v>
      </c>
      <c r="M147" s="22">
        <v>45147</v>
      </c>
      <c r="N147" s="11" t="s">
        <v>244</v>
      </c>
      <c r="O147" s="22"/>
      <c r="P147" s="49"/>
      <c r="Q147" s="49"/>
      <c r="R147" s="19"/>
      <c r="S147" s="19"/>
      <c r="T147" s="9">
        <f>IF(ISBLANK(Table1[[#This Row], [Date de fin de lecture FR]]),"",YEAR(Table1[[#This Row], [Date de fin de lecture FR]]))</f>
      </c>
      <c r="U147" s="10">
        <f>IF(ISBLANK(Table1[[#This Row], [Date de fin de lecture FR]]),"",MONTH(Table1[[#This Row], [Date de fin de lecture FR]]))</f>
      </c>
      <c r="V147" s="9">
        <f>IF(ISBLANK(Table1[[#This Row], [Date de début de lecture]]),"",(IF(ISBLANK(Table1[[#This Row], [Date de fin de lecture FR]]),0,Table1[[#This Row], [Date de fin de lecture FR]]-Table1[[#This Row], [Date de début de lecture]])))</f>
      </c>
      <c r="W147" s="46">
        <f>IF(Table1[[#This Row], [Temps de lecture en jours]]="","",IF(ISBLANK(Table1[[#This Row], [Nbr Pages]]),0,Table1[[#This Row], [Nbr Pages]]/Table1[[#This Row], [Temps de lecture en jours]]))</f>
      </c>
      <c r="X147" s="9">
        <f>IF(ISBLANK(Table1[[#This Row], [Date d''achat]]),"",IF(ISBLANK(Table1[[#This Row], [Date de fin de lecture FR]]),0,Table1[[#This Row], [Date de fin de lecture FR]]-Table1[[#This Row], [Date d''achat]]))</f>
      </c>
      <c r="Y147" s="10">
        <f>IF(ISBLANK(Table1[[#This Row], [Date de sortie]]),"",ROUNDDOWN(YEAR(Table1[[#This Row], [Date de sortie]]),-1))</f>
      </c>
    </row>
    <row x14ac:dyDescent="0.25" r="148" customHeight="1" ht="18.75">
      <c r="A148" s="1" t="s">
        <v>144</v>
      </c>
      <c r="B148" s="1" t="s">
        <v>400</v>
      </c>
      <c r="C148" s="4"/>
      <c r="D148" s="9">
        <v>1</v>
      </c>
      <c r="E148" s="4"/>
      <c r="F148" s="2"/>
      <c r="G148" s="1" t="s">
        <v>246</v>
      </c>
      <c r="H148" s="1" t="s">
        <v>331</v>
      </c>
      <c r="I148" s="9">
        <v>371</v>
      </c>
      <c r="J148" s="22">
        <v>13779</v>
      </c>
      <c r="K148" s="17"/>
      <c r="L148" s="17"/>
      <c r="M148" s="22">
        <v>42005</v>
      </c>
      <c r="N148" s="11" t="s">
        <v>217</v>
      </c>
      <c r="O148" s="17"/>
      <c r="P148" s="49"/>
      <c r="Q148" s="49"/>
      <c r="R148" s="11" t="s">
        <v>245</v>
      </c>
      <c r="S148" s="1" t="s">
        <v>401</v>
      </c>
      <c r="T148" s="9">
        <f>IF(ISBLANK(Table1[[#This Row], [Date de fin de lecture FR]]),"",YEAR(Table1[[#This Row], [Date de fin de lecture FR]]))</f>
      </c>
      <c r="U148" s="10">
        <f>IF(ISBLANK(Table1[[#This Row], [Date de fin de lecture FR]]),"",MONTH(Table1[[#This Row], [Date de fin de lecture FR]]))</f>
      </c>
      <c r="V148" s="4">
        <f>IF(ISBLANK(Table1[[#This Row], [Date de début de lecture]]),"",(IF(ISBLANK(Table1[[#This Row], [Date de fin de lecture FR]]),0,Table1[[#This Row], [Date de fin de lecture FR]]-Table1[[#This Row], [Date de début de lecture]])))</f>
      </c>
      <c r="W148" s="46">
        <f>IF(Table1[[#This Row], [Temps de lecture en jours]]="","",IF(ISBLANK(Table1[[#This Row], [Nbr Pages]]),0,Table1[[#This Row], [Nbr Pages]]/Table1[[#This Row], [Temps de lecture en jours]]))</f>
      </c>
      <c r="X148" s="4">
        <f>IF(ISBLANK(Table1[[#This Row], [Date d''achat]]),"",IF(ISBLANK(Table1[[#This Row], [Date de fin de lecture FR]]),0,Table1[[#This Row], [Date de fin de lecture FR]]-Table1[[#This Row], [Date d''achat]]))</f>
      </c>
      <c r="Y148" s="10">
        <f>IF(ISBLANK(Table1[[#This Row], [Date de sortie]]),"",ROUNDDOWN(YEAR(Table1[[#This Row], [Date de sortie]]),-1))</f>
      </c>
    </row>
    <row x14ac:dyDescent="0.25" r="149" customHeight="1" ht="18.75">
      <c r="A149" s="1" t="s">
        <v>145</v>
      </c>
      <c r="B149" s="1" t="s">
        <v>400</v>
      </c>
      <c r="C149" s="9">
        <v>1</v>
      </c>
      <c r="D149" s="9">
        <v>1</v>
      </c>
      <c r="E149" s="4"/>
      <c r="F149" s="2"/>
      <c r="G149" s="1" t="s">
        <v>246</v>
      </c>
      <c r="H149" s="1" t="s">
        <v>331</v>
      </c>
      <c r="I149" s="9">
        <v>704</v>
      </c>
      <c r="J149" s="22">
        <v>19934</v>
      </c>
      <c r="K149" s="17"/>
      <c r="L149" s="17"/>
      <c r="M149" s="17"/>
      <c r="N149" s="11" t="s">
        <v>255</v>
      </c>
      <c r="O149" s="21">
        <v>1</v>
      </c>
      <c r="P149" s="49"/>
      <c r="Q149" s="49"/>
      <c r="R149" s="11" t="s">
        <v>245</v>
      </c>
      <c r="S149" s="19"/>
      <c r="T149" s="4">
        <f>IF(ISBLANK(Table1[[#This Row], [Date de fin de lecture FR]]),"",YEAR(Table1[[#This Row], [Date de fin de lecture FR]]))</f>
      </c>
      <c r="U149" s="10">
        <f>IF(ISBLANK(Table1[[#This Row], [Date de fin de lecture FR]]),"",MONTH(Table1[[#This Row], [Date de fin de lecture FR]]))</f>
      </c>
      <c r="V149" s="4">
        <f>IF(ISBLANK(Table1[[#This Row], [Date de début de lecture]]),"",(IF(ISBLANK(Table1[[#This Row], [Date de fin de lecture FR]]),0,Table1[[#This Row], [Date de fin de lecture FR]]-Table1[[#This Row], [Date de début de lecture]])))</f>
      </c>
      <c r="W149" s="46">
        <f>IF(Table1[[#This Row], [Temps de lecture en jours]]="","",IF(ISBLANK(Table1[[#This Row], [Nbr Pages]]),0,Table1[[#This Row], [Nbr Pages]]/Table1[[#This Row], [Temps de lecture en jours]]))</f>
      </c>
      <c r="X149" s="4">
        <f>IF(ISBLANK(Table1[[#This Row], [Date d''achat]]),"",IF(ISBLANK(Table1[[#This Row], [Date de fin de lecture FR]]),0,Table1[[#This Row], [Date de fin de lecture FR]]-Table1[[#This Row], [Date d''achat]]))</f>
      </c>
      <c r="Y149" s="10">
        <f>IF(ISBLANK(Table1[[#This Row], [Date de sortie]]),"",ROUNDDOWN(YEAR(Table1[[#This Row], [Date de sortie]]),-1))</f>
      </c>
    </row>
    <row x14ac:dyDescent="0.25" r="150" customHeight="1" ht="18.75">
      <c r="A150" s="1" t="s">
        <v>402</v>
      </c>
      <c r="B150" s="1" t="s">
        <v>400</v>
      </c>
      <c r="C150" s="9">
        <v>1</v>
      </c>
      <c r="D150" s="4"/>
      <c r="E150" s="4"/>
      <c r="F150" s="2"/>
      <c r="G150" s="1" t="s">
        <v>246</v>
      </c>
      <c r="H150" s="1" t="s">
        <v>331</v>
      </c>
      <c r="I150" s="4"/>
      <c r="J150" s="17"/>
      <c r="K150" s="17"/>
      <c r="L150" s="17"/>
      <c r="M150" s="17"/>
      <c r="N150" s="19"/>
      <c r="O150" s="22"/>
      <c r="P150" s="49"/>
      <c r="Q150" s="49"/>
      <c r="R150" s="22"/>
      <c r="S150" s="19"/>
      <c r="T150" s="4">
        <f>IF(ISBLANK(Table1[[#This Row], [Date de fin de lecture FR]]),"",YEAR(Table1[[#This Row], [Date de fin de lecture FR]]))</f>
      </c>
      <c r="U150" s="10">
        <f>IF(ISBLANK(Table1[[#This Row], [Date de fin de lecture FR]]),"",MONTH(Table1[[#This Row], [Date de fin de lecture FR]]))</f>
      </c>
      <c r="V150" s="4">
        <f>IF(ISBLANK(Table1[[#This Row], [Date de début de lecture]]),"",(IF(ISBLANK(Table1[[#This Row], [Date de fin de lecture FR]]),0,Table1[[#This Row], [Date de fin de lecture FR]]-Table1[[#This Row], [Date de début de lecture]])))</f>
      </c>
      <c r="W150" s="46">
        <f>IF(Table1[[#This Row], [Temps de lecture en jours]]="","",IF(ISBLANK(Table1[[#This Row], [Nbr Pages]]),0,Table1[[#This Row], [Nbr Pages]]/Table1[[#This Row], [Temps de lecture en jours]]))</f>
      </c>
      <c r="X150" s="4">
        <f>IF(ISBLANK(Table1[[#This Row], [Date d''achat]]),"",IF(ISBLANK(Table1[[#This Row], [Date de fin de lecture FR]]),0,Table1[[#This Row], [Date de fin de lecture FR]]-Table1[[#This Row], [Date d''achat]]))</f>
      </c>
      <c r="Y150" s="10">
        <f>IF(ISBLANK(Table1[[#This Row], [Date de sortie]]),"",ROUNDDOWN(YEAR(Table1[[#This Row], [Date de sortie]]),-1))</f>
      </c>
    </row>
    <row x14ac:dyDescent="0.25" r="151" customHeight="1" ht="18.75">
      <c r="A151" s="1" t="s">
        <v>403</v>
      </c>
      <c r="B151" s="1" t="s">
        <v>400</v>
      </c>
      <c r="C151" s="9">
        <v>1</v>
      </c>
      <c r="D151" s="4"/>
      <c r="E151" s="4"/>
      <c r="F151" s="2"/>
      <c r="G151" s="1" t="s">
        <v>246</v>
      </c>
      <c r="H151" s="1" t="s">
        <v>331</v>
      </c>
      <c r="I151" s="4"/>
      <c r="J151" s="17"/>
      <c r="K151" s="17"/>
      <c r="L151" s="17"/>
      <c r="M151" s="17"/>
      <c r="N151" s="19"/>
      <c r="O151" s="22"/>
      <c r="P151" s="49"/>
      <c r="Q151" s="49"/>
      <c r="R151" s="22"/>
      <c r="S151" s="19"/>
      <c r="T151" s="4">
        <f>IF(ISBLANK(Table1[[#This Row], [Date de fin de lecture FR]]),"",YEAR(Table1[[#This Row], [Date de fin de lecture FR]]))</f>
      </c>
      <c r="U151" s="10">
        <f>IF(ISBLANK(Table1[[#This Row], [Date de fin de lecture FR]]),"",MONTH(Table1[[#This Row], [Date de fin de lecture FR]]))</f>
      </c>
      <c r="V151" s="4">
        <f>IF(ISBLANK(Table1[[#This Row], [Date de début de lecture]]),"",(IF(ISBLANK(Table1[[#This Row], [Date de fin de lecture FR]]),0,Table1[[#This Row], [Date de fin de lecture FR]]-Table1[[#This Row], [Date de début de lecture]])))</f>
      </c>
      <c r="W151" s="46">
        <f>IF(Table1[[#This Row], [Temps de lecture en jours]]="","",IF(ISBLANK(Table1[[#This Row], [Nbr Pages]]),0,Table1[[#This Row], [Nbr Pages]]/Table1[[#This Row], [Temps de lecture en jours]]))</f>
      </c>
      <c r="X151" s="4">
        <f>IF(ISBLANK(Table1[[#This Row], [Date d''achat]]),"",IF(ISBLANK(Table1[[#This Row], [Date de fin de lecture FR]]),0,Table1[[#This Row], [Date de fin de lecture FR]]-Table1[[#This Row], [Date d''achat]]))</f>
      </c>
      <c r="Y151" s="10">
        <f>IF(ISBLANK(Table1[[#This Row], [Date de sortie]]),"",ROUNDDOWN(YEAR(Table1[[#This Row], [Date de sortie]]),-1))</f>
      </c>
    </row>
    <row x14ac:dyDescent="0.25" r="152" customHeight="1" ht="18.75">
      <c r="A152" s="1" t="s">
        <v>404</v>
      </c>
      <c r="B152" s="1" t="s">
        <v>400</v>
      </c>
      <c r="C152" s="9">
        <v>1</v>
      </c>
      <c r="D152" s="4"/>
      <c r="E152" s="4"/>
      <c r="F152" s="2"/>
      <c r="G152" s="1" t="s">
        <v>246</v>
      </c>
      <c r="H152" s="19"/>
      <c r="I152" s="9">
        <v>480</v>
      </c>
      <c r="J152" s="22">
        <v>28383</v>
      </c>
      <c r="K152" s="17"/>
      <c r="L152" s="17"/>
      <c r="M152" s="17"/>
      <c r="N152" s="19"/>
      <c r="O152" s="22"/>
      <c r="P152" s="49"/>
      <c r="Q152" s="49"/>
      <c r="R152" s="22"/>
      <c r="S152" s="19"/>
      <c r="T152" s="4">
        <f>IF(ISBLANK(Table1[[#This Row], [Date de fin de lecture FR]]),"",YEAR(Table1[[#This Row], [Date de fin de lecture FR]]))</f>
      </c>
      <c r="U152" s="10">
        <f>IF(ISBLANK(Table1[[#This Row], [Date de fin de lecture FR]]),"",MONTH(Table1[[#This Row], [Date de fin de lecture FR]]))</f>
      </c>
      <c r="V152" s="4">
        <f>IF(ISBLANK(Table1[[#This Row], [Date de début de lecture]]),"",(IF(ISBLANK(Table1[[#This Row], [Date de fin de lecture FR]]),0,Table1[[#This Row], [Date de fin de lecture FR]]-Table1[[#This Row], [Date de début de lecture]])))</f>
      </c>
      <c r="W152" s="46">
        <f>IF(Table1[[#This Row], [Temps de lecture en jours]]="","",IF(ISBLANK(Table1[[#This Row], [Nbr Pages]]),0,Table1[[#This Row], [Nbr Pages]]/Table1[[#This Row], [Temps de lecture en jours]]))</f>
      </c>
      <c r="X152" s="4">
        <f>IF(ISBLANK(Table1[[#This Row], [Date d''achat]]),"",IF(ISBLANK(Table1[[#This Row], [Date de fin de lecture FR]]),0,Table1[[#This Row], [Date de fin de lecture FR]]-Table1[[#This Row], [Date d''achat]]))</f>
      </c>
      <c r="Y152" s="10">
        <f>IF(ISBLANK(Table1[[#This Row], [Date de sortie]]),"",ROUNDDOWN(YEAR(Table1[[#This Row], [Date de sortie]]),-1))</f>
      </c>
    </row>
    <row x14ac:dyDescent="0.25" r="153" customHeight="1" ht="18.75">
      <c r="A153" s="1" t="s">
        <v>55</v>
      </c>
      <c r="B153" s="1" t="s">
        <v>400</v>
      </c>
      <c r="C153" s="4"/>
      <c r="D153" s="9">
        <v>1</v>
      </c>
      <c r="E153" s="9">
        <v>1</v>
      </c>
      <c r="F153" s="2"/>
      <c r="G153" s="1" t="s">
        <v>246</v>
      </c>
      <c r="H153" s="1" t="s">
        <v>331</v>
      </c>
      <c r="I153" s="9">
        <v>281</v>
      </c>
      <c r="J153" s="22">
        <v>42841</v>
      </c>
      <c r="K153" s="22">
        <v>44895</v>
      </c>
      <c r="L153" s="22">
        <v>44895</v>
      </c>
      <c r="M153" s="22">
        <v>44913</v>
      </c>
      <c r="N153" s="11" t="s">
        <v>217</v>
      </c>
      <c r="O153" s="22"/>
      <c r="P153" s="49"/>
      <c r="Q153" s="49"/>
      <c r="R153" s="22"/>
      <c r="S153" s="19"/>
      <c r="T153" s="9">
        <f>IF(ISBLANK(Table1[[#This Row], [Date de fin de lecture FR]]),"",YEAR(Table1[[#This Row], [Date de fin de lecture FR]]))</f>
      </c>
      <c r="U153" s="10">
        <f>IF(ISBLANK(Table1[[#This Row], [Date de fin de lecture FR]]),"",MONTH(Table1[[#This Row], [Date de fin de lecture FR]]))</f>
      </c>
      <c r="V153" s="9">
        <f>IF(ISBLANK(Table1[[#This Row], [Date de début de lecture]]),"",(IF(ISBLANK(Table1[[#This Row], [Date de fin de lecture FR]]),0,Table1[[#This Row], [Date de fin de lecture FR]]-Table1[[#This Row], [Date de début de lecture]])))</f>
      </c>
      <c r="W153" s="46">
        <f>IF(Table1[[#This Row], [Temps de lecture en jours]]="","",IF(ISBLANK(Table1[[#This Row], [Nbr Pages]]),0,Table1[[#This Row], [Nbr Pages]]/Table1[[#This Row], [Temps de lecture en jours]]))</f>
      </c>
      <c r="X153" s="9">
        <f>IF(ISBLANK(Table1[[#This Row], [Date d''achat]]),"",IF(ISBLANK(Table1[[#This Row], [Date de fin de lecture FR]]),0,Table1[[#This Row], [Date de fin de lecture FR]]-Table1[[#This Row], [Date d''achat]]))</f>
      </c>
      <c r="Y153" s="10">
        <f>IF(ISBLANK(Table1[[#This Row], [Date de sortie]]),"",ROUNDDOWN(YEAR(Table1[[#This Row], [Date de sortie]]),-1))</f>
      </c>
    </row>
    <row x14ac:dyDescent="0.25" r="154" customHeight="1" ht="18.75">
      <c r="A154" s="1" t="s">
        <v>146</v>
      </c>
      <c r="B154" s="1" t="s">
        <v>405</v>
      </c>
      <c r="C154" s="9">
        <v>1</v>
      </c>
      <c r="D154" s="9">
        <v>1</v>
      </c>
      <c r="E154" s="9">
        <v>1</v>
      </c>
      <c r="F154" s="2"/>
      <c r="G154" s="1" t="s">
        <v>245</v>
      </c>
      <c r="H154" s="19"/>
      <c r="I154" s="9">
        <v>361</v>
      </c>
      <c r="J154" s="22">
        <v>33239</v>
      </c>
      <c r="K154" s="17"/>
      <c r="L154" s="17"/>
      <c r="M154" s="22">
        <v>43504</v>
      </c>
      <c r="N154" s="11" t="s">
        <v>244</v>
      </c>
      <c r="O154" s="17"/>
      <c r="P154" s="49"/>
      <c r="Q154" s="49"/>
      <c r="R154" s="11" t="s">
        <v>245</v>
      </c>
      <c r="S154" s="19"/>
      <c r="T154" s="9">
        <f>IF(ISBLANK(Table1[[#This Row], [Date de fin de lecture FR]]),"",YEAR(Table1[[#This Row], [Date de fin de lecture FR]]))</f>
      </c>
      <c r="U154" s="10">
        <f>IF(ISBLANK(Table1[[#This Row], [Date de fin de lecture FR]]),"",MONTH(Table1[[#This Row], [Date de fin de lecture FR]]))</f>
      </c>
      <c r="V154" s="4">
        <f>IF(ISBLANK(Table1[[#This Row], [Date de début de lecture]]),"",(IF(ISBLANK(Table1[[#This Row], [Date de fin de lecture FR]]),0,Table1[[#This Row], [Date de fin de lecture FR]]-Table1[[#This Row], [Date de début de lecture]])))</f>
      </c>
      <c r="W154" s="46">
        <f>IF(Table1[[#This Row], [Temps de lecture en jours]]="","",IF(ISBLANK(Table1[[#This Row], [Nbr Pages]]),0,Table1[[#This Row], [Nbr Pages]]/Table1[[#This Row], [Temps de lecture en jours]]))</f>
      </c>
      <c r="X154" s="4">
        <f>IF(ISBLANK(Table1[[#This Row], [Date d''achat]]),"",IF(ISBLANK(Table1[[#This Row], [Date de fin de lecture FR]]),0,Table1[[#This Row], [Date de fin de lecture FR]]-Table1[[#This Row], [Date d''achat]]))</f>
      </c>
      <c r="Y154" s="10">
        <f>IF(ISBLANK(Table1[[#This Row], [Date de sortie]]),"",ROUNDDOWN(YEAR(Table1[[#This Row], [Date de sortie]]),-1))</f>
      </c>
    </row>
    <row x14ac:dyDescent="0.25" r="155" customHeight="1" ht="18.75">
      <c r="A155" s="1" t="s">
        <v>406</v>
      </c>
      <c r="B155" s="1" t="s">
        <v>407</v>
      </c>
      <c r="C155" s="4"/>
      <c r="D155" s="4"/>
      <c r="E155" s="4"/>
      <c r="F155" s="2"/>
      <c r="G155" s="19"/>
      <c r="H155" s="19"/>
      <c r="I155" s="4"/>
      <c r="J155" s="17"/>
      <c r="K155" s="17"/>
      <c r="L155" s="17"/>
      <c r="M155" s="17"/>
      <c r="N155" s="19"/>
      <c r="O155" s="22"/>
      <c r="P155" s="49"/>
      <c r="Q155" s="49"/>
      <c r="R155" s="19"/>
      <c r="S155" s="51"/>
      <c r="T155" s="4">
        <f>IF(ISBLANK(Table1[[#This Row], [Date de fin de lecture FR]]),"",YEAR(Table1[[#This Row], [Date de fin de lecture FR]]))</f>
      </c>
      <c r="U155" s="10">
        <f>IF(ISBLANK(Table1[[#This Row], [Date de fin de lecture FR]]),"",MONTH(Table1[[#This Row], [Date de fin de lecture FR]]))</f>
      </c>
      <c r="V155" s="4">
        <f>IF(ISBLANK(Table1[[#This Row], [Date de début de lecture]]),"",(IF(ISBLANK(Table1[[#This Row], [Date de fin de lecture FR]]),0,Table1[[#This Row], [Date de fin de lecture FR]]-Table1[[#This Row], [Date de début de lecture]])))</f>
      </c>
      <c r="W155" s="46">
        <f>IF(Table1[[#This Row], [Temps de lecture en jours]]="","",IF(ISBLANK(Table1[[#This Row], [Nbr Pages]]),0,Table1[[#This Row], [Nbr Pages]]/Table1[[#This Row], [Temps de lecture en jours]]))</f>
      </c>
      <c r="X155" s="4">
        <f>IF(ISBLANK(Table1[[#This Row], [Date d''achat]]),"",IF(ISBLANK(Table1[[#This Row], [Date de fin de lecture FR]]),0,Table1[[#This Row], [Date de fin de lecture FR]]-Table1[[#This Row], [Date d''achat]]))</f>
      </c>
      <c r="Y155" s="10">
        <f>IF(ISBLANK(Table1[[#This Row], [Date de sortie]]),"",ROUNDDOWN(YEAR(Table1[[#This Row], [Date de sortie]]),-1))</f>
      </c>
    </row>
    <row x14ac:dyDescent="0.25" r="156" customHeight="1" ht="18.75">
      <c r="A156" s="1" t="s">
        <v>408</v>
      </c>
      <c r="B156" s="1" t="s">
        <v>409</v>
      </c>
      <c r="C156" s="9">
        <v>1</v>
      </c>
      <c r="D156" s="4"/>
      <c r="E156" s="4"/>
      <c r="F156" s="2"/>
      <c r="G156" s="1" t="s">
        <v>410</v>
      </c>
      <c r="H156" s="19"/>
      <c r="I156" s="4"/>
      <c r="J156" s="17"/>
      <c r="K156" s="17"/>
      <c r="L156" s="17"/>
      <c r="M156" s="17"/>
      <c r="N156" s="19"/>
      <c r="O156" s="22"/>
      <c r="P156" s="49"/>
      <c r="Q156" s="49"/>
      <c r="R156" s="22"/>
      <c r="S156" s="19"/>
      <c r="T156" s="4">
        <f>IF(ISBLANK(Table1[[#This Row], [Date de fin de lecture FR]]),"",YEAR(Table1[[#This Row], [Date de fin de lecture FR]]))</f>
      </c>
      <c r="U156" s="10">
        <f>IF(ISBLANK(Table1[[#This Row], [Date de fin de lecture FR]]),"",MONTH(Table1[[#This Row], [Date de fin de lecture FR]]))</f>
      </c>
      <c r="V156" s="4">
        <f>IF(ISBLANK(Table1[[#This Row], [Date de début de lecture]]),"",(IF(ISBLANK(Table1[[#This Row], [Date de fin de lecture FR]]),0,Table1[[#This Row], [Date de fin de lecture FR]]-Table1[[#This Row], [Date de début de lecture]])))</f>
      </c>
      <c r="W156" s="46">
        <f>IF(Table1[[#This Row], [Temps de lecture en jours]]="","",IF(ISBLANK(Table1[[#This Row], [Nbr Pages]]),0,Table1[[#This Row], [Nbr Pages]]/Table1[[#This Row], [Temps de lecture en jours]]))</f>
      </c>
      <c r="X156" s="4">
        <f>IF(ISBLANK(Table1[[#This Row], [Date d''achat]]),"",IF(ISBLANK(Table1[[#This Row], [Date de fin de lecture FR]]),0,Table1[[#This Row], [Date de fin de lecture FR]]-Table1[[#This Row], [Date d''achat]]))</f>
      </c>
      <c r="Y156" s="10">
        <f>IF(ISBLANK(Table1[[#This Row], [Date de sortie]]),"",ROUNDDOWN(YEAR(Table1[[#This Row], [Date de sortie]]),-1))</f>
      </c>
    </row>
    <row x14ac:dyDescent="0.25" r="157" customHeight="1" ht="18.75">
      <c r="A157" s="1" t="s">
        <v>147</v>
      </c>
      <c r="B157" s="1" t="s">
        <v>411</v>
      </c>
      <c r="C157" s="9">
        <v>1</v>
      </c>
      <c r="D157" s="9">
        <v>1</v>
      </c>
      <c r="E157" s="9">
        <v>1</v>
      </c>
      <c r="F157" s="2"/>
      <c r="G157" s="1" t="s">
        <v>227</v>
      </c>
      <c r="H157" s="19"/>
      <c r="I157" s="9">
        <v>256</v>
      </c>
      <c r="J157" s="22">
        <v>28843</v>
      </c>
      <c r="K157" s="17"/>
      <c r="L157" s="17"/>
      <c r="M157" s="22">
        <v>43605</v>
      </c>
      <c r="N157" s="11" t="s">
        <v>244</v>
      </c>
      <c r="O157" s="17"/>
      <c r="P157" s="49"/>
      <c r="Q157" s="49"/>
      <c r="R157" s="11" t="s">
        <v>245</v>
      </c>
      <c r="S157" s="19"/>
      <c r="T157" s="9">
        <f>IF(ISBLANK(Table1[[#This Row], [Date de fin de lecture FR]]),"",YEAR(Table1[[#This Row], [Date de fin de lecture FR]]))</f>
      </c>
      <c r="U157" s="10">
        <f>IF(ISBLANK(Table1[[#This Row], [Date de fin de lecture FR]]),"",MONTH(Table1[[#This Row], [Date de fin de lecture FR]]))</f>
      </c>
      <c r="V157" s="4">
        <f>IF(ISBLANK(Table1[[#This Row], [Date de début de lecture]]),"",(IF(ISBLANK(Table1[[#This Row], [Date de fin de lecture FR]]),0,Table1[[#This Row], [Date de fin de lecture FR]]-Table1[[#This Row], [Date de début de lecture]])))</f>
      </c>
      <c r="W157" s="46">
        <f>IF(Table1[[#This Row], [Temps de lecture en jours]]="","",IF(ISBLANK(Table1[[#This Row], [Nbr Pages]]),0,Table1[[#This Row], [Nbr Pages]]/Table1[[#This Row], [Temps de lecture en jours]]))</f>
      </c>
      <c r="X157" s="4">
        <f>IF(ISBLANK(Table1[[#This Row], [Date d''achat]]),"",IF(ISBLANK(Table1[[#This Row], [Date de fin de lecture FR]]),0,Table1[[#This Row], [Date de fin de lecture FR]]-Table1[[#This Row], [Date d''achat]]))</f>
      </c>
      <c r="Y157" s="10">
        <f>IF(ISBLANK(Table1[[#This Row], [Date de sortie]]),"",ROUNDDOWN(YEAR(Table1[[#This Row], [Date de sortie]]),-1))</f>
      </c>
    </row>
    <row x14ac:dyDescent="0.25" r="158" customHeight="1" ht="18.75">
      <c r="A158" s="1" t="s">
        <v>57</v>
      </c>
      <c r="B158" s="1" t="s">
        <v>411</v>
      </c>
      <c r="C158" s="9">
        <v>1</v>
      </c>
      <c r="D158" s="9">
        <v>1</v>
      </c>
      <c r="E158" s="9">
        <v>1</v>
      </c>
      <c r="F158" s="2"/>
      <c r="G158" s="1" t="s">
        <v>227</v>
      </c>
      <c r="H158" s="1" t="s">
        <v>412</v>
      </c>
      <c r="I158" s="9">
        <v>281</v>
      </c>
      <c r="J158" s="22">
        <v>27364</v>
      </c>
      <c r="K158" s="22">
        <v>44517</v>
      </c>
      <c r="L158" s="22">
        <v>44872</v>
      </c>
      <c r="M158" s="22">
        <v>44878</v>
      </c>
      <c r="N158" s="11" t="s">
        <v>255</v>
      </c>
      <c r="O158" s="21">
        <v>1</v>
      </c>
      <c r="P158" s="49"/>
      <c r="Q158" s="49"/>
      <c r="R158" s="11" t="s">
        <v>245</v>
      </c>
      <c r="S158" s="19"/>
      <c r="T158" s="9">
        <f>IF(ISBLANK(Table1[[#This Row], [Date de fin de lecture FR]]),"",YEAR(Table1[[#This Row], [Date de fin de lecture FR]]))</f>
      </c>
      <c r="U158" s="10">
        <f>IF(ISBLANK(Table1[[#This Row], [Date de fin de lecture FR]]),"",MONTH(Table1[[#This Row], [Date de fin de lecture FR]]))</f>
      </c>
      <c r="V158" s="9">
        <f>IF(ISBLANK(Table1[[#This Row], [Date de début de lecture]]),"",(IF(ISBLANK(Table1[[#This Row], [Date de fin de lecture FR]]),0,Table1[[#This Row], [Date de fin de lecture FR]]-Table1[[#This Row], [Date de début de lecture]])))</f>
      </c>
      <c r="W158" s="46">
        <f>IF(Table1[[#This Row], [Temps de lecture en jours]]="","",IF(ISBLANK(Table1[[#This Row], [Nbr Pages]]),0,Table1[[#This Row], [Nbr Pages]]/Table1[[#This Row], [Temps de lecture en jours]]))</f>
      </c>
      <c r="X158" s="9">
        <f>IF(ISBLANK(Table1[[#This Row], [Date d''achat]]),"",IF(ISBLANK(Table1[[#This Row], [Date de fin de lecture FR]]),0,Table1[[#This Row], [Date de fin de lecture FR]]-Table1[[#This Row], [Date d''achat]]))</f>
      </c>
      <c r="Y158" s="10">
        <f>IF(ISBLANK(Table1[[#This Row], [Date de sortie]]),"",ROUNDDOWN(YEAR(Table1[[#This Row], [Date de sortie]]),-1))</f>
      </c>
    </row>
    <row x14ac:dyDescent="0.25" r="159" customHeight="1" ht="18.75">
      <c r="A159" s="1" t="s">
        <v>413</v>
      </c>
      <c r="B159" s="1" t="s">
        <v>414</v>
      </c>
      <c r="C159" s="9">
        <v>1</v>
      </c>
      <c r="D159" s="4"/>
      <c r="E159" s="4"/>
      <c r="F159" s="2"/>
      <c r="G159" s="1" t="s">
        <v>245</v>
      </c>
      <c r="H159" s="1" t="s">
        <v>241</v>
      </c>
      <c r="I159" s="9">
        <v>672</v>
      </c>
      <c r="J159" s="22">
        <v>41171</v>
      </c>
      <c r="K159" s="22">
        <v>44557</v>
      </c>
      <c r="L159" s="22">
        <v>44914</v>
      </c>
      <c r="M159" s="17"/>
      <c r="N159" s="11" t="s">
        <v>244</v>
      </c>
      <c r="O159" s="22"/>
      <c r="P159" s="49"/>
      <c r="Q159" s="49"/>
      <c r="R159" s="22"/>
      <c r="S159" s="1" t="s">
        <v>415</v>
      </c>
      <c r="T159" s="4">
        <f>IF(ISBLANK(Table1[[#This Row], [Date de fin de lecture FR]]),"",YEAR(Table1[[#This Row], [Date de fin de lecture FR]]))</f>
      </c>
      <c r="U159" s="10">
        <f>IF(ISBLANK(Table1[[#This Row], [Date de fin de lecture FR]]),"",MONTH(Table1[[#This Row], [Date de fin de lecture FR]]))</f>
      </c>
      <c r="V159" s="9">
        <f>IF(ISBLANK(Table1[[#This Row], [Date de début de lecture]]),"",(IF(ISBLANK(Table1[[#This Row], [Date de fin de lecture FR]]),0,Table1[[#This Row], [Date de fin de lecture FR]]-Table1[[#This Row], [Date de début de lecture]])))</f>
      </c>
      <c r="W159" s="46">
        <f>IF(Table1[[#This Row], [Temps de lecture en jours]]="","",IF(ISBLANK(Table1[[#This Row], [Nbr Pages]]),0,Table1[[#This Row], [Nbr Pages]]/Table1[[#This Row], [Temps de lecture en jours]]))</f>
      </c>
      <c r="X159" s="9">
        <f>IF(ISBLANK(Table1[[#This Row], [Date d''achat]]),"",IF(ISBLANK(Table1[[#This Row], [Date de fin de lecture FR]]),0,Table1[[#This Row], [Date de fin de lecture FR]]-Table1[[#This Row], [Date d''achat]]))</f>
      </c>
      <c r="Y159" s="10">
        <f>IF(ISBLANK(Table1[[#This Row], [Date de sortie]]),"",ROUNDDOWN(YEAR(Table1[[#This Row], [Date de sortie]]),-1))</f>
      </c>
    </row>
    <row x14ac:dyDescent="0.25" r="160" customHeight="1" ht="18.75">
      <c r="A160" s="1" t="s">
        <v>148</v>
      </c>
      <c r="B160" s="1" t="s">
        <v>416</v>
      </c>
      <c r="C160" s="9">
        <v>1</v>
      </c>
      <c r="D160" s="9">
        <v>1</v>
      </c>
      <c r="E160" s="4"/>
      <c r="F160" s="2"/>
      <c r="G160" s="1" t="s">
        <v>227</v>
      </c>
      <c r="H160" s="1" t="s">
        <v>417</v>
      </c>
      <c r="I160" s="9">
        <v>416</v>
      </c>
      <c r="J160" s="22">
        <v>37987</v>
      </c>
      <c r="K160" s="17"/>
      <c r="L160" s="17"/>
      <c r="M160" s="22">
        <v>43479</v>
      </c>
      <c r="N160" s="11" t="s">
        <v>244</v>
      </c>
      <c r="O160" s="17"/>
      <c r="P160" s="49"/>
      <c r="Q160" s="49"/>
      <c r="R160" s="11" t="s">
        <v>245</v>
      </c>
      <c r="S160" s="19"/>
      <c r="T160" s="9">
        <f>IF(ISBLANK(Table1[[#This Row], [Date de fin de lecture FR]]),"",YEAR(Table1[[#This Row], [Date de fin de lecture FR]]))</f>
      </c>
      <c r="U160" s="10">
        <f>IF(ISBLANK(Table1[[#This Row], [Date de fin de lecture FR]]),"",MONTH(Table1[[#This Row], [Date de fin de lecture FR]]))</f>
      </c>
      <c r="V160" s="4">
        <f>IF(ISBLANK(Table1[[#This Row], [Date de début de lecture]]),"",(IF(ISBLANK(Table1[[#This Row], [Date de fin de lecture FR]]),0,Table1[[#This Row], [Date de fin de lecture FR]]-Table1[[#This Row], [Date de début de lecture]])))</f>
      </c>
      <c r="W160" s="46">
        <f>IF(Table1[[#This Row], [Temps de lecture en jours]]="","",IF(ISBLANK(Table1[[#This Row], [Nbr Pages]]),0,Table1[[#This Row], [Nbr Pages]]/Table1[[#This Row], [Temps de lecture en jours]]))</f>
      </c>
      <c r="X160" s="4">
        <f>IF(ISBLANK(Table1[[#This Row], [Date d''achat]]),"",IF(ISBLANK(Table1[[#This Row], [Date de fin de lecture FR]]),0,Table1[[#This Row], [Date de fin de lecture FR]]-Table1[[#This Row], [Date d''achat]]))</f>
      </c>
      <c r="Y160" s="10">
        <f>IF(ISBLANK(Table1[[#This Row], [Date de sortie]]),"",ROUNDDOWN(YEAR(Table1[[#This Row], [Date de sortie]]),-1))</f>
      </c>
    </row>
    <row x14ac:dyDescent="0.25" r="161" customHeight="1" ht="18.75">
      <c r="A161" s="1" t="s">
        <v>149</v>
      </c>
      <c r="B161" s="1" t="s">
        <v>418</v>
      </c>
      <c r="C161" s="9">
        <v>1</v>
      </c>
      <c r="D161" s="9">
        <v>1</v>
      </c>
      <c r="E161" s="9">
        <v>1</v>
      </c>
      <c r="F161" s="2"/>
      <c r="G161" s="1" t="s">
        <v>245</v>
      </c>
      <c r="H161" s="19"/>
      <c r="I161" s="9">
        <v>174</v>
      </c>
      <c r="J161" s="22">
        <v>13759</v>
      </c>
      <c r="K161" s="17"/>
      <c r="L161" s="17"/>
      <c r="M161" s="22">
        <v>42736</v>
      </c>
      <c r="N161" s="11" t="s">
        <v>244</v>
      </c>
      <c r="O161" s="17"/>
      <c r="P161" s="49"/>
      <c r="Q161" s="49"/>
      <c r="R161" s="11" t="s">
        <v>245</v>
      </c>
      <c r="S161" s="19"/>
      <c r="T161" s="9">
        <f>IF(ISBLANK(Table1[[#This Row], [Date de fin de lecture FR]]),"",YEAR(Table1[[#This Row], [Date de fin de lecture FR]]))</f>
      </c>
      <c r="U161" s="10">
        <f>IF(ISBLANK(Table1[[#This Row], [Date de fin de lecture FR]]),"",MONTH(Table1[[#This Row], [Date de fin de lecture FR]]))</f>
      </c>
      <c r="V161" s="4">
        <f>IF(ISBLANK(Table1[[#This Row], [Date de début de lecture]]),"",(IF(ISBLANK(Table1[[#This Row], [Date de fin de lecture FR]]),0,Table1[[#This Row], [Date de fin de lecture FR]]-Table1[[#This Row], [Date de début de lecture]])))</f>
      </c>
      <c r="W161" s="46">
        <f>IF(Table1[[#This Row], [Temps de lecture en jours]]="","",IF(ISBLANK(Table1[[#This Row], [Nbr Pages]]),0,Table1[[#This Row], [Nbr Pages]]/Table1[[#This Row], [Temps de lecture en jours]]))</f>
      </c>
      <c r="X161" s="4">
        <f>IF(ISBLANK(Table1[[#This Row], [Date d''achat]]),"",IF(ISBLANK(Table1[[#This Row], [Date de fin de lecture FR]]),0,Table1[[#This Row], [Date de fin de lecture FR]]-Table1[[#This Row], [Date d''achat]]))</f>
      </c>
      <c r="Y161" s="10">
        <f>IF(ISBLANK(Table1[[#This Row], [Date de sortie]]),"",ROUNDDOWN(YEAR(Table1[[#This Row], [Date de sortie]]),-1))</f>
      </c>
    </row>
    <row x14ac:dyDescent="0.25" r="162" customHeight="1" ht="18.75">
      <c r="A162" s="1" t="s">
        <v>150</v>
      </c>
      <c r="B162" s="1" t="s">
        <v>419</v>
      </c>
      <c r="C162" s="9">
        <v>1</v>
      </c>
      <c r="D162" s="9">
        <v>1</v>
      </c>
      <c r="E162" s="9">
        <v>1</v>
      </c>
      <c r="F162" s="2"/>
      <c r="G162" s="1" t="s">
        <v>227</v>
      </c>
      <c r="H162" s="19"/>
      <c r="I162" s="9">
        <v>240</v>
      </c>
      <c r="J162" s="22">
        <v>25293</v>
      </c>
      <c r="K162" s="22">
        <v>44189</v>
      </c>
      <c r="L162" s="17"/>
      <c r="M162" s="22">
        <v>44203</v>
      </c>
      <c r="N162" s="11" t="s">
        <v>244</v>
      </c>
      <c r="O162" s="17"/>
      <c r="P162" s="49"/>
      <c r="Q162" s="49"/>
      <c r="R162" s="11" t="s">
        <v>245</v>
      </c>
      <c r="S162" s="1" t="s">
        <v>420</v>
      </c>
      <c r="T162" s="9">
        <f>IF(ISBLANK(Table1[[#This Row], [Date de fin de lecture FR]]),"",YEAR(Table1[[#This Row], [Date de fin de lecture FR]]))</f>
      </c>
      <c r="U162" s="10">
        <f>IF(ISBLANK(Table1[[#This Row], [Date de fin de lecture FR]]),"",MONTH(Table1[[#This Row], [Date de fin de lecture FR]]))</f>
      </c>
      <c r="V162" s="4">
        <f>IF(ISBLANK(Table1[[#This Row], [Date de début de lecture]]),"",(IF(ISBLANK(Table1[[#This Row], [Date de fin de lecture FR]]),0,Table1[[#This Row], [Date de fin de lecture FR]]-Table1[[#This Row], [Date de début de lecture]])))</f>
      </c>
      <c r="W162" s="46">
        <f>IF(Table1[[#This Row], [Temps de lecture en jours]]="","",IF(ISBLANK(Table1[[#This Row], [Nbr Pages]]),0,Table1[[#This Row], [Nbr Pages]]/Table1[[#This Row], [Temps de lecture en jours]]))</f>
      </c>
      <c r="X162" s="9">
        <f>IF(ISBLANK(Table1[[#This Row], [Date d''achat]]),"",IF(ISBLANK(Table1[[#This Row], [Date de fin de lecture FR]]),0,Table1[[#This Row], [Date de fin de lecture FR]]-Table1[[#This Row], [Date d''achat]]))</f>
      </c>
      <c r="Y162" s="10">
        <f>IF(ISBLANK(Table1[[#This Row], [Date de sortie]]),"",ROUNDDOWN(YEAR(Table1[[#This Row], [Date de sortie]]),-1))</f>
      </c>
    </row>
    <row x14ac:dyDescent="0.25" r="163" customHeight="1" ht="18.75">
      <c r="A163" s="1" t="s">
        <v>421</v>
      </c>
      <c r="B163" s="1" t="s">
        <v>422</v>
      </c>
      <c r="C163" s="4"/>
      <c r="D163" s="4"/>
      <c r="E163" s="4"/>
      <c r="F163" s="47" t="s">
        <v>29</v>
      </c>
      <c r="G163" s="19"/>
      <c r="H163" s="19"/>
      <c r="I163" s="4"/>
      <c r="J163" s="17"/>
      <c r="K163" s="17"/>
      <c r="L163" s="17"/>
      <c r="M163" s="17"/>
      <c r="N163" s="19"/>
      <c r="O163" s="22"/>
      <c r="P163" s="49"/>
      <c r="Q163" s="49"/>
      <c r="R163" s="22"/>
      <c r="S163" s="1" t="s">
        <v>423</v>
      </c>
      <c r="T163" s="4">
        <f>IF(ISBLANK(Table1[[#This Row], [Date de fin de lecture FR]]),"",YEAR(Table1[[#This Row], [Date de fin de lecture FR]]))</f>
      </c>
      <c r="U163" s="10">
        <f>IF(ISBLANK(Table1[[#This Row], [Date de fin de lecture FR]]),"",MONTH(Table1[[#This Row], [Date de fin de lecture FR]]))</f>
      </c>
      <c r="V163" s="4">
        <f>IF(ISBLANK(Table1[[#This Row], [Date de début de lecture]]),"",(IF(ISBLANK(Table1[[#This Row], [Date de fin de lecture FR]]),0,Table1[[#This Row], [Date de fin de lecture FR]]-Table1[[#This Row], [Date de début de lecture]])))</f>
      </c>
      <c r="W163" s="46">
        <f>IF(Table1[[#This Row], [Temps de lecture en jours]]="","",IF(ISBLANK(Table1[[#This Row], [Nbr Pages]]),0,Table1[[#This Row], [Nbr Pages]]/Table1[[#This Row], [Temps de lecture en jours]]))</f>
      </c>
      <c r="X163" s="4">
        <f>IF(ISBLANK(Table1[[#This Row], [Date d''achat]]),"",IF(ISBLANK(Table1[[#This Row], [Date de fin de lecture FR]]),0,Table1[[#This Row], [Date de fin de lecture FR]]-Table1[[#This Row], [Date d''achat]]))</f>
      </c>
      <c r="Y163" s="10">
        <f>IF(ISBLANK(Table1[[#This Row], [Date de sortie]]),"",ROUNDDOWN(YEAR(Table1[[#This Row], [Date de sortie]]),-1))</f>
      </c>
    </row>
    <row x14ac:dyDescent="0.25" r="164" customHeight="1" ht="18.75">
      <c r="A164" s="1" t="s">
        <v>424</v>
      </c>
      <c r="B164" s="1" t="s">
        <v>425</v>
      </c>
      <c r="C164" s="9">
        <v>1</v>
      </c>
      <c r="D164" s="4"/>
      <c r="E164" s="4"/>
      <c r="F164" s="2"/>
      <c r="G164" s="1" t="s">
        <v>299</v>
      </c>
      <c r="H164" s="19"/>
      <c r="I164" s="4"/>
      <c r="J164" s="17"/>
      <c r="K164" s="17"/>
      <c r="L164" s="17"/>
      <c r="M164" s="17"/>
      <c r="N164" s="19"/>
      <c r="O164" s="22"/>
      <c r="P164" s="49"/>
      <c r="Q164" s="49"/>
      <c r="R164" s="22"/>
      <c r="S164" s="19"/>
      <c r="T164" s="4">
        <f>IF(ISBLANK(Table1[[#This Row], [Date de fin de lecture FR]]),"",YEAR(Table1[[#This Row], [Date de fin de lecture FR]]))</f>
      </c>
      <c r="U164" s="10">
        <f>IF(ISBLANK(Table1[[#This Row], [Date de fin de lecture FR]]),"",MONTH(Table1[[#This Row], [Date de fin de lecture FR]]))</f>
      </c>
      <c r="V164" s="4">
        <f>IF(ISBLANK(Table1[[#This Row], [Date de début de lecture]]),"",(IF(ISBLANK(Table1[[#This Row], [Date de fin de lecture FR]]),0,Table1[[#This Row], [Date de fin de lecture FR]]-Table1[[#This Row], [Date de début de lecture]])))</f>
      </c>
      <c r="W164" s="46">
        <f>IF(Table1[[#This Row], [Temps de lecture en jours]]="","",IF(ISBLANK(Table1[[#This Row], [Nbr Pages]]),0,Table1[[#This Row], [Nbr Pages]]/Table1[[#This Row], [Temps de lecture en jours]]))</f>
      </c>
      <c r="X164" s="4">
        <f>IF(ISBLANK(Table1[[#This Row], [Date d''achat]]),"",IF(ISBLANK(Table1[[#This Row], [Date de fin de lecture FR]]),0,Table1[[#This Row], [Date de fin de lecture FR]]-Table1[[#This Row], [Date d''achat]]))</f>
      </c>
      <c r="Y164" s="10">
        <f>IF(ISBLANK(Table1[[#This Row], [Date de sortie]]),"",ROUNDDOWN(YEAR(Table1[[#This Row], [Date de sortie]]),-1))</f>
      </c>
    </row>
    <row x14ac:dyDescent="0.25" r="165" customHeight="1" ht="18.75">
      <c r="A165" s="1" t="s">
        <v>426</v>
      </c>
      <c r="B165" s="1" t="s">
        <v>427</v>
      </c>
      <c r="C165" s="9">
        <v>1</v>
      </c>
      <c r="D165" s="4"/>
      <c r="E165" s="4"/>
      <c r="F165" s="2"/>
      <c r="G165" s="1" t="s">
        <v>245</v>
      </c>
      <c r="H165" s="19"/>
      <c r="I165" s="4"/>
      <c r="J165" s="17"/>
      <c r="K165" s="17"/>
      <c r="L165" s="17"/>
      <c r="M165" s="17"/>
      <c r="N165" s="19"/>
      <c r="O165" s="22"/>
      <c r="P165" s="49"/>
      <c r="Q165" s="49"/>
      <c r="R165" s="22"/>
      <c r="S165" s="19"/>
      <c r="T165" s="4">
        <f>IF(ISBLANK(Table1[[#This Row], [Date de fin de lecture FR]]),"",YEAR(Table1[[#This Row], [Date de fin de lecture FR]]))</f>
      </c>
      <c r="U165" s="10">
        <f>IF(ISBLANK(Table1[[#This Row], [Date de fin de lecture FR]]),"",MONTH(Table1[[#This Row], [Date de fin de lecture FR]]))</f>
      </c>
      <c r="V165" s="4">
        <f>IF(ISBLANK(Table1[[#This Row], [Date de début de lecture]]),"",(IF(ISBLANK(Table1[[#This Row], [Date de fin de lecture FR]]),0,Table1[[#This Row], [Date de fin de lecture FR]]-Table1[[#This Row], [Date de début de lecture]])))</f>
      </c>
      <c r="W165" s="46">
        <f>IF(Table1[[#This Row], [Temps de lecture en jours]]="","",IF(ISBLANK(Table1[[#This Row], [Nbr Pages]]),0,Table1[[#This Row], [Nbr Pages]]/Table1[[#This Row], [Temps de lecture en jours]]))</f>
      </c>
      <c r="X165" s="4">
        <f>IF(ISBLANK(Table1[[#This Row], [Date d''achat]]),"",IF(ISBLANK(Table1[[#This Row], [Date de fin de lecture FR]]),0,Table1[[#This Row], [Date de fin de lecture FR]]-Table1[[#This Row], [Date d''achat]]))</f>
      </c>
      <c r="Y165" s="10">
        <f>IF(ISBLANK(Table1[[#This Row], [Date de sortie]]),"",ROUNDDOWN(YEAR(Table1[[#This Row], [Date de sortie]]),-1))</f>
      </c>
    </row>
    <row x14ac:dyDescent="0.25" r="166" customHeight="1" ht="18.75">
      <c r="A166" s="1" t="s">
        <v>428</v>
      </c>
      <c r="B166" s="1" t="s">
        <v>429</v>
      </c>
      <c r="C166" s="4"/>
      <c r="D166" s="4"/>
      <c r="E166" s="4"/>
      <c r="F166" s="47" t="s">
        <v>29</v>
      </c>
      <c r="G166" s="19"/>
      <c r="H166" s="19"/>
      <c r="I166" s="4"/>
      <c r="J166" s="17"/>
      <c r="K166" s="17"/>
      <c r="L166" s="17"/>
      <c r="M166" s="17"/>
      <c r="N166" s="19"/>
      <c r="O166" s="22"/>
      <c r="P166" s="49"/>
      <c r="Q166" s="49"/>
      <c r="R166" s="22"/>
      <c r="S166" s="1" t="s">
        <v>430</v>
      </c>
      <c r="T166" s="4">
        <f>IF(ISBLANK(Table1[[#This Row], [Date de fin de lecture FR]]),"",YEAR(Table1[[#This Row], [Date de fin de lecture FR]]))</f>
      </c>
      <c r="U166" s="10">
        <f>IF(ISBLANK(Table1[[#This Row], [Date de fin de lecture FR]]),"",MONTH(Table1[[#This Row], [Date de fin de lecture FR]]))</f>
      </c>
      <c r="V166" s="4">
        <f>IF(ISBLANK(Table1[[#This Row], [Date de début de lecture]]),"",(IF(ISBLANK(Table1[[#This Row], [Date de fin de lecture FR]]),0,Table1[[#This Row], [Date de fin de lecture FR]]-Table1[[#This Row], [Date de début de lecture]])))</f>
      </c>
      <c r="W166" s="46">
        <f>IF(Table1[[#This Row], [Temps de lecture en jours]]="","",IF(ISBLANK(Table1[[#This Row], [Nbr Pages]]),0,Table1[[#This Row], [Nbr Pages]]/Table1[[#This Row], [Temps de lecture en jours]]))</f>
      </c>
      <c r="X166" s="4">
        <f>IF(ISBLANK(Table1[[#This Row], [Date d''achat]]),"",IF(ISBLANK(Table1[[#This Row], [Date de fin de lecture FR]]),0,Table1[[#This Row], [Date de fin de lecture FR]]-Table1[[#This Row], [Date d''achat]]))</f>
      </c>
      <c r="Y166" s="10">
        <f>IF(ISBLANK(Table1[[#This Row], [Date de sortie]]),"",ROUNDDOWN(YEAR(Table1[[#This Row], [Date de sortie]]),-1))</f>
      </c>
    </row>
    <row x14ac:dyDescent="0.25" r="167" customHeight="1" ht="18.75">
      <c r="A167" s="1" t="s">
        <v>151</v>
      </c>
      <c r="B167" s="1" t="s">
        <v>431</v>
      </c>
      <c r="C167" s="4"/>
      <c r="D167" s="9">
        <v>1</v>
      </c>
      <c r="E167" s="4"/>
      <c r="F167" s="2"/>
      <c r="G167" s="1" t="s">
        <v>227</v>
      </c>
      <c r="H167" s="19"/>
      <c r="I167" s="4"/>
      <c r="J167" s="17"/>
      <c r="K167" s="17"/>
      <c r="L167" s="17"/>
      <c r="M167" s="17"/>
      <c r="N167" s="11" t="s">
        <v>244</v>
      </c>
      <c r="O167" s="17"/>
      <c r="P167" s="49"/>
      <c r="Q167" s="49"/>
      <c r="R167" s="11" t="s">
        <v>245</v>
      </c>
      <c r="S167" s="19"/>
      <c r="T167" s="4">
        <f>IF(ISBLANK(Table1[[#This Row], [Date de fin de lecture FR]]),"",YEAR(Table1[[#This Row], [Date de fin de lecture FR]]))</f>
      </c>
      <c r="U167" s="10">
        <f>IF(ISBLANK(Table1[[#This Row], [Date de fin de lecture FR]]),"",MONTH(Table1[[#This Row], [Date de fin de lecture FR]]))</f>
      </c>
      <c r="V167" s="4">
        <f>IF(ISBLANK(Table1[[#This Row], [Date de début de lecture]]),"",(IF(ISBLANK(Table1[[#This Row], [Date de fin de lecture FR]]),0,Table1[[#This Row], [Date de fin de lecture FR]]-Table1[[#This Row], [Date de début de lecture]])))</f>
      </c>
      <c r="W167" s="46">
        <f>IF(Table1[[#This Row], [Temps de lecture en jours]]="","",IF(ISBLANK(Table1[[#This Row], [Nbr Pages]]),0,Table1[[#This Row], [Nbr Pages]]/Table1[[#This Row], [Temps de lecture en jours]]))</f>
      </c>
      <c r="X167" s="4">
        <f>IF(ISBLANK(Table1[[#This Row], [Date d''achat]]),"",IF(ISBLANK(Table1[[#This Row], [Date de fin de lecture FR]]),0,Table1[[#This Row], [Date de fin de lecture FR]]-Table1[[#This Row], [Date d''achat]]))</f>
      </c>
      <c r="Y167" s="10">
        <f>IF(ISBLANK(Table1[[#This Row], [Date de sortie]]),"",ROUNDDOWN(YEAR(Table1[[#This Row], [Date de sortie]]),-1))</f>
      </c>
    </row>
    <row x14ac:dyDescent="0.25" r="168" customHeight="1" ht="18.75">
      <c r="A168" s="1" t="s">
        <v>432</v>
      </c>
      <c r="B168" s="1" t="s">
        <v>433</v>
      </c>
      <c r="C168" s="4"/>
      <c r="D168" s="4"/>
      <c r="E168" s="4"/>
      <c r="F168" s="47" t="s">
        <v>29</v>
      </c>
      <c r="G168" s="10" t="s">
        <v>227</v>
      </c>
      <c r="H168" s="19"/>
      <c r="I168" s="4"/>
      <c r="J168" s="17"/>
      <c r="K168" s="17"/>
      <c r="L168" s="17"/>
      <c r="M168" s="17"/>
      <c r="N168" s="19"/>
      <c r="O168" s="22"/>
      <c r="P168" s="49"/>
      <c r="Q168" s="49"/>
      <c r="R168" s="19"/>
      <c r="S168" s="10" t="s">
        <v>434</v>
      </c>
      <c r="T168" s="4">
        <f>IF(ISBLANK(Table1[[#This Row], [Date de fin de lecture FR]]),"",YEAR(Table1[[#This Row], [Date de fin de lecture FR]]))</f>
      </c>
      <c r="U168" s="10">
        <f>IF(ISBLANK(Table1[[#This Row], [Date de fin de lecture FR]]),"",MONTH(Table1[[#This Row], [Date de fin de lecture FR]]))</f>
      </c>
      <c r="V168" s="4">
        <f>IF(ISBLANK(Table1[[#This Row], [Date de début de lecture]]),"",(IF(ISBLANK(Table1[[#This Row], [Date de fin de lecture FR]]),0,Table1[[#This Row], [Date de fin de lecture FR]]-Table1[[#This Row], [Date de début de lecture]])))</f>
      </c>
      <c r="W168" s="46">
        <f>IF(Table1[[#This Row], [Temps de lecture en jours]]="","",IF(ISBLANK(Table1[[#This Row], [Nbr Pages]]),0,Table1[[#This Row], [Nbr Pages]]/Table1[[#This Row], [Temps de lecture en jours]]))</f>
      </c>
      <c r="X168" s="4">
        <f>IF(ISBLANK(Table1[[#This Row], [Date d''achat]]),"",IF(ISBLANK(Table1[[#This Row], [Date de fin de lecture FR]]),0,Table1[[#This Row], [Date de fin de lecture FR]]-Table1[[#This Row], [Date d''achat]]))</f>
      </c>
      <c r="Y168" s="10">
        <f>IF(ISBLANK(Table1[[#This Row], [Date de sortie]]),"",ROUNDDOWN(YEAR(Table1[[#This Row], [Date de sortie]]),-1))</f>
      </c>
    </row>
    <row x14ac:dyDescent="0.25" r="169" customHeight="1" ht="18.75">
      <c r="A169" s="1" t="s">
        <v>152</v>
      </c>
      <c r="B169" s="1" t="s">
        <v>435</v>
      </c>
      <c r="C169" s="9">
        <v>1</v>
      </c>
      <c r="D169" s="9">
        <v>1</v>
      </c>
      <c r="E169" s="4"/>
      <c r="F169" s="2"/>
      <c r="G169" s="19"/>
      <c r="H169" s="19"/>
      <c r="I169" s="4"/>
      <c r="J169" s="17"/>
      <c r="K169" s="17"/>
      <c r="L169" s="17"/>
      <c r="M169" s="17"/>
      <c r="N169" s="11" t="s">
        <v>244</v>
      </c>
      <c r="O169" s="17"/>
      <c r="P169" s="49"/>
      <c r="Q169" s="49"/>
      <c r="R169" s="11" t="s">
        <v>436</v>
      </c>
      <c r="S169" s="19"/>
      <c r="T169" s="4">
        <f>IF(ISBLANK(Table1[[#This Row], [Date de fin de lecture FR]]),"",YEAR(Table1[[#This Row], [Date de fin de lecture FR]]))</f>
      </c>
      <c r="U169" s="10">
        <f>IF(ISBLANK(Table1[[#This Row], [Date de fin de lecture FR]]),"",MONTH(Table1[[#This Row], [Date de fin de lecture FR]]))</f>
      </c>
      <c r="V169" s="4">
        <f>IF(ISBLANK(Table1[[#This Row], [Date de début de lecture]]),"",(IF(ISBLANK(Table1[[#This Row], [Date de fin de lecture FR]]),0,Table1[[#This Row], [Date de fin de lecture FR]]-Table1[[#This Row], [Date de début de lecture]])))</f>
      </c>
      <c r="W169" s="46">
        <f>IF(Table1[[#This Row], [Temps de lecture en jours]]="","",IF(ISBLANK(Table1[[#This Row], [Nbr Pages]]),0,Table1[[#This Row], [Nbr Pages]]/Table1[[#This Row], [Temps de lecture en jours]]))</f>
      </c>
      <c r="X169" s="4">
        <f>IF(ISBLANK(Table1[[#This Row], [Date d''achat]]),"",IF(ISBLANK(Table1[[#This Row], [Date de fin de lecture FR]]),0,Table1[[#This Row], [Date de fin de lecture FR]]-Table1[[#This Row], [Date d''achat]]))</f>
      </c>
      <c r="Y169" s="10">
        <f>IF(ISBLANK(Table1[[#This Row], [Date de sortie]]),"",ROUNDDOWN(YEAR(Table1[[#This Row], [Date de sortie]]),-1))</f>
      </c>
    </row>
    <row x14ac:dyDescent="0.25" r="170" customHeight="1" ht="18.75">
      <c r="A170" s="1" t="s">
        <v>437</v>
      </c>
      <c r="B170" s="1" t="s">
        <v>438</v>
      </c>
      <c r="C170" s="4"/>
      <c r="D170" s="4"/>
      <c r="E170" s="4"/>
      <c r="F170" s="47" t="s">
        <v>29</v>
      </c>
      <c r="G170" s="19"/>
      <c r="H170" s="19"/>
      <c r="I170" s="4"/>
      <c r="J170" s="17"/>
      <c r="K170" s="17"/>
      <c r="L170" s="17"/>
      <c r="M170" s="17"/>
      <c r="N170" s="19"/>
      <c r="O170" s="22"/>
      <c r="P170" s="49"/>
      <c r="Q170" s="49"/>
      <c r="R170" s="22"/>
      <c r="S170" s="1" t="s">
        <v>439</v>
      </c>
      <c r="T170" s="4">
        <f>IF(ISBLANK(Table1[[#This Row], [Date de fin de lecture FR]]),"",YEAR(Table1[[#This Row], [Date de fin de lecture FR]]))</f>
      </c>
      <c r="U170" s="10">
        <f>IF(ISBLANK(Table1[[#This Row], [Date de fin de lecture FR]]),"",MONTH(Table1[[#This Row], [Date de fin de lecture FR]]))</f>
      </c>
      <c r="V170" s="4">
        <f>IF(ISBLANK(Table1[[#This Row], [Date de début de lecture]]),"",(IF(ISBLANK(Table1[[#This Row], [Date de fin de lecture FR]]),0,Table1[[#This Row], [Date de fin de lecture FR]]-Table1[[#This Row], [Date de début de lecture]])))</f>
      </c>
      <c r="W170" s="46">
        <f>IF(Table1[[#This Row], [Temps de lecture en jours]]="","",IF(ISBLANK(Table1[[#This Row], [Nbr Pages]]),0,Table1[[#This Row], [Nbr Pages]]/Table1[[#This Row], [Temps de lecture en jours]]))</f>
      </c>
      <c r="X170" s="4">
        <f>IF(ISBLANK(Table1[[#This Row], [Date d''achat]]),"",IF(ISBLANK(Table1[[#This Row], [Date de fin de lecture FR]]),0,Table1[[#This Row], [Date de fin de lecture FR]]-Table1[[#This Row], [Date d''achat]]))</f>
      </c>
      <c r="Y170" s="10">
        <f>IF(ISBLANK(Table1[[#This Row], [Date de sortie]]),"",ROUNDDOWN(YEAR(Table1[[#This Row], [Date de sortie]]),-1))</f>
      </c>
    </row>
    <row x14ac:dyDescent="0.25" r="171" customHeight="1" ht="18.75">
      <c r="A171" s="1" t="s">
        <v>440</v>
      </c>
      <c r="B171" s="1" t="s">
        <v>441</v>
      </c>
      <c r="C171" s="9">
        <v>1</v>
      </c>
      <c r="D171" s="4"/>
      <c r="E171" s="4"/>
      <c r="F171" s="2"/>
      <c r="G171" s="1" t="s">
        <v>227</v>
      </c>
      <c r="H171" s="19"/>
      <c r="I171" s="4"/>
      <c r="J171" s="17"/>
      <c r="K171" s="22">
        <v>44555</v>
      </c>
      <c r="L171" s="17"/>
      <c r="M171" s="17"/>
      <c r="N171" s="19"/>
      <c r="O171" s="22"/>
      <c r="P171" s="49"/>
      <c r="Q171" s="49"/>
      <c r="R171" s="22"/>
      <c r="S171" s="19"/>
      <c r="T171" s="4">
        <f>IF(ISBLANK(Table1[[#This Row], [Date de fin de lecture FR]]),"",YEAR(Table1[[#This Row], [Date de fin de lecture FR]]))</f>
      </c>
      <c r="U171" s="10">
        <f>IF(ISBLANK(Table1[[#This Row], [Date de fin de lecture FR]]),"",MONTH(Table1[[#This Row], [Date de fin de lecture FR]]))</f>
      </c>
      <c r="V171" s="4">
        <f>IF(ISBLANK(Table1[[#This Row], [Date de début de lecture]]),"",(IF(ISBLANK(Table1[[#This Row], [Date de fin de lecture FR]]),0,Table1[[#This Row], [Date de fin de lecture FR]]-Table1[[#This Row], [Date de début de lecture]])))</f>
      </c>
      <c r="W171" s="46">
        <f>IF(Table1[[#This Row], [Temps de lecture en jours]]="","",IF(ISBLANK(Table1[[#This Row], [Nbr Pages]]),0,Table1[[#This Row], [Nbr Pages]]/Table1[[#This Row], [Temps de lecture en jours]]))</f>
      </c>
      <c r="X171" s="9">
        <f>IF(ISBLANK(Table1[[#This Row], [Date d''achat]]),"",IF(ISBLANK(Table1[[#This Row], [Date de fin de lecture FR]]),0,Table1[[#This Row], [Date de fin de lecture FR]]-Table1[[#This Row], [Date d''achat]]))</f>
      </c>
      <c r="Y171" s="10">
        <f>IF(ISBLANK(Table1[[#This Row], [Date de sortie]]),"",ROUNDDOWN(YEAR(Table1[[#This Row], [Date de sortie]]),-1))</f>
      </c>
    </row>
    <row x14ac:dyDescent="0.25" r="172" customHeight="1" ht="18.75">
      <c r="A172" s="1" t="s">
        <v>442</v>
      </c>
      <c r="B172" s="1" t="s">
        <v>441</v>
      </c>
      <c r="C172" s="9">
        <v>1</v>
      </c>
      <c r="D172" s="4"/>
      <c r="E172" s="4"/>
      <c r="F172" s="2"/>
      <c r="G172" s="1" t="s">
        <v>227</v>
      </c>
      <c r="H172" s="1" t="s">
        <v>443</v>
      </c>
      <c r="I172" s="4"/>
      <c r="J172" s="17"/>
      <c r="K172" s="22">
        <v>44555</v>
      </c>
      <c r="L172" s="17"/>
      <c r="M172" s="17"/>
      <c r="N172" s="19"/>
      <c r="O172" s="22"/>
      <c r="P172" s="49"/>
      <c r="Q172" s="49"/>
      <c r="R172" s="22"/>
      <c r="S172" s="1" t="s">
        <v>444</v>
      </c>
      <c r="T172" s="4">
        <f>IF(ISBLANK(Table1[[#This Row], [Date de fin de lecture FR]]),"",YEAR(Table1[[#This Row], [Date de fin de lecture FR]]))</f>
      </c>
      <c r="U172" s="10">
        <f>IF(ISBLANK(Table1[[#This Row], [Date de fin de lecture FR]]),"",MONTH(Table1[[#This Row], [Date de fin de lecture FR]]))</f>
      </c>
      <c r="V172" s="4">
        <f>IF(ISBLANK(Table1[[#This Row], [Date de début de lecture]]),"",(IF(ISBLANK(Table1[[#This Row], [Date de fin de lecture FR]]),0,Table1[[#This Row], [Date de fin de lecture FR]]-Table1[[#This Row], [Date de début de lecture]])))</f>
      </c>
      <c r="W172" s="46">
        <f>IF(Table1[[#This Row], [Temps de lecture en jours]]="","",IF(ISBLANK(Table1[[#This Row], [Nbr Pages]]),0,Table1[[#This Row], [Nbr Pages]]/Table1[[#This Row], [Temps de lecture en jours]]))</f>
      </c>
      <c r="X172" s="9">
        <f>IF(ISBLANK(Table1[[#This Row], [Date d''achat]]),"",IF(ISBLANK(Table1[[#This Row], [Date de fin de lecture FR]]),0,Table1[[#This Row], [Date de fin de lecture FR]]-Table1[[#This Row], [Date d''achat]]))</f>
      </c>
      <c r="Y172" s="10">
        <f>IF(ISBLANK(Table1[[#This Row], [Date de sortie]]),"",ROUNDDOWN(YEAR(Table1[[#This Row], [Date de sortie]]),-1))</f>
      </c>
    </row>
    <row x14ac:dyDescent="0.25" r="173" customHeight="1" ht="18.75">
      <c r="A173" s="1" t="s">
        <v>445</v>
      </c>
      <c r="B173" s="1" t="s">
        <v>446</v>
      </c>
      <c r="C173" s="4"/>
      <c r="D173" s="4"/>
      <c r="E173" s="4"/>
      <c r="F173" s="2"/>
      <c r="G173" s="1" t="s">
        <v>398</v>
      </c>
      <c r="H173" s="19"/>
      <c r="I173" s="9">
        <v>603</v>
      </c>
      <c r="J173" s="17"/>
      <c r="K173" s="17"/>
      <c r="L173" s="17"/>
      <c r="M173" s="17"/>
      <c r="N173" s="19"/>
      <c r="O173" s="22"/>
      <c r="P173" s="49"/>
      <c r="Q173" s="49"/>
      <c r="R173" s="22"/>
      <c r="S173" s="19"/>
      <c r="T173" s="4">
        <f>IF(ISBLANK(Table1[[#This Row], [Date de fin de lecture FR]]),"",YEAR(Table1[[#This Row], [Date de fin de lecture FR]]))</f>
      </c>
      <c r="U173" s="10">
        <f>IF(ISBLANK(Table1[[#This Row], [Date de fin de lecture FR]]),"",MONTH(Table1[[#This Row], [Date de fin de lecture FR]]))</f>
      </c>
      <c r="V173" s="4">
        <f>IF(ISBLANK(Table1[[#This Row], [Date de début de lecture]]),"",(IF(ISBLANK(Table1[[#This Row], [Date de fin de lecture FR]]),0,Table1[[#This Row], [Date de fin de lecture FR]]-Table1[[#This Row], [Date de début de lecture]])))</f>
      </c>
      <c r="W173" s="46">
        <f>IF(Table1[[#This Row], [Temps de lecture en jours]]="","",IF(ISBLANK(Table1[[#This Row], [Nbr Pages]]),0,Table1[[#This Row], [Nbr Pages]]/Table1[[#This Row], [Temps de lecture en jours]]))</f>
      </c>
      <c r="X173" s="4">
        <f>IF(ISBLANK(Table1[[#This Row], [Date d''achat]]),"",IF(ISBLANK(Table1[[#This Row], [Date de fin de lecture FR]]),0,Table1[[#This Row], [Date de fin de lecture FR]]-Table1[[#This Row], [Date d''achat]]))</f>
      </c>
      <c r="Y173" s="10">
        <f>IF(ISBLANK(Table1[[#This Row], [Date de sortie]]),"",ROUNDDOWN(YEAR(Table1[[#This Row], [Date de sortie]]),-1))</f>
      </c>
    </row>
    <row x14ac:dyDescent="0.25" r="174" customHeight="1" ht="18.75">
      <c r="A174" s="1" t="s">
        <v>28</v>
      </c>
      <c r="B174" s="1" t="s">
        <v>446</v>
      </c>
      <c r="C174" s="4"/>
      <c r="D174" s="9">
        <v>1</v>
      </c>
      <c r="E174" s="4"/>
      <c r="F174" s="47" t="s">
        <v>29</v>
      </c>
      <c r="G174" s="19"/>
      <c r="H174" s="19"/>
      <c r="I174" s="9">
        <v>176</v>
      </c>
      <c r="J174" s="17"/>
      <c r="K174" s="17"/>
      <c r="L174" s="17"/>
      <c r="M174" s="17"/>
      <c r="N174" s="19"/>
      <c r="O174" s="22"/>
      <c r="P174" s="49"/>
      <c r="Q174" s="49"/>
      <c r="R174" s="22"/>
      <c r="S174" s="19"/>
      <c r="T174" s="4">
        <f>IF(ISBLANK(Table1[[#This Row], [Date de fin de lecture FR]]),"",YEAR(Table1[[#This Row], [Date de fin de lecture FR]]))</f>
      </c>
      <c r="U174" s="10">
        <f>IF(ISBLANK(Table1[[#This Row], [Date de fin de lecture FR]]),"",MONTH(Table1[[#This Row], [Date de fin de lecture FR]]))</f>
      </c>
      <c r="V174" s="4">
        <f>IF(ISBLANK(Table1[[#This Row], [Date de début de lecture]]),"",(IF(ISBLANK(Table1[[#This Row], [Date de fin de lecture FR]]),0,Table1[[#This Row], [Date de fin de lecture FR]]-Table1[[#This Row], [Date de début de lecture]])))</f>
      </c>
      <c r="W174" s="46">
        <f>IF(Table1[[#This Row], [Temps de lecture en jours]]="","",IF(ISBLANK(Table1[[#This Row], [Nbr Pages]]),0,Table1[[#This Row], [Nbr Pages]]/Table1[[#This Row], [Temps de lecture en jours]]))</f>
      </c>
      <c r="X174" s="4">
        <f>IF(ISBLANK(Table1[[#This Row], [Date d''achat]]),"",IF(ISBLANK(Table1[[#This Row], [Date de fin de lecture FR]]),0,Table1[[#This Row], [Date de fin de lecture FR]]-Table1[[#This Row], [Date d''achat]]))</f>
      </c>
      <c r="Y174" s="10">
        <f>IF(ISBLANK(Table1[[#This Row], [Date de sortie]]),"",ROUNDDOWN(YEAR(Table1[[#This Row], [Date de sortie]]),-1))</f>
      </c>
    </row>
    <row x14ac:dyDescent="0.25" r="175" customHeight="1" ht="18.75">
      <c r="A175" s="1" t="s">
        <v>48</v>
      </c>
      <c r="B175" s="1" t="s">
        <v>446</v>
      </c>
      <c r="C175" s="9">
        <v>1</v>
      </c>
      <c r="D175" s="9">
        <v>1</v>
      </c>
      <c r="E175" s="4"/>
      <c r="F175" s="2"/>
      <c r="G175" s="19"/>
      <c r="H175" s="19"/>
      <c r="I175" s="9">
        <v>439</v>
      </c>
      <c r="J175" s="22">
        <v>33003</v>
      </c>
      <c r="K175" s="17"/>
      <c r="L175" s="22">
        <v>44984</v>
      </c>
      <c r="M175" s="22">
        <v>45018</v>
      </c>
      <c r="N175" s="19"/>
      <c r="O175" s="22"/>
      <c r="P175" s="49"/>
      <c r="Q175" s="49"/>
      <c r="R175" s="22"/>
      <c r="S175" s="19"/>
      <c r="T175" s="9">
        <f>IF(ISBLANK(Table1[[#This Row], [Date de fin de lecture FR]]),"",YEAR(Table1[[#This Row], [Date de fin de lecture FR]]))</f>
      </c>
      <c r="U175" s="10">
        <f>IF(ISBLANK(Table1[[#This Row], [Date de fin de lecture FR]]),"",MONTH(Table1[[#This Row], [Date de fin de lecture FR]]))</f>
      </c>
      <c r="V175" s="9">
        <f>IF(ISBLANK(Table1[[#This Row], [Date de début de lecture]]),"",(IF(ISBLANK(Table1[[#This Row], [Date de fin de lecture FR]]),0,Table1[[#This Row], [Date de fin de lecture FR]]-Table1[[#This Row], [Date de début de lecture]])))</f>
      </c>
      <c r="W175" s="46">
        <f>IF(Table1[[#This Row], [Temps de lecture en jours]]="","",IF(ISBLANK(Table1[[#This Row], [Nbr Pages]]),0,Table1[[#This Row], [Nbr Pages]]/Table1[[#This Row], [Temps de lecture en jours]]))</f>
      </c>
      <c r="X175" s="4">
        <f>IF(ISBLANK(Table1[[#This Row], [Date d''achat]]),"",IF(ISBLANK(Table1[[#This Row], [Date de fin de lecture FR]]),0,Table1[[#This Row], [Date de fin de lecture FR]]-Table1[[#This Row], [Date d''achat]]))</f>
      </c>
      <c r="Y175" s="10">
        <f>IF(ISBLANK(Table1[[#This Row], [Date de sortie]]),"",ROUNDDOWN(YEAR(Table1[[#This Row], [Date de sortie]]),-1))</f>
      </c>
    </row>
    <row x14ac:dyDescent="0.25" r="176" customHeight="1" ht="18.75">
      <c r="A176" s="1" t="s">
        <v>153</v>
      </c>
      <c r="B176" s="1" t="s">
        <v>446</v>
      </c>
      <c r="C176" s="9">
        <v>1</v>
      </c>
      <c r="D176" s="9">
        <v>1</v>
      </c>
      <c r="E176" s="9">
        <v>1</v>
      </c>
      <c r="F176" s="2"/>
      <c r="G176" s="1" t="s">
        <v>410</v>
      </c>
      <c r="H176" s="19"/>
      <c r="I176" s="9">
        <v>288</v>
      </c>
      <c r="J176" s="22">
        <v>43216</v>
      </c>
      <c r="K176" s="22">
        <v>43792</v>
      </c>
      <c r="L176" s="17"/>
      <c r="M176" s="22">
        <v>43802</v>
      </c>
      <c r="N176" s="11" t="s">
        <v>244</v>
      </c>
      <c r="O176" s="17"/>
      <c r="P176" s="49"/>
      <c r="Q176" s="49"/>
      <c r="R176" s="11" t="s">
        <v>245</v>
      </c>
      <c r="S176" s="1" t="s">
        <v>447</v>
      </c>
      <c r="T176" s="9">
        <f>IF(ISBLANK(Table1[[#This Row], [Date de fin de lecture FR]]),"",YEAR(Table1[[#This Row], [Date de fin de lecture FR]]))</f>
      </c>
      <c r="U176" s="10">
        <f>IF(ISBLANK(Table1[[#This Row], [Date de fin de lecture FR]]),"",MONTH(Table1[[#This Row], [Date de fin de lecture FR]]))</f>
      </c>
      <c r="V176" s="4">
        <f>IF(ISBLANK(Table1[[#This Row], [Date de début de lecture]]),"",(IF(ISBLANK(Table1[[#This Row], [Date de fin de lecture FR]]),0,Table1[[#This Row], [Date de fin de lecture FR]]-Table1[[#This Row], [Date de début de lecture]])))</f>
      </c>
      <c r="W176" s="46">
        <f>IF(Table1[[#This Row], [Temps de lecture en jours]]="","",IF(ISBLANK(Table1[[#This Row], [Nbr Pages]]),0,Table1[[#This Row], [Nbr Pages]]/Table1[[#This Row], [Temps de lecture en jours]]))</f>
      </c>
      <c r="X176" s="9">
        <f>IF(ISBLANK(Table1[[#This Row], [Date d''achat]]),"",IF(ISBLANK(Table1[[#This Row], [Date de fin de lecture FR]]),0,Table1[[#This Row], [Date de fin de lecture FR]]-Table1[[#This Row], [Date d''achat]]))</f>
      </c>
      <c r="Y176" s="10">
        <f>IF(ISBLANK(Table1[[#This Row], [Date de sortie]]),"",ROUNDDOWN(YEAR(Table1[[#This Row], [Date de sortie]]),-1))</f>
      </c>
    </row>
    <row x14ac:dyDescent="0.25" r="177" customHeight="1" ht="18.75">
      <c r="A177" s="1" t="s">
        <v>64</v>
      </c>
      <c r="B177" s="1" t="s">
        <v>446</v>
      </c>
      <c r="C177" s="9">
        <v>1</v>
      </c>
      <c r="D177" s="9">
        <v>1</v>
      </c>
      <c r="E177" s="9">
        <v>1</v>
      </c>
      <c r="F177" s="2"/>
      <c r="G177" s="1" t="s">
        <v>398</v>
      </c>
      <c r="H177" s="19"/>
      <c r="I177" s="9">
        <v>250</v>
      </c>
      <c r="J177" s="24" t="s">
        <v>448</v>
      </c>
      <c r="K177" s="22">
        <v>44555</v>
      </c>
      <c r="L177" s="22">
        <v>44616</v>
      </c>
      <c r="M177" s="22">
        <v>44617</v>
      </c>
      <c r="N177" s="11" t="s">
        <v>244</v>
      </c>
      <c r="O177" s="17"/>
      <c r="P177" s="49"/>
      <c r="Q177" s="49"/>
      <c r="R177" s="11" t="s">
        <v>245</v>
      </c>
      <c r="S177" s="1" t="s">
        <v>449</v>
      </c>
      <c r="T177" s="9">
        <f>IF(ISBLANK(Table1[[#This Row], [Date de fin de lecture FR]]),"",YEAR(Table1[[#This Row], [Date de fin de lecture FR]]))</f>
      </c>
      <c r="U177" s="10">
        <f>IF(ISBLANK(Table1[[#This Row], [Date de fin de lecture FR]]),"",MONTH(Table1[[#This Row], [Date de fin de lecture FR]]))</f>
      </c>
      <c r="V177" s="9">
        <f>IF(ISBLANK(Table1[[#This Row], [Date de début de lecture]]),"",(IF(ISBLANK(Table1[[#This Row], [Date de fin de lecture FR]]),0,Table1[[#This Row], [Date de fin de lecture FR]]-Table1[[#This Row], [Date de début de lecture]])))</f>
      </c>
      <c r="W177" s="46">
        <f>IF(Table1[[#This Row], [Temps de lecture en jours]]="","",IF(ISBLANK(Table1[[#This Row], [Nbr Pages]]),0,Table1[[#This Row], [Nbr Pages]]/Table1[[#This Row], [Temps de lecture en jours]]))</f>
      </c>
      <c r="X177" s="9">
        <f>IF(ISBLANK(Table1[[#This Row], [Date d''achat]]),"",IF(ISBLANK(Table1[[#This Row], [Date de fin de lecture FR]]),0,Table1[[#This Row], [Date de fin de lecture FR]]-Table1[[#This Row], [Date d''achat]]))</f>
      </c>
      <c r="Y177" s="10">
        <f>IF(ISBLANK(Table1[[#This Row], [Date de sortie]]),"",ROUNDDOWN(YEAR(Table1[[#This Row], [Date de sortie]]),-1))</f>
      </c>
    </row>
    <row x14ac:dyDescent="0.25" r="178" customHeight="1" ht="18.75">
      <c r="A178" s="1" t="s">
        <v>51</v>
      </c>
      <c r="B178" s="1" t="s">
        <v>446</v>
      </c>
      <c r="C178" s="9">
        <v>1</v>
      </c>
      <c r="D178" s="9">
        <v>1</v>
      </c>
      <c r="E178" s="9">
        <v>1</v>
      </c>
      <c r="F178" s="2"/>
      <c r="G178" s="1" t="s">
        <v>398</v>
      </c>
      <c r="H178" s="19"/>
      <c r="I178" s="9">
        <v>181</v>
      </c>
      <c r="J178" s="22">
        <v>41473</v>
      </c>
      <c r="K178" s="22">
        <v>44922</v>
      </c>
      <c r="L178" s="22">
        <v>44957</v>
      </c>
      <c r="M178" s="22">
        <v>44962</v>
      </c>
      <c r="N178" s="11" t="s">
        <v>244</v>
      </c>
      <c r="O178" s="22"/>
      <c r="P178" s="49"/>
      <c r="Q178" s="49"/>
      <c r="R178" s="22"/>
      <c r="S178" s="19"/>
      <c r="T178" s="9">
        <f>IF(ISBLANK(Table1[[#This Row], [Date de fin de lecture FR]]),"",YEAR(Table1[[#This Row], [Date de fin de lecture FR]]))</f>
      </c>
      <c r="U178" s="10">
        <f>IF(ISBLANK(Table1[[#This Row], [Date de fin de lecture FR]]),"",MONTH(Table1[[#This Row], [Date de fin de lecture FR]]))</f>
      </c>
      <c r="V178" s="9">
        <f>IF(ISBLANK(Table1[[#This Row], [Date de début de lecture]]),"",(IF(ISBLANK(Table1[[#This Row], [Date de fin de lecture FR]]),0,Table1[[#This Row], [Date de fin de lecture FR]]-Table1[[#This Row], [Date de début de lecture]])))</f>
      </c>
      <c r="W178" s="46">
        <f>IF(Table1[[#This Row], [Temps de lecture en jours]]="","",IF(ISBLANK(Table1[[#This Row], [Nbr Pages]]),0,Table1[[#This Row], [Nbr Pages]]/Table1[[#This Row], [Temps de lecture en jours]]))</f>
      </c>
      <c r="X178" s="9">
        <f>IF(ISBLANK(Table1[[#This Row], [Date d''achat]]),"",IF(ISBLANK(Table1[[#This Row], [Date de fin de lecture FR]]),0,Table1[[#This Row], [Date de fin de lecture FR]]-Table1[[#This Row], [Date d''achat]]))</f>
      </c>
      <c r="Y178" s="10">
        <f>IF(ISBLANK(Table1[[#This Row], [Date de sortie]]),"",ROUNDDOWN(YEAR(Table1[[#This Row], [Date de sortie]]),-1))</f>
      </c>
    </row>
    <row x14ac:dyDescent="0.25" r="179" customHeight="1" ht="18.75">
      <c r="A179" s="1" t="s">
        <v>59</v>
      </c>
      <c r="B179" s="1" t="s">
        <v>446</v>
      </c>
      <c r="C179" s="9">
        <v>1</v>
      </c>
      <c r="D179" s="9">
        <v>1</v>
      </c>
      <c r="E179" s="9">
        <v>1</v>
      </c>
      <c r="F179" s="2"/>
      <c r="G179" s="1" t="s">
        <v>398</v>
      </c>
      <c r="H179" s="19"/>
      <c r="I179" s="9">
        <v>372</v>
      </c>
      <c r="J179" s="22">
        <v>36069</v>
      </c>
      <c r="K179" s="22">
        <v>44805</v>
      </c>
      <c r="L179" s="22">
        <v>44834</v>
      </c>
      <c r="M179" s="22">
        <v>44857</v>
      </c>
      <c r="N179" s="11" t="s">
        <v>244</v>
      </c>
      <c r="O179" s="17"/>
      <c r="P179" s="49"/>
      <c r="Q179" s="49"/>
      <c r="R179" s="11" t="s">
        <v>245</v>
      </c>
      <c r="S179" s="19"/>
      <c r="T179" s="9">
        <f>IF(ISBLANK(Table1[[#This Row], [Date de fin de lecture FR]]),"",YEAR(Table1[[#This Row], [Date de fin de lecture FR]]))</f>
      </c>
      <c r="U179" s="10">
        <f>IF(ISBLANK(Table1[[#This Row], [Date de fin de lecture FR]]),"",MONTH(Table1[[#This Row], [Date de fin de lecture FR]]))</f>
      </c>
      <c r="V179" s="9">
        <f>IF(ISBLANK(Table1[[#This Row], [Date de début de lecture]]),"",(IF(ISBLANK(Table1[[#This Row], [Date de fin de lecture FR]]),0,Table1[[#This Row], [Date de fin de lecture FR]]-Table1[[#This Row], [Date de début de lecture]])))</f>
      </c>
      <c r="W179" s="46">
        <f>IF(Table1[[#This Row], [Temps de lecture en jours]]="","",IF(ISBLANK(Table1[[#This Row], [Nbr Pages]]),0,Table1[[#This Row], [Nbr Pages]]/Table1[[#This Row], [Temps de lecture en jours]]))</f>
      </c>
      <c r="X179" s="9">
        <f>IF(ISBLANK(Table1[[#This Row], [Date d''achat]]),"",IF(ISBLANK(Table1[[#This Row], [Date de fin de lecture FR]]),0,Table1[[#This Row], [Date de fin de lecture FR]]-Table1[[#This Row], [Date d''achat]]))</f>
      </c>
      <c r="Y179" s="10">
        <f>IF(ISBLANK(Table1[[#This Row], [Date de sortie]]),"",ROUNDDOWN(YEAR(Table1[[#This Row], [Date de sortie]]),-1))</f>
      </c>
    </row>
    <row x14ac:dyDescent="0.25" r="180" customHeight="1" ht="18.75">
      <c r="A180" s="1" t="s">
        <v>65</v>
      </c>
      <c r="B180" s="1" t="s">
        <v>446</v>
      </c>
      <c r="C180" s="9">
        <v>1</v>
      </c>
      <c r="D180" s="9">
        <v>1</v>
      </c>
      <c r="E180" s="9">
        <v>1</v>
      </c>
      <c r="F180" s="2"/>
      <c r="G180" s="1" t="s">
        <v>398</v>
      </c>
      <c r="H180" s="19"/>
      <c r="I180" s="9">
        <v>374</v>
      </c>
      <c r="J180" s="22">
        <v>35065</v>
      </c>
      <c r="K180" s="22">
        <v>44555</v>
      </c>
      <c r="L180" s="22">
        <v>44608</v>
      </c>
      <c r="M180" s="22">
        <v>44614</v>
      </c>
      <c r="N180" s="11" t="s">
        <v>244</v>
      </c>
      <c r="O180" s="17"/>
      <c r="P180" s="49"/>
      <c r="Q180" s="49"/>
      <c r="R180" s="11" t="s">
        <v>245</v>
      </c>
      <c r="S180" s="19"/>
      <c r="T180" s="9">
        <f>IF(ISBLANK(Table1[[#This Row], [Date de fin de lecture FR]]),"",YEAR(Table1[[#This Row], [Date de fin de lecture FR]]))</f>
      </c>
      <c r="U180" s="10">
        <f>IF(ISBLANK(Table1[[#This Row], [Date de fin de lecture FR]]),"",MONTH(Table1[[#This Row], [Date de fin de lecture FR]]))</f>
      </c>
      <c r="V180" s="9">
        <f>IF(ISBLANK(Table1[[#This Row], [Date de début de lecture]]),"",(IF(ISBLANK(Table1[[#This Row], [Date de fin de lecture FR]]),0,Table1[[#This Row], [Date de fin de lecture FR]]-Table1[[#This Row], [Date de début de lecture]])))</f>
      </c>
      <c r="W180" s="46">
        <f>IF(Table1[[#This Row], [Temps de lecture en jours]]="","",IF(ISBLANK(Table1[[#This Row], [Nbr Pages]]),0,Table1[[#This Row], [Nbr Pages]]/Table1[[#This Row], [Temps de lecture en jours]]))</f>
      </c>
      <c r="X180" s="9">
        <f>IF(ISBLANK(Table1[[#This Row], [Date d''achat]]),"",IF(ISBLANK(Table1[[#This Row], [Date de fin de lecture FR]]),0,Table1[[#This Row], [Date de fin de lecture FR]]-Table1[[#This Row], [Date d''achat]]))</f>
      </c>
      <c r="Y180" s="10">
        <f>IF(ISBLANK(Table1[[#This Row], [Date de sortie]]),"",ROUNDDOWN(YEAR(Table1[[#This Row], [Date de sortie]]),-1))</f>
      </c>
    </row>
    <row x14ac:dyDescent="0.25" r="181" customHeight="1" ht="18.75">
      <c r="A181" s="1" t="s">
        <v>63</v>
      </c>
      <c r="B181" s="1" t="s">
        <v>446</v>
      </c>
      <c r="C181" s="9">
        <v>1</v>
      </c>
      <c r="D181" s="9">
        <v>1</v>
      </c>
      <c r="E181" s="9">
        <v>1</v>
      </c>
      <c r="F181" s="2"/>
      <c r="G181" s="1" t="s">
        <v>398</v>
      </c>
      <c r="H181" s="19"/>
      <c r="I181" s="9">
        <v>234</v>
      </c>
      <c r="J181" s="22">
        <v>36162</v>
      </c>
      <c r="K181" s="22">
        <v>44597</v>
      </c>
      <c r="L181" s="22">
        <v>44623</v>
      </c>
      <c r="M181" s="22">
        <v>44730</v>
      </c>
      <c r="N181" s="11" t="s">
        <v>244</v>
      </c>
      <c r="O181" s="17"/>
      <c r="P181" s="49"/>
      <c r="Q181" s="49"/>
      <c r="R181" s="11" t="s">
        <v>245</v>
      </c>
      <c r="S181" s="19"/>
      <c r="T181" s="9">
        <f>IF(ISBLANK(Table1[[#This Row], [Date de fin de lecture FR]]),"",YEAR(Table1[[#This Row], [Date de fin de lecture FR]]))</f>
      </c>
      <c r="U181" s="10">
        <f>IF(ISBLANK(Table1[[#This Row], [Date de fin de lecture FR]]),"",MONTH(Table1[[#This Row], [Date de fin de lecture FR]]))</f>
      </c>
      <c r="V181" s="9">
        <f>IF(ISBLANK(Table1[[#This Row], [Date de début de lecture]]),"",(IF(ISBLANK(Table1[[#This Row], [Date de fin de lecture FR]]),0,Table1[[#This Row], [Date de fin de lecture FR]]-Table1[[#This Row], [Date de début de lecture]])))</f>
      </c>
      <c r="W181" s="46">
        <f>IF(Table1[[#This Row], [Temps de lecture en jours]]="","",IF(ISBLANK(Table1[[#This Row], [Nbr Pages]]),0,Table1[[#This Row], [Nbr Pages]]/Table1[[#This Row], [Temps de lecture en jours]]))</f>
      </c>
      <c r="X181" s="9">
        <f>IF(ISBLANK(Table1[[#This Row], [Date d''achat]]),"",IF(ISBLANK(Table1[[#This Row], [Date de fin de lecture FR]]),0,Table1[[#This Row], [Date de fin de lecture FR]]-Table1[[#This Row], [Date d''achat]]))</f>
      </c>
      <c r="Y181" s="10">
        <f>IF(ISBLANK(Table1[[#This Row], [Date de sortie]]),"",ROUNDDOWN(YEAR(Table1[[#This Row], [Date de sortie]]),-1))</f>
      </c>
    </row>
    <row x14ac:dyDescent="0.25" r="182" customHeight="1" ht="18.75">
      <c r="A182" s="1" t="s">
        <v>450</v>
      </c>
      <c r="B182" s="1" t="s">
        <v>446</v>
      </c>
      <c r="C182" s="4"/>
      <c r="D182" s="4"/>
      <c r="E182" s="4"/>
      <c r="F182" s="2"/>
      <c r="G182" s="19"/>
      <c r="H182" s="19"/>
      <c r="I182" s="4"/>
      <c r="J182" s="17"/>
      <c r="K182" s="17"/>
      <c r="L182" s="17"/>
      <c r="M182" s="17"/>
      <c r="N182" s="19"/>
      <c r="O182" s="22"/>
      <c r="P182" s="49"/>
      <c r="Q182" s="49"/>
      <c r="R182" s="19"/>
      <c r="S182" s="19"/>
      <c r="T182" s="4">
        <f>IF(ISBLANK(Table1[[#This Row], [Date de fin de lecture FR]]),"",YEAR(Table1[[#This Row], [Date de fin de lecture FR]]))</f>
      </c>
      <c r="U182" s="10">
        <f>IF(ISBLANK(Table1[[#This Row], [Date de fin de lecture FR]]),"",MONTH(Table1[[#This Row], [Date de fin de lecture FR]]))</f>
      </c>
      <c r="V182" s="4">
        <f>IF(ISBLANK(Table1[[#This Row], [Date de début de lecture]]),"",(IF(ISBLANK(Table1[[#This Row], [Date de fin de lecture FR]]),0,Table1[[#This Row], [Date de fin de lecture FR]]-Table1[[#This Row], [Date de début de lecture]])))</f>
      </c>
      <c r="W182" s="46">
        <f>IF(Table1[[#This Row], [Temps de lecture en jours]]="","",IF(ISBLANK(Table1[[#This Row], [Nbr Pages]]),0,Table1[[#This Row], [Nbr Pages]]/Table1[[#This Row], [Temps de lecture en jours]]))</f>
      </c>
      <c r="X182" s="4">
        <f>IF(ISBLANK(Table1[[#This Row], [Date d''achat]]),"",IF(ISBLANK(Table1[[#This Row], [Date de fin de lecture FR]]),0,Table1[[#This Row], [Date de fin de lecture FR]]-Table1[[#This Row], [Date d''achat]]))</f>
      </c>
      <c r="Y182" s="10">
        <f>IF(ISBLANK(Table1[[#This Row], [Date de sortie]]),"",ROUNDDOWN(YEAR(Table1[[#This Row], [Date de sortie]]),-1))</f>
      </c>
    </row>
    <row x14ac:dyDescent="0.25" r="183" customHeight="1" ht="18.75">
      <c r="A183" s="1" t="s">
        <v>451</v>
      </c>
      <c r="B183" s="1" t="s">
        <v>446</v>
      </c>
      <c r="C183" s="4"/>
      <c r="D183" s="4"/>
      <c r="E183" s="4"/>
      <c r="F183" s="2"/>
      <c r="G183" s="19"/>
      <c r="H183" s="19"/>
      <c r="I183" s="4"/>
      <c r="J183" s="17"/>
      <c r="K183" s="17"/>
      <c r="L183" s="17"/>
      <c r="M183" s="17"/>
      <c r="N183" s="19"/>
      <c r="O183" s="22"/>
      <c r="P183" s="49"/>
      <c r="Q183" s="49"/>
      <c r="R183" s="19"/>
      <c r="S183" s="19"/>
      <c r="T183" s="4">
        <f>IF(ISBLANK(Table1[[#This Row], [Date de fin de lecture FR]]),"",YEAR(Table1[[#This Row], [Date de fin de lecture FR]]))</f>
      </c>
      <c r="U183" s="10">
        <f>IF(ISBLANK(Table1[[#This Row], [Date de fin de lecture FR]]),"",MONTH(Table1[[#This Row], [Date de fin de lecture FR]]))</f>
      </c>
      <c r="V183" s="4">
        <f>IF(ISBLANK(Table1[[#This Row], [Date de début de lecture]]),"",(IF(ISBLANK(Table1[[#This Row], [Date de fin de lecture FR]]),0,Table1[[#This Row], [Date de fin de lecture FR]]-Table1[[#This Row], [Date de début de lecture]])))</f>
      </c>
      <c r="W183" s="46">
        <f>IF(Table1[[#This Row], [Temps de lecture en jours]]="","",IF(ISBLANK(Table1[[#This Row], [Nbr Pages]]),0,Table1[[#This Row], [Nbr Pages]]/Table1[[#This Row], [Temps de lecture en jours]]))</f>
      </c>
      <c r="X183" s="4">
        <f>IF(ISBLANK(Table1[[#This Row], [Date d''achat]]),"",IF(ISBLANK(Table1[[#This Row], [Date de fin de lecture FR]]),0,Table1[[#This Row], [Date de fin de lecture FR]]-Table1[[#This Row], [Date d''achat]]))</f>
      </c>
      <c r="Y183" s="10">
        <f>IF(ISBLANK(Table1[[#This Row], [Date de sortie]]),"",ROUNDDOWN(YEAR(Table1[[#This Row], [Date de sortie]]),-1))</f>
      </c>
    </row>
    <row x14ac:dyDescent="0.25" r="184" customHeight="1" ht="18.75">
      <c r="A184" s="1" t="s">
        <v>452</v>
      </c>
      <c r="B184" s="1" t="s">
        <v>446</v>
      </c>
      <c r="C184" s="4"/>
      <c r="D184" s="4"/>
      <c r="E184" s="4"/>
      <c r="F184" s="2"/>
      <c r="G184" s="19"/>
      <c r="H184" s="19"/>
      <c r="I184" s="4"/>
      <c r="J184" s="17"/>
      <c r="K184" s="17"/>
      <c r="L184" s="17"/>
      <c r="M184" s="17"/>
      <c r="N184" s="19"/>
      <c r="O184" s="22"/>
      <c r="P184" s="49"/>
      <c r="Q184" s="49"/>
      <c r="R184" s="19"/>
      <c r="S184" s="19"/>
      <c r="T184" s="4">
        <f>IF(ISBLANK(Table1[[#This Row], [Date de fin de lecture FR]]),"",YEAR(Table1[[#This Row], [Date de fin de lecture FR]]))</f>
      </c>
      <c r="U184" s="10">
        <f>IF(ISBLANK(Table1[[#This Row], [Date de fin de lecture FR]]),"",MONTH(Table1[[#This Row], [Date de fin de lecture FR]]))</f>
      </c>
      <c r="V184" s="4">
        <f>IF(ISBLANK(Table1[[#This Row], [Date de début de lecture]]),"",(IF(ISBLANK(Table1[[#This Row], [Date de fin de lecture FR]]),0,Table1[[#This Row], [Date de fin de lecture FR]]-Table1[[#This Row], [Date de début de lecture]])))</f>
      </c>
      <c r="W184" s="46">
        <f>IF(Table1[[#This Row], [Temps de lecture en jours]]="","",IF(ISBLANK(Table1[[#This Row], [Nbr Pages]]),0,Table1[[#This Row], [Nbr Pages]]/Table1[[#This Row], [Temps de lecture en jours]]))</f>
      </c>
      <c r="X184" s="4">
        <f>IF(ISBLANK(Table1[[#This Row], [Date d''achat]]),"",IF(ISBLANK(Table1[[#This Row], [Date de fin de lecture FR]]),0,Table1[[#This Row], [Date de fin de lecture FR]]-Table1[[#This Row], [Date d''achat]]))</f>
      </c>
      <c r="Y184" s="10">
        <f>IF(ISBLANK(Table1[[#This Row], [Date de sortie]]),"",ROUNDDOWN(YEAR(Table1[[#This Row], [Date de sortie]]),-1))</f>
      </c>
    </row>
    <row x14ac:dyDescent="0.25" r="185" customHeight="1" ht="18.75">
      <c r="A185" s="1" t="s">
        <v>453</v>
      </c>
      <c r="B185" s="1" t="s">
        <v>454</v>
      </c>
      <c r="C185" s="4"/>
      <c r="D185" s="4"/>
      <c r="E185" s="4"/>
      <c r="F185" s="47" t="s">
        <v>29</v>
      </c>
      <c r="G185" s="19"/>
      <c r="H185" s="19"/>
      <c r="I185" s="4"/>
      <c r="J185" s="17"/>
      <c r="K185" s="17"/>
      <c r="L185" s="46" t="s">
        <v>455</v>
      </c>
      <c r="M185" s="17"/>
      <c r="N185" s="19"/>
      <c r="O185" s="22"/>
      <c r="P185" s="49"/>
      <c r="Q185" s="49"/>
      <c r="R185" s="22"/>
      <c r="S185" s="1" t="s">
        <v>420</v>
      </c>
      <c r="T185" s="4">
        <f>IF(ISBLANK(Table1[[#This Row], [Date de fin de lecture FR]]),"",YEAR(Table1[[#This Row], [Date de fin de lecture FR]]))</f>
      </c>
      <c r="U185" s="10">
        <f>IF(ISBLANK(Table1[[#This Row], [Date de fin de lecture FR]]),"",MONTH(Table1[[#This Row], [Date de fin de lecture FR]]))</f>
      </c>
      <c r="V185" s="9">
        <f>IF(ISBLANK(Table1[[#This Row], [Date de début de lecture]]),"",(IF(ISBLANK(Table1[[#This Row], [Date de fin de lecture FR]]),0,Table1[[#This Row], [Date de fin de lecture FR]]-Table1[[#This Row], [Date de début de lecture]])))</f>
      </c>
      <c r="W185" s="46">
        <f>IF(Table1[[#This Row], [Temps de lecture en jours]]="","",IF(ISBLANK(Table1[[#This Row], [Nbr Pages]]),0,Table1[[#This Row], [Nbr Pages]]/Table1[[#This Row], [Temps de lecture en jours]]))</f>
      </c>
      <c r="X185" s="4">
        <f>IF(ISBLANK(Table1[[#This Row], [Date d''achat]]),"",IF(ISBLANK(Table1[[#This Row], [Date de fin de lecture FR]]),0,Table1[[#This Row], [Date de fin de lecture FR]]-Table1[[#This Row], [Date d''achat]]))</f>
      </c>
      <c r="Y185" s="10">
        <f>IF(ISBLANK(Table1[[#This Row], [Date de sortie]]),"",ROUNDDOWN(YEAR(Table1[[#This Row], [Date de sortie]]),-1))</f>
      </c>
    </row>
    <row x14ac:dyDescent="0.25" r="186" customHeight="1" ht="18.75">
      <c r="A186" s="1" t="s">
        <v>154</v>
      </c>
      <c r="B186" s="1" t="s">
        <v>456</v>
      </c>
      <c r="C186" s="9">
        <v>1</v>
      </c>
      <c r="D186" s="9">
        <v>1</v>
      </c>
      <c r="E186" s="9">
        <v>1</v>
      </c>
      <c r="F186" s="2"/>
      <c r="G186" s="1" t="s">
        <v>227</v>
      </c>
      <c r="H186" s="19"/>
      <c r="I186" s="9">
        <v>382</v>
      </c>
      <c r="J186" s="22">
        <v>31062</v>
      </c>
      <c r="K186" s="17"/>
      <c r="L186" s="17"/>
      <c r="M186" s="22">
        <v>42887</v>
      </c>
      <c r="N186" s="11" t="s">
        <v>255</v>
      </c>
      <c r="O186" s="21">
        <v>1</v>
      </c>
      <c r="P186" s="49"/>
      <c r="Q186" s="49"/>
      <c r="R186" s="11" t="s">
        <v>245</v>
      </c>
      <c r="S186" s="19"/>
      <c r="T186" s="9">
        <f>IF(ISBLANK(Table1[[#This Row], [Date de fin de lecture FR]]),"",YEAR(Table1[[#This Row], [Date de fin de lecture FR]]))</f>
      </c>
      <c r="U186" s="10">
        <f>IF(ISBLANK(Table1[[#This Row], [Date de fin de lecture FR]]),"",MONTH(Table1[[#This Row], [Date de fin de lecture FR]]))</f>
      </c>
      <c r="V186" s="4">
        <f>IF(ISBLANK(Table1[[#This Row], [Date de début de lecture]]),"",(IF(ISBLANK(Table1[[#This Row], [Date de fin de lecture FR]]),0,Table1[[#This Row], [Date de fin de lecture FR]]-Table1[[#This Row], [Date de début de lecture]])))</f>
      </c>
      <c r="W186" s="46">
        <f>IF(Table1[[#This Row], [Temps de lecture en jours]]="","",IF(ISBLANK(Table1[[#This Row], [Nbr Pages]]),0,Table1[[#This Row], [Nbr Pages]]/Table1[[#This Row], [Temps de lecture en jours]]))</f>
      </c>
      <c r="X186" s="4">
        <f>IF(ISBLANK(Table1[[#This Row], [Date d''achat]]),"",IF(ISBLANK(Table1[[#This Row], [Date de fin de lecture FR]]),0,Table1[[#This Row], [Date de fin de lecture FR]]-Table1[[#This Row], [Date d''achat]]))</f>
      </c>
      <c r="Y186" s="10">
        <f>IF(ISBLANK(Table1[[#This Row], [Date de sortie]]),"",ROUNDDOWN(YEAR(Table1[[#This Row], [Date de sortie]]),-1))</f>
      </c>
    </row>
    <row x14ac:dyDescent="0.25" r="187" customHeight="1" ht="18.75">
      <c r="A187" s="1" t="s">
        <v>155</v>
      </c>
      <c r="B187" s="1" t="s">
        <v>456</v>
      </c>
      <c r="C187" s="9">
        <v>1</v>
      </c>
      <c r="D187" s="9">
        <v>1</v>
      </c>
      <c r="E187" s="9">
        <v>1</v>
      </c>
      <c r="F187" s="2"/>
      <c r="G187" s="1" t="s">
        <v>227</v>
      </c>
      <c r="H187" s="19"/>
      <c r="I187" s="9">
        <v>446</v>
      </c>
      <c r="J187" s="22">
        <v>31413</v>
      </c>
      <c r="K187" s="17"/>
      <c r="L187" s="17"/>
      <c r="M187" s="22">
        <v>42887</v>
      </c>
      <c r="N187" s="11" t="s">
        <v>255</v>
      </c>
      <c r="O187" s="21">
        <v>2</v>
      </c>
      <c r="P187" s="49"/>
      <c r="Q187" s="49"/>
      <c r="R187" s="11" t="s">
        <v>245</v>
      </c>
      <c r="S187" s="19"/>
      <c r="T187" s="9">
        <f>IF(ISBLANK(Table1[[#This Row], [Date de fin de lecture FR]]),"",YEAR(Table1[[#This Row], [Date de fin de lecture FR]]))</f>
      </c>
      <c r="U187" s="10">
        <f>IF(ISBLANK(Table1[[#This Row], [Date de fin de lecture FR]]),"",MONTH(Table1[[#This Row], [Date de fin de lecture FR]]))</f>
      </c>
      <c r="V187" s="4">
        <f>IF(ISBLANK(Table1[[#This Row], [Date de début de lecture]]),"",(IF(ISBLANK(Table1[[#This Row], [Date de fin de lecture FR]]),0,Table1[[#This Row], [Date de fin de lecture FR]]-Table1[[#This Row], [Date de début de lecture]])))</f>
      </c>
      <c r="W187" s="46">
        <f>IF(Table1[[#This Row], [Temps de lecture en jours]]="","",IF(ISBLANK(Table1[[#This Row], [Nbr Pages]]),0,Table1[[#This Row], [Nbr Pages]]/Table1[[#This Row], [Temps de lecture en jours]]))</f>
      </c>
      <c r="X187" s="4">
        <f>IF(ISBLANK(Table1[[#This Row], [Date d''achat]]),"",IF(ISBLANK(Table1[[#This Row], [Date de fin de lecture FR]]),0,Table1[[#This Row], [Date de fin de lecture FR]]-Table1[[#This Row], [Date d''achat]]))</f>
      </c>
      <c r="Y187" s="10">
        <f>IF(ISBLANK(Table1[[#This Row], [Date de sortie]]),"",ROUNDDOWN(YEAR(Table1[[#This Row], [Date de sortie]]),-1))</f>
      </c>
    </row>
    <row x14ac:dyDescent="0.25" r="188" customHeight="1" ht="18.75">
      <c r="A188" s="1" t="s">
        <v>156</v>
      </c>
      <c r="B188" s="1" t="s">
        <v>456</v>
      </c>
      <c r="C188" s="9">
        <v>1</v>
      </c>
      <c r="D188" s="9">
        <v>1</v>
      </c>
      <c r="E188" s="9">
        <v>1</v>
      </c>
      <c r="F188" s="2"/>
      <c r="G188" s="1" t="s">
        <v>227</v>
      </c>
      <c r="H188" s="19"/>
      <c r="I188" s="9">
        <v>573</v>
      </c>
      <c r="J188" s="22">
        <v>33970</v>
      </c>
      <c r="K188" s="17"/>
      <c r="L188" s="17"/>
      <c r="M188" s="22">
        <v>43070</v>
      </c>
      <c r="N188" s="11" t="s">
        <v>255</v>
      </c>
      <c r="O188" s="21">
        <v>3</v>
      </c>
      <c r="P188" s="49"/>
      <c r="Q188" s="49"/>
      <c r="R188" s="11" t="s">
        <v>245</v>
      </c>
      <c r="S188" s="19"/>
      <c r="T188" s="9">
        <f>IF(ISBLANK(Table1[[#This Row], [Date de fin de lecture FR]]),"",YEAR(Table1[[#This Row], [Date de fin de lecture FR]]))</f>
      </c>
      <c r="U188" s="10">
        <f>IF(ISBLANK(Table1[[#This Row], [Date de fin de lecture FR]]),"",MONTH(Table1[[#This Row], [Date de fin de lecture FR]]))</f>
      </c>
      <c r="V188" s="4">
        <f>IF(ISBLANK(Table1[[#This Row], [Date de début de lecture]]),"",(IF(ISBLANK(Table1[[#This Row], [Date de fin de lecture FR]]),0,Table1[[#This Row], [Date de fin de lecture FR]]-Table1[[#This Row], [Date de début de lecture]])))</f>
      </c>
      <c r="W188" s="46">
        <f>IF(Table1[[#This Row], [Temps de lecture en jours]]="","",IF(ISBLANK(Table1[[#This Row], [Nbr Pages]]),0,Table1[[#This Row], [Nbr Pages]]/Table1[[#This Row], [Temps de lecture en jours]]))</f>
      </c>
      <c r="X188" s="4">
        <f>IF(ISBLANK(Table1[[#This Row], [Date d''achat]]),"",IF(ISBLANK(Table1[[#This Row], [Date de fin de lecture FR]]),0,Table1[[#This Row], [Date de fin de lecture FR]]-Table1[[#This Row], [Date d''achat]]))</f>
      </c>
      <c r="Y188" s="10">
        <f>IF(ISBLANK(Table1[[#This Row], [Date de sortie]]),"",ROUNDDOWN(YEAR(Table1[[#This Row], [Date de sortie]]),-1))</f>
      </c>
    </row>
    <row x14ac:dyDescent="0.25" r="189" customHeight="1" ht="18.75">
      <c r="A189" s="1" t="s">
        <v>457</v>
      </c>
      <c r="B189" s="1" t="s">
        <v>456</v>
      </c>
      <c r="C189" s="9">
        <v>1</v>
      </c>
      <c r="D189" s="4"/>
      <c r="E189" s="4"/>
      <c r="F189" s="2"/>
      <c r="G189" s="1" t="s">
        <v>227</v>
      </c>
      <c r="H189" s="19"/>
      <c r="I189" s="9">
        <v>350</v>
      </c>
      <c r="J189" s="17"/>
      <c r="K189" s="22">
        <v>44718</v>
      </c>
      <c r="L189" s="17"/>
      <c r="M189" s="17"/>
      <c r="N189" s="19"/>
      <c r="O189" s="22"/>
      <c r="P189" s="49"/>
      <c r="Q189" s="49"/>
      <c r="R189" s="22"/>
      <c r="S189" s="19"/>
      <c r="T189" s="4">
        <f>IF(ISBLANK(Table1[[#This Row], [Date de fin de lecture FR]]),"",YEAR(Table1[[#This Row], [Date de fin de lecture FR]]))</f>
      </c>
      <c r="U189" s="10">
        <f>IF(ISBLANK(Table1[[#This Row], [Date de fin de lecture FR]]),"",MONTH(Table1[[#This Row], [Date de fin de lecture FR]]))</f>
      </c>
      <c r="V189" s="4">
        <f>IF(ISBLANK(Table1[[#This Row], [Date de début de lecture]]),"",(IF(ISBLANK(Table1[[#This Row], [Date de fin de lecture FR]]),0,Table1[[#This Row], [Date de fin de lecture FR]]-Table1[[#This Row], [Date de début de lecture]])))</f>
      </c>
      <c r="W189" s="46">
        <f>IF(Table1[[#This Row], [Temps de lecture en jours]]="","",IF(ISBLANK(Table1[[#This Row], [Nbr Pages]]),0,Table1[[#This Row], [Nbr Pages]]/Table1[[#This Row], [Temps de lecture en jours]]))</f>
      </c>
      <c r="X189" s="9">
        <f>IF(ISBLANK(Table1[[#This Row], [Date d''achat]]),"",IF(ISBLANK(Table1[[#This Row], [Date de fin de lecture FR]]),0,Table1[[#This Row], [Date de fin de lecture FR]]-Table1[[#This Row], [Date d''achat]]))</f>
      </c>
      <c r="Y189" s="10">
        <f>IF(ISBLANK(Table1[[#This Row], [Date de sortie]]),"",ROUNDDOWN(YEAR(Table1[[#This Row], [Date de sortie]]),-1))</f>
      </c>
    </row>
    <row x14ac:dyDescent="0.25" r="190" customHeight="1" ht="18">
      <c r="A190" s="1" t="s">
        <v>458</v>
      </c>
      <c r="B190" s="1" t="s">
        <v>456</v>
      </c>
      <c r="C190" s="4"/>
      <c r="D190" s="4"/>
      <c r="E190" s="4"/>
      <c r="F190" s="47" t="s">
        <v>29</v>
      </c>
      <c r="G190" s="19"/>
      <c r="H190" s="19"/>
      <c r="I190" s="9">
        <v>466</v>
      </c>
      <c r="J190" s="17"/>
      <c r="K190" s="17"/>
      <c r="L190" s="17"/>
      <c r="M190" s="17"/>
      <c r="N190" s="19"/>
      <c r="O190" s="22"/>
      <c r="P190" s="49"/>
      <c r="Q190" s="49"/>
      <c r="R190" s="22"/>
      <c r="S190" s="10" t="s">
        <v>459</v>
      </c>
      <c r="T190" s="4">
        <f>IF(ISBLANK(Table1[[#This Row], [Date de fin de lecture FR]]),"",YEAR(Table1[[#This Row], [Date de fin de lecture FR]]))</f>
      </c>
      <c r="U190" s="10">
        <f>IF(ISBLANK(Table1[[#This Row], [Date de fin de lecture FR]]),"",MONTH(Table1[[#This Row], [Date de fin de lecture FR]]))</f>
      </c>
      <c r="V190" s="4">
        <f>IF(ISBLANK(Table1[[#This Row], [Date de début de lecture]]),"",(IF(ISBLANK(Table1[[#This Row], [Date de fin de lecture FR]]),0,Table1[[#This Row], [Date de fin de lecture FR]]-Table1[[#This Row], [Date de début de lecture]])))</f>
      </c>
      <c r="W190" s="46">
        <f>IF(Table1[[#This Row], [Temps de lecture en jours]]="","",IF(ISBLANK(Table1[[#This Row], [Nbr Pages]]),0,Table1[[#This Row], [Nbr Pages]]/Table1[[#This Row], [Temps de lecture en jours]]))</f>
      </c>
      <c r="X190" s="4">
        <f>IF(ISBLANK(Table1[[#This Row], [Date d''achat]]),"",IF(ISBLANK(Table1[[#This Row], [Date de fin de lecture FR]]),0,Table1[[#This Row], [Date de fin de lecture FR]]-Table1[[#This Row], [Date d''achat]]))</f>
      </c>
      <c r="Y190" s="10">
        <f>IF(ISBLANK(Table1[[#This Row], [Date de sortie]]),"",ROUNDDOWN(YEAR(Table1[[#This Row], [Date de sortie]]),-1))</f>
      </c>
    </row>
    <row x14ac:dyDescent="0.25" r="191" customHeight="1" ht="12">
      <c r="A191" s="1" t="s">
        <v>460</v>
      </c>
      <c r="B191" s="1" t="s">
        <v>461</v>
      </c>
      <c r="C191" s="4"/>
      <c r="D191" s="4"/>
      <c r="E191" s="4"/>
      <c r="F191" s="47" t="s">
        <v>29</v>
      </c>
      <c r="G191" s="1" t="s">
        <v>246</v>
      </c>
      <c r="H191" s="19"/>
      <c r="I191" s="4"/>
      <c r="J191" s="17"/>
      <c r="K191" s="17"/>
      <c r="L191" s="17"/>
      <c r="M191" s="17"/>
      <c r="N191" s="19"/>
      <c r="O191" s="22"/>
      <c r="P191" s="49"/>
      <c r="Q191" s="49"/>
      <c r="R191" s="22"/>
      <c r="S191" s="19"/>
      <c r="T191" s="4">
        <f>IF(ISBLANK(Table1[[#This Row], [Date de fin de lecture FR]]),"",YEAR(Table1[[#This Row], [Date de fin de lecture FR]]))</f>
      </c>
      <c r="U191" s="10">
        <f>IF(ISBLANK(Table1[[#This Row], [Date de fin de lecture FR]]),"",MONTH(Table1[[#This Row], [Date de fin de lecture FR]]))</f>
      </c>
      <c r="V191" s="4">
        <f>IF(ISBLANK(Table1[[#This Row], [Date de début de lecture]]),"",(IF(ISBLANK(Table1[[#This Row], [Date de fin de lecture FR]]),0,Table1[[#This Row], [Date de fin de lecture FR]]-Table1[[#This Row], [Date de début de lecture]])))</f>
      </c>
      <c r="W191" s="46">
        <f>IF(Table1[[#This Row], [Temps de lecture en jours]]="","",IF(ISBLANK(Table1[[#This Row], [Nbr Pages]]),0,Table1[[#This Row], [Nbr Pages]]/Table1[[#This Row], [Temps de lecture en jours]]))</f>
      </c>
      <c r="X191" s="4">
        <f>IF(ISBLANK(Table1[[#This Row], [Date d''achat]]),"",IF(ISBLANK(Table1[[#This Row], [Date de fin de lecture FR]]),0,Table1[[#This Row], [Date de fin de lecture FR]]-Table1[[#This Row], [Date d''achat]]))</f>
      </c>
      <c r="Y191" s="10">
        <f>IF(ISBLANK(Table1[[#This Row], [Date de sortie]]),"",ROUNDDOWN(YEAR(Table1[[#This Row], [Date de sortie]]),-1))</f>
      </c>
    </row>
    <row x14ac:dyDescent="0.25" r="192" customHeight="1" ht="18.75">
      <c r="A192" s="1" t="s">
        <v>157</v>
      </c>
      <c r="B192" s="1" t="s">
        <v>462</v>
      </c>
      <c r="C192" s="9">
        <v>1</v>
      </c>
      <c r="D192" s="9">
        <v>1</v>
      </c>
      <c r="E192" s="9">
        <v>1</v>
      </c>
      <c r="F192" s="2"/>
      <c r="G192" s="1" t="s">
        <v>246</v>
      </c>
      <c r="H192" s="1" t="s">
        <v>369</v>
      </c>
      <c r="I192" s="9">
        <v>624</v>
      </c>
      <c r="J192" s="22">
        <v>41682</v>
      </c>
      <c r="K192" s="17"/>
      <c r="L192" s="17"/>
      <c r="M192" s="22">
        <v>43628</v>
      </c>
      <c r="N192" s="11" t="s">
        <v>255</v>
      </c>
      <c r="O192" s="21">
        <v>1</v>
      </c>
      <c r="P192" s="49"/>
      <c r="Q192" s="49"/>
      <c r="R192" s="11" t="s">
        <v>245</v>
      </c>
      <c r="S192" s="19"/>
      <c r="T192" s="9">
        <f>IF(ISBLANK(Table1[[#This Row], [Date de fin de lecture FR]]),"",YEAR(Table1[[#This Row], [Date de fin de lecture FR]]))</f>
      </c>
      <c r="U192" s="10">
        <f>IF(ISBLANK(Table1[[#This Row], [Date de fin de lecture FR]]),"",MONTH(Table1[[#This Row], [Date de fin de lecture FR]]))</f>
      </c>
      <c r="V192" s="4">
        <f>IF(ISBLANK(Table1[[#This Row], [Date de début de lecture]]),"",(IF(ISBLANK(Table1[[#This Row], [Date de fin de lecture FR]]),0,Table1[[#This Row], [Date de fin de lecture FR]]-Table1[[#This Row], [Date de début de lecture]])))</f>
      </c>
      <c r="W192" s="46">
        <f>IF(Table1[[#This Row], [Temps de lecture en jours]]="","",IF(ISBLANK(Table1[[#This Row], [Nbr Pages]]),0,Table1[[#This Row], [Nbr Pages]]/Table1[[#This Row], [Temps de lecture en jours]]))</f>
      </c>
      <c r="X192" s="4">
        <f>IF(ISBLANK(Table1[[#This Row], [Date d''achat]]),"",IF(ISBLANK(Table1[[#This Row], [Date de fin de lecture FR]]),0,Table1[[#This Row], [Date de fin de lecture FR]]-Table1[[#This Row], [Date d''achat]]))</f>
      </c>
      <c r="Y192" s="10">
        <f>IF(ISBLANK(Table1[[#This Row], [Date de sortie]]),"",ROUNDDOWN(YEAR(Table1[[#This Row], [Date de sortie]]),-1))</f>
      </c>
    </row>
    <row x14ac:dyDescent="0.25" r="193" customHeight="1" ht="18.75">
      <c r="A193" s="1" t="s">
        <v>158</v>
      </c>
      <c r="B193" s="1" t="s">
        <v>462</v>
      </c>
      <c r="C193" s="9">
        <v>1</v>
      </c>
      <c r="D193" s="9">
        <v>1</v>
      </c>
      <c r="E193" s="9">
        <v>1</v>
      </c>
      <c r="F193" s="2"/>
      <c r="G193" s="1" t="s">
        <v>246</v>
      </c>
      <c r="H193" s="1" t="s">
        <v>369</v>
      </c>
      <c r="I193" s="9">
        <v>528</v>
      </c>
      <c r="J193" s="22">
        <v>41682</v>
      </c>
      <c r="K193" s="17"/>
      <c r="L193" s="17"/>
      <c r="M193" s="22">
        <v>43671</v>
      </c>
      <c r="N193" s="11" t="s">
        <v>255</v>
      </c>
      <c r="O193" s="21">
        <v>2</v>
      </c>
      <c r="P193" s="49"/>
      <c r="Q193" s="49"/>
      <c r="R193" s="11" t="s">
        <v>245</v>
      </c>
      <c r="S193" s="19"/>
      <c r="T193" s="9">
        <f>IF(ISBLANK(Table1[[#This Row], [Date de fin de lecture FR]]),"",YEAR(Table1[[#This Row], [Date de fin de lecture FR]]))</f>
      </c>
      <c r="U193" s="10">
        <f>IF(ISBLANK(Table1[[#This Row], [Date de fin de lecture FR]]),"",MONTH(Table1[[#This Row], [Date de fin de lecture FR]]))</f>
      </c>
      <c r="V193" s="4">
        <f>IF(ISBLANK(Table1[[#This Row], [Date de début de lecture]]),"",(IF(ISBLANK(Table1[[#This Row], [Date de fin de lecture FR]]),0,Table1[[#This Row], [Date de fin de lecture FR]]-Table1[[#This Row], [Date de début de lecture]])))</f>
      </c>
      <c r="W193" s="46">
        <f>IF(Table1[[#This Row], [Temps de lecture en jours]]="","",IF(ISBLANK(Table1[[#This Row], [Nbr Pages]]),0,Table1[[#This Row], [Nbr Pages]]/Table1[[#This Row], [Temps de lecture en jours]]))</f>
      </c>
      <c r="X193" s="4">
        <f>IF(ISBLANK(Table1[[#This Row], [Date d''achat]]),"",IF(ISBLANK(Table1[[#This Row], [Date de fin de lecture FR]]),0,Table1[[#This Row], [Date de fin de lecture FR]]-Table1[[#This Row], [Date d''achat]]))</f>
      </c>
      <c r="Y193" s="10">
        <f>IF(ISBLANK(Table1[[#This Row], [Date de sortie]]),"",ROUNDDOWN(YEAR(Table1[[#This Row], [Date de sortie]]),-1))</f>
      </c>
    </row>
    <row x14ac:dyDescent="0.25" r="194" customHeight="1" ht="18.75">
      <c r="A194" s="1" t="s">
        <v>159</v>
      </c>
      <c r="B194" s="1" t="s">
        <v>462</v>
      </c>
      <c r="C194" s="9">
        <v>1</v>
      </c>
      <c r="D194" s="9">
        <v>1</v>
      </c>
      <c r="E194" s="9">
        <v>1</v>
      </c>
      <c r="F194" s="2"/>
      <c r="G194" s="1" t="s">
        <v>246</v>
      </c>
      <c r="H194" s="1" t="s">
        <v>369</v>
      </c>
      <c r="I194" s="9">
        <v>408</v>
      </c>
      <c r="J194" s="22">
        <v>41682</v>
      </c>
      <c r="K194" s="17"/>
      <c r="L194" s="17"/>
      <c r="M194" s="22">
        <v>43676</v>
      </c>
      <c r="N194" s="11" t="s">
        <v>255</v>
      </c>
      <c r="O194" s="21">
        <v>3</v>
      </c>
      <c r="P194" s="49"/>
      <c r="Q194" s="49"/>
      <c r="R194" s="11" t="s">
        <v>245</v>
      </c>
      <c r="S194" s="19"/>
      <c r="T194" s="9">
        <f>IF(ISBLANK(Table1[[#This Row], [Date de fin de lecture FR]]),"",YEAR(Table1[[#This Row], [Date de fin de lecture FR]]))</f>
      </c>
      <c r="U194" s="10">
        <f>IF(ISBLANK(Table1[[#This Row], [Date de fin de lecture FR]]),"",MONTH(Table1[[#This Row], [Date de fin de lecture FR]]))</f>
      </c>
      <c r="V194" s="4">
        <f>IF(ISBLANK(Table1[[#This Row], [Date de début de lecture]]),"",(IF(ISBLANK(Table1[[#This Row], [Date de fin de lecture FR]]),0,Table1[[#This Row], [Date de fin de lecture FR]]-Table1[[#This Row], [Date de début de lecture]])))</f>
      </c>
      <c r="W194" s="46">
        <f>IF(Table1[[#This Row], [Temps de lecture en jours]]="","",IF(ISBLANK(Table1[[#This Row], [Nbr Pages]]),0,Table1[[#This Row], [Nbr Pages]]/Table1[[#This Row], [Temps de lecture en jours]]))</f>
      </c>
      <c r="X194" s="4">
        <f>IF(ISBLANK(Table1[[#This Row], [Date d''achat]]),"",IF(ISBLANK(Table1[[#This Row], [Date de fin de lecture FR]]),0,Table1[[#This Row], [Date de fin de lecture FR]]-Table1[[#This Row], [Date d''achat]]))</f>
      </c>
      <c r="Y194" s="10">
        <f>IF(ISBLANK(Table1[[#This Row], [Date de sortie]]),"",ROUNDDOWN(YEAR(Table1[[#This Row], [Date de sortie]]),-1))</f>
      </c>
    </row>
    <row x14ac:dyDescent="0.25" r="195" customHeight="1" ht="18.75">
      <c r="A195" s="1" t="s">
        <v>160</v>
      </c>
      <c r="B195" s="1" t="s">
        <v>462</v>
      </c>
      <c r="C195" s="9">
        <v>1</v>
      </c>
      <c r="D195" s="9">
        <v>1</v>
      </c>
      <c r="E195" s="9">
        <v>1</v>
      </c>
      <c r="F195" s="2"/>
      <c r="G195" s="1" t="s">
        <v>246</v>
      </c>
      <c r="H195" s="1" t="s">
        <v>369</v>
      </c>
      <c r="I195" s="9">
        <v>456</v>
      </c>
      <c r="J195" s="22">
        <v>41682</v>
      </c>
      <c r="K195" s="17"/>
      <c r="L195" s="17"/>
      <c r="M195" s="22">
        <v>43690</v>
      </c>
      <c r="N195" s="11" t="s">
        <v>255</v>
      </c>
      <c r="O195" s="21">
        <v>4</v>
      </c>
      <c r="P195" s="49"/>
      <c r="Q195" s="49"/>
      <c r="R195" s="11" t="s">
        <v>245</v>
      </c>
      <c r="S195" s="19"/>
      <c r="T195" s="9">
        <f>IF(ISBLANK(Table1[[#This Row], [Date de fin de lecture FR]]),"",YEAR(Table1[[#This Row], [Date de fin de lecture FR]]))</f>
      </c>
      <c r="U195" s="10">
        <f>IF(ISBLANK(Table1[[#This Row], [Date de fin de lecture FR]]),"",MONTH(Table1[[#This Row], [Date de fin de lecture FR]]))</f>
      </c>
      <c r="V195" s="4">
        <f>IF(ISBLANK(Table1[[#This Row], [Date de début de lecture]]),"",(IF(ISBLANK(Table1[[#This Row], [Date de fin de lecture FR]]),0,Table1[[#This Row], [Date de fin de lecture FR]]-Table1[[#This Row], [Date de début de lecture]])))</f>
      </c>
      <c r="W195" s="46">
        <f>IF(Table1[[#This Row], [Temps de lecture en jours]]="","",IF(ISBLANK(Table1[[#This Row], [Nbr Pages]]),0,Table1[[#This Row], [Nbr Pages]]/Table1[[#This Row], [Temps de lecture en jours]]))</f>
      </c>
      <c r="X195" s="4">
        <f>IF(ISBLANK(Table1[[#This Row], [Date d''achat]]),"",IF(ISBLANK(Table1[[#This Row], [Date de fin de lecture FR]]),0,Table1[[#This Row], [Date de fin de lecture FR]]-Table1[[#This Row], [Date d''achat]]))</f>
      </c>
      <c r="Y195" s="10">
        <f>IF(ISBLANK(Table1[[#This Row], [Date de sortie]]),"",ROUNDDOWN(YEAR(Table1[[#This Row], [Date de sortie]]),-1))</f>
      </c>
    </row>
    <row x14ac:dyDescent="0.25" r="196" customHeight="1" ht="18.75">
      <c r="A196" s="1" t="s">
        <v>161</v>
      </c>
      <c r="B196" s="1" t="s">
        <v>462</v>
      </c>
      <c r="C196" s="9">
        <v>1</v>
      </c>
      <c r="D196" s="9">
        <v>1</v>
      </c>
      <c r="E196" s="9">
        <v>1</v>
      </c>
      <c r="F196" s="2"/>
      <c r="G196" s="1" t="s">
        <v>246</v>
      </c>
      <c r="H196" s="1" t="s">
        <v>369</v>
      </c>
      <c r="I196" s="9">
        <v>480</v>
      </c>
      <c r="J196" s="22">
        <v>41682</v>
      </c>
      <c r="K196" s="17"/>
      <c r="L196" s="17"/>
      <c r="M196" s="22">
        <v>43706</v>
      </c>
      <c r="N196" s="11" t="s">
        <v>255</v>
      </c>
      <c r="O196" s="21">
        <v>5</v>
      </c>
      <c r="P196" s="49"/>
      <c r="Q196" s="49"/>
      <c r="R196" s="11" t="s">
        <v>245</v>
      </c>
      <c r="S196" s="19"/>
      <c r="T196" s="9">
        <f>IF(ISBLANK(Table1[[#This Row], [Date de fin de lecture FR]]),"",YEAR(Table1[[#This Row], [Date de fin de lecture FR]]))</f>
      </c>
      <c r="U196" s="10">
        <f>IF(ISBLANK(Table1[[#This Row], [Date de fin de lecture FR]]),"",MONTH(Table1[[#This Row], [Date de fin de lecture FR]]))</f>
      </c>
      <c r="V196" s="4">
        <f>IF(ISBLANK(Table1[[#This Row], [Date de début de lecture]]),"",(IF(ISBLANK(Table1[[#This Row], [Date de fin de lecture FR]]),0,Table1[[#This Row], [Date de fin de lecture FR]]-Table1[[#This Row], [Date de début de lecture]])))</f>
      </c>
      <c r="W196" s="46">
        <f>IF(Table1[[#This Row], [Temps de lecture en jours]]="","",IF(ISBLANK(Table1[[#This Row], [Nbr Pages]]),0,Table1[[#This Row], [Nbr Pages]]/Table1[[#This Row], [Temps de lecture en jours]]))</f>
      </c>
      <c r="X196" s="4">
        <f>IF(ISBLANK(Table1[[#This Row], [Date d''achat]]),"",IF(ISBLANK(Table1[[#This Row], [Date de fin de lecture FR]]),0,Table1[[#This Row], [Date de fin de lecture FR]]-Table1[[#This Row], [Date d''achat]]))</f>
      </c>
      <c r="Y196" s="10">
        <f>IF(ISBLANK(Table1[[#This Row], [Date de sortie]]),"",ROUNDDOWN(YEAR(Table1[[#This Row], [Date de sortie]]),-1))</f>
      </c>
    </row>
    <row x14ac:dyDescent="0.25" r="197" customHeight="1" ht="18.75">
      <c r="A197" s="1" t="s">
        <v>463</v>
      </c>
      <c r="B197" s="1" t="s">
        <v>464</v>
      </c>
      <c r="C197" s="4"/>
      <c r="D197" s="4"/>
      <c r="E197" s="4"/>
      <c r="F197" s="47"/>
      <c r="G197" s="51"/>
      <c r="H197" s="19"/>
      <c r="I197" s="4"/>
      <c r="J197" s="17"/>
      <c r="K197" s="17"/>
      <c r="L197" s="17"/>
      <c r="M197" s="17"/>
      <c r="N197" s="19"/>
      <c r="O197" s="22"/>
      <c r="P197" s="49"/>
      <c r="Q197" s="49"/>
      <c r="R197" s="19"/>
      <c r="S197" s="51"/>
      <c r="T197" s="4">
        <f>IF(ISBLANK(Table1[[#This Row], [Date de fin de lecture FR]]),"",YEAR(Table1[[#This Row], [Date de fin de lecture FR]]))</f>
      </c>
      <c r="U197" s="10">
        <f>IF(ISBLANK(Table1[[#This Row], [Date de fin de lecture FR]]),"",MONTH(Table1[[#This Row], [Date de fin de lecture FR]]))</f>
      </c>
      <c r="V197" s="4">
        <f>IF(ISBLANK(Table1[[#This Row], [Date de début de lecture]]),"",(IF(ISBLANK(Table1[[#This Row], [Date de fin de lecture FR]]),0,Table1[[#This Row], [Date de fin de lecture FR]]-Table1[[#This Row], [Date de début de lecture]])))</f>
      </c>
      <c r="W197" s="46">
        <f>IF(Table1[[#This Row], [Temps de lecture en jours]]="","",IF(ISBLANK(Table1[[#This Row], [Nbr Pages]]),0,Table1[[#This Row], [Nbr Pages]]/Table1[[#This Row], [Temps de lecture en jours]]))</f>
      </c>
      <c r="X197" s="4">
        <f>IF(ISBLANK(Table1[[#This Row], [Date d''achat]]),"",IF(ISBLANK(Table1[[#This Row], [Date de fin de lecture FR]]),0,Table1[[#This Row], [Date de fin de lecture FR]]-Table1[[#This Row], [Date d''achat]]))</f>
      </c>
      <c r="Y197" s="10">
        <f>IF(ISBLANK(Table1[[#This Row], [Date de sortie]]),"",ROUNDDOWN(YEAR(Table1[[#This Row], [Date de sortie]]),-1))</f>
      </c>
    </row>
    <row x14ac:dyDescent="0.25" r="198" customHeight="1" ht="18.75">
      <c r="A198" s="1" t="s">
        <v>465</v>
      </c>
      <c r="B198" s="1" t="s">
        <v>466</v>
      </c>
      <c r="C198" s="4"/>
      <c r="D198" s="4"/>
      <c r="E198" s="4"/>
      <c r="F198" s="47" t="s">
        <v>29</v>
      </c>
      <c r="G198" s="10" t="s">
        <v>227</v>
      </c>
      <c r="H198" s="19"/>
      <c r="I198" s="4"/>
      <c r="J198" s="17"/>
      <c r="K198" s="17"/>
      <c r="L198" s="17"/>
      <c r="M198" s="17"/>
      <c r="N198" s="19"/>
      <c r="O198" s="22"/>
      <c r="P198" s="49"/>
      <c r="Q198" s="49"/>
      <c r="R198" s="19"/>
      <c r="S198" s="10" t="s">
        <v>303</v>
      </c>
      <c r="T198" s="4">
        <f>IF(ISBLANK(Table1[[#This Row], [Date de fin de lecture FR]]),"",YEAR(Table1[[#This Row], [Date de fin de lecture FR]]))</f>
      </c>
      <c r="U198" s="10">
        <f>IF(ISBLANK(Table1[[#This Row], [Date de fin de lecture FR]]),"",MONTH(Table1[[#This Row], [Date de fin de lecture FR]]))</f>
      </c>
      <c r="V198" s="4">
        <f>IF(ISBLANK(Table1[[#This Row], [Date de début de lecture]]),"",(IF(ISBLANK(Table1[[#This Row], [Date de fin de lecture FR]]),0,Table1[[#This Row], [Date de fin de lecture FR]]-Table1[[#This Row], [Date de début de lecture]])))</f>
      </c>
      <c r="W198" s="46">
        <f>IF(Table1[[#This Row], [Temps de lecture en jours]]="","",IF(ISBLANK(Table1[[#This Row], [Nbr Pages]]),0,Table1[[#This Row], [Nbr Pages]]/Table1[[#This Row], [Temps de lecture en jours]]))</f>
      </c>
      <c r="X198" s="4">
        <f>IF(ISBLANK(Table1[[#This Row], [Date d''achat]]),"",IF(ISBLANK(Table1[[#This Row], [Date de fin de lecture FR]]),0,Table1[[#This Row], [Date de fin de lecture FR]]-Table1[[#This Row], [Date d''achat]]))</f>
      </c>
      <c r="Y198" s="10">
        <f>IF(ISBLANK(Table1[[#This Row], [Date de sortie]]),"",ROUNDDOWN(YEAR(Table1[[#This Row], [Date de sortie]]),-1))</f>
      </c>
    </row>
    <row x14ac:dyDescent="0.25" r="199" customHeight="1" ht="18.75">
      <c r="A199" s="1" t="s">
        <v>62</v>
      </c>
      <c r="B199" s="1" t="s">
        <v>467</v>
      </c>
      <c r="C199" s="9">
        <v>1</v>
      </c>
      <c r="D199" s="9">
        <v>1</v>
      </c>
      <c r="E199" s="9">
        <v>1</v>
      </c>
      <c r="F199" s="2"/>
      <c r="G199" s="1" t="s">
        <v>227</v>
      </c>
      <c r="H199" s="19"/>
      <c r="I199" s="9">
        <v>284</v>
      </c>
      <c r="J199" s="22">
        <v>25934</v>
      </c>
      <c r="K199" s="22">
        <v>43485</v>
      </c>
      <c r="L199" s="22">
        <v>44716</v>
      </c>
      <c r="M199" s="22">
        <v>44722</v>
      </c>
      <c r="N199" s="11" t="s">
        <v>244</v>
      </c>
      <c r="O199" s="17"/>
      <c r="P199" s="49"/>
      <c r="Q199" s="49"/>
      <c r="R199" s="11" t="s">
        <v>245</v>
      </c>
      <c r="S199" s="1" t="s">
        <v>420</v>
      </c>
      <c r="T199" s="9">
        <f>IF(ISBLANK(Table1[[#This Row], [Date de fin de lecture FR]]),"",YEAR(Table1[[#This Row], [Date de fin de lecture FR]]))</f>
      </c>
      <c r="U199" s="10">
        <f>IF(ISBLANK(Table1[[#This Row], [Date de fin de lecture FR]]),"",MONTH(Table1[[#This Row], [Date de fin de lecture FR]]))</f>
      </c>
      <c r="V199" s="9">
        <f>IF(ISBLANK(Table1[[#This Row], [Date de début de lecture]]),"",(IF(ISBLANK(Table1[[#This Row], [Date de fin de lecture FR]]),0,Table1[[#This Row], [Date de fin de lecture FR]]-Table1[[#This Row], [Date de début de lecture]])))</f>
      </c>
      <c r="W199" s="46">
        <f>IF(Table1[[#This Row], [Temps de lecture en jours]]="","",IF(ISBLANK(Table1[[#This Row], [Nbr Pages]]),0,Table1[[#This Row], [Nbr Pages]]/Table1[[#This Row], [Temps de lecture en jours]]))</f>
      </c>
      <c r="X199" s="9">
        <f>IF(ISBLANK(Table1[[#This Row], [Date d''achat]]),"",IF(ISBLANK(Table1[[#This Row], [Date de fin de lecture FR]]),0,Table1[[#This Row], [Date de fin de lecture FR]]-Table1[[#This Row], [Date d''achat]]))</f>
      </c>
      <c r="Y199" s="10">
        <f>IF(ISBLANK(Table1[[#This Row], [Date de sortie]]),"",ROUNDDOWN(YEAR(Table1[[#This Row], [Date de sortie]]),-1))</f>
      </c>
    </row>
    <row x14ac:dyDescent="0.25" r="200" customHeight="1" ht="18.75">
      <c r="A200" s="1" t="s">
        <v>162</v>
      </c>
      <c r="B200" s="1" t="s">
        <v>468</v>
      </c>
      <c r="C200" s="9">
        <v>1</v>
      </c>
      <c r="D200" s="9">
        <v>1</v>
      </c>
      <c r="E200" s="9">
        <v>1</v>
      </c>
      <c r="F200" s="2"/>
      <c r="G200" s="1" t="s">
        <v>227</v>
      </c>
      <c r="H200" s="1" t="s">
        <v>443</v>
      </c>
      <c r="I200" s="9">
        <v>250</v>
      </c>
      <c r="J200" s="22">
        <v>24838</v>
      </c>
      <c r="K200" s="17"/>
      <c r="L200" s="17"/>
      <c r="M200" s="17"/>
      <c r="N200" s="11" t="s">
        <v>244</v>
      </c>
      <c r="O200" s="17"/>
      <c r="P200" s="49"/>
      <c r="Q200" s="49"/>
      <c r="R200" s="11" t="s">
        <v>290</v>
      </c>
      <c r="S200" s="19"/>
      <c r="T200" s="4">
        <f>IF(ISBLANK(Table1[[#This Row], [Date de fin de lecture FR]]),"",YEAR(Table1[[#This Row], [Date de fin de lecture FR]]))</f>
      </c>
      <c r="U200" s="10">
        <f>IF(ISBLANK(Table1[[#This Row], [Date de fin de lecture FR]]),"",MONTH(Table1[[#This Row], [Date de fin de lecture FR]]))</f>
      </c>
      <c r="V200" s="4">
        <f>IF(ISBLANK(Table1[[#This Row], [Date de début de lecture]]),"",(IF(ISBLANK(Table1[[#This Row], [Date de fin de lecture FR]]),0,Table1[[#This Row], [Date de fin de lecture FR]]-Table1[[#This Row], [Date de début de lecture]])))</f>
      </c>
      <c r="W200" s="46">
        <f>IF(Table1[[#This Row], [Temps de lecture en jours]]="","",IF(ISBLANK(Table1[[#This Row], [Nbr Pages]]),0,Table1[[#This Row], [Nbr Pages]]/Table1[[#This Row], [Temps de lecture en jours]]))</f>
      </c>
      <c r="X200" s="4">
        <f>IF(ISBLANK(Table1[[#This Row], [Date d''achat]]),"",IF(ISBLANK(Table1[[#This Row], [Date de fin de lecture FR]]),0,Table1[[#This Row], [Date de fin de lecture FR]]-Table1[[#This Row], [Date d''achat]]))</f>
      </c>
      <c r="Y200" s="10">
        <f>IF(ISBLANK(Table1[[#This Row], [Date de sortie]]),"",ROUNDDOWN(YEAR(Table1[[#This Row], [Date de sortie]]),-1))</f>
      </c>
    </row>
    <row x14ac:dyDescent="0.25" r="201" customHeight="1" ht="18.75">
      <c r="A201" s="1" t="s">
        <v>469</v>
      </c>
      <c r="B201" s="1" t="s">
        <v>468</v>
      </c>
      <c r="C201" s="9">
        <v>1</v>
      </c>
      <c r="D201" s="4"/>
      <c r="E201" s="4"/>
      <c r="F201" s="2"/>
      <c r="G201" s="1" t="s">
        <v>227</v>
      </c>
      <c r="H201" s="1" t="s">
        <v>243</v>
      </c>
      <c r="I201" s="4"/>
      <c r="J201" s="17"/>
      <c r="K201" s="17"/>
      <c r="L201" s="17"/>
      <c r="M201" s="17"/>
      <c r="N201" s="19"/>
      <c r="O201" s="22"/>
      <c r="P201" s="49"/>
      <c r="Q201" s="49"/>
      <c r="R201" s="22"/>
      <c r="S201" s="19"/>
      <c r="T201" s="4">
        <f>IF(ISBLANK(Table1[[#This Row], [Date de fin de lecture FR]]),"",YEAR(Table1[[#This Row], [Date de fin de lecture FR]]))</f>
      </c>
      <c r="U201" s="10">
        <f>IF(ISBLANK(Table1[[#This Row], [Date de fin de lecture FR]]),"",MONTH(Table1[[#This Row], [Date de fin de lecture FR]]))</f>
      </c>
      <c r="V201" s="4">
        <f>IF(ISBLANK(Table1[[#This Row], [Date de début de lecture]]),"",(IF(ISBLANK(Table1[[#This Row], [Date de fin de lecture FR]]),0,Table1[[#This Row], [Date de fin de lecture FR]]-Table1[[#This Row], [Date de début de lecture]])))</f>
      </c>
      <c r="W201" s="46">
        <f>IF(Table1[[#This Row], [Temps de lecture en jours]]="","",IF(ISBLANK(Table1[[#This Row], [Nbr Pages]]),0,Table1[[#This Row], [Nbr Pages]]/Table1[[#This Row], [Temps de lecture en jours]]))</f>
      </c>
      <c r="X201" s="4">
        <f>IF(ISBLANK(Table1[[#This Row], [Date d''achat]]),"",IF(ISBLANK(Table1[[#This Row], [Date de fin de lecture FR]]),0,Table1[[#This Row], [Date de fin de lecture FR]]-Table1[[#This Row], [Date d''achat]]))</f>
      </c>
      <c r="Y201" s="10">
        <f>IF(ISBLANK(Table1[[#This Row], [Date de sortie]]),"",ROUNDDOWN(YEAR(Table1[[#This Row], [Date de sortie]]),-1))</f>
      </c>
    </row>
    <row x14ac:dyDescent="0.25" r="202" customHeight="1" ht="18.75">
      <c r="A202" s="1" t="s">
        <v>470</v>
      </c>
      <c r="B202" s="1" t="s">
        <v>468</v>
      </c>
      <c r="C202" s="9">
        <v>1</v>
      </c>
      <c r="D202" s="4"/>
      <c r="E202" s="4"/>
      <c r="F202" s="2"/>
      <c r="G202" s="1" t="s">
        <v>227</v>
      </c>
      <c r="H202" s="19"/>
      <c r="I202" s="9">
        <v>249</v>
      </c>
      <c r="J202" s="17"/>
      <c r="K202" s="17"/>
      <c r="L202" s="17"/>
      <c r="M202" s="17"/>
      <c r="N202" s="19"/>
      <c r="O202" s="22"/>
      <c r="P202" s="49"/>
      <c r="Q202" s="49"/>
      <c r="R202" s="22"/>
      <c r="S202" s="19"/>
      <c r="T202" s="4">
        <f>IF(ISBLANK(Table1[[#This Row], [Date de fin de lecture FR]]),"",YEAR(Table1[[#This Row], [Date de fin de lecture FR]]))</f>
      </c>
      <c r="U202" s="10">
        <f>IF(ISBLANK(Table1[[#This Row], [Date de fin de lecture FR]]),"",MONTH(Table1[[#This Row], [Date de fin de lecture FR]]))</f>
      </c>
      <c r="V202" s="4">
        <f>IF(ISBLANK(Table1[[#This Row], [Date de début de lecture]]),"",(IF(ISBLANK(Table1[[#This Row], [Date de fin de lecture FR]]),0,Table1[[#This Row], [Date de fin de lecture FR]]-Table1[[#This Row], [Date de début de lecture]])))</f>
      </c>
      <c r="W202" s="46">
        <f>IF(Table1[[#This Row], [Temps de lecture en jours]]="","",IF(ISBLANK(Table1[[#This Row], [Nbr Pages]]),0,Table1[[#This Row], [Nbr Pages]]/Table1[[#This Row], [Temps de lecture en jours]]))</f>
      </c>
      <c r="X202" s="4">
        <f>IF(ISBLANK(Table1[[#This Row], [Date d''achat]]),"",IF(ISBLANK(Table1[[#This Row], [Date de fin de lecture FR]]),0,Table1[[#This Row], [Date de fin de lecture FR]]-Table1[[#This Row], [Date d''achat]]))</f>
      </c>
      <c r="Y202" s="10">
        <f>IF(ISBLANK(Table1[[#This Row], [Date de sortie]]),"",ROUNDDOWN(YEAR(Table1[[#This Row], [Date de sortie]]),-1))</f>
      </c>
    </row>
    <row x14ac:dyDescent="0.25" r="203" customHeight="1" ht="18.75">
      <c r="A203" s="1" t="s">
        <v>471</v>
      </c>
      <c r="B203" s="1" t="s">
        <v>468</v>
      </c>
      <c r="C203" s="9">
        <v>1</v>
      </c>
      <c r="D203" s="4"/>
      <c r="E203" s="4"/>
      <c r="F203" s="2"/>
      <c r="G203" s="1" t="s">
        <v>227</v>
      </c>
      <c r="H203" s="19"/>
      <c r="I203" s="9">
        <v>320</v>
      </c>
      <c r="J203" s="17"/>
      <c r="K203" s="17"/>
      <c r="L203" s="17"/>
      <c r="M203" s="17"/>
      <c r="N203" s="19"/>
      <c r="O203" s="22"/>
      <c r="P203" s="49"/>
      <c r="Q203" s="49"/>
      <c r="R203" s="22"/>
      <c r="S203" s="19"/>
      <c r="T203" s="4">
        <f>IF(ISBLANK(Table1[[#This Row], [Date de fin de lecture FR]]),"",YEAR(Table1[[#This Row], [Date de fin de lecture FR]]))</f>
      </c>
      <c r="U203" s="10">
        <f>IF(ISBLANK(Table1[[#This Row], [Date de fin de lecture FR]]),"",MONTH(Table1[[#This Row], [Date de fin de lecture FR]]))</f>
      </c>
      <c r="V203" s="4">
        <f>IF(ISBLANK(Table1[[#This Row], [Date de début de lecture]]),"",(IF(ISBLANK(Table1[[#This Row], [Date de fin de lecture FR]]),0,Table1[[#This Row], [Date de fin de lecture FR]]-Table1[[#This Row], [Date de début de lecture]])))</f>
      </c>
      <c r="W203" s="46">
        <f>IF(Table1[[#This Row], [Temps de lecture en jours]]="","",IF(ISBLANK(Table1[[#This Row], [Nbr Pages]]),0,Table1[[#This Row], [Nbr Pages]]/Table1[[#This Row], [Temps de lecture en jours]]))</f>
      </c>
      <c r="X203" s="4">
        <f>IF(ISBLANK(Table1[[#This Row], [Date d''achat]]),"",IF(ISBLANK(Table1[[#This Row], [Date de fin de lecture FR]]),0,Table1[[#This Row], [Date de fin de lecture FR]]-Table1[[#This Row], [Date d''achat]]))</f>
      </c>
      <c r="Y203" s="10">
        <f>IF(ISBLANK(Table1[[#This Row], [Date de sortie]]),"",ROUNDDOWN(YEAR(Table1[[#This Row], [Date de sortie]]),-1))</f>
      </c>
    </row>
    <row x14ac:dyDescent="0.25" r="204" customHeight="1" ht="18.75">
      <c r="A204" s="1" t="s">
        <v>69</v>
      </c>
      <c r="B204" s="1" t="s">
        <v>468</v>
      </c>
      <c r="C204" s="9">
        <v>1</v>
      </c>
      <c r="D204" s="9">
        <v>1</v>
      </c>
      <c r="E204" s="9">
        <v>1</v>
      </c>
      <c r="F204" s="2"/>
      <c r="G204" s="1" t="s">
        <v>227</v>
      </c>
      <c r="H204" s="19"/>
      <c r="I204" s="9">
        <v>256</v>
      </c>
      <c r="J204" s="22">
        <v>21551</v>
      </c>
      <c r="K204" s="17"/>
      <c r="L204" s="22">
        <v>44542</v>
      </c>
      <c r="M204" s="22">
        <v>44551</v>
      </c>
      <c r="N204" s="11" t="s">
        <v>244</v>
      </c>
      <c r="O204" s="17"/>
      <c r="P204" s="49"/>
      <c r="Q204" s="49"/>
      <c r="R204" s="11" t="s">
        <v>245</v>
      </c>
      <c r="S204" s="1" t="s">
        <v>472</v>
      </c>
      <c r="T204" s="9">
        <f>IF(ISBLANK(Table1[[#This Row], [Date de fin de lecture FR]]),"",YEAR(Table1[[#This Row], [Date de fin de lecture FR]]))</f>
      </c>
      <c r="U204" s="10">
        <f>IF(ISBLANK(Table1[[#This Row], [Date de fin de lecture FR]]),"",MONTH(Table1[[#This Row], [Date de fin de lecture FR]]))</f>
      </c>
      <c r="V204" s="9">
        <f>IF(ISBLANK(Table1[[#This Row], [Date de début de lecture]]),"",(IF(ISBLANK(Table1[[#This Row], [Date de fin de lecture FR]]),0,Table1[[#This Row], [Date de fin de lecture FR]]-Table1[[#This Row], [Date de début de lecture]])))</f>
      </c>
      <c r="W204" s="46">
        <f>IF(Table1[[#This Row], [Temps de lecture en jours]]="","",IF(ISBLANK(Table1[[#This Row], [Nbr Pages]]),0,Table1[[#This Row], [Nbr Pages]]/Table1[[#This Row], [Temps de lecture en jours]]))</f>
      </c>
      <c r="X204" s="4">
        <f>IF(ISBLANK(Table1[[#This Row], [Date d''achat]]),"",IF(ISBLANK(Table1[[#This Row], [Date de fin de lecture FR]]),0,Table1[[#This Row], [Date de fin de lecture FR]]-Table1[[#This Row], [Date d''achat]]))</f>
      </c>
      <c r="Y204" s="10">
        <f>IF(ISBLANK(Table1[[#This Row], [Date de sortie]]),"",ROUNDDOWN(YEAR(Table1[[#This Row], [Date de sortie]]),-1))</f>
      </c>
    </row>
    <row x14ac:dyDescent="0.25" r="205" customHeight="1" ht="18.75">
      <c r="A205" s="1" t="s">
        <v>68</v>
      </c>
      <c r="B205" s="1" t="s">
        <v>468</v>
      </c>
      <c r="C205" s="9">
        <v>1</v>
      </c>
      <c r="D205" s="9">
        <v>1</v>
      </c>
      <c r="E205" s="4"/>
      <c r="F205" s="2"/>
      <c r="G205" s="1" t="s">
        <v>227</v>
      </c>
      <c r="H205" s="19"/>
      <c r="I205" s="9">
        <v>250</v>
      </c>
      <c r="J205" s="22">
        <v>23012</v>
      </c>
      <c r="K205" s="17"/>
      <c r="L205" s="22">
        <v>44552</v>
      </c>
      <c r="M205" s="22">
        <v>44559</v>
      </c>
      <c r="N205" s="11" t="s">
        <v>244</v>
      </c>
      <c r="O205" s="17"/>
      <c r="P205" s="49"/>
      <c r="Q205" s="49"/>
      <c r="R205" s="11" t="s">
        <v>245</v>
      </c>
      <c r="S205" s="1" t="s">
        <v>473</v>
      </c>
      <c r="T205" s="9">
        <f>IF(ISBLANK(Table1[[#This Row], [Date de fin de lecture FR]]),"",YEAR(Table1[[#This Row], [Date de fin de lecture FR]]))</f>
      </c>
      <c r="U205" s="10">
        <f>IF(ISBLANK(Table1[[#This Row], [Date de fin de lecture FR]]),"",MONTH(Table1[[#This Row], [Date de fin de lecture FR]]))</f>
      </c>
      <c r="V205" s="9">
        <f>IF(ISBLANK(Table1[[#This Row], [Date de début de lecture]]),"",(IF(ISBLANK(Table1[[#This Row], [Date de fin de lecture FR]]),0,Table1[[#This Row], [Date de fin de lecture FR]]-Table1[[#This Row], [Date de début de lecture]])))</f>
      </c>
      <c r="W205" s="46">
        <f>IF(Table1[[#This Row], [Temps de lecture en jours]]="","",IF(ISBLANK(Table1[[#This Row], [Nbr Pages]]),0,Table1[[#This Row], [Nbr Pages]]/Table1[[#This Row], [Temps de lecture en jours]]))</f>
      </c>
      <c r="X205" s="4">
        <f>IF(ISBLANK(Table1[[#This Row], [Date d''achat]]),"",IF(ISBLANK(Table1[[#This Row], [Date de fin de lecture FR]]),0,Table1[[#This Row], [Date de fin de lecture FR]]-Table1[[#This Row], [Date d''achat]]))</f>
      </c>
      <c r="Y205" s="10">
        <f>IF(ISBLANK(Table1[[#This Row], [Date de sortie]]),"",ROUNDDOWN(YEAR(Table1[[#This Row], [Date de sortie]]),-1))</f>
      </c>
    </row>
    <row x14ac:dyDescent="0.25" r="206" customHeight="1" ht="18.75">
      <c r="A206" s="1" t="s">
        <v>163</v>
      </c>
      <c r="B206" s="1" t="s">
        <v>468</v>
      </c>
      <c r="C206" s="9">
        <v>1</v>
      </c>
      <c r="D206" s="9">
        <v>1</v>
      </c>
      <c r="E206" s="4"/>
      <c r="F206" s="2"/>
      <c r="G206" s="1" t="s">
        <v>227</v>
      </c>
      <c r="H206" s="19"/>
      <c r="I206" s="9">
        <v>250</v>
      </c>
      <c r="J206" s="22">
        <v>21916</v>
      </c>
      <c r="K206" s="17"/>
      <c r="L206" s="17"/>
      <c r="M206" s="17"/>
      <c r="N206" s="11" t="s">
        <v>244</v>
      </c>
      <c r="O206" s="17"/>
      <c r="P206" s="49"/>
      <c r="Q206" s="49"/>
      <c r="R206" s="11" t="s">
        <v>245</v>
      </c>
      <c r="S206" s="19"/>
      <c r="T206" s="4">
        <f>IF(ISBLANK(Table1[[#This Row], [Date de fin de lecture FR]]),"",YEAR(Table1[[#This Row], [Date de fin de lecture FR]]))</f>
      </c>
      <c r="U206" s="10">
        <f>IF(ISBLANK(Table1[[#This Row], [Date de fin de lecture FR]]),"",MONTH(Table1[[#This Row], [Date de fin de lecture FR]]))</f>
      </c>
      <c r="V206" s="4">
        <f>IF(ISBLANK(Table1[[#This Row], [Date de début de lecture]]),"",(IF(ISBLANK(Table1[[#This Row], [Date de fin de lecture FR]]),0,Table1[[#This Row], [Date de fin de lecture FR]]-Table1[[#This Row], [Date de début de lecture]])))</f>
      </c>
      <c r="W206" s="46">
        <f>IF(Table1[[#This Row], [Temps de lecture en jours]]="","",IF(ISBLANK(Table1[[#This Row], [Nbr Pages]]),0,Table1[[#This Row], [Nbr Pages]]/Table1[[#This Row], [Temps de lecture en jours]]))</f>
      </c>
      <c r="X206" s="4">
        <f>IF(ISBLANK(Table1[[#This Row], [Date d''achat]]),"",IF(ISBLANK(Table1[[#This Row], [Date de fin de lecture FR]]),0,Table1[[#This Row], [Date de fin de lecture FR]]-Table1[[#This Row], [Date d''achat]]))</f>
      </c>
      <c r="Y206" s="10">
        <f>IF(ISBLANK(Table1[[#This Row], [Date de sortie]]),"",ROUNDDOWN(YEAR(Table1[[#This Row], [Date de sortie]]),-1))</f>
      </c>
    </row>
    <row x14ac:dyDescent="0.25" r="207" customHeight="1" ht="18.75">
      <c r="A207" s="1" t="s">
        <v>474</v>
      </c>
      <c r="B207" s="1" t="s">
        <v>468</v>
      </c>
      <c r="C207" s="9">
        <v>1</v>
      </c>
      <c r="D207" s="4"/>
      <c r="E207" s="4"/>
      <c r="F207" s="2"/>
      <c r="G207" s="1" t="s">
        <v>227</v>
      </c>
      <c r="H207" s="19"/>
      <c r="I207" s="9">
        <v>400</v>
      </c>
      <c r="J207" s="17"/>
      <c r="K207" s="17"/>
      <c r="L207" s="17"/>
      <c r="M207" s="17"/>
      <c r="N207" s="19"/>
      <c r="O207" s="22"/>
      <c r="P207" s="49"/>
      <c r="Q207" s="49"/>
      <c r="R207" s="22"/>
      <c r="S207" s="19"/>
      <c r="T207" s="4">
        <f>IF(ISBLANK(Table1[[#This Row], [Date de fin de lecture FR]]),"",YEAR(Table1[[#This Row], [Date de fin de lecture FR]]))</f>
      </c>
      <c r="U207" s="10">
        <f>IF(ISBLANK(Table1[[#This Row], [Date de fin de lecture FR]]),"",MONTH(Table1[[#This Row], [Date de fin de lecture FR]]))</f>
      </c>
      <c r="V207" s="4">
        <f>IF(ISBLANK(Table1[[#This Row], [Date de début de lecture]]),"",(IF(ISBLANK(Table1[[#This Row], [Date de fin de lecture FR]]),0,Table1[[#This Row], [Date de fin de lecture FR]]-Table1[[#This Row], [Date de début de lecture]])))</f>
      </c>
      <c r="W207" s="46">
        <f>IF(Table1[[#This Row], [Temps de lecture en jours]]="","",IF(ISBLANK(Table1[[#This Row], [Nbr Pages]]),0,Table1[[#This Row], [Nbr Pages]]/Table1[[#This Row], [Temps de lecture en jours]]))</f>
      </c>
      <c r="X207" s="4">
        <f>IF(ISBLANK(Table1[[#This Row], [Date d''achat]]),"",IF(ISBLANK(Table1[[#This Row], [Date de fin de lecture FR]]),0,Table1[[#This Row], [Date de fin de lecture FR]]-Table1[[#This Row], [Date d''achat]]))</f>
      </c>
      <c r="Y207" s="10">
        <f>IF(ISBLANK(Table1[[#This Row], [Date de sortie]]),"",ROUNDDOWN(YEAR(Table1[[#This Row], [Date de sortie]]),-1))</f>
      </c>
    </row>
    <row x14ac:dyDescent="0.25" r="208" customHeight="1" ht="18.75">
      <c r="A208" s="1" t="s">
        <v>164</v>
      </c>
      <c r="B208" s="1" t="s">
        <v>468</v>
      </c>
      <c r="C208" s="9">
        <v>1</v>
      </c>
      <c r="D208" s="9">
        <v>1</v>
      </c>
      <c r="E208" s="9">
        <v>1</v>
      </c>
      <c r="F208" s="2"/>
      <c r="G208" s="1" t="s">
        <v>227</v>
      </c>
      <c r="H208" s="19"/>
      <c r="I208" s="9">
        <v>288</v>
      </c>
      <c r="J208" s="22">
        <v>25204</v>
      </c>
      <c r="K208" s="17"/>
      <c r="L208" s="17"/>
      <c r="M208" s="22">
        <v>42829</v>
      </c>
      <c r="N208" s="11" t="s">
        <v>244</v>
      </c>
      <c r="O208" s="17"/>
      <c r="P208" s="49"/>
      <c r="Q208" s="49"/>
      <c r="R208" s="11" t="s">
        <v>245</v>
      </c>
      <c r="S208" s="19"/>
      <c r="T208" s="9">
        <f>IF(ISBLANK(Table1[[#This Row], [Date de fin de lecture FR]]),"",YEAR(Table1[[#This Row], [Date de fin de lecture FR]]))</f>
      </c>
      <c r="U208" s="10">
        <f>IF(ISBLANK(Table1[[#This Row], [Date de fin de lecture FR]]),"",MONTH(Table1[[#This Row], [Date de fin de lecture FR]]))</f>
      </c>
      <c r="V208" s="4">
        <f>IF(ISBLANK(Table1[[#This Row], [Date de début de lecture]]),"",(IF(ISBLANK(Table1[[#This Row], [Date de fin de lecture FR]]),0,Table1[[#This Row], [Date de fin de lecture FR]]-Table1[[#This Row], [Date de début de lecture]])))</f>
      </c>
      <c r="W208" s="46">
        <f>IF(Table1[[#This Row], [Temps de lecture en jours]]="","",IF(ISBLANK(Table1[[#This Row], [Nbr Pages]]),0,Table1[[#This Row], [Nbr Pages]]/Table1[[#This Row], [Temps de lecture en jours]]))</f>
      </c>
      <c r="X208" s="4">
        <f>IF(ISBLANK(Table1[[#This Row], [Date d''achat]]),"",IF(ISBLANK(Table1[[#This Row], [Date de fin de lecture FR]]),0,Table1[[#This Row], [Date de fin de lecture FR]]-Table1[[#This Row], [Date d''achat]]))</f>
      </c>
      <c r="Y208" s="10">
        <f>IF(ISBLANK(Table1[[#This Row], [Date de sortie]]),"",ROUNDDOWN(YEAR(Table1[[#This Row], [Date de sortie]]),-1))</f>
      </c>
    </row>
    <row x14ac:dyDescent="0.25" r="209" customHeight="1" ht="18.75">
      <c r="A209" s="1" t="s">
        <v>165</v>
      </c>
      <c r="B209" s="1" t="s">
        <v>475</v>
      </c>
      <c r="C209" s="9">
        <v>1</v>
      </c>
      <c r="D209" s="9">
        <v>1</v>
      </c>
      <c r="E209" s="9">
        <v>1</v>
      </c>
      <c r="F209" s="2"/>
      <c r="G209" s="1" t="s">
        <v>246</v>
      </c>
      <c r="H209" s="1" t="s">
        <v>417</v>
      </c>
      <c r="I209" s="9">
        <v>1032</v>
      </c>
      <c r="J209" s="22">
        <v>34881</v>
      </c>
      <c r="K209" s="17"/>
      <c r="L209" s="17"/>
      <c r="M209" s="22">
        <v>39083</v>
      </c>
      <c r="N209" s="11" t="s">
        <v>244</v>
      </c>
      <c r="O209" s="17"/>
      <c r="P209" s="49"/>
      <c r="Q209" s="49"/>
      <c r="R209" s="11" t="s">
        <v>245</v>
      </c>
      <c r="S209" s="19"/>
      <c r="T209" s="9">
        <f>IF(ISBLANK(Table1[[#This Row], [Date de fin de lecture FR]]),"",YEAR(Table1[[#This Row], [Date de fin de lecture FR]]))</f>
      </c>
      <c r="U209" s="10">
        <f>IF(ISBLANK(Table1[[#This Row], [Date de fin de lecture FR]]),"",MONTH(Table1[[#This Row], [Date de fin de lecture FR]]))</f>
      </c>
      <c r="V209" s="4">
        <f>IF(ISBLANK(Table1[[#This Row], [Date de début de lecture]]),"",(IF(ISBLANK(Table1[[#This Row], [Date de fin de lecture FR]]),0,Table1[[#This Row], [Date de fin de lecture FR]]-Table1[[#This Row], [Date de début de lecture]])))</f>
      </c>
      <c r="W209" s="46">
        <f>IF(Table1[[#This Row], [Temps de lecture en jours]]="","",IF(ISBLANK(Table1[[#This Row], [Nbr Pages]]),0,Table1[[#This Row], [Nbr Pages]]/Table1[[#This Row], [Temps de lecture en jours]]))</f>
      </c>
      <c r="X209" s="4">
        <f>IF(ISBLANK(Table1[[#This Row], [Date d''achat]]),"",IF(ISBLANK(Table1[[#This Row], [Date de fin de lecture FR]]),0,Table1[[#This Row], [Date de fin de lecture FR]]-Table1[[#This Row], [Date d''achat]]))</f>
      </c>
      <c r="Y209" s="10">
        <f>IF(ISBLANK(Table1[[#This Row], [Date de sortie]]),"",ROUNDDOWN(YEAR(Table1[[#This Row], [Date de sortie]]),-1))</f>
      </c>
    </row>
    <row x14ac:dyDescent="0.25" r="210" customHeight="1" ht="18.75">
      <c r="A210" s="1" t="s">
        <v>476</v>
      </c>
      <c r="B210" s="1" t="s">
        <v>475</v>
      </c>
      <c r="C210" s="4"/>
      <c r="D210" s="4"/>
      <c r="E210" s="4"/>
      <c r="F210" s="47" t="s">
        <v>29</v>
      </c>
      <c r="G210" s="1" t="s">
        <v>246</v>
      </c>
      <c r="H210" s="1" t="s">
        <v>417</v>
      </c>
      <c r="I210" s="4"/>
      <c r="J210" s="17"/>
      <c r="K210" s="17"/>
      <c r="L210" s="17"/>
      <c r="M210" s="17"/>
      <c r="N210" s="19"/>
      <c r="O210" s="22"/>
      <c r="P210" s="49"/>
      <c r="Q210" s="49"/>
      <c r="R210" s="22"/>
      <c r="S210" s="1" t="s">
        <v>477</v>
      </c>
      <c r="T210" s="4">
        <f>IF(ISBLANK(Table1[[#This Row], [Date de fin de lecture FR]]),"",YEAR(Table1[[#This Row], [Date de fin de lecture FR]]))</f>
      </c>
      <c r="U210" s="10">
        <f>IF(ISBLANK(Table1[[#This Row], [Date de fin de lecture FR]]),"",MONTH(Table1[[#This Row], [Date de fin de lecture FR]]))</f>
      </c>
      <c r="V210" s="4">
        <f>IF(ISBLANK(Table1[[#This Row], [Date de début de lecture]]),"",(IF(ISBLANK(Table1[[#This Row], [Date de fin de lecture FR]]),0,Table1[[#This Row], [Date de fin de lecture FR]]-Table1[[#This Row], [Date de début de lecture]])))</f>
      </c>
      <c r="W210" s="46">
        <f>IF(Table1[[#This Row], [Temps de lecture en jours]]="","",IF(ISBLANK(Table1[[#This Row], [Nbr Pages]]),0,Table1[[#This Row], [Nbr Pages]]/Table1[[#This Row], [Temps de lecture en jours]]))</f>
      </c>
      <c r="X210" s="4">
        <f>IF(ISBLANK(Table1[[#This Row], [Date d''achat]]),"",IF(ISBLANK(Table1[[#This Row], [Date de fin de lecture FR]]),0,Table1[[#This Row], [Date de fin de lecture FR]]-Table1[[#This Row], [Date d''achat]]))</f>
      </c>
      <c r="Y210" s="10">
        <f>IF(ISBLANK(Table1[[#This Row], [Date de sortie]]),"",ROUNDDOWN(YEAR(Table1[[#This Row], [Date de sortie]]),-1))</f>
      </c>
    </row>
    <row x14ac:dyDescent="0.25" r="211" customHeight="1" ht="18.75">
      <c r="A211" s="1" t="s">
        <v>166</v>
      </c>
      <c r="B211" s="1" t="s">
        <v>475</v>
      </c>
      <c r="C211" s="9">
        <v>1</v>
      </c>
      <c r="D211" s="9">
        <v>1</v>
      </c>
      <c r="E211" s="4"/>
      <c r="F211" s="2"/>
      <c r="G211" s="1" t="s">
        <v>246</v>
      </c>
      <c r="H211" s="1" t="s">
        <v>417</v>
      </c>
      <c r="I211" s="9">
        <v>592</v>
      </c>
      <c r="J211" s="22">
        <v>43027</v>
      </c>
      <c r="K211" s="17"/>
      <c r="L211" s="17"/>
      <c r="M211" s="17"/>
      <c r="N211" s="11" t="s">
        <v>255</v>
      </c>
      <c r="O211" s="21">
        <v>1</v>
      </c>
      <c r="P211" s="49"/>
      <c r="Q211" s="49"/>
      <c r="R211" s="11" t="s">
        <v>245</v>
      </c>
      <c r="S211" s="19"/>
      <c r="T211" s="4">
        <f>IF(ISBLANK(Table1[[#This Row], [Date de fin de lecture FR]]),"",YEAR(Table1[[#This Row], [Date de fin de lecture FR]]))</f>
      </c>
      <c r="U211" s="10">
        <f>IF(ISBLANK(Table1[[#This Row], [Date de fin de lecture FR]]),"",MONTH(Table1[[#This Row], [Date de fin de lecture FR]]))</f>
      </c>
      <c r="V211" s="4">
        <f>IF(ISBLANK(Table1[[#This Row], [Date de début de lecture]]),"",(IF(ISBLANK(Table1[[#This Row], [Date de fin de lecture FR]]),0,Table1[[#This Row], [Date de fin de lecture FR]]-Table1[[#This Row], [Date de début de lecture]])))</f>
      </c>
      <c r="W211" s="46">
        <f>IF(Table1[[#This Row], [Temps de lecture en jours]]="","",IF(ISBLANK(Table1[[#This Row], [Nbr Pages]]),0,Table1[[#This Row], [Nbr Pages]]/Table1[[#This Row], [Temps de lecture en jours]]))</f>
      </c>
      <c r="X211" s="4">
        <f>IF(ISBLANK(Table1[[#This Row], [Date d''achat]]),"",IF(ISBLANK(Table1[[#This Row], [Date de fin de lecture FR]]),0,Table1[[#This Row], [Date de fin de lecture FR]]-Table1[[#This Row], [Date d''achat]]))</f>
      </c>
      <c r="Y211" s="10">
        <f>IF(ISBLANK(Table1[[#This Row], [Date de sortie]]),"",ROUNDDOWN(YEAR(Table1[[#This Row], [Date de sortie]]),-1))</f>
      </c>
    </row>
    <row x14ac:dyDescent="0.25" r="212" customHeight="1" ht="18.75">
      <c r="A212" s="1" t="s">
        <v>478</v>
      </c>
      <c r="B212" s="1" t="s">
        <v>479</v>
      </c>
      <c r="C212" s="9">
        <v>1</v>
      </c>
      <c r="D212" s="4"/>
      <c r="E212" s="4"/>
      <c r="F212" s="2"/>
      <c r="G212" s="1" t="s">
        <v>246</v>
      </c>
      <c r="H212" s="19"/>
      <c r="I212" s="4"/>
      <c r="J212" s="17"/>
      <c r="K212" s="17"/>
      <c r="L212" s="17"/>
      <c r="M212" s="17"/>
      <c r="N212" s="19"/>
      <c r="O212" s="22"/>
      <c r="P212" s="49"/>
      <c r="Q212" s="49"/>
      <c r="R212" s="22"/>
      <c r="S212" s="19"/>
      <c r="T212" s="4">
        <f>IF(ISBLANK(Table1[[#This Row], [Date de fin de lecture FR]]),"",YEAR(Table1[[#This Row], [Date de fin de lecture FR]]))</f>
      </c>
      <c r="U212" s="10">
        <f>IF(ISBLANK(Table1[[#This Row], [Date de fin de lecture FR]]),"",MONTH(Table1[[#This Row], [Date de fin de lecture FR]]))</f>
      </c>
      <c r="V212" s="4">
        <f>IF(ISBLANK(Table1[[#This Row], [Date de début de lecture]]),"",(IF(ISBLANK(Table1[[#This Row], [Date de fin de lecture FR]]),0,Table1[[#This Row], [Date de fin de lecture FR]]-Table1[[#This Row], [Date de début de lecture]])))</f>
      </c>
      <c r="W212" s="46">
        <f>IF(Table1[[#This Row], [Temps de lecture en jours]]="","",IF(ISBLANK(Table1[[#This Row], [Nbr Pages]]),0,Table1[[#This Row], [Nbr Pages]]/Table1[[#This Row], [Temps de lecture en jours]]))</f>
      </c>
      <c r="X212" s="4">
        <f>IF(ISBLANK(Table1[[#This Row], [Date d''achat]]),"",IF(ISBLANK(Table1[[#This Row], [Date de fin de lecture FR]]),0,Table1[[#This Row], [Date de fin de lecture FR]]-Table1[[#This Row], [Date d''achat]]))</f>
      </c>
      <c r="Y212" s="10">
        <f>IF(ISBLANK(Table1[[#This Row], [Date de sortie]]),"",ROUNDDOWN(YEAR(Table1[[#This Row], [Date de sortie]]),-1))</f>
      </c>
    </row>
    <row x14ac:dyDescent="0.25" r="213" customHeight="1" ht="18.75">
      <c r="A213" s="1" t="s">
        <v>167</v>
      </c>
      <c r="B213" s="1" t="s">
        <v>479</v>
      </c>
      <c r="C213" s="9">
        <v>1</v>
      </c>
      <c r="D213" s="9">
        <v>1</v>
      </c>
      <c r="E213" s="4"/>
      <c r="F213" s="2"/>
      <c r="G213" s="1" t="s">
        <v>246</v>
      </c>
      <c r="H213" s="1" t="s">
        <v>283</v>
      </c>
      <c r="I213" s="9">
        <v>281</v>
      </c>
      <c r="J213" s="22">
        <v>37622</v>
      </c>
      <c r="K213" s="17"/>
      <c r="L213" s="17"/>
      <c r="M213" s="22">
        <v>39083</v>
      </c>
      <c r="N213" s="11" t="s">
        <v>255</v>
      </c>
      <c r="O213" s="21">
        <v>1</v>
      </c>
      <c r="P213" s="49"/>
      <c r="Q213" s="49"/>
      <c r="R213" s="11" t="s">
        <v>245</v>
      </c>
      <c r="S213" s="19"/>
      <c r="T213" s="9">
        <f>IF(ISBLANK(Table1[[#This Row], [Date de fin de lecture FR]]),"",YEAR(Table1[[#This Row], [Date de fin de lecture FR]]))</f>
      </c>
      <c r="U213" s="10">
        <f>IF(ISBLANK(Table1[[#This Row], [Date de fin de lecture FR]]),"",MONTH(Table1[[#This Row], [Date de fin de lecture FR]]))</f>
      </c>
      <c r="V213" s="4">
        <f>IF(ISBLANK(Table1[[#This Row], [Date de début de lecture]]),"",(IF(ISBLANK(Table1[[#This Row], [Date de fin de lecture FR]]),0,Table1[[#This Row], [Date de fin de lecture FR]]-Table1[[#This Row], [Date de début de lecture]])))</f>
      </c>
      <c r="W213" s="46">
        <f>IF(Table1[[#This Row], [Temps de lecture en jours]]="","",IF(ISBLANK(Table1[[#This Row], [Nbr Pages]]),0,Table1[[#This Row], [Nbr Pages]]/Table1[[#This Row], [Temps de lecture en jours]]))</f>
      </c>
      <c r="X213" s="4">
        <f>IF(ISBLANK(Table1[[#This Row], [Date d''achat]]),"",IF(ISBLANK(Table1[[#This Row], [Date de fin de lecture FR]]),0,Table1[[#This Row], [Date de fin de lecture FR]]-Table1[[#This Row], [Date d''achat]]))</f>
      </c>
      <c r="Y213" s="10">
        <f>IF(ISBLANK(Table1[[#This Row], [Date de sortie]]),"",ROUNDDOWN(YEAR(Table1[[#This Row], [Date de sortie]]),-1))</f>
      </c>
    </row>
    <row x14ac:dyDescent="0.25" r="214" customHeight="1" ht="18.75">
      <c r="A214" s="1" t="s">
        <v>168</v>
      </c>
      <c r="B214" s="1" t="s">
        <v>479</v>
      </c>
      <c r="C214" s="9">
        <v>1</v>
      </c>
      <c r="D214" s="9">
        <v>1</v>
      </c>
      <c r="E214" s="4"/>
      <c r="F214" s="2"/>
      <c r="G214" s="1" t="s">
        <v>246</v>
      </c>
      <c r="H214" s="1" t="s">
        <v>283</v>
      </c>
      <c r="I214" s="9">
        <v>314</v>
      </c>
      <c r="J214" s="22">
        <v>37622</v>
      </c>
      <c r="K214" s="17"/>
      <c r="L214" s="17"/>
      <c r="M214" s="22">
        <v>39083</v>
      </c>
      <c r="N214" s="11" t="s">
        <v>255</v>
      </c>
      <c r="O214" s="21">
        <v>2</v>
      </c>
      <c r="P214" s="49"/>
      <c r="Q214" s="49"/>
      <c r="R214" s="11" t="s">
        <v>245</v>
      </c>
      <c r="S214" s="19"/>
      <c r="T214" s="9">
        <f>IF(ISBLANK(Table1[[#This Row], [Date de fin de lecture FR]]),"",YEAR(Table1[[#This Row], [Date de fin de lecture FR]]))</f>
      </c>
      <c r="U214" s="10">
        <f>IF(ISBLANK(Table1[[#This Row], [Date de fin de lecture FR]]),"",MONTH(Table1[[#This Row], [Date de fin de lecture FR]]))</f>
      </c>
      <c r="V214" s="4">
        <f>IF(ISBLANK(Table1[[#This Row], [Date de début de lecture]]),"",(IF(ISBLANK(Table1[[#This Row], [Date de fin de lecture FR]]),0,Table1[[#This Row], [Date de fin de lecture FR]]-Table1[[#This Row], [Date de début de lecture]])))</f>
      </c>
      <c r="W214" s="46">
        <f>IF(Table1[[#This Row], [Temps de lecture en jours]]="","",IF(ISBLANK(Table1[[#This Row], [Nbr Pages]]),0,Table1[[#This Row], [Nbr Pages]]/Table1[[#This Row], [Temps de lecture en jours]]))</f>
      </c>
      <c r="X214" s="4">
        <f>IF(ISBLANK(Table1[[#This Row], [Date d''achat]]),"",IF(ISBLANK(Table1[[#This Row], [Date de fin de lecture FR]]),0,Table1[[#This Row], [Date de fin de lecture FR]]-Table1[[#This Row], [Date d''achat]]))</f>
      </c>
      <c r="Y214" s="10">
        <f>IF(ISBLANK(Table1[[#This Row], [Date de sortie]]),"",ROUNDDOWN(YEAR(Table1[[#This Row], [Date de sortie]]),-1))</f>
      </c>
    </row>
    <row x14ac:dyDescent="0.25" r="215" customHeight="1" ht="18.75">
      <c r="A215" s="1" t="s">
        <v>169</v>
      </c>
      <c r="B215" s="1" t="s">
        <v>479</v>
      </c>
      <c r="C215" s="9">
        <v>1</v>
      </c>
      <c r="D215" s="9">
        <v>1</v>
      </c>
      <c r="E215" s="4"/>
      <c r="F215" s="2"/>
      <c r="G215" s="1" t="s">
        <v>246</v>
      </c>
      <c r="H215" s="1" t="s">
        <v>283</v>
      </c>
      <c r="I215" s="9">
        <v>316</v>
      </c>
      <c r="J215" s="22">
        <v>37622</v>
      </c>
      <c r="K215" s="17"/>
      <c r="L215" s="17"/>
      <c r="M215" s="22">
        <v>39083</v>
      </c>
      <c r="N215" s="11" t="s">
        <v>255</v>
      </c>
      <c r="O215" s="21">
        <v>3</v>
      </c>
      <c r="P215" s="49"/>
      <c r="Q215" s="49"/>
      <c r="R215" s="11" t="s">
        <v>245</v>
      </c>
      <c r="S215" s="19"/>
      <c r="T215" s="9">
        <f>IF(ISBLANK(Table1[[#This Row], [Date de fin de lecture FR]]),"",YEAR(Table1[[#This Row], [Date de fin de lecture FR]]))</f>
      </c>
      <c r="U215" s="10">
        <f>IF(ISBLANK(Table1[[#This Row], [Date de fin de lecture FR]]),"",MONTH(Table1[[#This Row], [Date de fin de lecture FR]]))</f>
      </c>
      <c r="V215" s="4">
        <f>IF(ISBLANK(Table1[[#This Row], [Date de début de lecture]]),"",(IF(ISBLANK(Table1[[#This Row], [Date de fin de lecture FR]]),0,Table1[[#This Row], [Date de fin de lecture FR]]-Table1[[#This Row], [Date de début de lecture]])))</f>
      </c>
      <c r="W215" s="46">
        <f>IF(Table1[[#This Row], [Temps de lecture en jours]]="","",IF(ISBLANK(Table1[[#This Row], [Nbr Pages]]),0,Table1[[#This Row], [Nbr Pages]]/Table1[[#This Row], [Temps de lecture en jours]]))</f>
      </c>
      <c r="X215" s="4">
        <f>IF(ISBLANK(Table1[[#This Row], [Date d''achat]]),"",IF(ISBLANK(Table1[[#This Row], [Date de fin de lecture FR]]),0,Table1[[#This Row], [Date de fin de lecture FR]]-Table1[[#This Row], [Date d''achat]]))</f>
      </c>
      <c r="Y215" s="10">
        <f>IF(ISBLANK(Table1[[#This Row], [Date de sortie]]),"",ROUNDDOWN(YEAR(Table1[[#This Row], [Date de sortie]]),-1))</f>
      </c>
    </row>
    <row x14ac:dyDescent="0.25" r="216" customHeight="1" ht="18.75">
      <c r="A216" s="1" t="s">
        <v>480</v>
      </c>
      <c r="B216" s="1" t="s">
        <v>479</v>
      </c>
      <c r="C216" s="9">
        <v>1</v>
      </c>
      <c r="D216" s="4"/>
      <c r="E216" s="4"/>
      <c r="F216" s="2"/>
      <c r="G216" s="1" t="s">
        <v>246</v>
      </c>
      <c r="H216" s="1" t="s">
        <v>283</v>
      </c>
      <c r="I216" s="4"/>
      <c r="J216" s="17"/>
      <c r="K216" s="17"/>
      <c r="L216" s="17"/>
      <c r="M216" s="17"/>
      <c r="N216" s="19"/>
      <c r="O216" s="22"/>
      <c r="P216" s="49"/>
      <c r="Q216" s="49"/>
      <c r="R216" s="22"/>
      <c r="S216" s="19"/>
      <c r="T216" s="4">
        <f>IF(ISBLANK(Table1[[#This Row], [Date de fin de lecture FR]]),"",YEAR(Table1[[#This Row], [Date de fin de lecture FR]]))</f>
      </c>
      <c r="U216" s="10">
        <f>IF(ISBLANK(Table1[[#This Row], [Date de fin de lecture FR]]),"",MONTH(Table1[[#This Row], [Date de fin de lecture FR]]))</f>
      </c>
      <c r="V216" s="4">
        <f>IF(ISBLANK(Table1[[#This Row], [Date de début de lecture]]),"",(IF(ISBLANK(Table1[[#This Row], [Date de fin de lecture FR]]),0,Table1[[#This Row], [Date de fin de lecture FR]]-Table1[[#This Row], [Date de début de lecture]])))</f>
      </c>
      <c r="W216" s="46">
        <f>IF(Table1[[#This Row], [Temps de lecture en jours]]="","",IF(ISBLANK(Table1[[#This Row], [Nbr Pages]]),0,Table1[[#This Row], [Nbr Pages]]/Table1[[#This Row], [Temps de lecture en jours]]))</f>
      </c>
      <c r="X216" s="4">
        <f>IF(ISBLANK(Table1[[#This Row], [Date d''achat]]),"",IF(ISBLANK(Table1[[#This Row], [Date de fin de lecture FR]]),0,Table1[[#This Row], [Date de fin de lecture FR]]-Table1[[#This Row], [Date d''achat]]))</f>
      </c>
      <c r="Y216" s="10">
        <f>IF(ISBLANK(Table1[[#This Row], [Date de sortie]]),"",ROUNDDOWN(YEAR(Table1[[#This Row], [Date de sortie]]),-1))</f>
      </c>
    </row>
    <row x14ac:dyDescent="0.25" r="217" customHeight="1" ht="18.75">
      <c r="A217" s="1" t="s">
        <v>481</v>
      </c>
      <c r="B217" s="1" t="s">
        <v>482</v>
      </c>
      <c r="C217" s="4"/>
      <c r="D217" s="4"/>
      <c r="E217" s="4"/>
      <c r="F217" s="2"/>
      <c r="G217" s="19"/>
      <c r="H217" s="19"/>
      <c r="I217" s="4"/>
      <c r="J217" s="17"/>
      <c r="K217" s="17"/>
      <c r="L217" s="17"/>
      <c r="M217" s="17"/>
      <c r="N217" s="19"/>
      <c r="O217" s="22"/>
      <c r="P217" s="49"/>
      <c r="Q217" s="49"/>
      <c r="R217" s="22"/>
      <c r="S217" s="1" t="s">
        <v>483</v>
      </c>
      <c r="T217" s="4">
        <f>IF(ISBLANK(Table1[[#This Row], [Date de fin de lecture FR]]),"",YEAR(Table1[[#This Row], [Date de fin de lecture FR]]))</f>
      </c>
      <c r="U217" s="10">
        <f>IF(ISBLANK(Table1[[#This Row], [Date de fin de lecture FR]]),"",MONTH(Table1[[#This Row], [Date de fin de lecture FR]]))</f>
      </c>
      <c r="V217" s="4">
        <f>IF(ISBLANK(Table1[[#This Row], [Date de début de lecture]]),"",(IF(ISBLANK(Table1[[#This Row], [Date de fin de lecture FR]]),0,Table1[[#This Row], [Date de fin de lecture FR]]-Table1[[#This Row], [Date de début de lecture]])))</f>
      </c>
      <c r="W217" s="46">
        <f>IF(Table1[[#This Row], [Temps de lecture en jours]]="","",IF(ISBLANK(Table1[[#This Row], [Nbr Pages]]),0,Table1[[#This Row], [Nbr Pages]]/Table1[[#This Row], [Temps de lecture en jours]]))</f>
      </c>
      <c r="X217" s="4">
        <f>IF(ISBLANK(Table1[[#This Row], [Date d''achat]]),"",IF(ISBLANK(Table1[[#This Row], [Date de fin de lecture FR]]),0,Table1[[#This Row], [Date de fin de lecture FR]]-Table1[[#This Row], [Date d''achat]]))</f>
      </c>
      <c r="Y217" s="10">
        <f>IF(ISBLANK(Table1[[#This Row], [Date de sortie]]),"",ROUNDDOWN(YEAR(Table1[[#This Row], [Date de sortie]]),-1))</f>
      </c>
    </row>
    <row x14ac:dyDescent="0.25" r="218" customHeight="1" ht="18.75">
      <c r="A218" s="1" t="s">
        <v>170</v>
      </c>
      <c r="B218" s="1" t="s">
        <v>484</v>
      </c>
      <c r="C218" s="9">
        <v>1</v>
      </c>
      <c r="D218" s="9">
        <v>1</v>
      </c>
      <c r="E218" s="4"/>
      <c r="F218" s="2"/>
      <c r="G218" s="1" t="s">
        <v>227</v>
      </c>
      <c r="H218" s="19"/>
      <c r="I218" s="9">
        <v>365</v>
      </c>
      <c r="J218" s="22">
        <v>18264</v>
      </c>
      <c r="K218" s="17"/>
      <c r="L218" s="17"/>
      <c r="M218" s="17"/>
      <c r="N218" s="11" t="s">
        <v>244</v>
      </c>
      <c r="O218" s="17"/>
      <c r="P218" s="49"/>
      <c r="Q218" s="49"/>
      <c r="R218" s="11" t="s">
        <v>290</v>
      </c>
      <c r="S218" s="19"/>
      <c r="T218" s="4">
        <f>IF(ISBLANK(Table1[[#This Row], [Date de fin de lecture FR]]),"",YEAR(Table1[[#This Row], [Date de fin de lecture FR]]))</f>
      </c>
      <c r="U218" s="10">
        <f>IF(ISBLANK(Table1[[#This Row], [Date de fin de lecture FR]]),"",MONTH(Table1[[#This Row], [Date de fin de lecture FR]]))</f>
      </c>
      <c r="V218" s="4">
        <f>IF(ISBLANK(Table1[[#This Row], [Date de début de lecture]]),"",(IF(ISBLANK(Table1[[#This Row], [Date de fin de lecture FR]]),0,Table1[[#This Row], [Date de fin de lecture FR]]-Table1[[#This Row], [Date de début de lecture]])))</f>
      </c>
      <c r="W218" s="46">
        <f>IF(Table1[[#This Row], [Temps de lecture en jours]]="","",IF(ISBLANK(Table1[[#This Row], [Nbr Pages]]),0,Table1[[#This Row], [Nbr Pages]]/Table1[[#This Row], [Temps de lecture en jours]]))</f>
      </c>
      <c r="X218" s="4">
        <f>IF(ISBLANK(Table1[[#This Row], [Date d''achat]]),"",IF(ISBLANK(Table1[[#This Row], [Date de fin de lecture FR]]),0,Table1[[#This Row], [Date de fin de lecture FR]]-Table1[[#This Row], [Date d''achat]]))</f>
      </c>
      <c r="Y218" s="10">
        <f>IF(ISBLANK(Table1[[#This Row], [Date de sortie]]),"",ROUNDDOWN(YEAR(Table1[[#This Row], [Date de sortie]]),-1))</f>
      </c>
    </row>
    <row x14ac:dyDescent="0.25" r="219" customHeight="1" ht="18.75">
      <c r="A219" s="1" t="s">
        <v>171</v>
      </c>
      <c r="B219" s="1" t="s">
        <v>484</v>
      </c>
      <c r="C219" s="9">
        <v>1</v>
      </c>
      <c r="D219" s="9">
        <v>1</v>
      </c>
      <c r="E219" s="4"/>
      <c r="F219" s="2"/>
      <c r="G219" s="1" t="s">
        <v>227</v>
      </c>
      <c r="H219" s="1" t="s">
        <v>243</v>
      </c>
      <c r="I219" s="9">
        <v>240</v>
      </c>
      <c r="J219" s="22">
        <v>19651</v>
      </c>
      <c r="K219" s="17"/>
      <c r="L219" s="17"/>
      <c r="M219" s="17"/>
      <c r="N219" s="11" t="s">
        <v>244</v>
      </c>
      <c r="O219" s="17"/>
      <c r="P219" s="49"/>
      <c r="Q219" s="49"/>
      <c r="R219" s="11" t="s">
        <v>245</v>
      </c>
      <c r="S219" s="19"/>
      <c r="T219" s="4">
        <f>IF(ISBLANK(Table1[[#This Row], [Date de fin de lecture FR]]),"",YEAR(Table1[[#This Row], [Date de fin de lecture FR]]))</f>
      </c>
      <c r="U219" s="10">
        <f>IF(ISBLANK(Table1[[#This Row], [Date de fin de lecture FR]]),"",MONTH(Table1[[#This Row], [Date de fin de lecture FR]]))</f>
      </c>
      <c r="V219" s="4">
        <f>IF(ISBLANK(Table1[[#This Row], [Date de début de lecture]]),"",(IF(ISBLANK(Table1[[#This Row], [Date de fin de lecture FR]]),0,Table1[[#This Row], [Date de fin de lecture FR]]-Table1[[#This Row], [Date de début de lecture]])))</f>
      </c>
      <c r="W219" s="46">
        <f>IF(Table1[[#This Row], [Temps de lecture en jours]]="","",IF(ISBLANK(Table1[[#This Row], [Nbr Pages]]),0,Table1[[#This Row], [Nbr Pages]]/Table1[[#This Row], [Temps de lecture en jours]]))</f>
      </c>
      <c r="X219" s="4">
        <f>IF(ISBLANK(Table1[[#This Row], [Date d''achat]]),"",IF(ISBLANK(Table1[[#This Row], [Date de fin de lecture FR]]),0,Table1[[#This Row], [Date de fin de lecture FR]]-Table1[[#This Row], [Date d''achat]]))</f>
      </c>
      <c r="Y219" s="10">
        <f>IF(ISBLANK(Table1[[#This Row], [Date de sortie]]),"",ROUNDDOWN(YEAR(Table1[[#This Row], [Date de sortie]]),-1))</f>
      </c>
    </row>
    <row x14ac:dyDescent="0.25" r="220" customHeight="1" ht="18.75">
      <c r="A220" s="1" t="s">
        <v>172</v>
      </c>
      <c r="B220" s="1" t="s">
        <v>485</v>
      </c>
      <c r="C220" s="9">
        <v>1</v>
      </c>
      <c r="D220" s="9">
        <v>1</v>
      </c>
      <c r="E220" s="9">
        <v>1</v>
      </c>
      <c r="F220" s="2"/>
      <c r="G220" s="1" t="s">
        <v>246</v>
      </c>
      <c r="H220" s="19"/>
      <c r="I220" s="9">
        <v>50</v>
      </c>
      <c r="J220" s="22">
        <v>35508</v>
      </c>
      <c r="K220" s="22">
        <v>44119</v>
      </c>
      <c r="L220" s="17"/>
      <c r="M220" s="22">
        <v>44146</v>
      </c>
      <c r="N220" s="11" t="s">
        <v>244</v>
      </c>
      <c r="O220" s="17"/>
      <c r="P220" s="49"/>
      <c r="Q220" s="49"/>
      <c r="R220" s="11" t="s">
        <v>228</v>
      </c>
      <c r="S220" s="1" t="s">
        <v>486</v>
      </c>
      <c r="T220" s="9">
        <f>IF(ISBLANK(Table1[[#This Row], [Date de fin de lecture FR]]),"",YEAR(Table1[[#This Row], [Date de fin de lecture FR]]))</f>
      </c>
      <c r="U220" s="10">
        <f>IF(ISBLANK(Table1[[#This Row], [Date de fin de lecture FR]]),"",MONTH(Table1[[#This Row], [Date de fin de lecture FR]]))</f>
      </c>
      <c r="V220" s="4">
        <f>IF(ISBLANK(Table1[[#This Row], [Date de début de lecture]]),"",(IF(ISBLANK(Table1[[#This Row], [Date de fin de lecture FR]]),0,Table1[[#This Row], [Date de fin de lecture FR]]-Table1[[#This Row], [Date de début de lecture]])))</f>
      </c>
      <c r="W220" s="46">
        <f>IF(Table1[[#This Row], [Temps de lecture en jours]]="","",IF(ISBLANK(Table1[[#This Row], [Nbr Pages]]),0,Table1[[#This Row], [Nbr Pages]]/Table1[[#This Row], [Temps de lecture en jours]]))</f>
      </c>
      <c r="X220" s="9">
        <f>IF(ISBLANK(Table1[[#This Row], [Date d''achat]]),"",IF(ISBLANK(Table1[[#This Row], [Date de fin de lecture FR]]),0,Table1[[#This Row], [Date de fin de lecture FR]]-Table1[[#This Row], [Date d''achat]]))</f>
      </c>
      <c r="Y220" s="10">
        <f>IF(ISBLANK(Table1[[#This Row], [Date de sortie]]),"",ROUNDDOWN(YEAR(Table1[[#This Row], [Date de sortie]]),-1))</f>
      </c>
    </row>
    <row x14ac:dyDescent="0.25" r="221" customHeight="1" ht="18.75">
      <c r="A221" s="1" t="s">
        <v>487</v>
      </c>
      <c r="B221" s="1" t="s">
        <v>488</v>
      </c>
      <c r="C221" s="9">
        <v>1</v>
      </c>
      <c r="D221" s="4"/>
      <c r="E221" s="4"/>
      <c r="F221" s="2"/>
      <c r="G221" s="1" t="s">
        <v>410</v>
      </c>
      <c r="H221" s="19"/>
      <c r="I221" s="4"/>
      <c r="J221" s="17"/>
      <c r="K221" s="22">
        <v>43459</v>
      </c>
      <c r="L221" s="17"/>
      <c r="M221" s="17"/>
      <c r="N221" s="19"/>
      <c r="O221" s="22"/>
      <c r="P221" s="49"/>
      <c r="Q221" s="49"/>
      <c r="R221" s="22"/>
      <c r="S221" s="19"/>
      <c r="T221" s="4">
        <f>IF(ISBLANK(Table1[[#This Row], [Date de fin de lecture FR]]),"",YEAR(Table1[[#This Row], [Date de fin de lecture FR]]))</f>
      </c>
      <c r="U221" s="10">
        <f>IF(ISBLANK(Table1[[#This Row], [Date de fin de lecture FR]]),"",MONTH(Table1[[#This Row], [Date de fin de lecture FR]]))</f>
      </c>
      <c r="V221" s="4">
        <f>IF(ISBLANK(Table1[[#This Row], [Date de début de lecture]]),"",(IF(ISBLANK(Table1[[#This Row], [Date de fin de lecture FR]]),0,Table1[[#This Row], [Date de fin de lecture FR]]-Table1[[#This Row], [Date de début de lecture]])))</f>
      </c>
      <c r="W221" s="46">
        <f>IF(Table1[[#This Row], [Temps de lecture en jours]]="","",IF(ISBLANK(Table1[[#This Row], [Nbr Pages]]),0,Table1[[#This Row], [Nbr Pages]]/Table1[[#This Row], [Temps de lecture en jours]]))</f>
      </c>
      <c r="X221" s="9">
        <f>IF(ISBLANK(Table1[[#This Row], [Date d''achat]]),"",IF(ISBLANK(Table1[[#This Row], [Date de fin de lecture FR]]),0,Table1[[#This Row], [Date de fin de lecture FR]]-Table1[[#This Row], [Date d''achat]]))</f>
      </c>
      <c r="Y221" s="10">
        <f>IF(ISBLANK(Table1[[#This Row], [Date de sortie]]),"",ROUNDDOWN(YEAR(Table1[[#This Row], [Date de sortie]]),-1))</f>
      </c>
    </row>
    <row x14ac:dyDescent="0.25" r="222" customHeight="1" ht="18.75">
      <c r="A222" s="1" t="s">
        <v>173</v>
      </c>
      <c r="B222" s="1" t="s">
        <v>489</v>
      </c>
      <c r="C222" s="9">
        <v>1</v>
      </c>
      <c r="D222" s="9">
        <v>1</v>
      </c>
      <c r="E222" s="9">
        <v>1</v>
      </c>
      <c r="F222" s="2"/>
      <c r="G222" s="1" t="s">
        <v>246</v>
      </c>
      <c r="H222" s="1" t="s">
        <v>490</v>
      </c>
      <c r="I222" s="9">
        <v>544</v>
      </c>
      <c r="J222" s="22">
        <v>26604</v>
      </c>
      <c r="K222" s="17"/>
      <c r="L222" s="17"/>
      <c r="M222" s="22">
        <v>43467</v>
      </c>
      <c r="N222" s="11" t="s">
        <v>244</v>
      </c>
      <c r="O222" s="17"/>
      <c r="P222" s="49"/>
      <c r="Q222" s="49"/>
      <c r="R222" s="11" t="s">
        <v>245</v>
      </c>
      <c r="S222" s="19"/>
      <c r="T222" s="9">
        <f>IF(ISBLANK(Table1[[#This Row], [Date de fin de lecture FR]]),"",YEAR(Table1[[#This Row], [Date de fin de lecture FR]]))</f>
      </c>
      <c r="U222" s="10">
        <f>IF(ISBLANK(Table1[[#This Row], [Date de fin de lecture FR]]),"",MONTH(Table1[[#This Row], [Date de fin de lecture FR]]))</f>
      </c>
      <c r="V222" s="4">
        <f>IF(ISBLANK(Table1[[#This Row], [Date de début de lecture]]),"",(IF(ISBLANK(Table1[[#This Row], [Date de fin de lecture FR]]),0,Table1[[#This Row], [Date de fin de lecture FR]]-Table1[[#This Row], [Date de début de lecture]])))</f>
      </c>
      <c r="W222" s="46">
        <f>IF(Table1[[#This Row], [Temps de lecture en jours]]="","",IF(ISBLANK(Table1[[#This Row], [Nbr Pages]]),0,Table1[[#This Row], [Nbr Pages]]/Table1[[#This Row], [Temps de lecture en jours]]))</f>
      </c>
      <c r="X222" s="4">
        <f>IF(ISBLANK(Table1[[#This Row], [Date d''achat]]),"",IF(ISBLANK(Table1[[#This Row], [Date de fin de lecture FR]]),0,Table1[[#This Row], [Date de fin de lecture FR]]-Table1[[#This Row], [Date d''achat]]))</f>
      </c>
      <c r="Y222" s="10">
        <f>IF(ISBLANK(Table1[[#This Row], [Date de sortie]]),"",ROUNDDOWN(YEAR(Table1[[#This Row], [Date de sortie]]),-1))</f>
      </c>
    </row>
    <row x14ac:dyDescent="0.25" r="223" customHeight="1" ht="18.75">
      <c r="A223" s="1" t="s">
        <v>37</v>
      </c>
      <c r="B223" s="1" t="s">
        <v>491</v>
      </c>
      <c r="C223" s="4"/>
      <c r="D223" s="9">
        <v>1</v>
      </c>
      <c r="E223" s="9">
        <v>1</v>
      </c>
      <c r="F223" s="2"/>
      <c r="G223" s="1" t="s">
        <v>227</v>
      </c>
      <c r="H223" s="19"/>
      <c r="I223" s="4"/>
      <c r="J223" s="17"/>
      <c r="K223" s="17"/>
      <c r="L223" s="22">
        <v>45166</v>
      </c>
      <c r="M223" s="22">
        <v>45177</v>
      </c>
      <c r="N223" s="19"/>
      <c r="O223" s="22"/>
      <c r="P223" s="49"/>
      <c r="Q223" s="49"/>
      <c r="R223" s="19"/>
      <c r="S223" s="19"/>
      <c r="T223" s="9">
        <f>IF(ISBLANK(Table1[[#This Row], [Date de fin de lecture FR]]),"",YEAR(Table1[[#This Row], [Date de fin de lecture FR]]))</f>
      </c>
      <c r="U223" s="9">
        <f>IF(ISBLANK(Table1[[#This Row], [Date de fin de lecture FR]]),"",MONTH(Table1[[#This Row], [Date de fin de lecture FR]]))</f>
      </c>
      <c r="V223" s="9">
        <f>IF(ISBLANK(Table1[[#This Row], [Date de début de lecture]]),"",(IF(ISBLANK(Table1[[#This Row], [Date de fin de lecture FR]]),0,Table1[[#This Row], [Date de fin de lecture FR]]-Table1[[#This Row], [Date de début de lecture]])))</f>
      </c>
      <c r="W223" s="21">
        <f>IF(Table1[[#This Row], [Temps de lecture en jours]]="","",IF(ISBLANK(Table1[[#This Row], [Nbr Pages]]),0,Table1[[#This Row], [Nbr Pages]]/Table1[[#This Row], [Temps de lecture en jours]]))</f>
      </c>
      <c r="X223" s="4">
        <f>IF(ISBLANK(Table1[[#This Row], [Date d''achat]]),"",IF(ISBLANK(Table1[[#This Row], [Date de fin de lecture FR]]),0,Table1[[#This Row], [Date de fin de lecture FR]]-Table1[[#This Row], [Date d''achat]]))</f>
      </c>
      <c r="Y223" s="1">
        <f>IF(ISBLANK(Table1[[#This Row], [Date de sortie]]),"",ROUNDDOWN(YEAR(Table1[[#This Row], [Date de sortie]]),-1))</f>
      </c>
    </row>
    <row x14ac:dyDescent="0.25" r="224" customHeight="1" ht="18.75">
      <c r="A224" s="1" t="s">
        <v>174</v>
      </c>
      <c r="B224" s="1" t="s">
        <v>491</v>
      </c>
      <c r="C224" s="9">
        <v>1</v>
      </c>
      <c r="D224" s="9">
        <v>1</v>
      </c>
      <c r="E224" s="9">
        <v>1</v>
      </c>
      <c r="F224" s="2"/>
      <c r="G224" s="1" t="s">
        <v>299</v>
      </c>
      <c r="H224" s="19"/>
      <c r="I224" s="9">
        <v>272</v>
      </c>
      <c r="J224" s="22">
        <v>20455</v>
      </c>
      <c r="K224" s="17"/>
      <c r="L224" s="17"/>
      <c r="M224" s="17"/>
      <c r="N224" s="11" t="s">
        <v>244</v>
      </c>
      <c r="O224" s="17"/>
      <c r="P224" s="49"/>
      <c r="Q224" s="49"/>
      <c r="R224" s="11" t="s">
        <v>245</v>
      </c>
      <c r="S224" s="19"/>
      <c r="T224" s="4">
        <f>IF(ISBLANK(Table1[[#This Row], [Date de fin de lecture FR]]),"",YEAR(Table1[[#This Row], [Date de fin de lecture FR]]))</f>
      </c>
      <c r="U224" s="10">
        <f>IF(ISBLANK(Table1[[#This Row], [Date de fin de lecture FR]]),"",MONTH(Table1[[#This Row], [Date de fin de lecture FR]]))</f>
      </c>
      <c r="V224" s="4">
        <f>IF(ISBLANK(Table1[[#This Row], [Date de début de lecture]]),"",(IF(ISBLANK(Table1[[#This Row], [Date de fin de lecture FR]]),0,Table1[[#This Row], [Date de fin de lecture FR]]-Table1[[#This Row], [Date de début de lecture]])))</f>
      </c>
      <c r="W224" s="46">
        <f>IF(Table1[[#This Row], [Temps de lecture en jours]]="","",IF(ISBLANK(Table1[[#This Row], [Nbr Pages]]),0,Table1[[#This Row], [Nbr Pages]]/Table1[[#This Row], [Temps de lecture en jours]]))</f>
      </c>
      <c r="X224" s="4">
        <f>IF(ISBLANK(Table1[[#This Row], [Date d''achat]]),"",IF(ISBLANK(Table1[[#This Row], [Date de fin de lecture FR]]),0,Table1[[#This Row], [Date de fin de lecture FR]]-Table1[[#This Row], [Date d''achat]]))</f>
      </c>
      <c r="Y224" s="10">
        <f>IF(ISBLANK(Table1[[#This Row], [Date de sortie]]),"",ROUNDDOWN(YEAR(Table1[[#This Row], [Date de sortie]]),-1))</f>
      </c>
    </row>
    <row x14ac:dyDescent="0.25" r="225" customHeight="1" ht="18.75">
      <c r="A225" s="1" t="s">
        <v>175</v>
      </c>
      <c r="B225" s="1" t="s">
        <v>491</v>
      </c>
      <c r="C225" s="9">
        <v>1</v>
      </c>
      <c r="D225" s="9">
        <v>1</v>
      </c>
      <c r="E225" s="9">
        <v>1</v>
      </c>
      <c r="F225" s="2"/>
      <c r="G225" s="1" t="s">
        <v>299</v>
      </c>
      <c r="H225" s="19"/>
      <c r="I225" s="9">
        <v>475</v>
      </c>
      <c r="J225" s="22">
        <v>18264</v>
      </c>
      <c r="K225" s="17"/>
      <c r="L225" s="17"/>
      <c r="M225" s="22">
        <v>42727</v>
      </c>
      <c r="N225" s="11" t="s">
        <v>244</v>
      </c>
      <c r="O225" s="17"/>
      <c r="P225" s="49"/>
      <c r="Q225" s="49"/>
      <c r="R225" s="11" t="s">
        <v>290</v>
      </c>
      <c r="S225" s="19"/>
      <c r="T225" s="9">
        <f>IF(ISBLANK(Table1[[#This Row], [Date de fin de lecture FR]]),"",YEAR(Table1[[#This Row], [Date de fin de lecture FR]]))</f>
      </c>
      <c r="U225" s="10">
        <f>IF(ISBLANK(Table1[[#This Row], [Date de fin de lecture FR]]),"",MONTH(Table1[[#This Row], [Date de fin de lecture FR]]))</f>
      </c>
      <c r="V225" s="4">
        <f>IF(ISBLANK(Table1[[#This Row], [Date de début de lecture]]),"",(IF(ISBLANK(Table1[[#This Row], [Date de fin de lecture FR]]),0,Table1[[#This Row], [Date de fin de lecture FR]]-Table1[[#This Row], [Date de début de lecture]])))</f>
      </c>
      <c r="W225" s="46">
        <f>IF(Table1[[#This Row], [Temps de lecture en jours]]="","",IF(ISBLANK(Table1[[#This Row], [Nbr Pages]]),0,Table1[[#This Row], [Nbr Pages]]/Table1[[#This Row], [Temps de lecture en jours]]))</f>
      </c>
      <c r="X225" s="4">
        <f>IF(ISBLANK(Table1[[#This Row], [Date d''achat]]),"",IF(ISBLANK(Table1[[#This Row], [Date de fin de lecture FR]]),0,Table1[[#This Row], [Date de fin de lecture FR]]-Table1[[#This Row], [Date d''achat]]))</f>
      </c>
      <c r="Y225" s="10">
        <f>IF(ISBLANK(Table1[[#This Row], [Date de sortie]]),"",ROUNDDOWN(YEAR(Table1[[#This Row], [Date de sortie]]),-1))</f>
      </c>
    </row>
    <row x14ac:dyDescent="0.25" r="226" customHeight="1" ht="18.75">
      <c r="A226" s="1" t="s">
        <v>492</v>
      </c>
      <c r="B226" s="1" t="s">
        <v>493</v>
      </c>
      <c r="C226" s="4"/>
      <c r="D226" s="4"/>
      <c r="E226" s="4"/>
      <c r="F226" s="2"/>
      <c r="G226" s="19"/>
      <c r="H226" s="19"/>
      <c r="I226" s="4"/>
      <c r="J226" s="17"/>
      <c r="K226" s="17"/>
      <c r="L226" s="17"/>
      <c r="M226" s="17"/>
      <c r="N226" s="19"/>
      <c r="O226" s="22"/>
      <c r="P226" s="49"/>
      <c r="Q226" s="49"/>
      <c r="R226" s="19"/>
      <c r="S226" s="53" t="s">
        <v>494</v>
      </c>
      <c r="T226" s="4">
        <f>IF(ISBLANK(Table1[[#This Row], [Date de fin de lecture FR]]),"",YEAR(Table1[[#This Row], [Date de fin de lecture FR]]))</f>
      </c>
      <c r="U226" s="1">
        <f>IF(ISBLANK(Table1[[#This Row], [Date de fin de lecture FR]]),"",MONTH(Table1[[#This Row], [Date de fin de lecture FR]]))</f>
      </c>
      <c r="V226" s="4">
        <f>IF(ISBLANK(Table1[[#This Row], [Date de début de lecture]]),"",(IF(ISBLANK(Table1[[#This Row], [Date de fin de lecture FR]]),0,Table1[[#This Row], [Date de fin de lecture FR]]-Table1[[#This Row], [Date de début de lecture]])))</f>
      </c>
      <c r="W226" s="24">
        <f>IF(Table1[[#This Row], [Temps de lecture en jours]]="","",IF(ISBLANK(Table1[[#This Row], [Nbr Pages]]),0,Table1[[#This Row], [Nbr Pages]]/Table1[[#This Row], [Temps de lecture en jours]]))</f>
      </c>
      <c r="X226" s="4">
        <f>IF(ISBLANK(Table1[[#This Row], [Date d''achat]]),"",IF(ISBLANK(Table1[[#This Row], [Date de fin de lecture FR]]),0,Table1[[#This Row], [Date de fin de lecture FR]]-Table1[[#This Row], [Date d''achat]]))</f>
      </c>
      <c r="Y226" s="1">
        <f>IF(ISBLANK(Table1[[#This Row], [Date de sortie]]),"",ROUNDDOWN(YEAR(Table1[[#This Row], [Date de sortie]]),-1))</f>
      </c>
    </row>
    <row x14ac:dyDescent="0.25" r="227" customHeight="1" ht="18.75">
      <c r="A227" s="1" t="s">
        <v>495</v>
      </c>
      <c r="B227" s="1" t="s">
        <v>496</v>
      </c>
      <c r="C227" s="4"/>
      <c r="D227" s="4"/>
      <c r="E227" s="4"/>
      <c r="F227" s="2"/>
      <c r="G227" s="1" t="s">
        <v>227</v>
      </c>
      <c r="H227" s="19"/>
      <c r="I227" s="4"/>
      <c r="J227" s="17"/>
      <c r="K227" s="17"/>
      <c r="L227" s="17"/>
      <c r="M227" s="17"/>
      <c r="N227" s="19"/>
      <c r="O227" s="22"/>
      <c r="P227" s="49"/>
      <c r="Q227" s="49"/>
      <c r="R227" s="22"/>
      <c r="S227" s="1" t="s">
        <v>497</v>
      </c>
      <c r="T227" s="4">
        <f>IF(ISBLANK(Table1[[#This Row], [Date de fin de lecture FR]]),"",YEAR(Table1[[#This Row], [Date de fin de lecture FR]]))</f>
      </c>
      <c r="U227" s="10">
        <f>IF(ISBLANK(Table1[[#This Row], [Date de fin de lecture FR]]),"",MONTH(Table1[[#This Row], [Date de fin de lecture FR]]))</f>
      </c>
      <c r="V227" s="4">
        <f>IF(ISBLANK(Table1[[#This Row], [Date de début de lecture]]),"",(IF(ISBLANK(Table1[[#This Row], [Date de fin de lecture FR]]),0,Table1[[#This Row], [Date de fin de lecture FR]]-Table1[[#This Row], [Date de début de lecture]])))</f>
      </c>
      <c r="W227" s="46">
        <f>IF(Table1[[#This Row], [Temps de lecture en jours]]="","",IF(ISBLANK(Table1[[#This Row], [Nbr Pages]]),0,Table1[[#This Row], [Nbr Pages]]/Table1[[#This Row], [Temps de lecture en jours]]))</f>
      </c>
      <c r="X227" s="4">
        <f>IF(ISBLANK(Table1[[#This Row], [Date d''achat]]),"",IF(ISBLANK(Table1[[#This Row], [Date de fin de lecture FR]]),0,Table1[[#This Row], [Date de fin de lecture FR]]-Table1[[#This Row], [Date d''achat]]))</f>
      </c>
      <c r="Y227" s="10">
        <f>IF(ISBLANK(Table1[[#This Row], [Date de sortie]]),"",ROUNDDOWN(YEAR(Table1[[#This Row], [Date de sortie]]),-1))</f>
      </c>
    </row>
    <row x14ac:dyDescent="0.25" r="228" customHeight="1" ht="18.75">
      <c r="A228" s="1" t="s">
        <v>498</v>
      </c>
      <c r="B228" s="1" t="s">
        <v>496</v>
      </c>
      <c r="C228" s="4"/>
      <c r="D228" s="4"/>
      <c r="E228" s="4"/>
      <c r="F228" s="2"/>
      <c r="G228" s="19"/>
      <c r="H228" s="19"/>
      <c r="I228" s="4"/>
      <c r="J228" s="17"/>
      <c r="K228" s="17"/>
      <c r="L228" s="17"/>
      <c r="M228" s="17"/>
      <c r="N228" s="19"/>
      <c r="O228" s="22"/>
      <c r="P228" s="49"/>
      <c r="Q228" s="49"/>
      <c r="R228" s="22"/>
      <c r="S228" s="19"/>
      <c r="T228" s="4">
        <f>IF(ISBLANK(Table1[[#This Row], [Date de fin de lecture FR]]),"",YEAR(Table1[[#This Row], [Date de fin de lecture FR]]))</f>
      </c>
      <c r="U228" s="10">
        <f>IF(ISBLANK(Table1[[#This Row], [Date de fin de lecture FR]]),"",MONTH(Table1[[#This Row], [Date de fin de lecture FR]]))</f>
      </c>
      <c r="V228" s="4">
        <f>IF(ISBLANK(Table1[[#This Row], [Date de début de lecture]]),"",(IF(ISBLANK(Table1[[#This Row], [Date de fin de lecture FR]]),0,Table1[[#This Row], [Date de fin de lecture FR]]-Table1[[#This Row], [Date de début de lecture]])))</f>
      </c>
      <c r="W228" s="46">
        <f>IF(Table1[[#This Row], [Temps de lecture en jours]]="","",IF(ISBLANK(Table1[[#This Row], [Nbr Pages]]),0,Table1[[#This Row], [Nbr Pages]]/Table1[[#This Row], [Temps de lecture en jours]]))</f>
      </c>
      <c r="X228" s="4">
        <f>IF(ISBLANK(Table1[[#This Row], [Date d''achat]]),"",IF(ISBLANK(Table1[[#This Row], [Date de fin de lecture FR]]),0,Table1[[#This Row], [Date de fin de lecture FR]]-Table1[[#This Row], [Date d''achat]]))</f>
      </c>
      <c r="Y228" s="10">
        <f>IF(ISBLANK(Table1[[#This Row], [Date de sortie]]),"",ROUNDDOWN(YEAR(Table1[[#This Row], [Date de sortie]]),-1))</f>
      </c>
    </row>
    <row x14ac:dyDescent="0.25" r="229" customHeight="1" ht="18.75">
      <c r="A229" s="1" t="s">
        <v>58</v>
      </c>
      <c r="B229" s="1" t="s">
        <v>499</v>
      </c>
      <c r="C229" s="9">
        <v>1</v>
      </c>
      <c r="D229" s="9">
        <v>1</v>
      </c>
      <c r="E229" s="9">
        <v>1</v>
      </c>
      <c r="F229" s="2"/>
      <c r="G229" s="1" t="s">
        <v>241</v>
      </c>
      <c r="H229" s="19"/>
      <c r="I229" s="9">
        <v>700</v>
      </c>
      <c r="J229" s="22">
        <v>41394</v>
      </c>
      <c r="K229" s="22">
        <v>44555</v>
      </c>
      <c r="L229" s="22">
        <v>44867</v>
      </c>
      <c r="M229" s="22">
        <v>44872</v>
      </c>
      <c r="N229" s="11" t="s">
        <v>217</v>
      </c>
      <c r="O229" s="17"/>
      <c r="P229" s="49"/>
      <c r="Q229" s="49"/>
      <c r="R229" s="11" t="s">
        <v>245</v>
      </c>
      <c r="S229" s="1" t="s">
        <v>500</v>
      </c>
      <c r="T229" s="9">
        <f>IF(ISBLANK(Table1[[#This Row], [Date de fin de lecture FR]]),"",YEAR(Table1[[#This Row], [Date de fin de lecture FR]]))</f>
      </c>
      <c r="U229" s="10">
        <f>IF(ISBLANK(Table1[[#This Row], [Date de fin de lecture FR]]),"",MONTH(Table1[[#This Row], [Date de fin de lecture FR]]))</f>
      </c>
      <c r="V229" s="9">
        <f>IF(ISBLANK(Table1[[#This Row], [Date de début de lecture]]),"",(IF(ISBLANK(Table1[[#This Row], [Date de fin de lecture FR]]),0,Table1[[#This Row], [Date de fin de lecture FR]]-Table1[[#This Row], [Date de début de lecture]])))</f>
      </c>
      <c r="W229" s="46">
        <f>IF(Table1[[#This Row], [Temps de lecture en jours]]="","",IF(ISBLANK(Table1[[#This Row], [Nbr Pages]]),0,Table1[[#This Row], [Nbr Pages]]/Table1[[#This Row], [Temps de lecture en jours]]))</f>
      </c>
      <c r="X229" s="9">
        <f>IF(ISBLANK(Table1[[#This Row], [Date d''achat]]),"",IF(ISBLANK(Table1[[#This Row], [Date de fin de lecture FR]]),0,Table1[[#This Row], [Date de fin de lecture FR]]-Table1[[#This Row], [Date d''achat]]))</f>
      </c>
      <c r="Y229" s="10">
        <f>IF(ISBLANK(Table1[[#This Row], [Date de sortie]]),"",ROUNDDOWN(YEAR(Table1[[#This Row], [Date de sortie]]),-1))</f>
      </c>
    </row>
    <row x14ac:dyDescent="0.25" r="230" customHeight="1" ht="18.75">
      <c r="A230" s="1" t="s">
        <v>501</v>
      </c>
      <c r="B230" s="1" t="s">
        <v>499</v>
      </c>
      <c r="C230" s="4"/>
      <c r="D230" s="4"/>
      <c r="E230" s="4"/>
      <c r="F230" s="2"/>
      <c r="G230" s="1" t="s">
        <v>241</v>
      </c>
      <c r="H230" s="19"/>
      <c r="I230" s="4"/>
      <c r="J230" s="17"/>
      <c r="K230" s="17"/>
      <c r="L230" s="17"/>
      <c r="M230" s="17"/>
      <c r="N230" s="19"/>
      <c r="O230" s="22"/>
      <c r="P230" s="49"/>
      <c r="Q230" s="49"/>
      <c r="R230" s="22"/>
      <c r="S230" s="19"/>
      <c r="T230" s="4">
        <f>IF(ISBLANK(Table1[[#This Row], [Date de fin de lecture FR]]),"",YEAR(Table1[[#This Row], [Date de fin de lecture FR]]))</f>
      </c>
      <c r="U230" s="10">
        <f>IF(ISBLANK(Table1[[#This Row], [Date de fin de lecture FR]]),"",MONTH(Table1[[#This Row], [Date de fin de lecture FR]]))</f>
      </c>
      <c r="V230" s="4">
        <f>IF(ISBLANK(Table1[[#This Row], [Date de début de lecture]]),"",(IF(ISBLANK(Table1[[#This Row], [Date de fin de lecture FR]]),0,Table1[[#This Row], [Date de fin de lecture FR]]-Table1[[#This Row], [Date de début de lecture]])))</f>
      </c>
      <c r="W230" s="46">
        <f>IF(Table1[[#This Row], [Temps de lecture en jours]]="","",IF(ISBLANK(Table1[[#This Row], [Nbr Pages]]),0,Table1[[#This Row], [Nbr Pages]]/Table1[[#This Row], [Temps de lecture en jours]]))</f>
      </c>
      <c r="X230" s="4">
        <f>IF(ISBLANK(Table1[[#This Row], [Date d''achat]]),"",IF(ISBLANK(Table1[[#This Row], [Date de fin de lecture FR]]),0,Table1[[#This Row], [Date de fin de lecture FR]]-Table1[[#This Row], [Date d''achat]]))</f>
      </c>
      <c r="Y230" s="10">
        <f>IF(ISBLANK(Table1[[#This Row], [Date de sortie]]),"",ROUNDDOWN(YEAR(Table1[[#This Row], [Date de sortie]]),-1))</f>
      </c>
    </row>
    <row x14ac:dyDescent="0.25" r="231" customHeight="1" ht="18.75">
      <c r="A231" s="1" t="s">
        <v>502</v>
      </c>
      <c r="B231" s="1" t="s">
        <v>499</v>
      </c>
      <c r="C231" s="4"/>
      <c r="D231" s="4"/>
      <c r="E231" s="4"/>
      <c r="F231" s="2"/>
      <c r="G231" s="1" t="s">
        <v>241</v>
      </c>
      <c r="H231" s="19"/>
      <c r="I231" s="4"/>
      <c r="J231" s="17"/>
      <c r="K231" s="17"/>
      <c r="L231" s="17"/>
      <c r="M231" s="17"/>
      <c r="N231" s="19"/>
      <c r="O231" s="22"/>
      <c r="P231" s="49"/>
      <c r="Q231" s="49"/>
      <c r="R231" s="22"/>
      <c r="S231" s="19"/>
      <c r="T231" s="4">
        <f>IF(ISBLANK(Table1[[#This Row], [Date de fin de lecture FR]]),"",YEAR(Table1[[#This Row], [Date de fin de lecture FR]]))</f>
      </c>
      <c r="U231" s="10">
        <f>IF(ISBLANK(Table1[[#This Row], [Date de fin de lecture FR]]),"",MONTH(Table1[[#This Row], [Date de fin de lecture FR]]))</f>
      </c>
      <c r="V231" s="4">
        <f>IF(ISBLANK(Table1[[#This Row], [Date de début de lecture]]),"",(IF(ISBLANK(Table1[[#This Row], [Date de fin de lecture FR]]),0,Table1[[#This Row], [Date de fin de lecture FR]]-Table1[[#This Row], [Date de début de lecture]])))</f>
      </c>
      <c r="W231" s="46">
        <f>IF(Table1[[#This Row], [Temps de lecture en jours]]="","",IF(ISBLANK(Table1[[#This Row], [Nbr Pages]]),0,Table1[[#This Row], [Nbr Pages]]/Table1[[#This Row], [Temps de lecture en jours]]))</f>
      </c>
      <c r="X231" s="4">
        <f>IF(ISBLANK(Table1[[#This Row], [Date d''achat]]),"",IF(ISBLANK(Table1[[#This Row], [Date de fin de lecture FR]]),0,Table1[[#This Row], [Date de fin de lecture FR]]-Table1[[#This Row], [Date d''achat]]))</f>
      </c>
      <c r="Y231" s="10">
        <f>IF(ISBLANK(Table1[[#This Row], [Date de sortie]]),"",ROUNDDOWN(YEAR(Table1[[#This Row], [Date de sortie]]),-1))</f>
      </c>
    </row>
    <row x14ac:dyDescent="0.25" r="232" customHeight="1" ht="18.75">
      <c r="A232" s="1" t="s">
        <v>503</v>
      </c>
      <c r="B232" s="1" t="s">
        <v>499</v>
      </c>
      <c r="C232" s="4"/>
      <c r="D232" s="4"/>
      <c r="E232" s="4"/>
      <c r="F232" s="2"/>
      <c r="G232" s="1" t="s">
        <v>241</v>
      </c>
      <c r="H232" s="19"/>
      <c r="I232" s="4"/>
      <c r="J232" s="17"/>
      <c r="K232" s="17"/>
      <c r="L232" s="17"/>
      <c r="M232" s="17"/>
      <c r="N232" s="19"/>
      <c r="O232" s="22"/>
      <c r="P232" s="49"/>
      <c r="Q232" s="49"/>
      <c r="R232" s="22"/>
      <c r="S232" s="19"/>
      <c r="T232" s="4">
        <f>IF(ISBLANK(Table1[[#This Row], [Date de fin de lecture FR]]),"",YEAR(Table1[[#This Row], [Date de fin de lecture FR]]))</f>
      </c>
      <c r="U232" s="10">
        <f>IF(ISBLANK(Table1[[#This Row], [Date de fin de lecture FR]]),"",MONTH(Table1[[#This Row], [Date de fin de lecture FR]]))</f>
      </c>
      <c r="V232" s="4">
        <f>IF(ISBLANK(Table1[[#This Row], [Date de début de lecture]]),"",(IF(ISBLANK(Table1[[#This Row], [Date de fin de lecture FR]]),0,Table1[[#This Row], [Date de fin de lecture FR]]-Table1[[#This Row], [Date de début de lecture]])))</f>
      </c>
      <c r="W232" s="46">
        <f>IF(Table1[[#This Row], [Temps de lecture en jours]]="","",IF(ISBLANK(Table1[[#This Row], [Nbr Pages]]),0,Table1[[#This Row], [Nbr Pages]]/Table1[[#This Row], [Temps de lecture en jours]]))</f>
      </c>
      <c r="X232" s="4">
        <f>IF(ISBLANK(Table1[[#This Row], [Date d''achat]]),"",IF(ISBLANK(Table1[[#This Row], [Date de fin de lecture FR]]),0,Table1[[#This Row], [Date de fin de lecture FR]]-Table1[[#This Row], [Date d''achat]]))</f>
      </c>
      <c r="Y232" s="10">
        <f>IF(ISBLANK(Table1[[#This Row], [Date de sortie]]),"",ROUNDDOWN(YEAR(Table1[[#This Row], [Date de sortie]]),-1))</f>
      </c>
    </row>
    <row x14ac:dyDescent="0.25" r="233" customHeight="1" ht="18.75">
      <c r="A233" s="1" t="s">
        <v>504</v>
      </c>
      <c r="B233" s="1" t="s">
        <v>499</v>
      </c>
      <c r="C233" s="4"/>
      <c r="D233" s="4"/>
      <c r="E233" s="4"/>
      <c r="F233" s="2"/>
      <c r="G233" s="1" t="s">
        <v>241</v>
      </c>
      <c r="H233" s="19"/>
      <c r="I233" s="4"/>
      <c r="J233" s="17"/>
      <c r="K233" s="17"/>
      <c r="L233" s="17"/>
      <c r="M233" s="17"/>
      <c r="N233" s="19"/>
      <c r="O233" s="22"/>
      <c r="P233" s="49"/>
      <c r="Q233" s="49"/>
      <c r="R233" s="22"/>
      <c r="S233" s="19"/>
      <c r="T233" s="4">
        <f>IF(ISBLANK(Table1[[#This Row], [Date de fin de lecture FR]]),"",YEAR(Table1[[#This Row], [Date de fin de lecture FR]]))</f>
      </c>
      <c r="U233" s="10">
        <f>IF(ISBLANK(Table1[[#This Row], [Date de fin de lecture FR]]),"",MONTH(Table1[[#This Row], [Date de fin de lecture FR]]))</f>
      </c>
      <c r="V233" s="4">
        <f>IF(ISBLANK(Table1[[#This Row], [Date de début de lecture]]),"",(IF(ISBLANK(Table1[[#This Row], [Date de fin de lecture FR]]),0,Table1[[#This Row], [Date de fin de lecture FR]]-Table1[[#This Row], [Date de début de lecture]])))</f>
      </c>
      <c r="W233" s="46">
        <f>IF(Table1[[#This Row], [Temps de lecture en jours]]="","",IF(ISBLANK(Table1[[#This Row], [Nbr Pages]]),0,Table1[[#This Row], [Nbr Pages]]/Table1[[#This Row], [Temps de lecture en jours]]))</f>
      </c>
      <c r="X233" s="4">
        <f>IF(ISBLANK(Table1[[#This Row], [Date d''achat]]),"",IF(ISBLANK(Table1[[#This Row], [Date de fin de lecture FR]]),0,Table1[[#This Row], [Date de fin de lecture FR]]-Table1[[#This Row], [Date d''achat]]))</f>
      </c>
      <c r="Y233" s="10">
        <f>IF(ISBLANK(Table1[[#This Row], [Date de sortie]]),"",ROUNDDOWN(YEAR(Table1[[#This Row], [Date de sortie]]),-1))</f>
      </c>
    </row>
    <row x14ac:dyDescent="0.25" r="234" customHeight="1" ht="18.75">
      <c r="A234" s="1" t="s">
        <v>176</v>
      </c>
      <c r="B234" s="1" t="s">
        <v>505</v>
      </c>
      <c r="C234" s="9">
        <v>1</v>
      </c>
      <c r="D234" s="9">
        <v>1</v>
      </c>
      <c r="E234" s="9">
        <v>1</v>
      </c>
      <c r="F234" s="2"/>
      <c r="G234" s="1" t="s">
        <v>246</v>
      </c>
      <c r="H234" s="19"/>
      <c r="I234" s="9">
        <v>1105</v>
      </c>
      <c r="J234" s="22">
        <v>34790</v>
      </c>
      <c r="K234" s="17"/>
      <c r="L234" s="17"/>
      <c r="M234" s="22">
        <v>42201</v>
      </c>
      <c r="N234" s="11" t="s">
        <v>255</v>
      </c>
      <c r="O234" s="21">
        <v>1</v>
      </c>
      <c r="P234" s="49"/>
      <c r="Q234" s="49"/>
      <c r="R234" s="11" t="s">
        <v>245</v>
      </c>
      <c r="S234" s="19"/>
      <c r="T234" s="9">
        <f>IF(ISBLANK(Table1[[#This Row], [Date de fin de lecture FR]]),"",YEAR(Table1[[#This Row], [Date de fin de lecture FR]]))</f>
      </c>
      <c r="U234" s="10">
        <f>IF(ISBLANK(Table1[[#This Row], [Date de fin de lecture FR]]),"",MONTH(Table1[[#This Row], [Date de fin de lecture FR]]))</f>
      </c>
      <c r="V234" s="4">
        <f>IF(ISBLANK(Table1[[#This Row], [Date de début de lecture]]),"",(IF(ISBLANK(Table1[[#This Row], [Date de fin de lecture FR]]),0,Table1[[#This Row], [Date de fin de lecture FR]]-Table1[[#This Row], [Date de début de lecture]])))</f>
      </c>
      <c r="W234" s="46">
        <f>IF(Table1[[#This Row], [Temps de lecture en jours]]="","",IF(ISBLANK(Table1[[#This Row], [Nbr Pages]]),0,Table1[[#This Row], [Nbr Pages]]/Table1[[#This Row], [Temps de lecture en jours]]))</f>
      </c>
      <c r="X234" s="4">
        <f>IF(ISBLANK(Table1[[#This Row], [Date d''achat]]),"",IF(ISBLANK(Table1[[#This Row], [Date de fin de lecture FR]]),0,Table1[[#This Row], [Date de fin de lecture FR]]-Table1[[#This Row], [Date d''achat]]))</f>
      </c>
      <c r="Y234" s="10">
        <f>IF(ISBLANK(Table1[[#This Row], [Date de sortie]]),"",ROUNDDOWN(YEAR(Table1[[#This Row], [Date de sortie]]),-1))</f>
      </c>
    </row>
    <row x14ac:dyDescent="0.25" r="235" customHeight="1" ht="18.75">
      <c r="A235" s="1" t="s">
        <v>177</v>
      </c>
      <c r="B235" s="1" t="s">
        <v>505</v>
      </c>
      <c r="C235" s="4"/>
      <c r="D235" s="9">
        <v>1</v>
      </c>
      <c r="E235" s="4"/>
      <c r="F235" s="2"/>
      <c r="G235" s="1" t="s">
        <v>246</v>
      </c>
      <c r="H235" s="19"/>
      <c r="I235" s="9">
        <v>300</v>
      </c>
      <c r="J235" s="22">
        <v>37987</v>
      </c>
      <c r="K235" s="17"/>
      <c r="L235" s="17"/>
      <c r="M235" s="22">
        <v>42326</v>
      </c>
      <c r="N235" s="11" t="s">
        <v>255</v>
      </c>
      <c r="O235" s="21">
        <v>10</v>
      </c>
      <c r="P235" s="49"/>
      <c r="Q235" s="49"/>
      <c r="R235" s="11" t="s">
        <v>245</v>
      </c>
      <c r="S235" s="19"/>
      <c r="T235" s="9">
        <f>IF(ISBLANK(Table1[[#This Row], [Date de fin de lecture FR]]),"",YEAR(Table1[[#This Row], [Date de fin de lecture FR]]))</f>
      </c>
      <c r="U235" s="10">
        <f>IF(ISBLANK(Table1[[#This Row], [Date de fin de lecture FR]]),"",MONTH(Table1[[#This Row], [Date de fin de lecture FR]]))</f>
      </c>
      <c r="V235" s="4">
        <f>IF(ISBLANK(Table1[[#This Row], [Date de début de lecture]]),"",(IF(ISBLANK(Table1[[#This Row], [Date de fin de lecture FR]]),0,Table1[[#This Row], [Date de fin de lecture FR]]-Table1[[#This Row], [Date de début de lecture]])))</f>
      </c>
      <c r="W235" s="46">
        <f>IF(Table1[[#This Row], [Temps de lecture en jours]]="","",IF(ISBLANK(Table1[[#This Row], [Nbr Pages]]),0,Table1[[#This Row], [Nbr Pages]]/Table1[[#This Row], [Temps de lecture en jours]]))</f>
      </c>
      <c r="X235" s="4">
        <f>IF(ISBLANK(Table1[[#This Row], [Date d''achat]]),"",IF(ISBLANK(Table1[[#This Row], [Date de fin de lecture FR]]),0,Table1[[#This Row], [Date de fin de lecture FR]]-Table1[[#This Row], [Date d''achat]]))</f>
      </c>
      <c r="Y235" s="10">
        <f>IF(ISBLANK(Table1[[#This Row], [Date de sortie]]),"",ROUNDDOWN(YEAR(Table1[[#This Row], [Date de sortie]]),-1))</f>
      </c>
    </row>
    <row x14ac:dyDescent="0.25" r="236" customHeight="1" ht="18.75">
      <c r="A236" s="1" t="s">
        <v>178</v>
      </c>
      <c r="B236" s="1" t="s">
        <v>505</v>
      </c>
      <c r="C236" s="9">
        <v>1</v>
      </c>
      <c r="D236" s="9">
        <v>1</v>
      </c>
      <c r="E236" s="9">
        <v>1</v>
      </c>
      <c r="F236" s="2"/>
      <c r="G236" s="1" t="s">
        <v>246</v>
      </c>
      <c r="H236" s="19"/>
      <c r="I236" s="9">
        <v>912</v>
      </c>
      <c r="J236" s="22">
        <v>36544</v>
      </c>
      <c r="K236" s="17"/>
      <c r="L236" s="17"/>
      <c r="M236" s="22">
        <v>42202</v>
      </c>
      <c r="N236" s="11" t="s">
        <v>255</v>
      </c>
      <c r="O236" s="21">
        <v>4</v>
      </c>
      <c r="P236" s="49"/>
      <c r="Q236" s="49"/>
      <c r="R236" s="11" t="s">
        <v>245</v>
      </c>
      <c r="S236" s="19"/>
      <c r="T236" s="9">
        <f>IF(ISBLANK(Table1[[#This Row], [Date de fin de lecture FR]]),"",YEAR(Table1[[#This Row], [Date de fin de lecture FR]]))</f>
      </c>
      <c r="U236" s="10">
        <f>IF(ISBLANK(Table1[[#This Row], [Date de fin de lecture FR]]),"",MONTH(Table1[[#This Row], [Date de fin de lecture FR]]))</f>
      </c>
      <c r="V236" s="4">
        <f>IF(ISBLANK(Table1[[#This Row], [Date de début de lecture]]),"",(IF(ISBLANK(Table1[[#This Row], [Date de fin de lecture FR]]),0,Table1[[#This Row], [Date de fin de lecture FR]]-Table1[[#This Row], [Date de début de lecture]])))</f>
      </c>
      <c r="W236" s="46">
        <f>IF(Table1[[#This Row], [Temps de lecture en jours]]="","",IF(ISBLANK(Table1[[#This Row], [Nbr Pages]]),0,Table1[[#This Row], [Nbr Pages]]/Table1[[#This Row], [Temps de lecture en jours]]))</f>
      </c>
      <c r="X236" s="4">
        <f>IF(ISBLANK(Table1[[#This Row], [Date d''achat]]),"",IF(ISBLANK(Table1[[#This Row], [Date de fin de lecture FR]]),0,Table1[[#This Row], [Date de fin de lecture FR]]-Table1[[#This Row], [Date d''achat]]))</f>
      </c>
      <c r="Y236" s="10">
        <f>IF(ISBLANK(Table1[[#This Row], [Date de sortie]]),"",ROUNDDOWN(YEAR(Table1[[#This Row], [Date de sortie]]),-1))</f>
      </c>
    </row>
    <row x14ac:dyDescent="0.25" r="237" customHeight="1" ht="18.75">
      <c r="A237" s="1" t="s">
        <v>179</v>
      </c>
      <c r="B237" s="1" t="s">
        <v>505</v>
      </c>
      <c r="C237" s="9">
        <v>1</v>
      </c>
      <c r="D237" s="9">
        <v>1</v>
      </c>
      <c r="E237" s="9">
        <v>1</v>
      </c>
      <c r="F237" s="2"/>
      <c r="G237" s="1" t="s">
        <v>246</v>
      </c>
      <c r="H237" s="19"/>
      <c r="I237" s="9">
        <v>1030</v>
      </c>
      <c r="J237" s="22">
        <v>37257</v>
      </c>
      <c r="K237" s="17"/>
      <c r="L237" s="17"/>
      <c r="M237" s="22">
        <v>42005</v>
      </c>
      <c r="N237" s="11" t="s">
        <v>255</v>
      </c>
      <c r="O237" s="21">
        <v>7</v>
      </c>
      <c r="P237" s="49"/>
      <c r="Q237" s="49"/>
      <c r="R237" s="11" t="s">
        <v>245</v>
      </c>
      <c r="S237" s="19"/>
      <c r="T237" s="9">
        <f>IF(ISBLANK(Table1[[#This Row], [Date de fin de lecture FR]]),"",YEAR(Table1[[#This Row], [Date de fin de lecture FR]]))</f>
      </c>
      <c r="U237" s="10">
        <f>IF(ISBLANK(Table1[[#This Row], [Date de fin de lecture FR]]),"",MONTH(Table1[[#This Row], [Date de fin de lecture FR]]))</f>
      </c>
      <c r="V237" s="4">
        <f>IF(ISBLANK(Table1[[#This Row], [Date de début de lecture]]),"",(IF(ISBLANK(Table1[[#This Row], [Date de fin de lecture FR]]),0,Table1[[#This Row], [Date de fin de lecture FR]]-Table1[[#This Row], [Date de début de lecture]])))</f>
      </c>
      <c r="W237" s="46">
        <f>IF(Table1[[#This Row], [Temps de lecture en jours]]="","",IF(ISBLANK(Table1[[#This Row], [Nbr Pages]]),0,Table1[[#This Row], [Nbr Pages]]/Table1[[#This Row], [Temps de lecture en jours]]))</f>
      </c>
      <c r="X237" s="4">
        <f>IF(ISBLANK(Table1[[#This Row], [Date d''achat]]),"",IF(ISBLANK(Table1[[#This Row], [Date de fin de lecture FR]]),0,Table1[[#This Row], [Date de fin de lecture FR]]-Table1[[#This Row], [Date d''achat]]))</f>
      </c>
      <c r="Y237" s="10">
        <f>IF(ISBLANK(Table1[[#This Row], [Date de sortie]]),"",ROUNDDOWN(YEAR(Table1[[#This Row], [Date de sortie]]),-1))</f>
      </c>
    </row>
    <row x14ac:dyDescent="0.25" r="238" customHeight="1" ht="18.75">
      <c r="A238" s="1" t="s">
        <v>180</v>
      </c>
      <c r="B238" s="1" t="s">
        <v>505</v>
      </c>
      <c r="C238" s="4"/>
      <c r="D238" s="9">
        <v>1</v>
      </c>
      <c r="E238" s="4"/>
      <c r="F238" s="2"/>
      <c r="G238" s="1" t="s">
        <v>246</v>
      </c>
      <c r="H238" s="19"/>
      <c r="I238" s="9">
        <v>471</v>
      </c>
      <c r="J238" s="22">
        <v>37622</v>
      </c>
      <c r="K238" s="17"/>
      <c r="L238" s="17"/>
      <c r="M238" s="22">
        <v>42005</v>
      </c>
      <c r="N238" s="11" t="s">
        <v>255</v>
      </c>
      <c r="O238" s="21">
        <v>9</v>
      </c>
      <c r="P238" s="49"/>
      <c r="Q238" s="49"/>
      <c r="R238" s="11" t="s">
        <v>245</v>
      </c>
      <c r="S238" s="19"/>
      <c r="T238" s="9">
        <f>IF(ISBLANK(Table1[[#This Row], [Date de fin de lecture FR]]),"",YEAR(Table1[[#This Row], [Date de fin de lecture FR]]))</f>
      </c>
      <c r="U238" s="10">
        <f>IF(ISBLANK(Table1[[#This Row], [Date de fin de lecture FR]]),"",MONTH(Table1[[#This Row], [Date de fin de lecture FR]]))</f>
      </c>
      <c r="V238" s="4">
        <f>IF(ISBLANK(Table1[[#This Row], [Date de début de lecture]]),"",(IF(ISBLANK(Table1[[#This Row], [Date de fin de lecture FR]]),0,Table1[[#This Row], [Date de fin de lecture FR]]-Table1[[#This Row], [Date de début de lecture]])))</f>
      </c>
      <c r="W238" s="46">
        <f>IF(Table1[[#This Row], [Temps de lecture en jours]]="","",IF(ISBLANK(Table1[[#This Row], [Nbr Pages]]),0,Table1[[#This Row], [Nbr Pages]]/Table1[[#This Row], [Temps de lecture en jours]]))</f>
      </c>
      <c r="X238" s="4">
        <f>IF(ISBLANK(Table1[[#This Row], [Date d''achat]]),"",IF(ISBLANK(Table1[[#This Row], [Date de fin de lecture FR]]),0,Table1[[#This Row], [Date de fin de lecture FR]]-Table1[[#This Row], [Date d''achat]]))</f>
      </c>
      <c r="Y238" s="10">
        <f>IF(ISBLANK(Table1[[#This Row], [Date de sortie]]),"",ROUNDDOWN(YEAR(Table1[[#This Row], [Date de sortie]]),-1))</f>
      </c>
    </row>
    <row x14ac:dyDescent="0.25" r="239" customHeight="1" ht="18.75">
      <c r="A239" s="1" t="s">
        <v>506</v>
      </c>
      <c r="B239" s="1" t="s">
        <v>505</v>
      </c>
      <c r="C239" s="9">
        <v>1</v>
      </c>
      <c r="D239" s="4"/>
      <c r="E239" s="4"/>
      <c r="F239" s="2"/>
      <c r="G239" s="1" t="s">
        <v>246</v>
      </c>
      <c r="H239" s="19"/>
      <c r="I239" s="4"/>
      <c r="J239" s="17"/>
      <c r="K239" s="17"/>
      <c r="L239" s="17"/>
      <c r="M239" s="17"/>
      <c r="N239" s="19"/>
      <c r="O239" s="22"/>
      <c r="P239" s="49"/>
      <c r="Q239" s="49"/>
      <c r="R239" s="22"/>
      <c r="S239" s="1" t="s">
        <v>507</v>
      </c>
      <c r="T239" s="4">
        <f>IF(ISBLANK(Table1[[#This Row], [Date de fin de lecture FR]]),"",YEAR(Table1[[#This Row], [Date de fin de lecture FR]]))</f>
      </c>
      <c r="U239" s="10">
        <f>IF(ISBLANK(Table1[[#This Row], [Date de fin de lecture FR]]),"",MONTH(Table1[[#This Row], [Date de fin de lecture FR]]))</f>
      </c>
      <c r="V239" s="4">
        <f>IF(ISBLANK(Table1[[#This Row], [Date de début de lecture]]),"",(IF(ISBLANK(Table1[[#This Row], [Date de fin de lecture FR]]),0,Table1[[#This Row], [Date de fin de lecture FR]]-Table1[[#This Row], [Date de début de lecture]])))</f>
      </c>
      <c r="W239" s="46">
        <f>IF(Table1[[#This Row], [Temps de lecture en jours]]="","",IF(ISBLANK(Table1[[#This Row], [Nbr Pages]]),0,Table1[[#This Row], [Nbr Pages]]/Table1[[#This Row], [Temps de lecture en jours]]))</f>
      </c>
      <c r="X239" s="4">
        <f>IF(ISBLANK(Table1[[#This Row], [Date d''achat]]),"",IF(ISBLANK(Table1[[#This Row], [Date de fin de lecture FR]]),0,Table1[[#This Row], [Date de fin de lecture FR]]-Table1[[#This Row], [Date d''achat]]))</f>
      </c>
      <c r="Y239" s="10">
        <f>IF(ISBLANK(Table1[[#This Row], [Date de sortie]]),"",ROUNDDOWN(YEAR(Table1[[#This Row], [Date de sortie]]),-1))</f>
      </c>
    </row>
    <row x14ac:dyDescent="0.25" r="240" customHeight="1" ht="18.75">
      <c r="A240" s="1" t="s">
        <v>181</v>
      </c>
      <c r="B240" s="1" t="s">
        <v>505</v>
      </c>
      <c r="C240" s="9">
        <v>1</v>
      </c>
      <c r="D240" s="9">
        <v>1</v>
      </c>
      <c r="E240" s="4"/>
      <c r="F240" s="2"/>
      <c r="G240" s="1" t="s">
        <v>246</v>
      </c>
      <c r="H240" s="19"/>
      <c r="I240" s="9">
        <v>317</v>
      </c>
      <c r="J240" s="22">
        <v>37904</v>
      </c>
      <c r="K240" s="17"/>
      <c r="L240" s="17"/>
      <c r="M240" s="17"/>
      <c r="N240" s="11" t="s">
        <v>255</v>
      </c>
      <c r="O240" s="21">
        <v>1</v>
      </c>
      <c r="P240" s="49"/>
      <c r="Q240" s="49"/>
      <c r="R240" s="11" t="s">
        <v>245</v>
      </c>
      <c r="S240" s="1" t="s">
        <v>507</v>
      </c>
      <c r="T240" s="4">
        <f>IF(ISBLANK(Table1[[#This Row], [Date de fin de lecture FR]]),"",YEAR(Table1[[#This Row], [Date de fin de lecture FR]]))</f>
      </c>
      <c r="U240" s="10">
        <f>IF(ISBLANK(Table1[[#This Row], [Date de fin de lecture FR]]),"",MONTH(Table1[[#This Row], [Date de fin de lecture FR]]))</f>
      </c>
      <c r="V240" s="4">
        <f>IF(ISBLANK(Table1[[#This Row], [Date de début de lecture]]),"",(IF(ISBLANK(Table1[[#This Row], [Date de fin de lecture FR]]),0,Table1[[#This Row], [Date de fin de lecture FR]]-Table1[[#This Row], [Date de début de lecture]])))</f>
      </c>
      <c r="W240" s="46">
        <f>IF(Table1[[#This Row], [Temps de lecture en jours]]="","",IF(ISBLANK(Table1[[#This Row], [Nbr Pages]]),0,Table1[[#This Row], [Nbr Pages]]/Table1[[#This Row], [Temps de lecture en jours]]))</f>
      </c>
      <c r="X240" s="4">
        <f>IF(ISBLANK(Table1[[#This Row], [Date d''achat]]),"",IF(ISBLANK(Table1[[#This Row], [Date de fin de lecture FR]]),0,Table1[[#This Row], [Date de fin de lecture FR]]-Table1[[#This Row], [Date d''achat]]))</f>
      </c>
      <c r="Y240" s="10">
        <f>IF(ISBLANK(Table1[[#This Row], [Date de sortie]]),"",ROUNDDOWN(YEAR(Table1[[#This Row], [Date de sortie]]),-1))</f>
      </c>
    </row>
    <row x14ac:dyDescent="0.25" r="241" customHeight="1" ht="18.75">
      <c r="A241" s="1" t="s">
        <v>182</v>
      </c>
      <c r="B241" s="1" t="s">
        <v>505</v>
      </c>
      <c r="C241" s="9">
        <v>1</v>
      </c>
      <c r="D241" s="9">
        <v>1</v>
      </c>
      <c r="E241" s="4"/>
      <c r="F241" s="2"/>
      <c r="G241" s="1" t="s">
        <v>246</v>
      </c>
      <c r="H241" s="19"/>
      <c r="I241" s="9">
        <v>384</v>
      </c>
      <c r="J241" s="22">
        <v>37904</v>
      </c>
      <c r="K241" s="17"/>
      <c r="L241" s="17"/>
      <c r="M241" s="17"/>
      <c r="N241" s="11" t="s">
        <v>255</v>
      </c>
      <c r="O241" s="21">
        <v>2</v>
      </c>
      <c r="P241" s="49"/>
      <c r="Q241" s="49"/>
      <c r="R241" s="11" t="s">
        <v>245</v>
      </c>
      <c r="S241" s="1" t="s">
        <v>507</v>
      </c>
      <c r="T241" s="4">
        <f>IF(ISBLANK(Table1[[#This Row], [Date de fin de lecture FR]]),"",YEAR(Table1[[#This Row], [Date de fin de lecture FR]]))</f>
      </c>
      <c r="U241" s="10">
        <f>IF(ISBLANK(Table1[[#This Row], [Date de fin de lecture FR]]),"",MONTH(Table1[[#This Row], [Date de fin de lecture FR]]))</f>
      </c>
      <c r="V241" s="4">
        <f>IF(ISBLANK(Table1[[#This Row], [Date de début de lecture]]),"",(IF(ISBLANK(Table1[[#This Row], [Date de fin de lecture FR]]),0,Table1[[#This Row], [Date de fin de lecture FR]]-Table1[[#This Row], [Date de début de lecture]])))</f>
      </c>
      <c r="W241" s="46">
        <f>IF(Table1[[#This Row], [Temps de lecture en jours]]="","",IF(ISBLANK(Table1[[#This Row], [Nbr Pages]]),0,Table1[[#This Row], [Nbr Pages]]/Table1[[#This Row], [Temps de lecture en jours]]))</f>
      </c>
      <c r="X241" s="4">
        <f>IF(ISBLANK(Table1[[#This Row], [Date d''achat]]),"",IF(ISBLANK(Table1[[#This Row], [Date de fin de lecture FR]]),0,Table1[[#This Row], [Date de fin de lecture FR]]-Table1[[#This Row], [Date d''achat]]))</f>
      </c>
      <c r="Y241" s="10">
        <f>IF(ISBLANK(Table1[[#This Row], [Date de sortie]]),"",ROUNDDOWN(YEAR(Table1[[#This Row], [Date de sortie]]),-1))</f>
      </c>
    </row>
    <row x14ac:dyDescent="0.25" r="242" customHeight="1" ht="18.75">
      <c r="A242" s="1" t="s">
        <v>183</v>
      </c>
      <c r="B242" s="1" t="s">
        <v>505</v>
      </c>
      <c r="C242" s="9">
        <v>1</v>
      </c>
      <c r="D242" s="9">
        <v>1</v>
      </c>
      <c r="E242" s="4"/>
      <c r="F242" s="2"/>
      <c r="G242" s="1" t="s">
        <v>246</v>
      </c>
      <c r="H242" s="19"/>
      <c r="I242" s="9">
        <v>379</v>
      </c>
      <c r="J242" s="22">
        <v>37904</v>
      </c>
      <c r="K242" s="17"/>
      <c r="L242" s="17"/>
      <c r="M242" s="22">
        <v>42789</v>
      </c>
      <c r="N242" s="11" t="s">
        <v>255</v>
      </c>
      <c r="O242" s="21">
        <v>3</v>
      </c>
      <c r="P242" s="49"/>
      <c r="Q242" s="49"/>
      <c r="R242" s="11" t="s">
        <v>245</v>
      </c>
      <c r="S242" s="1" t="s">
        <v>507</v>
      </c>
      <c r="T242" s="9">
        <f>IF(ISBLANK(Table1[[#This Row], [Date de fin de lecture FR]]),"",YEAR(Table1[[#This Row], [Date de fin de lecture FR]]))</f>
      </c>
      <c r="U242" s="10">
        <f>IF(ISBLANK(Table1[[#This Row], [Date de fin de lecture FR]]),"",MONTH(Table1[[#This Row], [Date de fin de lecture FR]]))</f>
      </c>
      <c r="V242" s="4">
        <f>IF(ISBLANK(Table1[[#This Row], [Date de début de lecture]]),"",(IF(ISBLANK(Table1[[#This Row], [Date de fin de lecture FR]]),0,Table1[[#This Row], [Date de fin de lecture FR]]-Table1[[#This Row], [Date de début de lecture]])))</f>
      </c>
      <c r="W242" s="46">
        <f>IF(Table1[[#This Row], [Temps de lecture en jours]]="","",IF(ISBLANK(Table1[[#This Row], [Nbr Pages]]),0,Table1[[#This Row], [Nbr Pages]]/Table1[[#This Row], [Temps de lecture en jours]]))</f>
      </c>
      <c r="X242" s="4">
        <f>IF(ISBLANK(Table1[[#This Row], [Date d''achat]]),"",IF(ISBLANK(Table1[[#This Row], [Date de fin de lecture FR]]),0,Table1[[#This Row], [Date de fin de lecture FR]]-Table1[[#This Row], [Date d''achat]]))</f>
      </c>
      <c r="Y242" s="10">
        <f>IF(ISBLANK(Table1[[#This Row], [Date de sortie]]),"",ROUNDDOWN(YEAR(Table1[[#This Row], [Date de sortie]]),-1))</f>
      </c>
    </row>
    <row x14ac:dyDescent="0.25" r="243" customHeight="1" ht="18.75">
      <c r="A243" s="1" t="s">
        <v>508</v>
      </c>
      <c r="B243" s="1" t="s">
        <v>505</v>
      </c>
      <c r="C243" s="9">
        <v>1</v>
      </c>
      <c r="D243" s="4"/>
      <c r="E243" s="4"/>
      <c r="F243" s="2"/>
      <c r="G243" s="1" t="s">
        <v>246</v>
      </c>
      <c r="H243" s="19"/>
      <c r="I243" s="4"/>
      <c r="J243" s="17"/>
      <c r="K243" s="17"/>
      <c r="L243" s="17"/>
      <c r="M243" s="17"/>
      <c r="N243" s="19"/>
      <c r="O243" s="22"/>
      <c r="P243" s="49"/>
      <c r="Q243" s="49"/>
      <c r="R243" s="22"/>
      <c r="S243" s="19"/>
      <c r="T243" s="4">
        <f>IF(ISBLANK(Table1[[#This Row], [Date de fin de lecture FR]]),"",YEAR(Table1[[#This Row], [Date de fin de lecture FR]]))</f>
      </c>
      <c r="U243" s="10">
        <f>IF(ISBLANK(Table1[[#This Row], [Date de fin de lecture FR]]),"",MONTH(Table1[[#This Row], [Date de fin de lecture FR]]))</f>
      </c>
      <c r="V243" s="4">
        <f>IF(ISBLANK(Table1[[#This Row], [Date de début de lecture]]),"",(IF(ISBLANK(Table1[[#This Row], [Date de fin de lecture FR]]),0,Table1[[#This Row], [Date de fin de lecture FR]]-Table1[[#This Row], [Date de début de lecture]])))</f>
      </c>
      <c r="W243" s="46">
        <f>IF(Table1[[#This Row], [Temps de lecture en jours]]="","",IF(ISBLANK(Table1[[#This Row], [Nbr Pages]]),0,Table1[[#This Row], [Nbr Pages]]/Table1[[#This Row], [Temps de lecture en jours]]))</f>
      </c>
      <c r="X243" s="4">
        <f>IF(ISBLANK(Table1[[#This Row], [Date d''achat]]),"",IF(ISBLANK(Table1[[#This Row], [Date de fin de lecture FR]]),0,Table1[[#This Row], [Date de fin de lecture FR]]-Table1[[#This Row], [Date d''achat]]))</f>
      </c>
      <c r="Y243" s="10">
        <f>IF(ISBLANK(Table1[[#This Row], [Date de sortie]]),"",ROUNDDOWN(YEAR(Table1[[#This Row], [Date de sortie]]),-1))</f>
      </c>
    </row>
    <row x14ac:dyDescent="0.25" r="244" customHeight="1" ht="18.75">
      <c r="A244" s="1" t="s">
        <v>509</v>
      </c>
      <c r="B244" s="1" t="s">
        <v>505</v>
      </c>
      <c r="C244" s="9">
        <v>1</v>
      </c>
      <c r="D244" s="4"/>
      <c r="E244" s="4"/>
      <c r="F244" s="2"/>
      <c r="G244" s="1" t="s">
        <v>246</v>
      </c>
      <c r="H244" s="19"/>
      <c r="I244" s="9">
        <v>96</v>
      </c>
      <c r="J244" s="17"/>
      <c r="K244" s="17"/>
      <c r="L244" s="17"/>
      <c r="M244" s="17"/>
      <c r="N244" s="19"/>
      <c r="O244" s="22"/>
      <c r="P244" s="49"/>
      <c r="Q244" s="49"/>
      <c r="R244" s="22"/>
      <c r="S244" s="19"/>
      <c r="T244" s="4">
        <f>IF(ISBLANK(Table1[[#This Row], [Date de fin de lecture FR]]),"",YEAR(Table1[[#This Row], [Date de fin de lecture FR]]))</f>
      </c>
      <c r="U244" s="10">
        <f>IF(ISBLANK(Table1[[#This Row], [Date de fin de lecture FR]]),"",MONTH(Table1[[#This Row], [Date de fin de lecture FR]]))</f>
      </c>
      <c r="V244" s="4">
        <f>IF(ISBLANK(Table1[[#This Row], [Date de début de lecture]]),"",(IF(ISBLANK(Table1[[#This Row], [Date de fin de lecture FR]]),0,Table1[[#This Row], [Date de fin de lecture FR]]-Table1[[#This Row], [Date de début de lecture]])))</f>
      </c>
      <c r="W244" s="46">
        <f>IF(Table1[[#This Row], [Temps de lecture en jours]]="","",IF(ISBLANK(Table1[[#This Row], [Nbr Pages]]),0,Table1[[#This Row], [Nbr Pages]]/Table1[[#This Row], [Temps de lecture en jours]]))</f>
      </c>
      <c r="X244" s="4">
        <f>IF(ISBLANK(Table1[[#This Row], [Date d''achat]]),"",IF(ISBLANK(Table1[[#This Row], [Date de fin de lecture FR]]),0,Table1[[#This Row], [Date de fin de lecture FR]]-Table1[[#This Row], [Date d''achat]]))</f>
      </c>
      <c r="Y244" s="10">
        <f>IF(ISBLANK(Table1[[#This Row], [Date de sortie]]),"",ROUNDDOWN(YEAR(Table1[[#This Row], [Date de sortie]]),-1))</f>
      </c>
    </row>
    <row x14ac:dyDescent="0.25" r="245" customHeight="1" ht="18.75">
      <c r="A245" s="1" t="s">
        <v>510</v>
      </c>
      <c r="B245" s="1" t="s">
        <v>511</v>
      </c>
      <c r="C245" s="9">
        <v>1</v>
      </c>
      <c r="D245" s="4"/>
      <c r="E245" s="4"/>
      <c r="F245" s="2"/>
      <c r="G245" s="1" t="s">
        <v>227</v>
      </c>
      <c r="H245" s="19"/>
      <c r="I245" s="4"/>
      <c r="J245" s="17"/>
      <c r="K245" s="17"/>
      <c r="L245" s="17"/>
      <c r="M245" s="17"/>
      <c r="N245" s="19"/>
      <c r="O245" s="22"/>
      <c r="P245" s="49"/>
      <c r="Q245" s="49"/>
      <c r="R245" s="22"/>
      <c r="S245" s="19"/>
      <c r="T245" s="4">
        <f>IF(ISBLANK(Table1[[#This Row], [Date de fin de lecture FR]]),"",YEAR(Table1[[#This Row], [Date de fin de lecture FR]]))</f>
      </c>
      <c r="U245" s="10">
        <f>IF(ISBLANK(Table1[[#This Row], [Date de fin de lecture FR]]),"",MONTH(Table1[[#This Row], [Date de fin de lecture FR]]))</f>
      </c>
      <c r="V245" s="4">
        <f>IF(ISBLANK(Table1[[#This Row], [Date de début de lecture]]),"",(IF(ISBLANK(Table1[[#This Row], [Date de fin de lecture FR]]),0,Table1[[#This Row], [Date de fin de lecture FR]]-Table1[[#This Row], [Date de début de lecture]])))</f>
      </c>
      <c r="W245" s="46">
        <f>IF(Table1[[#This Row], [Temps de lecture en jours]]="","",IF(ISBLANK(Table1[[#This Row], [Nbr Pages]]),0,Table1[[#This Row], [Nbr Pages]]/Table1[[#This Row], [Temps de lecture en jours]]))</f>
      </c>
      <c r="X245" s="4">
        <f>IF(ISBLANK(Table1[[#This Row], [Date d''achat]]),"",IF(ISBLANK(Table1[[#This Row], [Date de fin de lecture FR]]),0,Table1[[#This Row], [Date de fin de lecture FR]]-Table1[[#This Row], [Date d''achat]]))</f>
      </c>
      <c r="Y245" s="10">
        <f>IF(ISBLANK(Table1[[#This Row], [Date de sortie]]),"",ROUNDDOWN(YEAR(Table1[[#This Row], [Date de sortie]]),-1))</f>
      </c>
    </row>
    <row x14ac:dyDescent="0.25" r="246" customHeight="1" ht="18.75">
      <c r="A246" s="1" t="s">
        <v>512</v>
      </c>
      <c r="B246" s="1" t="s">
        <v>511</v>
      </c>
      <c r="C246" s="9">
        <v>1</v>
      </c>
      <c r="D246" s="4"/>
      <c r="E246" s="4"/>
      <c r="F246" s="2"/>
      <c r="G246" s="1" t="s">
        <v>227</v>
      </c>
      <c r="H246" s="19"/>
      <c r="I246" s="4"/>
      <c r="J246" s="17"/>
      <c r="K246" s="17"/>
      <c r="L246" s="17"/>
      <c r="M246" s="17"/>
      <c r="N246" s="19"/>
      <c r="O246" s="22"/>
      <c r="P246" s="49"/>
      <c r="Q246" s="49"/>
      <c r="R246" s="22"/>
      <c r="S246" s="19"/>
      <c r="T246" s="4">
        <f>IF(ISBLANK(Table1[[#This Row], [Date de fin de lecture FR]]),"",YEAR(Table1[[#This Row], [Date de fin de lecture FR]]))</f>
      </c>
      <c r="U246" s="10">
        <f>IF(ISBLANK(Table1[[#This Row], [Date de fin de lecture FR]]),"",MONTH(Table1[[#This Row], [Date de fin de lecture FR]]))</f>
      </c>
      <c r="V246" s="4">
        <f>IF(ISBLANK(Table1[[#This Row], [Date de début de lecture]]),"",(IF(ISBLANK(Table1[[#This Row], [Date de fin de lecture FR]]),0,Table1[[#This Row], [Date de fin de lecture FR]]-Table1[[#This Row], [Date de début de lecture]])))</f>
      </c>
      <c r="W246" s="46">
        <f>IF(Table1[[#This Row], [Temps de lecture en jours]]="","",IF(ISBLANK(Table1[[#This Row], [Nbr Pages]]),0,Table1[[#This Row], [Nbr Pages]]/Table1[[#This Row], [Temps de lecture en jours]]))</f>
      </c>
      <c r="X246" s="4">
        <f>IF(ISBLANK(Table1[[#This Row], [Date d''achat]]),"",IF(ISBLANK(Table1[[#This Row], [Date de fin de lecture FR]]),0,Table1[[#This Row], [Date de fin de lecture FR]]-Table1[[#This Row], [Date d''achat]]))</f>
      </c>
      <c r="Y246" s="10">
        <f>IF(ISBLANK(Table1[[#This Row], [Date de sortie]]),"",ROUNDDOWN(YEAR(Table1[[#This Row], [Date de sortie]]),-1))</f>
      </c>
    </row>
    <row x14ac:dyDescent="0.25" r="247" customHeight="1" ht="18.75">
      <c r="A247" s="1" t="s">
        <v>54</v>
      </c>
      <c r="B247" s="1" t="s">
        <v>513</v>
      </c>
      <c r="C247" s="9">
        <v>1</v>
      </c>
      <c r="D247" s="9">
        <v>1</v>
      </c>
      <c r="E247" s="9">
        <v>1</v>
      </c>
      <c r="F247" s="2"/>
      <c r="G247" s="1" t="s">
        <v>246</v>
      </c>
      <c r="H247" s="19"/>
      <c r="I247" s="9">
        <v>572</v>
      </c>
      <c r="J247" s="17"/>
      <c r="K247" s="22">
        <v>44921</v>
      </c>
      <c r="L247" s="22">
        <v>44922</v>
      </c>
      <c r="M247" s="22">
        <v>44933</v>
      </c>
      <c r="N247" s="11" t="s">
        <v>255</v>
      </c>
      <c r="O247" s="21">
        <v>1</v>
      </c>
      <c r="P247" s="49"/>
      <c r="Q247" s="49"/>
      <c r="R247" s="11" t="s">
        <v>245</v>
      </c>
      <c r="S247" s="19"/>
      <c r="T247" s="9">
        <f>IF(ISBLANK(Table1[[#This Row], [Date de fin de lecture FR]]),"",YEAR(Table1[[#This Row], [Date de fin de lecture FR]]))</f>
      </c>
      <c r="U247" s="10">
        <f>IF(ISBLANK(Table1[[#This Row], [Date de fin de lecture FR]]),"",MONTH(Table1[[#This Row], [Date de fin de lecture FR]]))</f>
      </c>
      <c r="V247" s="9">
        <f>IF(ISBLANK(Table1[[#This Row], [Date de début de lecture]]),"",(IF(ISBLANK(Table1[[#This Row], [Date de fin de lecture FR]]),0,Table1[[#This Row], [Date de fin de lecture FR]]-Table1[[#This Row], [Date de début de lecture]])))</f>
      </c>
      <c r="W247" s="46">
        <f>IF(Table1[[#This Row], [Temps de lecture en jours]]="","",IF(ISBLANK(Table1[[#This Row], [Nbr Pages]]),0,Table1[[#This Row], [Nbr Pages]]/Table1[[#This Row], [Temps de lecture en jours]]))</f>
      </c>
      <c r="X247" s="9">
        <f>IF(ISBLANK(Table1[[#This Row], [Date d''achat]]),"",IF(ISBLANK(Table1[[#This Row], [Date de fin de lecture FR]]),0,Table1[[#This Row], [Date de fin de lecture FR]]-Table1[[#This Row], [Date d''achat]]))</f>
      </c>
      <c r="Y247" s="10">
        <f>IF(ISBLANK(Table1[[#This Row], [Date de sortie]]),"",ROUNDDOWN(YEAR(Table1[[#This Row], [Date de sortie]]),-1))</f>
      </c>
    </row>
    <row x14ac:dyDescent="0.25" r="248" customHeight="1" ht="18.75">
      <c r="A248" s="1" t="s">
        <v>53</v>
      </c>
      <c r="B248" s="1" t="s">
        <v>513</v>
      </c>
      <c r="C248" s="9">
        <v>1</v>
      </c>
      <c r="D248" s="9">
        <v>1</v>
      </c>
      <c r="E248" s="4"/>
      <c r="F248" s="2"/>
      <c r="G248" s="1" t="s">
        <v>246</v>
      </c>
      <c r="H248" s="19"/>
      <c r="I248" s="9">
        <v>569</v>
      </c>
      <c r="J248" s="17"/>
      <c r="K248" s="22">
        <v>44921</v>
      </c>
      <c r="L248" s="22">
        <v>44934</v>
      </c>
      <c r="M248" s="22">
        <v>44947</v>
      </c>
      <c r="N248" s="11" t="s">
        <v>255</v>
      </c>
      <c r="O248" s="21">
        <v>1</v>
      </c>
      <c r="P248" s="49"/>
      <c r="Q248" s="49"/>
      <c r="R248" s="11" t="s">
        <v>245</v>
      </c>
      <c r="S248" s="1" t="s">
        <v>514</v>
      </c>
      <c r="T248" s="9">
        <f>IF(ISBLANK(Table1[[#This Row], [Date de fin de lecture FR]]),"",YEAR(Table1[[#This Row], [Date de fin de lecture FR]]))</f>
      </c>
      <c r="U248" s="10">
        <f>IF(ISBLANK(Table1[[#This Row], [Date de fin de lecture FR]]),"",MONTH(Table1[[#This Row], [Date de fin de lecture FR]]))</f>
      </c>
      <c r="V248" s="9">
        <f>IF(ISBLANK(Table1[[#This Row], [Date de début de lecture]]),"",(IF(ISBLANK(Table1[[#This Row], [Date de fin de lecture FR]]),0,Table1[[#This Row], [Date de fin de lecture FR]]-Table1[[#This Row], [Date de début de lecture]])))</f>
      </c>
      <c r="W248" s="46">
        <f>IF(Table1[[#This Row], [Temps de lecture en jours]]="","",IF(ISBLANK(Table1[[#This Row], [Nbr Pages]]),0,Table1[[#This Row], [Nbr Pages]]/Table1[[#This Row], [Temps de lecture en jours]]))</f>
      </c>
      <c r="X248" s="9">
        <f>IF(ISBLANK(Table1[[#This Row], [Date d''achat]]),"",IF(ISBLANK(Table1[[#This Row], [Date de fin de lecture FR]]),0,Table1[[#This Row], [Date de fin de lecture FR]]-Table1[[#This Row], [Date d''achat]]))</f>
      </c>
      <c r="Y248" s="10">
        <f>IF(ISBLANK(Table1[[#This Row], [Date de sortie]]),"",ROUNDDOWN(YEAR(Table1[[#This Row], [Date de sortie]]),-1))</f>
      </c>
    </row>
    <row x14ac:dyDescent="0.25" r="249" customHeight="1" ht="18.75">
      <c r="A249" s="1" t="s">
        <v>515</v>
      </c>
      <c r="B249" s="1" t="s">
        <v>516</v>
      </c>
      <c r="C249" s="4"/>
      <c r="D249" s="4"/>
      <c r="E249" s="4"/>
      <c r="F249" s="2"/>
      <c r="G249" s="1" t="s">
        <v>246</v>
      </c>
      <c r="H249" s="1" t="s">
        <v>517</v>
      </c>
      <c r="I249" s="4"/>
      <c r="J249" s="22">
        <v>43893</v>
      </c>
      <c r="K249" s="17"/>
      <c r="L249" s="17"/>
      <c r="M249" s="17"/>
      <c r="N249" s="19"/>
      <c r="O249" s="22"/>
      <c r="P249" s="49"/>
      <c r="Q249" s="49"/>
      <c r="R249" s="22"/>
      <c r="S249" s="1" t="s">
        <v>518</v>
      </c>
      <c r="T249" s="4">
        <f>IF(ISBLANK(Table1[[#This Row], [Date de fin de lecture FR]]),"",YEAR(Table1[[#This Row], [Date de fin de lecture FR]]))</f>
      </c>
      <c r="U249" s="10">
        <f>IF(ISBLANK(Table1[[#This Row], [Date de fin de lecture FR]]),"",MONTH(Table1[[#This Row], [Date de fin de lecture FR]]))</f>
      </c>
      <c r="V249" s="4">
        <f>IF(ISBLANK(Table1[[#This Row], [Date de début de lecture]]),"",(IF(ISBLANK(Table1[[#This Row], [Date de fin de lecture FR]]),0,Table1[[#This Row], [Date de fin de lecture FR]]-Table1[[#This Row], [Date de début de lecture]])))</f>
      </c>
      <c r="W249" s="46">
        <f>IF(Table1[[#This Row], [Temps de lecture en jours]]="","",IF(ISBLANK(Table1[[#This Row], [Nbr Pages]]),0,Table1[[#This Row], [Nbr Pages]]/Table1[[#This Row], [Temps de lecture en jours]]))</f>
      </c>
      <c r="X249" s="4">
        <f>IF(ISBLANK(Table1[[#This Row], [Date d''achat]]),"",IF(ISBLANK(Table1[[#This Row], [Date de fin de lecture FR]]),0,Table1[[#This Row], [Date de fin de lecture FR]]-Table1[[#This Row], [Date d''achat]]))</f>
      </c>
      <c r="Y249" s="10">
        <f>IF(ISBLANK(Table1[[#This Row], [Date de sortie]]),"",ROUNDDOWN(YEAR(Table1[[#This Row], [Date de sortie]]),-1))</f>
      </c>
    </row>
    <row x14ac:dyDescent="0.25" r="250" customHeight="1" ht="18.75">
      <c r="A250" s="1" t="s">
        <v>184</v>
      </c>
      <c r="B250" s="1" t="s">
        <v>519</v>
      </c>
      <c r="C250" s="9">
        <v>1</v>
      </c>
      <c r="D250" s="9">
        <v>1</v>
      </c>
      <c r="E250" s="9">
        <v>1</v>
      </c>
      <c r="F250" s="2"/>
      <c r="G250" s="1" t="s">
        <v>246</v>
      </c>
      <c r="H250" s="1" t="s">
        <v>295</v>
      </c>
      <c r="I250" s="9">
        <v>672</v>
      </c>
      <c r="J250" s="22">
        <v>41978</v>
      </c>
      <c r="K250" s="17"/>
      <c r="L250" s="17"/>
      <c r="M250" s="22">
        <v>42816</v>
      </c>
      <c r="N250" s="11" t="s">
        <v>255</v>
      </c>
      <c r="O250" s="21">
        <v>3</v>
      </c>
      <c r="P250" s="49"/>
      <c r="Q250" s="49"/>
      <c r="R250" s="11" t="s">
        <v>245</v>
      </c>
      <c r="S250" s="1" t="s">
        <v>520</v>
      </c>
      <c r="T250" s="9">
        <f>IF(ISBLANK(Table1[[#This Row], [Date de fin de lecture FR]]),"",YEAR(Table1[[#This Row], [Date de fin de lecture FR]]))</f>
      </c>
      <c r="U250" s="10">
        <f>IF(ISBLANK(Table1[[#This Row], [Date de fin de lecture FR]]),"",MONTH(Table1[[#This Row], [Date de fin de lecture FR]]))</f>
      </c>
      <c r="V250" s="4">
        <f>IF(ISBLANK(Table1[[#This Row], [Date de début de lecture]]),"",(IF(ISBLANK(Table1[[#This Row], [Date de fin de lecture FR]]),0,Table1[[#This Row], [Date de fin de lecture FR]]-Table1[[#This Row], [Date de début de lecture]])))</f>
      </c>
      <c r="W250" s="46">
        <f>IF(Table1[[#This Row], [Temps de lecture en jours]]="","",IF(ISBLANK(Table1[[#This Row], [Nbr Pages]]),0,Table1[[#This Row], [Nbr Pages]]/Table1[[#This Row], [Temps de lecture en jours]]))</f>
      </c>
      <c r="X250" s="4">
        <f>IF(ISBLANK(Table1[[#This Row], [Date d''achat]]),"",IF(ISBLANK(Table1[[#This Row], [Date de fin de lecture FR]]),0,Table1[[#This Row], [Date de fin de lecture FR]]-Table1[[#This Row], [Date d''achat]]))</f>
      </c>
      <c r="Y250" s="10">
        <f>IF(ISBLANK(Table1[[#This Row], [Date de sortie]]),"",ROUNDDOWN(YEAR(Table1[[#This Row], [Date de sortie]]),-1))</f>
      </c>
    </row>
    <row x14ac:dyDescent="0.25" r="251" customHeight="1" ht="18.75">
      <c r="A251" s="1" t="s">
        <v>521</v>
      </c>
      <c r="B251" s="1" t="s">
        <v>519</v>
      </c>
      <c r="C251" s="4"/>
      <c r="D251" s="4"/>
      <c r="E251" s="4"/>
      <c r="F251" s="2"/>
      <c r="G251" s="1" t="s">
        <v>246</v>
      </c>
      <c r="H251" s="1" t="s">
        <v>295</v>
      </c>
      <c r="I251" s="9">
        <v>0</v>
      </c>
      <c r="J251" s="17"/>
      <c r="K251" s="17"/>
      <c r="L251" s="17"/>
      <c r="M251" s="17"/>
      <c r="N251" s="19"/>
      <c r="O251" s="22"/>
      <c r="P251" s="49"/>
      <c r="Q251" s="49"/>
      <c r="R251" s="22"/>
      <c r="S251" s="1" t="s">
        <v>522</v>
      </c>
      <c r="T251" s="4">
        <f>IF(ISBLANK(Table1[[#This Row], [Date de fin de lecture FR]]),"",YEAR(Table1[[#This Row], [Date de fin de lecture FR]]))</f>
      </c>
      <c r="U251" s="10">
        <f>IF(ISBLANK(Table1[[#This Row], [Date de fin de lecture FR]]),"",MONTH(Table1[[#This Row], [Date de fin de lecture FR]]))</f>
      </c>
      <c r="V251" s="4">
        <f>IF(ISBLANK(Table1[[#This Row], [Date de début de lecture]]),"",(IF(ISBLANK(Table1[[#This Row], [Date de fin de lecture FR]]),0,Table1[[#This Row], [Date de fin de lecture FR]]-Table1[[#This Row], [Date de début de lecture]])))</f>
      </c>
      <c r="W251" s="46">
        <f>IF(Table1[[#This Row], [Temps de lecture en jours]]="","",IF(ISBLANK(Table1[[#This Row], [Nbr Pages]]),0,Table1[[#This Row], [Nbr Pages]]/Table1[[#This Row], [Temps de lecture en jours]]))</f>
      </c>
      <c r="X251" s="4">
        <f>IF(ISBLANK(Table1[[#This Row], [Date d''achat]]),"",IF(ISBLANK(Table1[[#This Row], [Date de fin de lecture FR]]),0,Table1[[#This Row], [Date de fin de lecture FR]]-Table1[[#This Row], [Date d''achat]]))</f>
      </c>
      <c r="Y251" s="10">
        <f>IF(ISBLANK(Table1[[#This Row], [Date de sortie]]),"",ROUNDDOWN(YEAR(Table1[[#This Row], [Date de sortie]]),-1))</f>
      </c>
    </row>
    <row x14ac:dyDescent="0.25" r="252" customHeight="1" ht="18.75">
      <c r="A252" s="1" t="s">
        <v>523</v>
      </c>
      <c r="B252" s="1" t="s">
        <v>524</v>
      </c>
      <c r="C252" s="4"/>
      <c r="D252" s="4"/>
      <c r="E252" s="4"/>
      <c r="F252" s="2"/>
      <c r="G252" s="1" t="s">
        <v>227</v>
      </c>
      <c r="H252" s="19"/>
      <c r="I252" s="4"/>
      <c r="J252" s="22">
        <v>22282</v>
      </c>
      <c r="K252" s="17"/>
      <c r="L252" s="17"/>
      <c r="M252" s="17"/>
      <c r="N252" s="19"/>
      <c r="O252" s="22"/>
      <c r="P252" s="49"/>
      <c r="Q252" s="49"/>
      <c r="R252" s="19"/>
      <c r="S252" s="10" t="s">
        <v>303</v>
      </c>
      <c r="T252" s="4">
        <f>IF(ISBLANK(Table1[[#This Row], [Date de fin de lecture FR]]),"",YEAR(Table1[[#This Row], [Date de fin de lecture FR]]))</f>
      </c>
      <c r="U252" s="10">
        <f>IF(ISBLANK(Table1[[#This Row], [Date de fin de lecture FR]]),"",MONTH(Table1[[#This Row], [Date de fin de lecture FR]]))</f>
      </c>
      <c r="V252" s="4">
        <f>IF(ISBLANK(Table1[[#This Row], [Date de début de lecture]]),"",(IF(ISBLANK(Table1[[#This Row], [Date de fin de lecture FR]]),0,Table1[[#This Row], [Date de fin de lecture FR]]-Table1[[#This Row], [Date de début de lecture]])))</f>
      </c>
      <c r="W252" s="46">
        <f>IF(Table1[[#This Row], [Temps de lecture en jours]]="","",IF(ISBLANK(Table1[[#This Row], [Nbr Pages]]),0,Table1[[#This Row], [Nbr Pages]]/Table1[[#This Row], [Temps de lecture en jours]]))</f>
      </c>
      <c r="X252" s="4">
        <f>IF(ISBLANK(Table1[[#This Row], [Date d''achat]]),"",IF(ISBLANK(Table1[[#This Row], [Date de fin de lecture FR]]),0,Table1[[#This Row], [Date de fin de lecture FR]]-Table1[[#This Row], [Date d''achat]]))</f>
      </c>
      <c r="Y252" s="10">
        <f>IF(ISBLANK(Table1[[#This Row], [Date de sortie]]),"",ROUNDDOWN(YEAR(Table1[[#This Row], [Date de sortie]]),-1))</f>
      </c>
    </row>
    <row x14ac:dyDescent="0.25" r="253" customHeight="1" ht="18.75">
      <c r="A253" s="1" t="s">
        <v>185</v>
      </c>
      <c r="B253" s="1" t="s">
        <v>525</v>
      </c>
      <c r="C253" s="9">
        <v>1</v>
      </c>
      <c r="D253" s="9">
        <v>1</v>
      </c>
      <c r="E253" s="9">
        <v>1</v>
      </c>
      <c r="F253" s="2"/>
      <c r="G253" s="1" t="s">
        <v>241</v>
      </c>
      <c r="H253" s="19"/>
      <c r="I253" s="9">
        <v>704</v>
      </c>
      <c r="J253" s="22">
        <v>40908</v>
      </c>
      <c r="K253" s="22">
        <v>43734</v>
      </c>
      <c r="L253" s="17"/>
      <c r="M253" s="22">
        <v>43745</v>
      </c>
      <c r="N253" s="11" t="s">
        <v>255</v>
      </c>
      <c r="O253" s="21">
        <v>1</v>
      </c>
      <c r="P253" s="49"/>
      <c r="Q253" s="49"/>
      <c r="R253" s="11" t="s">
        <v>245</v>
      </c>
      <c r="S253" s="1" t="s">
        <v>526</v>
      </c>
      <c r="T253" s="9">
        <f>IF(ISBLANK(Table1[[#This Row], [Date de fin de lecture FR]]),"",YEAR(Table1[[#This Row], [Date de fin de lecture FR]]))</f>
      </c>
      <c r="U253" s="10">
        <f>IF(ISBLANK(Table1[[#This Row], [Date de fin de lecture FR]]),"",MONTH(Table1[[#This Row], [Date de fin de lecture FR]]))</f>
      </c>
      <c r="V253" s="4">
        <f>IF(ISBLANK(Table1[[#This Row], [Date de début de lecture]]),"",(IF(ISBLANK(Table1[[#This Row], [Date de fin de lecture FR]]),0,Table1[[#This Row], [Date de fin de lecture FR]]-Table1[[#This Row], [Date de début de lecture]])))</f>
      </c>
      <c r="W253" s="46">
        <f>IF(Table1[[#This Row], [Temps de lecture en jours]]="","",IF(ISBLANK(Table1[[#This Row], [Nbr Pages]]),0,Table1[[#This Row], [Nbr Pages]]/Table1[[#This Row], [Temps de lecture en jours]]))</f>
      </c>
      <c r="X253" s="9">
        <f>IF(ISBLANK(Table1[[#This Row], [Date d''achat]]),"",IF(ISBLANK(Table1[[#This Row], [Date de fin de lecture FR]]),0,Table1[[#This Row], [Date de fin de lecture FR]]-Table1[[#This Row], [Date d''achat]]))</f>
      </c>
      <c r="Y253" s="10">
        <f>IF(ISBLANK(Table1[[#This Row], [Date de sortie]]),"",ROUNDDOWN(YEAR(Table1[[#This Row], [Date de sortie]]),-1))</f>
      </c>
    </row>
    <row x14ac:dyDescent="0.25" r="254" customHeight="1" ht="18.75">
      <c r="A254" s="1" t="s">
        <v>186</v>
      </c>
      <c r="B254" s="1" t="s">
        <v>525</v>
      </c>
      <c r="C254" s="9">
        <v>1</v>
      </c>
      <c r="D254" s="9">
        <v>1</v>
      </c>
      <c r="E254" s="9">
        <v>1</v>
      </c>
      <c r="F254" s="2"/>
      <c r="G254" s="1" t="s">
        <v>241</v>
      </c>
      <c r="H254" s="19"/>
      <c r="I254" s="9">
        <v>800</v>
      </c>
      <c r="J254" s="22">
        <v>40634</v>
      </c>
      <c r="K254" s="22">
        <v>43786</v>
      </c>
      <c r="L254" s="17"/>
      <c r="M254" s="22">
        <v>43853</v>
      </c>
      <c r="N254" s="11" t="s">
        <v>255</v>
      </c>
      <c r="O254" s="21">
        <v>2</v>
      </c>
      <c r="P254" s="49"/>
      <c r="Q254" s="49"/>
      <c r="R254" s="11" t="s">
        <v>245</v>
      </c>
      <c r="S254" s="1" t="s">
        <v>527</v>
      </c>
      <c r="T254" s="9">
        <f>IF(ISBLANK(Table1[[#This Row], [Date de fin de lecture FR]]),"",YEAR(Table1[[#This Row], [Date de fin de lecture FR]]))</f>
      </c>
      <c r="U254" s="10">
        <f>IF(ISBLANK(Table1[[#This Row], [Date de fin de lecture FR]]),"",MONTH(Table1[[#This Row], [Date de fin de lecture FR]]))</f>
      </c>
      <c r="V254" s="4">
        <f>IF(ISBLANK(Table1[[#This Row], [Date de début de lecture]]),"",(IF(ISBLANK(Table1[[#This Row], [Date de fin de lecture FR]]),0,Table1[[#This Row], [Date de fin de lecture FR]]-Table1[[#This Row], [Date de début de lecture]])))</f>
      </c>
      <c r="W254" s="46">
        <f>IF(Table1[[#This Row], [Temps de lecture en jours]]="","",IF(ISBLANK(Table1[[#This Row], [Nbr Pages]]),0,Table1[[#This Row], [Nbr Pages]]/Table1[[#This Row], [Temps de lecture en jours]]))</f>
      </c>
      <c r="X254" s="9">
        <f>IF(ISBLANK(Table1[[#This Row], [Date d''achat]]),"",IF(ISBLANK(Table1[[#This Row], [Date de fin de lecture FR]]),0,Table1[[#This Row], [Date de fin de lecture FR]]-Table1[[#This Row], [Date d''achat]]))</f>
      </c>
      <c r="Y254" s="10">
        <f>IF(ISBLANK(Table1[[#This Row], [Date de sortie]]),"",ROUNDDOWN(YEAR(Table1[[#This Row], [Date de sortie]]),-1))</f>
      </c>
    </row>
    <row x14ac:dyDescent="0.25" r="255" customHeight="1" ht="18.75">
      <c r="A255" s="1" t="s">
        <v>187</v>
      </c>
      <c r="B255" s="1" t="s">
        <v>525</v>
      </c>
      <c r="C255" s="9">
        <v>1</v>
      </c>
      <c r="D255" s="9">
        <v>1</v>
      </c>
      <c r="E255" s="9">
        <v>1</v>
      </c>
      <c r="F255" s="2"/>
      <c r="G255" s="1" t="s">
        <v>241</v>
      </c>
      <c r="H255" s="19"/>
      <c r="I255" s="9">
        <v>867</v>
      </c>
      <c r="J255" s="22">
        <v>41278</v>
      </c>
      <c r="K255" s="22">
        <v>43786</v>
      </c>
      <c r="L255" s="17"/>
      <c r="M255" s="22">
        <v>44013</v>
      </c>
      <c r="N255" s="11" t="s">
        <v>255</v>
      </c>
      <c r="O255" s="21">
        <v>3</v>
      </c>
      <c r="P255" s="49"/>
      <c r="Q255" s="49"/>
      <c r="R255" s="11" t="s">
        <v>245</v>
      </c>
      <c r="S255" s="1" t="s">
        <v>528</v>
      </c>
      <c r="T255" s="9">
        <f>IF(ISBLANK(Table1[[#This Row], [Date de fin de lecture FR]]),"",YEAR(Table1[[#This Row], [Date de fin de lecture FR]]))</f>
      </c>
      <c r="U255" s="10">
        <f>IF(ISBLANK(Table1[[#This Row], [Date de fin de lecture FR]]),"",MONTH(Table1[[#This Row], [Date de fin de lecture FR]]))</f>
      </c>
      <c r="V255" s="4">
        <f>IF(ISBLANK(Table1[[#This Row], [Date de début de lecture]]),"",(IF(ISBLANK(Table1[[#This Row], [Date de fin de lecture FR]]),0,Table1[[#This Row], [Date de fin de lecture FR]]-Table1[[#This Row], [Date de début de lecture]])))</f>
      </c>
      <c r="W255" s="46">
        <f>IF(Table1[[#This Row], [Temps de lecture en jours]]="","",IF(ISBLANK(Table1[[#This Row], [Nbr Pages]]),0,Table1[[#This Row], [Nbr Pages]]/Table1[[#This Row], [Temps de lecture en jours]]))</f>
      </c>
      <c r="X255" s="9">
        <f>IF(ISBLANK(Table1[[#This Row], [Date d''achat]]),"",IF(ISBLANK(Table1[[#This Row], [Date de fin de lecture FR]]),0,Table1[[#This Row], [Date de fin de lecture FR]]-Table1[[#This Row], [Date d''achat]]))</f>
      </c>
      <c r="Y255" s="10">
        <f>IF(ISBLANK(Table1[[#This Row], [Date de sortie]]),"",ROUNDDOWN(YEAR(Table1[[#This Row], [Date de sortie]]),-1))</f>
      </c>
    </row>
    <row x14ac:dyDescent="0.25" r="256" customHeight="1" ht="18.75">
      <c r="A256" s="1" t="s">
        <v>188</v>
      </c>
      <c r="B256" s="1" t="s">
        <v>529</v>
      </c>
      <c r="C256" s="4"/>
      <c r="D256" s="9">
        <v>1</v>
      </c>
      <c r="E256" s="9">
        <v>1</v>
      </c>
      <c r="F256" s="2"/>
      <c r="G256" s="1" t="s">
        <v>246</v>
      </c>
      <c r="H256" s="1" t="s">
        <v>243</v>
      </c>
      <c r="I256" s="9">
        <v>560</v>
      </c>
      <c r="J256" s="22">
        <v>43971</v>
      </c>
      <c r="K256" s="17"/>
      <c r="L256" s="17"/>
      <c r="M256" s="22">
        <v>44040</v>
      </c>
      <c r="N256" s="11" t="s">
        <v>255</v>
      </c>
      <c r="O256" s="21">
        <v>0</v>
      </c>
      <c r="P256" s="49"/>
      <c r="Q256" s="49"/>
      <c r="R256" s="11" t="s">
        <v>245</v>
      </c>
      <c r="S256" s="1" t="s">
        <v>530</v>
      </c>
      <c r="T256" s="9">
        <f>IF(ISBLANK(Table1[[#This Row], [Date de fin de lecture FR]]),"",YEAR(Table1[[#This Row], [Date de fin de lecture FR]]))</f>
      </c>
      <c r="U256" s="10">
        <f>IF(ISBLANK(Table1[[#This Row], [Date de fin de lecture FR]]),"",MONTH(Table1[[#This Row], [Date de fin de lecture FR]]))</f>
      </c>
      <c r="V256" s="4">
        <f>IF(ISBLANK(Table1[[#This Row], [Date de début de lecture]]),"",(IF(ISBLANK(Table1[[#This Row], [Date de fin de lecture FR]]),0,Table1[[#This Row], [Date de fin de lecture FR]]-Table1[[#This Row], [Date de début de lecture]])))</f>
      </c>
      <c r="W256" s="46">
        <f>IF(Table1[[#This Row], [Temps de lecture en jours]]="","",IF(ISBLANK(Table1[[#This Row], [Nbr Pages]]),0,Table1[[#This Row], [Nbr Pages]]/Table1[[#This Row], [Temps de lecture en jours]]))</f>
      </c>
      <c r="X256" s="4">
        <f>IF(ISBLANK(Table1[[#This Row], [Date d''achat]]),"",IF(ISBLANK(Table1[[#This Row], [Date de fin de lecture FR]]),0,Table1[[#This Row], [Date de fin de lecture FR]]-Table1[[#This Row], [Date d''achat]]))</f>
      </c>
      <c r="Y256" s="10">
        <f>IF(ISBLANK(Table1[[#This Row], [Date de sortie]]),"",ROUNDDOWN(YEAR(Table1[[#This Row], [Date de sortie]]),-1))</f>
      </c>
    </row>
    <row x14ac:dyDescent="0.25" r="257" customHeight="1" ht="18.75">
      <c r="A257" s="1" t="s">
        <v>189</v>
      </c>
      <c r="B257" s="1" t="s">
        <v>531</v>
      </c>
      <c r="C257" s="9">
        <v>1</v>
      </c>
      <c r="D257" s="9">
        <v>1</v>
      </c>
      <c r="E257" s="9">
        <v>1</v>
      </c>
      <c r="F257" s="2"/>
      <c r="G257" s="1" t="s">
        <v>246</v>
      </c>
      <c r="H257" s="19"/>
      <c r="I257" s="9">
        <v>118</v>
      </c>
      <c r="J257" s="22">
        <v>43627</v>
      </c>
      <c r="K257" s="22">
        <v>44119</v>
      </c>
      <c r="L257" s="17"/>
      <c r="M257" s="22">
        <v>44136</v>
      </c>
      <c r="N257" s="11" t="s">
        <v>244</v>
      </c>
      <c r="O257" s="17"/>
      <c r="P257" s="49"/>
      <c r="Q257" s="49"/>
      <c r="R257" s="11" t="s">
        <v>228</v>
      </c>
      <c r="S257" s="1" t="s">
        <v>532</v>
      </c>
      <c r="T257" s="9">
        <f>IF(ISBLANK(Table1[[#This Row], [Date de fin de lecture FR]]),"",YEAR(Table1[[#This Row], [Date de fin de lecture FR]]))</f>
      </c>
      <c r="U257" s="10">
        <f>IF(ISBLANK(Table1[[#This Row], [Date de fin de lecture FR]]),"",MONTH(Table1[[#This Row], [Date de fin de lecture FR]]))</f>
      </c>
      <c r="V257" s="4">
        <f>IF(ISBLANK(Table1[[#This Row], [Date de début de lecture]]),"",(IF(ISBLANK(Table1[[#This Row], [Date de fin de lecture FR]]),0,Table1[[#This Row], [Date de fin de lecture FR]]-Table1[[#This Row], [Date de début de lecture]])))</f>
      </c>
      <c r="W257" s="46">
        <f>IF(Table1[[#This Row], [Temps de lecture en jours]]="","",IF(ISBLANK(Table1[[#This Row], [Nbr Pages]]),0,Table1[[#This Row], [Nbr Pages]]/Table1[[#This Row], [Temps de lecture en jours]]))</f>
      </c>
      <c r="X257" s="9">
        <f>IF(ISBLANK(Table1[[#This Row], [Date d''achat]]),"",IF(ISBLANK(Table1[[#This Row], [Date de fin de lecture FR]]),0,Table1[[#This Row], [Date de fin de lecture FR]]-Table1[[#This Row], [Date d''achat]]))</f>
      </c>
      <c r="Y257" s="10">
        <f>IF(ISBLANK(Table1[[#This Row], [Date de sortie]]),"",ROUNDDOWN(YEAR(Table1[[#This Row], [Date de sortie]]),-1))</f>
      </c>
    </row>
    <row x14ac:dyDescent="0.25" r="258" customHeight="1" ht="18.75">
      <c r="A258" s="1" t="s">
        <v>190</v>
      </c>
      <c r="B258" s="1" t="s">
        <v>531</v>
      </c>
      <c r="C258" s="9">
        <v>1</v>
      </c>
      <c r="D258" s="9">
        <v>1</v>
      </c>
      <c r="E258" s="4"/>
      <c r="F258" s="2"/>
      <c r="G258" s="1" t="s">
        <v>246</v>
      </c>
      <c r="H258" s="19"/>
      <c r="I258" s="9">
        <v>1015</v>
      </c>
      <c r="J258" s="22">
        <v>34561</v>
      </c>
      <c r="K258" s="22">
        <v>44189</v>
      </c>
      <c r="L258" s="17"/>
      <c r="M258" s="22">
        <v>44501</v>
      </c>
      <c r="N258" s="11" t="s">
        <v>255</v>
      </c>
      <c r="O258" s="21">
        <v>1</v>
      </c>
      <c r="P258" s="49"/>
      <c r="Q258" s="49"/>
      <c r="R258" s="11" t="s">
        <v>245</v>
      </c>
      <c r="S258" s="1" t="s">
        <v>533</v>
      </c>
      <c r="T258" s="9">
        <f>IF(ISBLANK(Table1[[#This Row], [Date de fin de lecture FR]]),"",YEAR(Table1[[#This Row], [Date de fin de lecture FR]]))</f>
      </c>
      <c r="U258" s="10">
        <f>IF(ISBLANK(Table1[[#This Row], [Date de fin de lecture FR]]),"",MONTH(Table1[[#This Row], [Date de fin de lecture FR]]))</f>
      </c>
      <c r="V258" s="4">
        <f>IF(ISBLANK(Table1[[#This Row], [Date de début de lecture]]),"",(IF(ISBLANK(Table1[[#This Row], [Date de fin de lecture FR]]),0,Table1[[#This Row], [Date de fin de lecture FR]]-Table1[[#This Row], [Date de début de lecture]])))</f>
      </c>
      <c r="W258" s="46">
        <f>IF(Table1[[#This Row], [Temps de lecture en jours]]="","",IF(ISBLANK(Table1[[#This Row], [Nbr Pages]]),0,Table1[[#This Row], [Nbr Pages]]/Table1[[#This Row], [Temps de lecture en jours]]))</f>
      </c>
      <c r="X258" s="9">
        <f>IF(ISBLANK(Table1[[#This Row], [Date d''achat]]),"",IF(ISBLANK(Table1[[#This Row], [Date de fin de lecture FR]]),0,Table1[[#This Row], [Date de fin de lecture FR]]-Table1[[#This Row], [Date d''achat]]))</f>
      </c>
      <c r="Y258" s="10">
        <f>IF(ISBLANK(Table1[[#This Row], [Date de sortie]]),"",ROUNDDOWN(YEAR(Table1[[#This Row], [Date de sortie]]),-1))</f>
      </c>
    </row>
    <row x14ac:dyDescent="0.25" r="259" customHeight="1" ht="18.75">
      <c r="A259" s="1" t="s">
        <v>534</v>
      </c>
      <c r="B259" s="1" t="s">
        <v>535</v>
      </c>
      <c r="C259" s="4"/>
      <c r="D259" s="4"/>
      <c r="E259" s="4"/>
      <c r="F259" s="47" t="s">
        <v>29</v>
      </c>
      <c r="G259" s="10" t="s">
        <v>246</v>
      </c>
      <c r="H259" s="1" t="s">
        <v>536</v>
      </c>
      <c r="I259" s="4"/>
      <c r="J259" s="17"/>
      <c r="K259" s="17"/>
      <c r="L259" s="17"/>
      <c r="M259" s="17"/>
      <c r="N259" s="19"/>
      <c r="O259" s="22"/>
      <c r="P259" s="49"/>
      <c r="Q259" s="50" t="s">
        <v>537</v>
      </c>
      <c r="R259" s="19"/>
      <c r="S259" s="51"/>
      <c r="T259" s="4">
        <f>IF(ISBLANK(Table1[[#This Row], [Date de fin de lecture FR]]),"",YEAR(Table1[[#This Row], [Date de fin de lecture FR]]))</f>
      </c>
      <c r="U259" s="10">
        <f>IF(ISBLANK(Table1[[#This Row], [Date de fin de lecture FR]]),"",MONTH(Table1[[#This Row], [Date de fin de lecture FR]]))</f>
      </c>
      <c r="V259" s="4">
        <f>IF(ISBLANK(Table1[[#This Row], [Date de début de lecture]]),"",(IF(ISBLANK(Table1[[#This Row], [Date de fin de lecture FR]]),0,Table1[[#This Row], [Date de fin de lecture FR]]-Table1[[#This Row], [Date de début de lecture]])))</f>
      </c>
      <c r="W259" s="46">
        <f>IF(Table1[[#This Row], [Temps de lecture en jours]]="","",IF(ISBLANK(Table1[[#This Row], [Nbr Pages]]),0,Table1[[#This Row], [Nbr Pages]]/Table1[[#This Row], [Temps de lecture en jours]]))</f>
      </c>
      <c r="X259" s="4">
        <f>IF(ISBLANK(Table1[[#This Row], [Date d''achat]]),"",IF(ISBLANK(Table1[[#This Row], [Date de fin de lecture FR]]),0,Table1[[#This Row], [Date de fin de lecture FR]]-Table1[[#This Row], [Date d''achat]]))</f>
      </c>
      <c r="Y259" s="10">
        <f>IF(ISBLANK(Table1[[#This Row], [Date de sortie]]),"",ROUNDDOWN(YEAR(Table1[[#This Row], [Date de sortie]]),-1))</f>
      </c>
    </row>
    <row x14ac:dyDescent="0.25" r="260" customHeight="1" ht="18.75">
      <c r="A260" s="1" t="s">
        <v>191</v>
      </c>
      <c r="B260" s="1" t="s">
        <v>535</v>
      </c>
      <c r="C260" s="9">
        <v>1</v>
      </c>
      <c r="D260" s="9">
        <v>1</v>
      </c>
      <c r="E260" s="4"/>
      <c r="F260" s="2"/>
      <c r="G260" s="1" t="s">
        <v>246</v>
      </c>
      <c r="H260" s="1" t="s">
        <v>310</v>
      </c>
      <c r="I260" s="9">
        <v>320</v>
      </c>
      <c r="J260" s="22">
        <v>40840</v>
      </c>
      <c r="K260" s="17"/>
      <c r="L260" s="17"/>
      <c r="M260" s="22">
        <v>43686</v>
      </c>
      <c r="N260" s="11" t="s">
        <v>255</v>
      </c>
      <c r="O260" s="21">
        <v>4</v>
      </c>
      <c r="P260" s="49"/>
      <c r="Q260" s="49"/>
      <c r="R260" s="11" t="s">
        <v>245</v>
      </c>
      <c r="S260" s="19"/>
      <c r="T260" s="9">
        <f>IF(ISBLANK(Table1[[#This Row], [Date de fin de lecture FR]]),"",YEAR(Table1[[#This Row], [Date de fin de lecture FR]]))</f>
      </c>
      <c r="U260" s="10">
        <f>IF(ISBLANK(Table1[[#This Row], [Date de fin de lecture FR]]),"",MONTH(Table1[[#This Row], [Date de fin de lecture FR]]))</f>
      </c>
      <c r="V260" s="4">
        <f>IF(ISBLANK(Table1[[#This Row], [Date de début de lecture]]),"",(IF(ISBLANK(Table1[[#This Row], [Date de fin de lecture FR]]),0,Table1[[#This Row], [Date de fin de lecture FR]]-Table1[[#This Row], [Date de début de lecture]])))</f>
      </c>
      <c r="W260" s="46">
        <f>IF(Table1[[#This Row], [Temps de lecture en jours]]="","",IF(ISBLANK(Table1[[#This Row], [Nbr Pages]]),0,Table1[[#This Row], [Nbr Pages]]/Table1[[#This Row], [Temps de lecture en jours]]))</f>
      </c>
      <c r="X260" s="4">
        <f>IF(ISBLANK(Table1[[#This Row], [Date d''achat]]),"",IF(ISBLANK(Table1[[#This Row], [Date de fin de lecture FR]]),0,Table1[[#This Row], [Date de fin de lecture FR]]-Table1[[#This Row], [Date d''achat]]))</f>
      </c>
      <c r="Y260" s="10">
        <f>IF(ISBLANK(Table1[[#This Row], [Date de sortie]]),"",ROUNDDOWN(YEAR(Table1[[#This Row], [Date de sortie]]),-1))</f>
      </c>
    </row>
    <row x14ac:dyDescent="0.25" r="261" customHeight="1" ht="18.75">
      <c r="A261" s="1" t="s">
        <v>538</v>
      </c>
      <c r="B261" s="1" t="s">
        <v>539</v>
      </c>
      <c r="C261" s="4"/>
      <c r="D261" s="4"/>
      <c r="E261" s="4"/>
      <c r="F261" s="2"/>
      <c r="G261" s="19"/>
      <c r="H261" s="19"/>
      <c r="I261" s="4"/>
      <c r="J261" s="17"/>
      <c r="K261" s="17"/>
      <c r="L261" s="17"/>
      <c r="M261" s="17"/>
      <c r="N261" s="19"/>
      <c r="O261" s="22"/>
      <c r="P261" s="49"/>
      <c r="Q261" s="49"/>
      <c r="R261" s="22"/>
      <c r="S261" s="1" t="s">
        <v>540</v>
      </c>
      <c r="T261" s="4">
        <f>IF(ISBLANK(Table1[[#This Row], [Date de fin de lecture FR]]),"",YEAR(Table1[[#This Row], [Date de fin de lecture FR]]))</f>
      </c>
      <c r="U261" s="10">
        <f>IF(ISBLANK(Table1[[#This Row], [Date de fin de lecture FR]]),"",MONTH(Table1[[#This Row], [Date de fin de lecture FR]]))</f>
      </c>
      <c r="V261" s="4">
        <f>IF(ISBLANK(Table1[[#This Row], [Date de début de lecture]]),"",(IF(ISBLANK(Table1[[#This Row], [Date de fin de lecture FR]]),0,Table1[[#This Row], [Date de fin de lecture FR]]-Table1[[#This Row], [Date de début de lecture]])))</f>
      </c>
      <c r="W261" s="46">
        <f>IF(Table1[[#This Row], [Temps de lecture en jours]]="","",IF(ISBLANK(Table1[[#This Row], [Nbr Pages]]),0,Table1[[#This Row], [Nbr Pages]]/Table1[[#This Row], [Temps de lecture en jours]]))</f>
      </c>
      <c r="X261" s="4">
        <f>IF(ISBLANK(Table1[[#This Row], [Date d''achat]]),"",IF(ISBLANK(Table1[[#This Row], [Date de fin de lecture FR]]),0,Table1[[#This Row], [Date de fin de lecture FR]]-Table1[[#This Row], [Date d''achat]]))</f>
      </c>
      <c r="Y261" s="10">
        <f>IF(ISBLANK(Table1[[#This Row], [Date de sortie]]),"",ROUNDDOWN(YEAR(Table1[[#This Row], [Date de sortie]]),-1))</f>
      </c>
    </row>
    <row x14ac:dyDescent="0.25" r="262" customHeight="1" ht="18.75">
      <c r="A262" s="1" t="s">
        <v>192</v>
      </c>
      <c r="B262" s="1" t="s">
        <v>541</v>
      </c>
      <c r="C262" s="4"/>
      <c r="D262" s="9">
        <v>1</v>
      </c>
      <c r="E262" s="4"/>
      <c r="F262" s="2"/>
      <c r="G262" s="1" t="s">
        <v>246</v>
      </c>
      <c r="H262" s="19"/>
      <c r="I262" s="9">
        <v>369</v>
      </c>
      <c r="J262" s="22">
        <v>36892</v>
      </c>
      <c r="K262" s="17"/>
      <c r="L262" s="17"/>
      <c r="M262" s="22">
        <v>42239</v>
      </c>
      <c r="N262" s="11" t="s">
        <v>255</v>
      </c>
      <c r="O262" s="21">
        <v>1</v>
      </c>
      <c r="P262" s="49"/>
      <c r="Q262" s="49"/>
      <c r="R262" s="11" t="s">
        <v>245</v>
      </c>
      <c r="S262" s="19"/>
      <c r="T262" s="9">
        <f>IF(ISBLANK(Table1[[#This Row], [Date de fin de lecture FR]]),"",YEAR(Table1[[#This Row], [Date de fin de lecture FR]]))</f>
      </c>
      <c r="U262" s="10">
        <f>IF(ISBLANK(Table1[[#This Row], [Date de fin de lecture FR]]),"",MONTH(Table1[[#This Row], [Date de fin de lecture FR]]))</f>
      </c>
      <c r="V262" s="4">
        <f>IF(ISBLANK(Table1[[#This Row], [Date de début de lecture]]),"",(IF(ISBLANK(Table1[[#This Row], [Date de fin de lecture FR]]),0,Table1[[#This Row], [Date de fin de lecture FR]]-Table1[[#This Row], [Date de début de lecture]])))</f>
      </c>
      <c r="W262" s="46">
        <f>IF(Table1[[#This Row], [Temps de lecture en jours]]="","",IF(ISBLANK(Table1[[#This Row], [Nbr Pages]]),0,Table1[[#This Row], [Nbr Pages]]/Table1[[#This Row], [Temps de lecture en jours]]))</f>
      </c>
      <c r="X262" s="4">
        <f>IF(ISBLANK(Table1[[#This Row], [Date d''achat]]),"",IF(ISBLANK(Table1[[#This Row], [Date de fin de lecture FR]]),0,Table1[[#This Row], [Date de fin de lecture FR]]-Table1[[#This Row], [Date d''achat]]))</f>
      </c>
      <c r="Y262" s="10">
        <f>IF(ISBLANK(Table1[[#This Row], [Date de sortie]]),"",ROUNDDOWN(YEAR(Table1[[#This Row], [Date de sortie]]),-1))</f>
      </c>
    </row>
    <row x14ac:dyDescent="0.25" r="263" customHeight="1" ht="18.75">
      <c r="A263" s="1" t="s">
        <v>542</v>
      </c>
      <c r="B263" s="1" t="s">
        <v>543</v>
      </c>
      <c r="C263" s="9">
        <v>1</v>
      </c>
      <c r="D263" s="4"/>
      <c r="E263" s="4"/>
      <c r="F263" s="2"/>
      <c r="G263" s="1" t="s">
        <v>544</v>
      </c>
      <c r="H263" s="19"/>
      <c r="I263" s="4"/>
      <c r="J263" s="17"/>
      <c r="K263" s="17"/>
      <c r="L263" s="17"/>
      <c r="M263" s="17"/>
      <c r="N263" s="19"/>
      <c r="O263" s="22"/>
      <c r="P263" s="49"/>
      <c r="Q263" s="49"/>
      <c r="R263" s="22"/>
      <c r="S263" s="19"/>
      <c r="T263" s="4">
        <f>IF(ISBLANK(Table1[[#This Row], [Date de fin de lecture FR]]),"",YEAR(Table1[[#This Row], [Date de fin de lecture FR]]))</f>
      </c>
      <c r="U263" s="10">
        <f>IF(ISBLANK(Table1[[#This Row], [Date de fin de lecture FR]]),"",MONTH(Table1[[#This Row], [Date de fin de lecture FR]]))</f>
      </c>
      <c r="V263" s="4">
        <f>IF(ISBLANK(Table1[[#This Row], [Date de début de lecture]]),"",(IF(ISBLANK(Table1[[#This Row], [Date de fin de lecture FR]]),0,Table1[[#This Row], [Date de fin de lecture FR]]-Table1[[#This Row], [Date de début de lecture]])))</f>
      </c>
      <c r="W263" s="46">
        <f>IF(Table1[[#This Row], [Temps de lecture en jours]]="","",IF(ISBLANK(Table1[[#This Row], [Nbr Pages]]),0,Table1[[#This Row], [Nbr Pages]]/Table1[[#This Row], [Temps de lecture en jours]]))</f>
      </c>
      <c r="X263" s="4">
        <f>IF(ISBLANK(Table1[[#This Row], [Date d''achat]]),"",IF(ISBLANK(Table1[[#This Row], [Date de fin de lecture FR]]),0,Table1[[#This Row], [Date de fin de lecture FR]]-Table1[[#This Row], [Date d''achat]]))</f>
      </c>
      <c r="Y263" s="10">
        <f>IF(ISBLANK(Table1[[#This Row], [Date de sortie]]),"",ROUNDDOWN(YEAR(Table1[[#This Row], [Date de sortie]]),-1))</f>
      </c>
    </row>
    <row x14ac:dyDescent="0.25" r="264" customHeight="1" ht="18.75">
      <c r="A264" s="1" t="s">
        <v>66</v>
      </c>
      <c r="B264" s="1" t="s">
        <v>545</v>
      </c>
      <c r="C264" s="9">
        <v>1</v>
      </c>
      <c r="D264" s="9">
        <v>1</v>
      </c>
      <c r="E264" s="4"/>
      <c r="F264" s="2"/>
      <c r="G264" s="1" t="s">
        <v>227</v>
      </c>
      <c r="H264" s="1" t="s">
        <v>443</v>
      </c>
      <c r="I264" s="9">
        <v>438</v>
      </c>
      <c r="J264" s="22">
        <v>30864</v>
      </c>
      <c r="K264" s="22">
        <v>44555</v>
      </c>
      <c r="L264" s="22">
        <v>44571</v>
      </c>
      <c r="M264" s="22">
        <v>44575</v>
      </c>
      <c r="N264" s="11" t="s">
        <v>244</v>
      </c>
      <c r="O264" s="17"/>
      <c r="P264" s="49"/>
      <c r="Q264" s="49"/>
      <c r="R264" s="11" t="s">
        <v>245</v>
      </c>
      <c r="S264" s="1" t="s">
        <v>546</v>
      </c>
      <c r="T264" s="9">
        <f>IF(ISBLANK(Table1[[#This Row], [Date de fin de lecture FR]]),"",YEAR(Table1[[#This Row], [Date de fin de lecture FR]]))</f>
      </c>
      <c r="U264" s="10">
        <f>IF(ISBLANK(Table1[[#This Row], [Date de fin de lecture FR]]),"",MONTH(Table1[[#This Row], [Date de fin de lecture FR]]))</f>
      </c>
      <c r="V264" s="9">
        <f>IF(ISBLANK(Table1[[#This Row], [Date de début de lecture]]),"",(IF(ISBLANK(Table1[[#This Row], [Date de fin de lecture FR]]),0,Table1[[#This Row], [Date de fin de lecture FR]]-Table1[[#This Row], [Date de début de lecture]])))</f>
      </c>
      <c r="W264" s="46">
        <f>IF(Table1[[#This Row], [Temps de lecture en jours]]="","",IF(ISBLANK(Table1[[#This Row], [Nbr Pages]]),0,Table1[[#This Row], [Nbr Pages]]/Table1[[#This Row], [Temps de lecture en jours]]))</f>
      </c>
      <c r="X264" s="9">
        <f>IF(ISBLANK(Table1[[#This Row], [Date d''achat]]),"",IF(ISBLANK(Table1[[#This Row], [Date de fin de lecture FR]]),0,Table1[[#This Row], [Date de fin de lecture FR]]-Table1[[#This Row], [Date d''achat]]))</f>
      </c>
      <c r="Y264" s="10">
        <f>IF(ISBLANK(Table1[[#This Row], [Date de sortie]]),"",ROUNDDOWN(YEAR(Table1[[#This Row], [Date de sortie]]),-1))</f>
      </c>
    </row>
    <row x14ac:dyDescent="0.25" r="265" customHeight="1" ht="18.75">
      <c r="A265" s="1" t="s">
        <v>193</v>
      </c>
      <c r="B265" s="1" t="s">
        <v>547</v>
      </c>
      <c r="C265" s="9">
        <v>1</v>
      </c>
      <c r="D265" s="9">
        <v>1</v>
      </c>
      <c r="E265" s="4"/>
      <c r="F265" s="2"/>
      <c r="G265" s="1" t="s">
        <v>544</v>
      </c>
      <c r="H265" s="19"/>
      <c r="I265" s="9">
        <v>336</v>
      </c>
      <c r="J265" s="22">
        <v>39679</v>
      </c>
      <c r="K265" s="17"/>
      <c r="L265" s="17"/>
      <c r="M265" s="22">
        <v>43790</v>
      </c>
      <c r="N265" s="11" t="s">
        <v>244</v>
      </c>
      <c r="O265" s="17"/>
      <c r="P265" s="49"/>
      <c r="Q265" s="49"/>
      <c r="R265" s="11" t="s">
        <v>245</v>
      </c>
      <c r="S265" s="1" t="s">
        <v>548</v>
      </c>
      <c r="T265" s="9">
        <f>IF(ISBLANK(Table1[[#This Row], [Date de fin de lecture FR]]),"",YEAR(Table1[[#This Row], [Date de fin de lecture FR]]))</f>
      </c>
      <c r="U265" s="10">
        <f>IF(ISBLANK(Table1[[#This Row], [Date de fin de lecture FR]]),"",MONTH(Table1[[#This Row], [Date de fin de lecture FR]]))</f>
      </c>
      <c r="V265" s="4">
        <f>IF(ISBLANK(Table1[[#This Row], [Date de début de lecture]]),"",(IF(ISBLANK(Table1[[#This Row], [Date de fin de lecture FR]]),0,Table1[[#This Row], [Date de fin de lecture FR]]-Table1[[#This Row], [Date de début de lecture]])))</f>
      </c>
      <c r="W265" s="46">
        <f>IF(Table1[[#This Row], [Temps de lecture en jours]]="","",IF(ISBLANK(Table1[[#This Row], [Nbr Pages]]),0,Table1[[#This Row], [Nbr Pages]]/Table1[[#This Row], [Temps de lecture en jours]]))</f>
      </c>
      <c r="X265" s="4">
        <f>IF(ISBLANK(Table1[[#This Row], [Date d''achat]]),"",IF(ISBLANK(Table1[[#This Row], [Date de fin de lecture FR]]),0,Table1[[#This Row], [Date de fin de lecture FR]]-Table1[[#This Row], [Date d''achat]]))</f>
      </c>
      <c r="Y265" s="10">
        <f>IF(ISBLANK(Table1[[#This Row], [Date de sortie]]),"",ROUNDDOWN(YEAR(Table1[[#This Row], [Date de sortie]]),-1))</f>
      </c>
    </row>
    <row x14ac:dyDescent="0.25" r="266" customHeight="1" ht="18.75">
      <c r="A266" s="1" t="s">
        <v>549</v>
      </c>
      <c r="B266" s="1" t="s">
        <v>550</v>
      </c>
      <c r="C266" s="4"/>
      <c r="D266" s="4"/>
      <c r="E266" s="4"/>
      <c r="F266" s="2"/>
      <c r="G266" s="1" t="s">
        <v>246</v>
      </c>
      <c r="H266" s="1" t="s">
        <v>490</v>
      </c>
      <c r="I266" s="9">
        <v>752</v>
      </c>
      <c r="J266" s="22">
        <v>29221</v>
      </c>
      <c r="K266" s="17"/>
      <c r="L266" s="17"/>
      <c r="M266" s="17"/>
      <c r="N266" s="19"/>
      <c r="O266" s="22"/>
      <c r="P266" s="49"/>
      <c r="Q266" s="49"/>
      <c r="R266" s="22"/>
      <c r="S266" s="1" t="s">
        <v>551</v>
      </c>
      <c r="T266" s="4">
        <f>IF(ISBLANK(Table1[[#This Row], [Date de fin de lecture FR]]),"",YEAR(Table1[[#This Row], [Date de fin de lecture FR]]))</f>
      </c>
      <c r="U266" s="10">
        <f>IF(ISBLANK(Table1[[#This Row], [Date de fin de lecture FR]]),"",MONTH(Table1[[#This Row], [Date de fin de lecture FR]]))</f>
      </c>
      <c r="V266" s="4">
        <f>IF(ISBLANK(Table1[[#This Row], [Date de début de lecture]]),"",(IF(ISBLANK(Table1[[#This Row], [Date de fin de lecture FR]]),0,Table1[[#This Row], [Date de fin de lecture FR]]-Table1[[#This Row], [Date de début de lecture]])))</f>
      </c>
      <c r="W266" s="46">
        <f>IF(Table1[[#This Row], [Temps de lecture en jours]]="","",IF(ISBLANK(Table1[[#This Row], [Nbr Pages]]),0,Table1[[#This Row], [Nbr Pages]]/Table1[[#This Row], [Temps de lecture en jours]]))</f>
      </c>
      <c r="X266" s="4">
        <f>IF(ISBLANK(Table1[[#This Row], [Date d''achat]]),"",IF(ISBLANK(Table1[[#This Row], [Date de fin de lecture FR]]),0,Table1[[#This Row], [Date de fin de lecture FR]]-Table1[[#This Row], [Date d''achat]]))</f>
      </c>
      <c r="Y266" s="10">
        <f>IF(ISBLANK(Table1[[#This Row], [Date de sortie]]),"",ROUNDDOWN(YEAR(Table1[[#This Row], [Date de sortie]]),-1))</f>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80"/>
  <sheetViews>
    <sheetView workbookViewId="0" tabSelected="1"/>
  </sheetViews>
  <sheetFormatPr defaultRowHeight="15" x14ac:dyDescent="0.25"/>
  <cols>
    <col min="1" max="1" style="12" width="37.57642857142857" customWidth="1" bestFit="1"/>
    <col min="2" max="2" style="13" width="37.57642857142857" customWidth="1" bestFit="1"/>
    <col min="3" max="3" style="14" width="25.14785714285714" customWidth="1" bestFit="1"/>
    <col min="4" max="4" style="14" width="24.862142857142857" customWidth="1" bestFit="1"/>
    <col min="5" max="5" style="15" width="24.862142857142857" customWidth="1" bestFit="1"/>
    <col min="6" max="6" style="13" width="5.2907142857142855" customWidth="1" bestFit="1"/>
    <col min="7" max="7" style="16" width="13.576428571428572" customWidth="1" bestFit="1"/>
  </cols>
  <sheetData>
    <row x14ac:dyDescent="0.25" r="1" customHeight="1" ht="19.5">
      <c r="A1" s="1" t="s">
        <v>0</v>
      </c>
      <c r="B1" s="2"/>
      <c r="C1" s="3"/>
      <c r="D1" s="3"/>
      <c r="E1" s="4"/>
      <c r="F1" s="2"/>
      <c r="G1" s="5"/>
    </row>
    <row x14ac:dyDescent="0.25" r="2" customHeight="1" ht="19.5">
      <c r="A2" s="1" t="s">
        <v>1</v>
      </c>
      <c r="B2" s="2" t="s">
        <v>2</v>
      </c>
      <c r="C2" s="3" t="s">
        <v>3</v>
      </c>
      <c r="D2" s="3" t="s">
        <v>4</v>
      </c>
      <c r="E2" s="4" t="s">
        <v>5</v>
      </c>
      <c r="F2" s="2" t="s">
        <v>6</v>
      </c>
      <c r="G2" s="6" t="s">
        <v>7</v>
      </c>
    </row>
    <row x14ac:dyDescent="0.25" r="3" customHeight="1" ht="19.5">
      <c r="A3" s="4"/>
      <c r="B3" s="2"/>
      <c r="C3" s="3"/>
      <c r="D3" s="3"/>
      <c r="E3" s="4"/>
      <c r="F3" s="2"/>
      <c r="G3" s="5"/>
    </row>
    <row x14ac:dyDescent="0.25" r="4" customHeight="1" ht="19.5">
      <c r="A4" s="4"/>
      <c r="B4" s="2"/>
      <c r="C4" s="3"/>
      <c r="D4" s="3"/>
      <c r="E4" s="4"/>
      <c r="F4" s="2"/>
      <c r="G4" s="5"/>
    </row>
    <row x14ac:dyDescent="0.25" r="5" customHeight="1" ht="19.5">
      <c r="A5" s="1" t="s">
        <v>8</v>
      </c>
      <c r="B5" s="2" t="s">
        <v>9</v>
      </c>
      <c r="C5" s="3" t="s">
        <v>10</v>
      </c>
      <c r="D5" s="3" t="s">
        <v>11</v>
      </c>
      <c r="E5" s="4">
        <v>100</v>
      </c>
      <c r="F5" s="2" t="s">
        <v>12</v>
      </c>
      <c r="G5" s="5" t="s">
        <v>13</v>
      </c>
    </row>
    <row x14ac:dyDescent="0.25" r="6" customHeight="1" ht="19.5">
      <c r="A6" s="1" t="s">
        <v>14</v>
      </c>
      <c r="B6" s="2" t="s">
        <v>9</v>
      </c>
      <c r="C6" s="3" t="s">
        <v>15</v>
      </c>
      <c r="D6" s="3" t="s">
        <v>10</v>
      </c>
      <c r="E6" s="4">
        <v>100</v>
      </c>
      <c r="F6" s="2" t="s">
        <v>12</v>
      </c>
      <c r="G6" s="5" t="s">
        <v>13</v>
      </c>
    </row>
    <row x14ac:dyDescent="0.25" r="7" customHeight="1" ht="19.5">
      <c r="A7" s="1" t="s">
        <v>16</v>
      </c>
      <c r="B7" s="7">
        <f>VLOOKUP(Table2[[#This Row], [Titre]],Table1[[#All],[Title]:[Nbr Pages]],2,0)</f>
      </c>
      <c r="C7" s="8">
        <v>45545</v>
      </c>
      <c r="D7" s="3"/>
      <c r="E7" s="4">
        <v>100</v>
      </c>
      <c r="F7" s="2" t="s">
        <v>12</v>
      </c>
      <c r="G7" s="6" t="s">
        <v>13</v>
      </c>
    </row>
    <row x14ac:dyDescent="0.25" r="8" customHeight="1" ht="19.5">
      <c r="A8" s="1" t="s">
        <v>17</v>
      </c>
      <c r="B8" s="2" t="s">
        <v>18</v>
      </c>
      <c r="C8" s="3" t="s">
        <v>19</v>
      </c>
      <c r="D8" s="3" t="s">
        <v>19</v>
      </c>
      <c r="E8" s="4">
        <v>100</v>
      </c>
      <c r="F8" s="2" t="s">
        <v>12</v>
      </c>
      <c r="G8" s="5" t="s">
        <v>13</v>
      </c>
    </row>
    <row x14ac:dyDescent="0.25" r="9" customHeight="1" ht="19.5">
      <c r="A9" s="1" t="s">
        <v>20</v>
      </c>
      <c r="B9" s="2" t="s">
        <v>21</v>
      </c>
      <c r="C9" s="8" t="s">
        <v>19</v>
      </c>
      <c r="D9" s="3" t="s">
        <v>19</v>
      </c>
      <c r="E9" s="4">
        <v>100</v>
      </c>
      <c r="F9" s="2" t="s">
        <v>12</v>
      </c>
      <c r="G9" s="6" t="s">
        <v>13</v>
      </c>
    </row>
    <row x14ac:dyDescent="0.25" r="10" customHeight="1" ht="19.5">
      <c r="A10" s="1" t="s">
        <v>22</v>
      </c>
      <c r="B10" s="2" t="s">
        <v>23</v>
      </c>
      <c r="C10" s="8">
        <v>45474</v>
      </c>
      <c r="D10" s="8">
        <v>45488</v>
      </c>
      <c r="E10" s="9">
        <v>400</v>
      </c>
      <c r="F10" s="2" t="s">
        <v>12</v>
      </c>
      <c r="G10" s="6" t="s">
        <v>13</v>
      </c>
    </row>
    <row x14ac:dyDescent="0.25" r="11" customHeight="1" ht="19.5">
      <c r="A11" s="1" t="s">
        <v>24</v>
      </c>
      <c r="B11" s="2" t="s">
        <v>23</v>
      </c>
      <c r="C11" s="8">
        <v>45464</v>
      </c>
      <c r="D11" s="8">
        <v>45473</v>
      </c>
      <c r="E11" s="9">
        <v>292</v>
      </c>
      <c r="F11" s="2" t="s">
        <v>12</v>
      </c>
      <c r="G11" s="6" t="s">
        <v>13</v>
      </c>
    </row>
    <row x14ac:dyDescent="0.25" r="12" customHeight="1" ht="19.5">
      <c r="A12" s="1" t="s">
        <v>25</v>
      </c>
      <c r="B12" s="2" t="s">
        <v>26</v>
      </c>
      <c r="C12" s="8">
        <v>45447</v>
      </c>
      <c r="D12" s="8">
        <v>45463</v>
      </c>
      <c r="E12" s="9">
        <v>645</v>
      </c>
      <c r="F12" s="2" t="s">
        <v>12</v>
      </c>
      <c r="G12" s="6" t="s">
        <v>27</v>
      </c>
    </row>
    <row x14ac:dyDescent="0.25" r="13" customHeight="1" ht="19.5">
      <c r="A13" s="1" t="s">
        <v>28</v>
      </c>
      <c r="B13" s="7">
        <f>VLOOKUP(Table2[[#This Row], [Titre]],Table1[[#All],[Title]:[Nbr Pages]],2,0)</f>
      </c>
      <c r="C13" s="8">
        <v>45230</v>
      </c>
      <c r="D13" s="8">
        <v>45233</v>
      </c>
      <c r="E13" s="9">
        <f>VLOOKUP(Table2[[#This Row], [Titre]],Table1[[#All],[Title]:[Nbr Pages]],9,0)</f>
      </c>
      <c r="F13" s="2" t="s">
        <v>12</v>
      </c>
      <c r="G13" s="6" t="s">
        <v>29</v>
      </c>
    </row>
    <row x14ac:dyDescent="0.25" r="14" customHeight="1" ht="19.5">
      <c r="A14" s="1" t="s">
        <v>30</v>
      </c>
      <c r="B14" s="7">
        <f>VLOOKUP(Table2[[#This Row], [Titre]],Table1[[#All],[Title]:[Nbr Pages]],2,0)</f>
      </c>
      <c r="C14" s="8">
        <v>45251</v>
      </c>
      <c r="D14" s="8">
        <v>45257</v>
      </c>
      <c r="E14" s="9">
        <f>VLOOKUP(Table2[[#This Row], [Titre]],Table1[[#All],[Title]:[Nbr Pages]],9,0)</f>
      </c>
      <c r="F14" s="2" t="s">
        <v>12</v>
      </c>
      <c r="G14" s="6" t="s">
        <v>29</v>
      </c>
    </row>
    <row x14ac:dyDescent="0.25" r="15" customHeight="1" ht="19.5">
      <c r="A15" s="1" t="s">
        <v>31</v>
      </c>
      <c r="B15" s="7">
        <f>VLOOKUP(Table2[[#This Row], [Titre]],Table1[[#All],[Title]:[Nbr Pages]],2,0)</f>
      </c>
      <c r="C15" s="8">
        <v>45235</v>
      </c>
      <c r="D15" s="8">
        <v>45248</v>
      </c>
      <c r="E15" s="9">
        <f>VLOOKUP(Table2[[#This Row], [Titre]],Table1[[#All],[Title]:[Nbr Pages]],9,0)</f>
      </c>
      <c r="F15" s="2" t="s">
        <v>12</v>
      </c>
      <c r="G15" s="6" t="s">
        <v>29</v>
      </c>
    </row>
    <row x14ac:dyDescent="0.25" r="16" customHeight="1" ht="19.5">
      <c r="A16" s="1" t="s">
        <v>32</v>
      </c>
      <c r="B16" s="7">
        <f>VLOOKUP(Table2[[#This Row], [Titre]],Table1[[#All],[Title]:[Nbr Pages]],2,0)</f>
      </c>
      <c r="C16" s="8">
        <v>45218</v>
      </c>
      <c r="D16" s="8">
        <v>45229</v>
      </c>
      <c r="E16" s="9">
        <f>VLOOKUP(Table2[[#This Row], [Titre]],Table1[[#All],[Title]:[Nbr Pages]],9,0)</f>
      </c>
      <c r="F16" s="2" t="s">
        <v>12</v>
      </c>
      <c r="G16" s="6" t="s">
        <v>29</v>
      </c>
    </row>
    <row x14ac:dyDescent="0.25" r="17" customHeight="1" ht="19.5">
      <c r="A17" s="1" t="s">
        <v>33</v>
      </c>
      <c r="B17" s="7">
        <f>VLOOKUP(Table2[[#This Row], [Titre]],Table1[[#All],[Title]:[Nbr Pages]],2,0)</f>
      </c>
      <c r="C17" s="8">
        <v>45200</v>
      </c>
      <c r="D17" s="8">
        <v>45218</v>
      </c>
      <c r="E17" s="9">
        <f>VLOOKUP(Table2[[#This Row], [Titre]],Table1[[#All],[Title]:[Nbr Pages]],9,0)</f>
      </c>
      <c r="F17" s="2" t="s">
        <v>12</v>
      </c>
      <c r="G17" s="6" t="s">
        <v>29</v>
      </c>
    </row>
    <row x14ac:dyDescent="0.25" r="18" customHeight="1" ht="19.5">
      <c r="A18" s="1" t="s">
        <v>34</v>
      </c>
      <c r="B18" s="7">
        <f>VLOOKUP(Table2[[#This Row], [Titre]],Table1[[#All],[Title]:[Nbr Pages]],2,0)</f>
      </c>
      <c r="C18" s="8">
        <v>45192</v>
      </c>
      <c r="D18" s="8">
        <v>45199</v>
      </c>
      <c r="E18" s="9">
        <f>VLOOKUP(Table2[[#This Row], [Titre]],Table1[[#All],[Title]:[Nbr Pages]],9,0)</f>
      </c>
      <c r="F18" s="2" t="s">
        <v>12</v>
      </c>
      <c r="G18" s="6" t="s">
        <v>29</v>
      </c>
    </row>
    <row x14ac:dyDescent="0.25" r="19" customHeight="1" ht="19.5">
      <c r="A19" s="10" t="s">
        <v>35</v>
      </c>
      <c r="B19" s="7">
        <f>VLOOKUP(Table2[[#This Row], [Titre]],Table1[[#All],[Title]:[Nbr Pages]],2,0)</f>
      </c>
      <c r="C19" s="8">
        <v>45166</v>
      </c>
      <c r="D19" s="8">
        <v>45185</v>
      </c>
      <c r="E19" s="9">
        <f>VLOOKUP(Table2[[#This Row], [Titre]],Table1[[#All],[Title]:[Nbr Pages]],9,0)</f>
      </c>
      <c r="F19" s="2" t="s">
        <v>12</v>
      </c>
      <c r="G19" s="6" t="s">
        <v>36</v>
      </c>
    </row>
    <row x14ac:dyDescent="0.25" r="20" customHeight="1" ht="19.5">
      <c r="A20" s="1" t="s">
        <v>37</v>
      </c>
      <c r="B20" s="7">
        <f>VLOOKUP(Table2[[#This Row], [Titre]],Table1[[#All],[Title]:[Nbr Pages]],2,0)</f>
      </c>
      <c r="C20" s="8">
        <v>45166</v>
      </c>
      <c r="D20" s="8">
        <v>45177</v>
      </c>
      <c r="E20" s="9">
        <f>VLOOKUP(Table2[[#This Row], [Titre]],Table1[[#All],[Title]:[Nbr Pages]],9,0)</f>
      </c>
      <c r="F20" s="2" t="s">
        <v>12</v>
      </c>
      <c r="G20" s="6" t="s">
        <v>13</v>
      </c>
    </row>
    <row x14ac:dyDescent="0.25" r="21" customHeight="1" ht="19.5">
      <c r="A21" s="1" t="s">
        <v>38</v>
      </c>
      <c r="B21" s="7">
        <f>VLOOKUP(Table2[[#This Row], [Titre]],Table1[[#All],[Title]:[Nbr Pages]],2,0)</f>
      </c>
      <c r="C21" s="8">
        <v>45152</v>
      </c>
      <c r="D21" s="8">
        <v>45162</v>
      </c>
      <c r="E21" s="9">
        <f>VLOOKUP(Table2[[#This Row], [Titre]],Table1[[#All],[Title]:[Nbr Pages]],9,0)</f>
      </c>
      <c r="F21" s="2" t="s">
        <v>12</v>
      </c>
      <c r="G21" s="6" t="s">
        <v>13</v>
      </c>
    </row>
    <row x14ac:dyDescent="0.25" r="22" customHeight="1" ht="19.5">
      <c r="A22" s="10" t="s">
        <v>39</v>
      </c>
      <c r="B22" s="7">
        <f>VLOOKUP(Table2[[#This Row], [Titre]],Table1[[#All],[Title]:[Nbr Pages]],2,0)</f>
      </c>
      <c r="C22" s="8">
        <v>45149</v>
      </c>
      <c r="D22" s="8">
        <v>45165</v>
      </c>
      <c r="E22" s="9">
        <f>VLOOKUP(Table2[[#This Row], [Titre]],Table1[[#All],[Title]:[Nbr Pages]],9,0)</f>
      </c>
      <c r="F22" s="2" t="s">
        <v>12</v>
      </c>
      <c r="G22" s="6" t="s">
        <v>29</v>
      </c>
    </row>
    <row x14ac:dyDescent="0.25" r="23" customHeight="1" ht="19.5">
      <c r="A23" s="1" t="s">
        <v>40</v>
      </c>
      <c r="B23" s="7">
        <f>VLOOKUP(Table2[[#This Row], [Titre]],Table1[[#All],[Title]:[Nbr Pages]],2,0)</f>
      </c>
      <c r="C23" s="8">
        <v>45138</v>
      </c>
      <c r="D23" s="8">
        <v>45143</v>
      </c>
      <c r="E23" s="9">
        <f>VLOOKUP(Table2[[#This Row], [Titre]],Table1[[#All],[Title]:[Nbr Pages]],9,0)</f>
      </c>
      <c r="F23" s="2" t="s">
        <v>12</v>
      </c>
      <c r="G23" s="6" t="s">
        <v>36</v>
      </c>
    </row>
    <row x14ac:dyDescent="0.25" r="24" customHeight="1" ht="19.5">
      <c r="A24" s="1" t="s">
        <v>41</v>
      </c>
      <c r="B24" s="7">
        <f>VLOOKUP(Table2[[#This Row], [Titre]],Table1[[#All],[Title]:[Nbr Pages]],2,0)</f>
      </c>
      <c r="C24" s="8">
        <v>45135</v>
      </c>
      <c r="D24" s="8">
        <v>45147</v>
      </c>
      <c r="E24" s="9">
        <f>VLOOKUP(Table2[[#This Row], [Titre]],Table1[[#All],[Title]:[Nbr Pages]],9,0)</f>
      </c>
      <c r="F24" s="2" t="s">
        <v>12</v>
      </c>
      <c r="G24" s="6" t="s">
        <v>36</v>
      </c>
    </row>
    <row x14ac:dyDescent="0.25" r="25" customHeight="1" ht="19.5">
      <c r="A25" s="1" t="s">
        <v>42</v>
      </c>
      <c r="B25" s="7">
        <f>VLOOKUP(Table2[[#This Row], [Titre]],Table1[[#All],[Title]:[Nbr Pages]],2,0)</f>
      </c>
      <c r="C25" s="8">
        <v>45119</v>
      </c>
      <c r="D25" s="8">
        <v>45133</v>
      </c>
      <c r="E25" s="9">
        <f>VLOOKUP(Table2[[#This Row], [Titre]],Table1[[#All],[Title]:[Nbr Pages]],9,0)</f>
      </c>
      <c r="F25" s="2" t="s">
        <v>12</v>
      </c>
      <c r="G25" s="6" t="s">
        <v>36</v>
      </c>
    </row>
    <row x14ac:dyDescent="0.25" r="26" customHeight="1" ht="18.75">
      <c r="A26" s="1" t="s">
        <v>43</v>
      </c>
      <c r="B26" s="7">
        <f>VLOOKUP(Table2[[#This Row], [Titre]],Table1[[#All],[Title]:[Nbr Pages]],2,0)</f>
      </c>
      <c r="C26" s="8">
        <v>45088</v>
      </c>
      <c r="D26" s="8">
        <v>45116</v>
      </c>
      <c r="E26" s="9">
        <f>VLOOKUP(Table2[[#This Row], [Titre]],Table1[[#All],[Title]:[Nbr Pages]],9,0)</f>
      </c>
      <c r="F26" s="2" t="s">
        <v>12</v>
      </c>
      <c r="G26" s="6" t="s">
        <v>36</v>
      </c>
    </row>
    <row x14ac:dyDescent="0.25" r="27" customHeight="1" ht="18.75">
      <c r="A27" s="1" t="s">
        <v>44</v>
      </c>
      <c r="B27" s="7">
        <f>VLOOKUP(Table2[[#This Row], [Titre]],Table1[[#All],[Title]:[Nbr Pages]],2,0)</f>
      </c>
      <c r="C27" s="8">
        <v>45069</v>
      </c>
      <c r="D27" s="8">
        <v>45087</v>
      </c>
      <c r="E27" s="9">
        <f>VLOOKUP(Table2[[#This Row], [Titre]],Table1[[#All],[Title]:[Nbr Pages]],9,0)</f>
      </c>
      <c r="F27" s="2" t="s">
        <v>12</v>
      </c>
      <c r="G27" s="6" t="s">
        <v>36</v>
      </c>
    </row>
    <row x14ac:dyDescent="0.25" r="28" customHeight="1" ht="18.75">
      <c r="A28" s="1" t="s">
        <v>45</v>
      </c>
      <c r="B28" s="7">
        <f>VLOOKUP(Table2[[#This Row], [Titre]],Table1[[#All],[Title]:[Nbr Pages]],2,0)</f>
      </c>
      <c r="C28" s="8">
        <v>45065</v>
      </c>
      <c r="D28" s="8">
        <v>45067</v>
      </c>
      <c r="E28" s="9">
        <f>VLOOKUP(Table2[[#This Row], [Titre]],Table1[[#All],[Title]:[Nbr Pages]],9,0)</f>
      </c>
      <c r="F28" s="2" t="s">
        <v>12</v>
      </c>
      <c r="G28" s="6" t="s">
        <v>36</v>
      </c>
    </row>
    <row x14ac:dyDescent="0.25" r="29" customHeight="1" ht="18.75">
      <c r="A29" s="1" t="s">
        <v>46</v>
      </c>
      <c r="B29" s="7">
        <f>VLOOKUP(Table2[[#This Row], [Titre]],Table1[[#All],[Title]:[Nbr Pages]],2,0)</f>
      </c>
      <c r="C29" s="8">
        <v>45025</v>
      </c>
      <c r="D29" s="8">
        <v>45052</v>
      </c>
      <c r="E29" s="9">
        <f>VLOOKUP(Table2[[#This Row], [Titre]],Table1[[#All],[Title]:[Nbr Pages]],9,0)</f>
      </c>
      <c r="F29" s="2" t="s">
        <v>12</v>
      </c>
      <c r="G29" s="6" t="s">
        <v>36</v>
      </c>
    </row>
    <row x14ac:dyDescent="0.25" r="30" customHeight="1" ht="18.75">
      <c r="A30" s="1" t="s">
        <v>47</v>
      </c>
      <c r="B30" s="7">
        <f>VLOOKUP(Table2[[#This Row], [Titre]],Table1[[#All],[Title]:[Nbr Pages]],2,0)</f>
      </c>
      <c r="C30" s="8">
        <v>45019</v>
      </c>
      <c r="D30" s="8">
        <v>45023</v>
      </c>
      <c r="E30" s="9">
        <f>VLOOKUP(Table2[[#This Row], [Titre]],Table1[[#All],[Title]:[Nbr Pages]],9,0)</f>
      </c>
      <c r="F30" s="2" t="s">
        <v>12</v>
      </c>
      <c r="G30" s="6" t="s">
        <v>36</v>
      </c>
    </row>
    <row x14ac:dyDescent="0.25" r="31" customHeight="1" ht="18.75">
      <c r="A31" s="1" t="s">
        <v>48</v>
      </c>
      <c r="B31" s="7">
        <f>VLOOKUP(Table2[[#This Row], [Titre]],Table1[[#All],[Title]:[Nbr Pages]],2,0)</f>
      </c>
      <c r="C31" s="8">
        <v>44984</v>
      </c>
      <c r="D31" s="8">
        <v>45018</v>
      </c>
      <c r="E31" s="9">
        <f>VLOOKUP(Table2[[#This Row], [Titre]],Table1[[#All],[Title]:[Nbr Pages]],9,0)</f>
      </c>
      <c r="F31" s="2" t="s">
        <v>12</v>
      </c>
      <c r="G31" s="6" t="s">
        <v>36</v>
      </c>
    </row>
    <row x14ac:dyDescent="0.25" r="32" customHeight="1" ht="18.75">
      <c r="A32" s="1" t="s">
        <v>49</v>
      </c>
      <c r="B32" s="7">
        <f>VLOOKUP(Table2[[#This Row], [Titre]],Table1[[#All],[Title]:[Nbr Pages]],2,0)</f>
      </c>
      <c r="C32" s="8">
        <v>44968</v>
      </c>
      <c r="D32" s="8">
        <v>44983</v>
      </c>
      <c r="E32" s="9">
        <f>VLOOKUP(Table2[[#This Row], [Titre]],Table1[[#All],[Title]:[Nbr Pages]],9,0)</f>
      </c>
      <c r="F32" s="2" t="s">
        <v>12</v>
      </c>
      <c r="G32" s="6" t="s">
        <v>36</v>
      </c>
    </row>
    <row x14ac:dyDescent="0.25" r="33" customHeight="1" ht="18.75">
      <c r="A33" s="1" t="s">
        <v>50</v>
      </c>
      <c r="B33" s="7">
        <f>VLOOKUP(Table2[[#This Row], [Titre]],Table1[[#All],[Title]:[Nbr Pages]],2,0)</f>
      </c>
      <c r="C33" s="8">
        <v>44962</v>
      </c>
      <c r="D33" s="8">
        <v>44968</v>
      </c>
      <c r="E33" s="9">
        <f>VLOOKUP(Table2[[#This Row], [Titre]],Table1[[#All],[Title]:[Nbr Pages]],9,0)</f>
      </c>
      <c r="F33" s="2" t="s">
        <v>12</v>
      </c>
      <c r="G33" s="6" t="s">
        <v>36</v>
      </c>
    </row>
    <row x14ac:dyDescent="0.25" r="34" customHeight="1" ht="18.75">
      <c r="A34" s="1" t="s">
        <v>51</v>
      </c>
      <c r="B34" s="7">
        <f>VLOOKUP(Table2[[#This Row], [Titre]],Table1[[#All],[Title]:[Nbr Pages]],2,0)</f>
      </c>
      <c r="C34" s="8">
        <v>44957</v>
      </c>
      <c r="D34" s="8">
        <v>44962</v>
      </c>
      <c r="E34" s="9">
        <f>VLOOKUP(Table2[[#This Row], [Titre]],Table1[[#All],[Title]:[Nbr Pages]],9,0)</f>
      </c>
      <c r="F34" s="2" t="s">
        <v>12</v>
      </c>
      <c r="G34" s="6" t="s">
        <v>36</v>
      </c>
    </row>
    <row x14ac:dyDescent="0.25" r="35" customHeight="1" ht="18.75">
      <c r="A35" s="1" t="s">
        <v>52</v>
      </c>
      <c r="B35" s="7">
        <f>VLOOKUP(Table2[[#This Row], [Titre]],Table1[[#All],[Title]:[Nbr Pages]],2,0)</f>
      </c>
      <c r="C35" s="8">
        <v>44948</v>
      </c>
      <c r="D35" s="8">
        <v>44956</v>
      </c>
      <c r="E35" s="9">
        <f>VLOOKUP(Table2[[#This Row], [Titre]],Table1[[#All],[Title]:[Nbr Pages]],9,0)</f>
      </c>
      <c r="F35" s="2" t="s">
        <v>12</v>
      </c>
      <c r="G35" s="6" t="s">
        <v>29</v>
      </c>
    </row>
    <row x14ac:dyDescent="0.25" r="36" customHeight="1" ht="18.75">
      <c r="A36" s="1" t="s">
        <v>53</v>
      </c>
      <c r="B36" s="7">
        <f>VLOOKUP(Table2[[#This Row], [Titre]],Table1[[#All],[Title]:[Nbr Pages]],2,0)</f>
      </c>
      <c r="C36" s="8">
        <v>44934</v>
      </c>
      <c r="D36" s="8">
        <v>44947</v>
      </c>
      <c r="E36" s="9">
        <f>VLOOKUP(Table2[[#This Row], [Titre]],Table1[[#All],[Title]:[Nbr Pages]],9,0)</f>
      </c>
      <c r="F36" s="2" t="s">
        <v>12</v>
      </c>
      <c r="G36" s="6" t="s">
        <v>36</v>
      </c>
    </row>
    <row x14ac:dyDescent="0.25" r="37" customHeight="1" ht="18.75">
      <c r="A37" s="1" t="s">
        <v>54</v>
      </c>
      <c r="B37" s="7">
        <f>VLOOKUP(Table2[[#This Row], [Titre]],Table1[[#All],[Title]:[Nbr Pages]],2,0)</f>
      </c>
      <c r="C37" s="8">
        <v>44922</v>
      </c>
      <c r="D37" s="8">
        <v>44933</v>
      </c>
      <c r="E37" s="9">
        <f>VLOOKUP(Table2[[#This Row], [Titre]],Table1[[#All],[Title]:[Nbr Pages]],9,0)</f>
      </c>
      <c r="F37" s="2" t="s">
        <v>12</v>
      </c>
      <c r="G37" s="6" t="s">
        <v>36</v>
      </c>
    </row>
    <row x14ac:dyDescent="0.25" r="38" customHeight="1" ht="18.75">
      <c r="A38" s="1" t="s">
        <v>55</v>
      </c>
      <c r="B38" s="7">
        <f>VLOOKUP(Table2[[#This Row], [Titre]],Table1[[#All],[Title]:[Nbr Pages]],2,0)</f>
      </c>
      <c r="C38" s="8">
        <v>44895</v>
      </c>
      <c r="D38" s="8">
        <v>44913</v>
      </c>
      <c r="E38" s="9">
        <f>VLOOKUP(Table2[[#This Row], [Titre]],Table1[[#All],[Title]:[Nbr Pages]],9,0)</f>
      </c>
      <c r="F38" s="2" t="s">
        <v>12</v>
      </c>
      <c r="G38" s="6" t="s">
        <v>29</v>
      </c>
    </row>
    <row x14ac:dyDescent="0.25" r="39" customHeight="1" ht="18.75">
      <c r="A39" s="1" t="s">
        <v>56</v>
      </c>
      <c r="B39" s="7">
        <f>VLOOKUP(Table2[[#This Row], [Titre]],Table1[[#All],[Title]:[Nbr Pages]],2,0)</f>
      </c>
      <c r="C39" s="8">
        <v>44879</v>
      </c>
      <c r="D39" s="8">
        <v>44893</v>
      </c>
      <c r="E39" s="9">
        <f>VLOOKUP(Table2[[#This Row], [Titre]],Table1[[#All],[Title]:[Nbr Pages]],9,0)</f>
      </c>
      <c r="F39" s="2" t="s">
        <v>12</v>
      </c>
      <c r="G39" s="6" t="s">
        <v>36</v>
      </c>
    </row>
    <row x14ac:dyDescent="0.25" r="40" customHeight="1" ht="18.75">
      <c r="A40" s="1" t="s">
        <v>57</v>
      </c>
      <c r="B40" s="7">
        <f>VLOOKUP(Table2[[#This Row], [Titre]],Table1[[#All],[Title]:[Nbr Pages]],2,0)</f>
      </c>
      <c r="C40" s="8">
        <v>44872</v>
      </c>
      <c r="D40" s="8">
        <v>44878</v>
      </c>
      <c r="E40" s="9">
        <f>VLOOKUP(Table2[[#This Row], [Titre]],Table1[[#All],[Title]:[Nbr Pages]],9,0)</f>
      </c>
      <c r="F40" s="2" t="s">
        <v>12</v>
      </c>
      <c r="G40" s="6" t="s">
        <v>36</v>
      </c>
    </row>
    <row x14ac:dyDescent="0.25" r="41" customHeight="1" ht="18.75">
      <c r="A41" s="1" t="s">
        <v>58</v>
      </c>
      <c r="B41" s="7">
        <f>VLOOKUP(Table2[[#This Row], [Titre]],Table1[[#All],[Title]:[Nbr Pages]],2,0)</f>
      </c>
      <c r="C41" s="8">
        <v>44867</v>
      </c>
      <c r="D41" s="8">
        <v>44872</v>
      </c>
      <c r="E41" s="9">
        <f>VLOOKUP(Table2[[#This Row], [Titre]],Table1[[#All],[Title]:[Nbr Pages]],9,0)</f>
      </c>
      <c r="F41" s="2" t="s">
        <v>12</v>
      </c>
      <c r="G41" s="6" t="s">
        <v>36</v>
      </c>
    </row>
    <row x14ac:dyDescent="0.25" r="42" customHeight="1" ht="18.75">
      <c r="A42" s="1" t="s">
        <v>59</v>
      </c>
      <c r="B42" s="7">
        <f>VLOOKUP(Table2[[#This Row], [Titre]],Table1[[#All],[Title]:[Nbr Pages]],2,0)</f>
      </c>
      <c r="C42" s="8">
        <v>44834</v>
      </c>
      <c r="D42" s="8">
        <v>44857</v>
      </c>
      <c r="E42" s="9">
        <f>VLOOKUP(Table2[[#This Row], [Titre]],Table1[[#All],[Title]:[Nbr Pages]],9,0)</f>
      </c>
      <c r="F42" s="2" t="s">
        <v>12</v>
      </c>
      <c r="G42" s="6" t="s">
        <v>36</v>
      </c>
    </row>
    <row x14ac:dyDescent="0.25" r="43" customHeight="1" ht="18.75">
      <c r="A43" s="1" t="s">
        <v>60</v>
      </c>
      <c r="B43" s="7">
        <f>VLOOKUP(Table2[[#This Row], [Titre]],Table1[[#All],[Title]:[Nbr Pages]],2,0)</f>
      </c>
      <c r="C43" s="8">
        <v>44787</v>
      </c>
      <c r="D43" s="8">
        <v>44795</v>
      </c>
      <c r="E43" s="9">
        <f>VLOOKUP(Table2[[#This Row], [Titre]],Table1[[#All],[Title]:[Nbr Pages]],9,0)</f>
      </c>
      <c r="F43" s="2" t="s">
        <v>12</v>
      </c>
      <c r="G43" s="6" t="s">
        <v>36</v>
      </c>
    </row>
    <row x14ac:dyDescent="0.25" r="44" customHeight="1" ht="18.75">
      <c r="A44" s="1" t="s">
        <v>61</v>
      </c>
      <c r="B44" s="7">
        <f>VLOOKUP(Table2[[#This Row], [Titre]],Table1[[#All],[Title]:[Nbr Pages]],2,0)</f>
      </c>
      <c r="C44" s="8">
        <v>44740</v>
      </c>
      <c r="D44" s="8">
        <v>44742</v>
      </c>
      <c r="E44" s="9">
        <f>VLOOKUP(Table2[[#This Row], [Titre]],Table1[[#All],[Title]:[Nbr Pages]],9,0)</f>
      </c>
      <c r="F44" s="2" t="s">
        <v>12</v>
      </c>
      <c r="G44" s="6" t="s">
        <v>36</v>
      </c>
    </row>
    <row x14ac:dyDescent="0.25" r="45" customHeight="1" ht="18.75">
      <c r="A45" s="1" t="s">
        <v>62</v>
      </c>
      <c r="B45" s="7">
        <f>VLOOKUP(Table2[[#This Row], [Titre]],Table1[[#All],[Title]:[Nbr Pages]],2,0)</f>
      </c>
      <c r="C45" s="8">
        <v>44716</v>
      </c>
      <c r="D45" s="8">
        <v>44722</v>
      </c>
      <c r="E45" s="9">
        <f>VLOOKUP(Table2[[#This Row], [Titre]],Table1[[#All],[Title]:[Nbr Pages]],9,0)</f>
      </c>
      <c r="F45" s="2" t="s">
        <v>12</v>
      </c>
      <c r="G45" s="6" t="s">
        <v>36</v>
      </c>
    </row>
    <row x14ac:dyDescent="0.25" r="46" customHeight="1" ht="18.75">
      <c r="A46" s="1" t="s">
        <v>63</v>
      </c>
      <c r="B46" s="7">
        <f>VLOOKUP(Table2[[#This Row], [Titre]],Table1[[#All],[Title]:[Nbr Pages]],2,0)</f>
      </c>
      <c r="C46" s="8">
        <v>44623</v>
      </c>
      <c r="D46" s="8">
        <v>44730</v>
      </c>
      <c r="E46" s="9">
        <f>VLOOKUP(Table2[[#This Row], [Titre]],Table1[[#All],[Title]:[Nbr Pages]],9,0)</f>
      </c>
      <c r="F46" s="2" t="s">
        <v>12</v>
      </c>
      <c r="G46" s="6" t="s">
        <v>36</v>
      </c>
    </row>
    <row x14ac:dyDescent="0.25" r="47" customHeight="1" ht="18.75">
      <c r="A47" s="1" t="s">
        <v>64</v>
      </c>
      <c r="B47" s="7">
        <f>VLOOKUP(Table2[[#This Row], [Titre]],Table1[[#All],[Title]:[Nbr Pages]],2,0)</f>
      </c>
      <c r="C47" s="8">
        <v>44616</v>
      </c>
      <c r="D47" s="8">
        <v>44617</v>
      </c>
      <c r="E47" s="9">
        <f>VLOOKUP(Table2[[#This Row], [Titre]],Table1[[#All],[Title]:[Nbr Pages]],9,0)</f>
      </c>
      <c r="F47" s="2" t="s">
        <v>12</v>
      </c>
      <c r="G47" s="6" t="s">
        <v>36</v>
      </c>
    </row>
    <row x14ac:dyDescent="0.25" r="48" customHeight="1" ht="18.75">
      <c r="A48" s="1" t="s">
        <v>65</v>
      </c>
      <c r="B48" s="7">
        <f>VLOOKUP(Table2[[#This Row], [Titre]],Table1[[#All],[Title]:[Nbr Pages]],2,0)</f>
      </c>
      <c r="C48" s="8">
        <v>44608</v>
      </c>
      <c r="D48" s="8">
        <v>44614</v>
      </c>
      <c r="E48" s="9">
        <f>VLOOKUP(Table2[[#This Row], [Titre]],Table1[[#All],[Title]:[Nbr Pages]],9,0)</f>
      </c>
      <c r="F48" s="2" t="s">
        <v>12</v>
      </c>
      <c r="G48" s="6" t="s">
        <v>36</v>
      </c>
    </row>
    <row x14ac:dyDescent="0.25" r="49" customHeight="1" ht="18.75">
      <c r="A49" s="1" t="s">
        <v>66</v>
      </c>
      <c r="B49" s="7">
        <f>VLOOKUP(Table2[[#This Row], [Titre]],Table1[[#All],[Title]:[Nbr Pages]],2,0)</f>
      </c>
      <c r="C49" s="8">
        <v>44571</v>
      </c>
      <c r="D49" s="8">
        <v>44575</v>
      </c>
      <c r="E49" s="9">
        <f>VLOOKUP(Table2[[#This Row], [Titre]],Table1[[#All],[Title]:[Nbr Pages]],9,0)</f>
      </c>
      <c r="F49" s="2" t="s">
        <v>12</v>
      </c>
      <c r="G49" s="6" t="s">
        <v>36</v>
      </c>
    </row>
    <row x14ac:dyDescent="0.25" r="50" customHeight="1" ht="18.75">
      <c r="A50" s="1" t="s">
        <v>67</v>
      </c>
      <c r="B50" s="7">
        <f>VLOOKUP(Table2[[#This Row], [Titre]],Table1[[#All],[Title]:[Nbr Pages]],2,0)</f>
      </c>
      <c r="C50" s="8">
        <v>44560</v>
      </c>
      <c r="D50" s="8">
        <v>44571</v>
      </c>
      <c r="E50" s="9">
        <f>VLOOKUP(Table2[[#This Row], [Titre]],Table1[[#All],[Title]:[Nbr Pages]],9,0)</f>
      </c>
      <c r="F50" s="2" t="s">
        <v>12</v>
      </c>
      <c r="G50" s="6" t="s">
        <v>36</v>
      </c>
    </row>
    <row x14ac:dyDescent="0.25" r="51" customHeight="1" ht="18.75">
      <c r="A51" s="1" t="s">
        <v>68</v>
      </c>
      <c r="B51" s="7">
        <f>VLOOKUP(Table2[[#This Row], [Titre]],Table1[[#All],[Title]:[Nbr Pages]],2,0)</f>
      </c>
      <c r="C51" s="8">
        <v>44552</v>
      </c>
      <c r="D51" s="8">
        <v>44559</v>
      </c>
      <c r="E51" s="9">
        <f>VLOOKUP(Table2[[#This Row], [Titre]],Table1[[#All],[Title]:[Nbr Pages]],9,0)</f>
      </c>
      <c r="F51" s="2" t="s">
        <v>12</v>
      </c>
      <c r="G51" s="6" t="s">
        <v>36</v>
      </c>
    </row>
    <row x14ac:dyDescent="0.25" r="52" customHeight="1" ht="18.75">
      <c r="A52" s="1" t="s">
        <v>69</v>
      </c>
      <c r="B52" s="7">
        <f>VLOOKUP(Table2[[#This Row], [Titre]],Table1[[#All],[Title]:[Nbr Pages]],2,0)</f>
      </c>
      <c r="C52" s="8">
        <v>44542</v>
      </c>
      <c r="D52" s="8">
        <v>44551</v>
      </c>
      <c r="E52" s="9">
        <f>VLOOKUP(Table2[[#This Row], [Titre]],Table1[[#All],[Title]:[Nbr Pages]],9,0)</f>
      </c>
      <c r="F52" s="2" t="s">
        <v>12</v>
      </c>
      <c r="G52" s="6" t="s">
        <v>36</v>
      </c>
    </row>
    <row x14ac:dyDescent="0.25" r="53" customHeight="1" ht="18.75">
      <c r="A53" s="1" t="s">
        <v>70</v>
      </c>
      <c r="B53" s="7">
        <f>VLOOKUP(Table2[[#This Row], [Titre]],Table1[[#All],[Title]:[Nbr Pages]],2,0)</f>
      </c>
      <c r="C53" s="8">
        <v>44527</v>
      </c>
      <c r="D53" s="8">
        <v>44542</v>
      </c>
      <c r="E53" s="9">
        <f>VLOOKUP(Table2[[#This Row], [Titre]],Table1[[#All],[Title]:[Nbr Pages]],9,0)</f>
      </c>
      <c r="F53" s="2" t="s">
        <v>12</v>
      </c>
      <c r="G53" s="6" t="s">
        <v>36</v>
      </c>
    </row>
    <row x14ac:dyDescent="0.25" r="54" customHeight="1" ht="18.75">
      <c r="A54" s="1" t="s">
        <v>71</v>
      </c>
      <c r="B54" s="7">
        <f>VLOOKUP(Table2[[#This Row], [Titre]],Table1[[#All],[Title]:[Nbr Pages]],2,0)</f>
      </c>
      <c r="C54" s="8"/>
      <c r="D54" s="8">
        <v>42872</v>
      </c>
      <c r="E54" s="9">
        <f>VLOOKUP(Table2[[#This Row], [Titre]],Table1[[#All],[Title]:[Nbr Pages]],9,0)</f>
      </c>
      <c r="F54" s="2" t="s">
        <v>12</v>
      </c>
      <c r="G54" s="6" t="s">
        <v>36</v>
      </c>
    </row>
    <row x14ac:dyDescent="0.25" r="55" customHeight="1" ht="18.75">
      <c r="A55" s="1" t="s">
        <v>72</v>
      </c>
      <c r="B55" s="7">
        <f>VLOOKUP(Table2[[#This Row], [Titre]],Table1[[#All],[Title]:[Nbr Pages]],2,0)</f>
      </c>
      <c r="C55" s="8"/>
      <c r="D55" s="8">
        <v>42736</v>
      </c>
      <c r="E55" s="9">
        <f>VLOOKUP(Table2[[#This Row], [Titre]],Table1[[#All],[Title]:[Nbr Pages]],9,0)</f>
      </c>
      <c r="F55" s="2" t="s">
        <v>12</v>
      </c>
      <c r="G55" s="6" t="s">
        <v>36</v>
      </c>
    </row>
    <row x14ac:dyDescent="0.25" r="56" customHeight="1" ht="18.75">
      <c r="A56" s="1" t="s">
        <v>73</v>
      </c>
      <c r="B56" s="7">
        <f>VLOOKUP(Table2[[#This Row], [Titre]],Table1[[#All],[Title]:[Nbr Pages]],2,0)</f>
      </c>
      <c r="C56" s="8"/>
      <c r="D56" s="8">
        <v>44135</v>
      </c>
      <c r="E56" s="9">
        <f>VLOOKUP(Table2[[#This Row], [Titre]],Table1[[#All],[Title]:[Nbr Pages]],9,0)</f>
      </c>
      <c r="F56" s="2" t="s">
        <v>12</v>
      </c>
      <c r="G56" s="6" t="s">
        <v>36</v>
      </c>
    </row>
    <row x14ac:dyDescent="0.25" r="57" customHeight="1" ht="18.75">
      <c r="A57" s="1" t="s">
        <v>74</v>
      </c>
      <c r="B57" s="7">
        <f>VLOOKUP(Table2[[#This Row], [Titre]],Table1[[#All],[Title]:[Nbr Pages]],2,0)</f>
      </c>
      <c r="C57" s="8"/>
      <c r="D57" s="8">
        <v>42714</v>
      </c>
      <c r="E57" s="9">
        <f>VLOOKUP(Table2[[#This Row], [Titre]],Table1[[#All],[Title]:[Nbr Pages]],9,0)</f>
      </c>
      <c r="F57" s="2" t="s">
        <v>12</v>
      </c>
      <c r="G57" s="6" t="s">
        <v>36</v>
      </c>
    </row>
    <row x14ac:dyDescent="0.25" r="58" customHeight="1" ht="18.75">
      <c r="A58" s="1" t="s">
        <v>75</v>
      </c>
      <c r="B58" s="7">
        <f>VLOOKUP(Table2[[#This Row], [Titre]],Table1[[#All],[Title]:[Nbr Pages]],2,0)</f>
      </c>
      <c r="C58" s="8"/>
      <c r="D58" s="8">
        <v>44204</v>
      </c>
      <c r="E58" s="9">
        <f>VLOOKUP(Table2[[#This Row], [Titre]],Table1[[#All],[Title]:[Nbr Pages]],9,0)</f>
      </c>
      <c r="F58" s="2" t="s">
        <v>12</v>
      </c>
      <c r="G58" s="6" t="s">
        <v>36</v>
      </c>
    </row>
    <row x14ac:dyDescent="0.25" r="59" customHeight="1" ht="18.75">
      <c r="A59" s="1" t="s">
        <v>76</v>
      </c>
      <c r="B59" s="7">
        <f>VLOOKUP(Table2[[#This Row], [Titre]],Table1[[#All],[Title]:[Nbr Pages]],2,0)</f>
      </c>
      <c r="C59" s="8"/>
      <c r="D59" s="8">
        <v>44143</v>
      </c>
      <c r="E59" s="9">
        <f>VLOOKUP(Table2[[#This Row], [Titre]],Table1[[#All],[Title]:[Nbr Pages]],9,0)</f>
      </c>
      <c r="F59" s="2" t="s">
        <v>12</v>
      </c>
      <c r="G59" s="6" t="s">
        <v>36</v>
      </c>
    </row>
    <row x14ac:dyDescent="0.25" r="60" customHeight="1" ht="18.75">
      <c r="A60" s="1" t="s">
        <v>77</v>
      </c>
      <c r="B60" s="7">
        <f>VLOOKUP(Table2[[#This Row], [Titre]],Table1[[#All],[Title]:[Nbr Pages]],2,0)</f>
      </c>
      <c r="C60" s="8"/>
      <c r="D60" s="8">
        <v>44233</v>
      </c>
      <c r="E60" s="9">
        <f>VLOOKUP(Table2[[#This Row], [Titre]],Table1[[#All],[Title]:[Nbr Pages]],9,0)</f>
      </c>
      <c r="F60" s="2" t="s">
        <v>12</v>
      </c>
      <c r="G60" s="6" t="s">
        <v>36</v>
      </c>
    </row>
    <row x14ac:dyDescent="0.25" r="61" customHeight="1" ht="18.75">
      <c r="A61" s="1" t="s">
        <v>78</v>
      </c>
      <c r="B61" s="7">
        <f>VLOOKUP(Table2[[#This Row], [Titre]],Table1[[#All],[Title]:[Nbr Pages]],2,0)</f>
      </c>
      <c r="C61" s="8"/>
      <c r="D61" s="8">
        <v>40393</v>
      </c>
      <c r="E61" s="9">
        <f>VLOOKUP(Table2[[#This Row], [Titre]],Table1[[#All],[Title]:[Nbr Pages]],9,0)</f>
      </c>
      <c r="F61" s="2" t="s">
        <v>12</v>
      </c>
      <c r="G61" s="6" t="s">
        <v>36</v>
      </c>
    </row>
    <row x14ac:dyDescent="0.25" r="62" customHeight="1" ht="18.75">
      <c r="A62" s="1" t="s">
        <v>79</v>
      </c>
      <c r="B62" s="7">
        <f>VLOOKUP(Table2[[#This Row], [Titre]],Table1[[#All],[Title]:[Nbr Pages]],2,0)</f>
      </c>
      <c r="C62" s="8"/>
      <c r="D62" s="8">
        <v>43515</v>
      </c>
      <c r="E62" s="9">
        <f>VLOOKUP(Table2[[#This Row], [Titre]],Table1[[#All],[Title]:[Nbr Pages]],9,0)</f>
      </c>
      <c r="F62" s="2" t="s">
        <v>12</v>
      </c>
      <c r="G62" s="6" t="s">
        <v>36</v>
      </c>
    </row>
    <row x14ac:dyDescent="0.25" r="63" customHeight="1" ht="18.75">
      <c r="A63" s="1" t="s">
        <v>80</v>
      </c>
      <c r="B63" s="7">
        <f>VLOOKUP(Table2[[#This Row], [Titre]],Table1[[#All],[Title]:[Nbr Pages]],2,0)</f>
      </c>
      <c r="C63" s="8"/>
      <c r="D63" s="8">
        <v>43707</v>
      </c>
      <c r="E63" s="9">
        <f>VLOOKUP(Table2[[#This Row], [Titre]],Table1[[#All],[Title]:[Nbr Pages]],9,0)</f>
      </c>
      <c r="F63" s="2" t="s">
        <v>12</v>
      </c>
      <c r="G63" s="6" t="s">
        <v>36</v>
      </c>
    </row>
    <row x14ac:dyDescent="0.25" r="64" customHeight="1" ht="18.75">
      <c r="A64" s="1" t="s">
        <v>81</v>
      </c>
      <c r="B64" s="7">
        <f>VLOOKUP(Table2[[#This Row], [Titre]],Table1[[#All],[Title]:[Nbr Pages]],2,0)</f>
      </c>
      <c r="C64" s="8"/>
      <c r="D64" s="8">
        <v>43735</v>
      </c>
      <c r="E64" s="9">
        <f>VLOOKUP(Table2[[#This Row], [Titre]],Table1[[#All],[Title]:[Nbr Pages]],9,0)</f>
      </c>
      <c r="F64" s="2" t="s">
        <v>12</v>
      </c>
      <c r="G64" s="6" t="s">
        <v>36</v>
      </c>
    </row>
    <row x14ac:dyDescent="0.25" r="65" customHeight="1" ht="18.75">
      <c r="A65" s="1" t="s">
        <v>82</v>
      </c>
      <c r="B65" s="7">
        <f>VLOOKUP(Table2[[#This Row], [Titre]],Table1[[#All],[Title]:[Nbr Pages]],2,0)</f>
      </c>
      <c r="C65" s="8"/>
      <c r="D65" s="8">
        <v>42370</v>
      </c>
      <c r="E65" s="9">
        <f>VLOOKUP(Table2[[#This Row], [Titre]],Table1[[#All],[Title]:[Nbr Pages]],9,0)</f>
      </c>
      <c r="F65" s="2" t="s">
        <v>12</v>
      </c>
      <c r="G65" s="6" t="s">
        <v>36</v>
      </c>
    </row>
    <row x14ac:dyDescent="0.25" r="66" customHeight="1" ht="18.75">
      <c r="A66" s="1" t="s">
        <v>34</v>
      </c>
      <c r="B66" s="7">
        <f>VLOOKUP(Table2[[#This Row], [Titre]],Table1[[#All],[Title]:[Nbr Pages]],2,0)</f>
      </c>
      <c r="C66" s="8"/>
      <c r="D66" s="8">
        <v>40179</v>
      </c>
      <c r="E66" s="9">
        <f>VLOOKUP(Table2[[#This Row], [Titre]],Table1[[#All],[Title]:[Nbr Pages]],9,0)</f>
      </c>
      <c r="F66" s="2" t="s">
        <v>12</v>
      </c>
      <c r="G66" s="6" t="s">
        <v>36</v>
      </c>
    </row>
    <row x14ac:dyDescent="0.25" r="67" customHeight="1" ht="18.75">
      <c r="A67" s="1" t="s">
        <v>33</v>
      </c>
      <c r="B67" s="7">
        <f>VLOOKUP(Table2[[#This Row], [Titre]],Table1[[#All],[Title]:[Nbr Pages]],2,0)</f>
      </c>
      <c r="C67" s="8"/>
      <c r="D67" s="8">
        <v>40179</v>
      </c>
      <c r="E67" s="9">
        <f>VLOOKUP(Table2[[#This Row], [Titre]],Table1[[#All],[Title]:[Nbr Pages]],9,0)</f>
      </c>
      <c r="F67" s="2" t="s">
        <v>12</v>
      </c>
      <c r="G67" s="6" t="s">
        <v>36</v>
      </c>
    </row>
    <row x14ac:dyDescent="0.25" r="68" customHeight="1" ht="18.75">
      <c r="A68" s="1" t="s">
        <v>32</v>
      </c>
      <c r="B68" s="7">
        <f>VLOOKUP(Table2[[#This Row], [Titre]],Table1[[#All],[Title]:[Nbr Pages]],2,0)</f>
      </c>
      <c r="C68" s="8"/>
      <c r="D68" s="8">
        <v>40179</v>
      </c>
      <c r="E68" s="9">
        <f>VLOOKUP(Table2[[#This Row], [Titre]],Table1[[#All],[Title]:[Nbr Pages]],9,0)</f>
      </c>
      <c r="F68" s="2" t="s">
        <v>12</v>
      </c>
      <c r="G68" s="6" t="s">
        <v>36</v>
      </c>
    </row>
    <row x14ac:dyDescent="0.25" r="69" customHeight="1" ht="18.75">
      <c r="A69" s="1" t="s">
        <v>83</v>
      </c>
      <c r="B69" s="7">
        <f>VLOOKUP(Table2[[#This Row], [Titre]],Table1[[#All],[Title]:[Nbr Pages]],2,0)</f>
      </c>
      <c r="C69" s="8"/>
      <c r="D69" s="8">
        <v>43405</v>
      </c>
      <c r="E69" s="9">
        <f>VLOOKUP(Table2[[#This Row], [Titre]],Table1[[#All],[Title]:[Nbr Pages]],9,0)</f>
      </c>
      <c r="F69" s="2" t="s">
        <v>12</v>
      </c>
      <c r="G69" s="6" t="s">
        <v>36</v>
      </c>
    </row>
    <row x14ac:dyDescent="0.25" r="70" customHeight="1" ht="18.75">
      <c r="A70" s="1" t="s">
        <v>84</v>
      </c>
      <c r="B70" s="7">
        <f>VLOOKUP(Table2[[#This Row], [Titre]],Table1[[#All],[Title]:[Nbr Pages]],2,0)</f>
      </c>
      <c r="C70" s="8"/>
      <c r="D70" s="8">
        <v>43401</v>
      </c>
      <c r="E70" s="9">
        <f>VLOOKUP(Table2[[#This Row], [Titre]],Table1[[#All],[Title]:[Nbr Pages]],9,0)</f>
      </c>
      <c r="F70" s="2" t="s">
        <v>12</v>
      </c>
      <c r="G70" s="6" t="s">
        <v>36</v>
      </c>
    </row>
    <row x14ac:dyDescent="0.25" r="71" customHeight="1" ht="18.75">
      <c r="A71" s="1" t="s">
        <v>85</v>
      </c>
      <c r="B71" s="7">
        <f>VLOOKUP(Table2[[#This Row], [Titre]],Table1[[#All],[Title]:[Nbr Pages]],2,0)</f>
      </c>
      <c r="C71" s="8"/>
      <c r="D71" s="8">
        <v>43770</v>
      </c>
      <c r="E71" s="9">
        <f>VLOOKUP(Table2[[#This Row], [Titre]],Table1[[#All],[Title]:[Nbr Pages]],9,0)</f>
      </c>
      <c r="F71" s="2" t="s">
        <v>12</v>
      </c>
      <c r="G71" s="6" t="s">
        <v>36</v>
      </c>
    </row>
    <row x14ac:dyDescent="0.25" r="72" customHeight="1" ht="18.75">
      <c r="A72" s="1" t="s">
        <v>86</v>
      </c>
      <c r="B72" s="7">
        <f>VLOOKUP(Table2[[#This Row], [Titre]],Table1[[#All],[Title]:[Nbr Pages]],2,0)</f>
      </c>
      <c r="C72" s="8"/>
      <c r="D72" s="8">
        <v>43832</v>
      </c>
      <c r="E72" s="9">
        <f>VLOOKUP(Table2[[#This Row], [Titre]],Table1[[#All],[Title]:[Nbr Pages]],9,0)</f>
      </c>
      <c r="F72" s="2" t="s">
        <v>12</v>
      </c>
      <c r="G72" s="6" t="s">
        <v>36</v>
      </c>
    </row>
    <row x14ac:dyDescent="0.25" r="73" customHeight="1" ht="18.75">
      <c r="A73" s="1" t="s">
        <v>87</v>
      </c>
      <c r="B73" s="7">
        <f>VLOOKUP(Table2[[#This Row], [Titre]],Table1[[#All],[Title]:[Nbr Pages]],2,0)</f>
      </c>
      <c r="C73" s="8"/>
      <c r="D73" s="8">
        <v>43843</v>
      </c>
      <c r="E73" s="9">
        <f>VLOOKUP(Table2[[#This Row], [Titre]],Table1[[#All],[Title]:[Nbr Pages]],9,0)</f>
      </c>
      <c r="F73" s="2" t="s">
        <v>12</v>
      </c>
      <c r="G73" s="6" t="s">
        <v>36</v>
      </c>
    </row>
    <row x14ac:dyDescent="0.25" r="74" customHeight="1" ht="18.75">
      <c r="A74" s="1" t="s">
        <v>88</v>
      </c>
      <c r="B74" s="7">
        <f>VLOOKUP(Table2[[#This Row], [Titre]],Table1[[#All],[Title]:[Nbr Pages]],2,0)</f>
      </c>
      <c r="C74" s="8"/>
      <c r="D74" s="8">
        <v>44309</v>
      </c>
      <c r="E74" s="9">
        <f>VLOOKUP(Table2[[#This Row], [Titre]],Table1[[#All],[Title]:[Nbr Pages]],9,0)</f>
      </c>
      <c r="F74" s="2" t="s">
        <v>12</v>
      </c>
      <c r="G74" s="6" t="s">
        <v>36</v>
      </c>
    </row>
    <row x14ac:dyDescent="0.25" r="75" customHeight="1" ht="18.75">
      <c r="A75" s="1" t="s">
        <v>89</v>
      </c>
      <c r="B75" s="7">
        <f>VLOOKUP(Table2[[#This Row], [Titre]],Table1[[#All],[Title]:[Nbr Pages]],2,0)</f>
      </c>
      <c r="C75" s="8"/>
      <c r="D75" s="8">
        <v>44198</v>
      </c>
      <c r="E75" s="9">
        <f>VLOOKUP(Table2[[#This Row], [Titre]],Table1[[#All],[Title]:[Nbr Pages]],9,0)</f>
      </c>
      <c r="F75" s="2" t="s">
        <v>12</v>
      </c>
      <c r="G75" s="6" t="s">
        <v>36</v>
      </c>
    </row>
    <row x14ac:dyDescent="0.25" r="76" customHeight="1" ht="18.75">
      <c r="A76" s="1" t="s">
        <v>90</v>
      </c>
      <c r="B76" s="7">
        <f>VLOOKUP(Table2[[#This Row], [Titre]],Table1[[#All],[Title]:[Nbr Pages]],2,0)</f>
      </c>
      <c r="C76" s="8"/>
      <c r="D76" s="8">
        <v>43524</v>
      </c>
      <c r="E76" s="9">
        <f>VLOOKUP(Table2[[#This Row], [Titre]],Table1[[#All],[Title]:[Nbr Pages]],9,0)</f>
      </c>
      <c r="F76" s="2" t="s">
        <v>12</v>
      </c>
      <c r="G76" s="6" t="s">
        <v>36</v>
      </c>
    </row>
    <row x14ac:dyDescent="0.25" r="77" customHeight="1" ht="18.75">
      <c r="A77" s="1" t="s">
        <v>91</v>
      </c>
      <c r="B77" s="7">
        <f>VLOOKUP(Table2[[#This Row], [Titre]],Table1[[#All],[Title]:[Nbr Pages]],2,0)</f>
      </c>
      <c r="C77" s="8"/>
      <c r="D77" s="8">
        <v>44270</v>
      </c>
      <c r="E77" s="9">
        <f>VLOOKUP(Table2[[#This Row], [Titre]],Table1[[#All],[Title]:[Nbr Pages]],9,0)</f>
      </c>
      <c r="F77" s="2" t="s">
        <v>12</v>
      </c>
      <c r="G77" s="6" t="s">
        <v>36</v>
      </c>
    </row>
    <row x14ac:dyDescent="0.25" r="78" customHeight="1" ht="18.75">
      <c r="A78" s="1" t="s">
        <v>92</v>
      </c>
      <c r="B78" s="7">
        <f>VLOOKUP(Table2[[#This Row], [Titre]],Table1[[#All],[Title]:[Nbr Pages]],2,0)</f>
      </c>
      <c r="C78" s="8"/>
      <c r="D78" s="3"/>
      <c r="E78" s="9">
        <f>VLOOKUP(Table2[[#This Row], [Titre]],Table1[[#All],[Title]:[Nbr Pages]],9,0)</f>
      </c>
      <c r="F78" s="2" t="s">
        <v>12</v>
      </c>
      <c r="G78" s="6" t="s">
        <v>36</v>
      </c>
    </row>
    <row x14ac:dyDescent="0.25" r="79" customHeight="1" ht="18.75">
      <c r="A79" s="1" t="s">
        <v>93</v>
      </c>
      <c r="B79" s="7">
        <f>VLOOKUP(Table2[[#This Row], [Titre]],Table1[[#All],[Title]:[Nbr Pages]],2,0)</f>
      </c>
      <c r="C79" s="8"/>
      <c r="D79" s="8">
        <v>43636</v>
      </c>
      <c r="E79" s="9">
        <f>VLOOKUP(Table2[[#This Row], [Titre]],Table1[[#All],[Title]:[Nbr Pages]],9,0)</f>
      </c>
      <c r="F79" s="2" t="s">
        <v>12</v>
      </c>
      <c r="G79" s="6" t="s">
        <v>36</v>
      </c>
    </row>
    <row x14ac:dyDescent="0.25" r="80" customHeight="1" ht="18.75">
      <c r="A80" s="1" t="s">
        <v>94</v>
      </c>
      <c r="B80" s="7">
        <f>VLOOKUP(Table2[[#This Row], [Titre]],Table1[[#All],[Title]:[Nbr Pages]],2,0)</f>
      </c>
      <c r="C80" s="8"/>
      <c r="D80" s="8">
        <v>43644</v>
      </c>
      <c r="E80" s="9">
        <f>VLOOKUP(Table2[[#This Row], [Titre]],Table1[[#All],[Title]:[Nbr Pages]],9,0)</f>
      </c>
      <c r="F80" s="2" t="s">
        <v>12</v>
      </c>
      <c r="G80" s="6" t="s">
        <v>36</v>
      </c>
    </row>
    <row x14ac:dyDescent="0.25" r="81" customHeight="1" ht="18.75">
      <c r="A81" s="1" t="s">
        <v>95</v>
      </c>
      <c r="B81" s="7">
        <f>VLOOKUP(Table2[[#This Row], [Titre]],Table1[[#All],[Title]:[Nbr Pages]],2,0)</f>
      </c>
      <c r="C81" s="8"/>
      <c r="D81" s="8">
        <v>43658</v>
      </c>
      <c r="E81" s="9">
        <f>VLOOKUP(Table2[[#This Row], [Titre]],Table1[[#All],[Title]:[Nbr Pages]],9,0)</f>
      </c>
      <c r="F81" s="2" t="s">
        <v>12</v>
      </c>
      <c r="G81" s="6" t="s">
        <v>36</v>
      </c>
    </row>
    <row x14ac:dyDescent="0.25" r="82" customHeight="1" ht="18.75">
      <c r="A82" s="1" t="s">
        <v>96</v>
      </c>
      <c r="B82" s="7">
        <f>VLOOKUP(Table2[[#This Row], [Titre]],Table1[[#All],[Title]:[Nbr Pages]],2,0)</f>
      </c>
      <c r="C82" s="8"/>
      <c r="D82" s="8">
        <v>44055</v>
      </c>
      <c r="E82" s="9">
        <f>VLOOKUP(Table2[[#This Row], [Titre]],Table1[[#All],[Title]:[Nbr Pages]],9,0)</f>
      </c>
      <c r="F82" s="2" t="s">
        <v>12</v>
      </c>
      <c r="G82" s="6" t="s">
        <v>36</v>
      </c>
    </row>
    <row x14ac:dyDescent="0.25" r="83" customHeight="1" ht="18.75">
      <c r="A83" s="1" t="s">
        <v>97</v>
      </c>
      <c r="B83" s="7">
        <f>VLOOKUP(Table2[[#This Row], [Titre]],Table1[[#All],[Title]:[Nbr Pages]],2,0)</f>
      </c>
      <c r="C83" s="8"/>
      <c r="D83" s="8">
        <v>37987</v>
      </c>
      <c r="E83" s="9">
        <f>VLOOKUP(Table2[[#This Row], [Titre]],Table1[[#All],[Title]:[Nbr Pages]],9,0)</f>
      </c>
      <c r="F83" s="2" t="s">
        <v>12</v>
      </c>
      <c r="G83" s="6" t="s">
        <v>36</v>
      </c>
    </row>
    <row x14ac:dyDescent="0.25" r="84" customHeight="1" ht="18.75">
      <c r="A84" s="1" t="s">
        <v>98</v>
      </c>
      <c r="B84" s="7">
        <f>VLOOKUP(Table2[[#This Row], [Titre]],Table1[[#All],[Title]:[Nbr Pages]],2,0)</f>
      </c>
      <c r="C84" s="8"/>
      <c r="D84" s="8">
        <v>43493</v>
      </c>
      <c r="E84" s="9">
        <f>VLOOKUP(Table2[[#This Row], [Titre]],Table1[[#All],[Title]:[Nbr Pages]],9,0)</f>
      </c>
      <c r="F84" s="2" t="s">
        <v>12</v>
      </c>
      <c r="G84" s="6" t="s">
        <v>36</v>
      </c>
    </row>
    <row x14ac:dyDescent="0.25" r="85" customHeight="1" ht="18.75">
      <c r="A85" s="1" t="s">
        <v>99</v>
      </c>
      <c r="B85" s="7">
        <f>VLOOKUP(Table2[[#This Row], [Titre]],Table1[[#All],[Title]:[Nbr Pages]],2,0)</f>
      </c>
      <c r="C85" s="8"/>
      <c r="D85" s="3"/>
      <c r="E85" s="9">
        <f>VLOOKUP(Table2[[#This Row], [Titre]],Table1[[#All],[Title]:[Nbr Pages]],9,0)</f>
      </c>
      <c r="F85" s="2" t="s">
        <v>12</v>
      </c>
      <c r="G85" s="6" t="s">
        <v>36</v>
      </c>
    </row>
    <row x14ac:dyDescent="0.25" r="86" customHeight="1" ht="18.75">
      <c r="A86" s="1" t="s">
        <v>100</v>
      </c>
      <c r="B86" s="7">
        <f>VLOOKUP(Table2[[#This Row], [Titre]],Table1[[#All],[Title]:[Nbr Pages]],2,0)</f>
      </c>
      <c r="C86" s="8"/>
      <c r="D86" s="8">
        <v>42311</v>
      </c>
      <c r="E86" s="9">
        <f>VLOOKUP(Table2[[#This Row], [Titre]],Table1[[#All],[Title]:[Nbr Pages]],9,0)</f>
      </c>
      <c r="F86" s="2" t="s">
        <v>12</v>
      </c>
      <c r="G86" s="6" t="s">
        <v>36</v>
      </c>
    </row>
    <row x14ac:dyDescent="0.25" r="87" customHeight="1" ht="18.75">
      <c r="A87" s="1" t="s">
        <v>101</v>
      </c>
      <c r="B87" s="7">
        <f>VLOOKUP(Table2[[#This Row], [Titre]],Table1[[#All],[Title]:[Nbr Pages]],2,0)</f>
      </c>
      <c r="C87" s="8"/>
      <c r="D87" s="3"/>
      <c r="E87" s="9">
        <f>VLOOKUP(Table2[[#This Row], [Titre]],Table1[[#All],[Title]:[Nbr Pages]],9,0)</f>
      </c>
      <c r="F87" s="2" t="s">
        <v>12</v>
      </c>
      <c r="G87" s="6" t="s">
        <v>36</v>
      </c>
    </row>
    <row x14ac:dyDescent="0.25" r="88" customHeight="1" ht="18.75">
      <c r="A88" s="1" t="s">
        <v>102</v>
      </c>
      <c r="B88" s="7">
        <f>VLOOKUP(Table2[[#This Row], [Titre]],Table1[[#All],[Title]:[Nbr Pages]],2,0)</f>
      </c>
      <c r="C88" s="8"/>
      <c r="D88" s="3"/>
      <c r="E88" s="9">
        <f>VLOOKUP(Table2[[#This Row], [Titre]],Table1[[#All],[Title]:[Nbr Pages]],9,0)</f>
      </c>
      <c r="F88" s="2" t="s">
        <v>12</v>
      </c>
      <c r="G88" s="6" t="s">
        <v>36</v>
      </c>
    </row>
    <row x14ac:dyDescent="0.25" r="89" customHeight="1" ht="18.75">
      <c r="A89" s="1" t="s">
        <v>103</v>
      </c>
      <c r="B89" s="7">
        <f>VLOOKUP(Table2[[#This Row], [Titre]],Table1[[#All],[Title]:[Nbr Pages]],2,0)</f>
      </c>
      <c r="C89" s="8"/>
      <c r="D89" s="8">
        <v>43773</v>
      </c>
      <c r="E89" s="9">
        <f>VLOOKUP(Table2[[#This Row], [Titre]],Table1[[#All],[Title]:[Nbr Pages]],9,0)</f>
      </c>
      <c r="F89" s="2" t="s">
        <v>12</v>
      </c>
      <c r="G89" s="6" t="s">
        <v>36</v>
      </c>
    </row>
    <row x14ac:dyDescent="0.25" r="90" customHeight="1" ht="18.75">
      <c r="A90" s="1" t="s">
        <v>104</v>
      </c>
      <c r="B90" s="7">
        <f>VLOOKUP(Table2[[#This Row], [Titre]],Table1[[#All],[Title]:[Nbr Pages]],2,0)</f>
      </c>
      <c r="C90" s="8"/>
      <c r="D90" s="8">
        <v>43756</v>
      </c>
      <c r="E90" s="9">
        <f>VLOOKUP(Table2[[#This Row], [Titre]],Table1[[#All],[Title]:[Nbr Pages]],9,0)</f>
      </c>
      <c r="F90" s="2" t="s">
        <v>12</v>
      </c>
      <c r="G90" s="6" t="s">
        <v>36</v>
      </c>
    </row>
    <row x14ac:dyDescent="0.25" r="91" customHeight="1" ht="18.75">
      <c r="A91" s="1" t="s">
        <v>105</v>
      </c>
      <c r="B91" s="7">
        <f>VLOOKUP(Table2[[#This Row], [Titre]],Table1[[#All],[Title]:[Nbr Pages]],2,0)</f>
      </c>
      <c r="C91" s="8"/>
      <c r="D91" s="8">
        <v>44351</v>
      </c>
      <c r="E91" s="9">
        <f>VLOOKUP(Table2[[#This Row], [Titre]],Table1[[#All],[Title]:[Nbr Pages]],9,0)</f>
      </c>
      <c r="F91" s="2" t="s">
        <v>12</v>
      </c>
      <c r="G91" s="6" t="s">
        <v>36</v>
      </c>
    </row>
    <row x14ac:dyDescent="0.25" r="92" customHeight="1" ht="18.75">
      <c r="A92" s="1" t="s">
        <v>106</v>
      </c>
      <c r="B92" s="7">
        <f>VLOOKUP(Table2[[#This Row], [Titre]],Table1[[#All],[Title]:[Nbr Pages]],2,0)</f>
      </c>
      <c r="C92" s="8"/>
      <c r="D92" s="8">
        <v>42394</v>
      </c>
      <c r="E92" s="9">
        <f>VLOOKUP(Table2[[#This Row], [Titre]],Table1[[#All],[Title]:[Nbr Pages]],9,0)</f>
      </c>
      <c r="F92" s="2" t="s">
        <v>12</v>
      </c>
      <c r="G92" s="6" t="s">
        <v>36</v>
      </c>
    </row>
    <row x14ac:dyDescent="0.25" r="93" customHeight="1" ht="18.75">
      <c r="A93" s="1" t="s">
        <v>107</v>
      </c>
      <c r="B93" s="7">
        <f>VLOOKUP(Table2[[#This Row], [Titre]],Table1[[#All],[Title]:[Nbr Pages]],2,0)</f>
      </c>
      <c r="C93" s="8"/>
      <c r="D93" s="8">
        <v>42264</v>
      </c>
      <c r="E93" s="9">
        <f>VLOOKUP(Table2[[#This Row], [Titre]],Table1[[#All],[Title]:[Nbr Pages]],9,0)</f>
      </c>
      <c r="F93" s="2" t="s">
        <v>12</v>
      </c>
      <c r="G93" s="6" t="s">
        <v>36</v>
      </c>
    </row>
    <row x14ac:dyDescent="0.25" r="94" customHeight="1" ht="18.75">
      <c r="A94" s="1" t="s">
        <v>108</v>
      </c>
      <c r="B94" s="7">
        <f>VLOOKUP(Table2[[#This Row], [Titre]],Table1[[#All],[Title]:[Nbr Pages]],2,0)</f>
      </c>
      <c r="C94" s="8"/>
      <c r="D94" s="8">
        <v>42269</v>
      </c>
      <c r="E94" s="9">
        <f>VLOOKUP(Table2[[#This Row], [Titre]],Table1[[#All],[Title]:[Nbr Pages]],9,0)</f>
      </c>
      <c r="F94" s="2" t="s">
        <v>12</v>
      </c>
      <c r="G94" s="6" t="s">
        <v>36</v>
      </c>
    </row>
    <row x14ac:dyDescent="0.25" r="95" customHeight="1" ht="18.75">
      <c r="A95" s="1" t="s">
        <v>109</v>
      </c>
      <c r="B95" s="7">
        <f>VLOOKUP(Table2[[#This Row], [Titre]],Table1[[#All],[Title]:[Nbr Pages]],2,0)</f>
      </c>
      <c r="C95" s="8"/>
      <c r="D95" s="8">
        <v>42005</v>
      </c>
      <c r="E95" s="9">
        <f>VLOOKUP(Table2[[#This Row], [Titre]],Table1[[#All],[Title]:[Nbr Pages]],9,0)</f>
      </c>
      <c r="F95" s="2" t="s">
        <v>12</v>
      </c>
      <c r="G95" s="6" t="s">
        <v>36</v>
      </c>
    </row>
    <row x14ac:dyDescent="0.25" r="96" customHeight="1" ht="18.75">
      <c r="A96" s="1" t="s">
        <v>110</v>
      </c>
      <c r="B96" s="7">
        <f>VLOOKUP(Table2[[#This Row], [Titre]],Table1[[#All],[Title]:[Nbr Pages]],2,0)</f>
      </c>
      <c r="C96" s="8"/>
      <c r="D96" s="8">
        <v>40909</v>
      </c>
      <c r="E96" s="9">
        <f>VLOOKUP(Table2[[#This Row], [Titre]],Table1[[#All],[Title]:[Nbr Pages]],9,0)</f>
      </c>
      <c r="F96" s="2" t="s">
        <v>12</v>
      </c>
      <c r="G96" s="6" t="s">
        <v>36</v>
      </c>
    </row>
    <row x14ac:dyDescent="0.25" r="97" customHeight="1" ht="18.75">
      <c r="A97" s="1" t="s">
        <v>111</v>
      </c>
      <c r="B97" s="7">
        <f>VLOOKUP(Table2[[#This Row], [Titre]],Table1[[#All],[Title]:[Nbr Pages]],2,0)</f>
      </c>
      <c r="C97" s="8"/>
      <c r="D97" s="8">
        <v>41275</v>
      </c>
      <c r="E97" s="9">
        <f>VLOOKUP(Table2[[#This Row], [Titre]],Table1[[#All],[Title]:[Nbr Pages]],9,0)</f>
      </c>
      <c r="F97" s="2" t="s">
        <v>12</v>
      </c>
      <c r="G97" s="6" t="s">
        <v>36</v>
      </c>
    </row>
    <row x14ac:dyDescent="0.25" r="98" customHeight="1" ht="18.75">
      <c r="A98" s="1" t="s">
        <v>112</v>
      </c>
      <c r="B98" s="7">
        <f>VLOOKUP(Table2[[#This Row], [Titre]],Table1[[#All],[Title]:[Nbr Pages]],2,0)</f>
      </c>
      <c r="C98" s="8"/>
      <c r="D98" s="8">
        <v>41640</v>
      </c>
      <c r="E98" s="9">
        <f>VLOOKUP(Table2[[#This Row], [Titre]],Table1[[#All],[Title]:[Nbr Pages]],9,0)</f>
      </c>
      <c r="F98" s="2" t="s">
        <v>12</v>
      </c>
      <c r="G98" s="6" t="s">
        <v>36</v>
      </c>
    </row>
    <row x14ac:dyDescent="0.25" r="99" customHeight="1" ht="18.75">
      <c r="A99" s="11">
        <v>1984</v>
      </c>
      <c r="B99" s="7">
        <f>VLOOKUP(Table2[[#This Row], [Titre]],Table1[[#All],[Title]:[Nbr Pages]],2,0)</f>
      </c>
      <c r="C99" s="8"/>
      <c r="D99" s="8">
        <v>42335</v>
      </c>
      <c r="E99" s="9">
        <f>VLOOKUP(Table2[[#This Row], [Titre]],Table1[[#All],[Title]:[Nbr Pages]],9,0)</f>
      </c>
      <c r="F99" s="2" t="s">
        <v>12</v>
      </c>
      <c r="G99" s="6" t="s">
        <v>36</v>
      </c>
    </row>
    <row x14ac:dyDescent="0.25" r="100" customHeight="1" ht="18.75">
      <c r="A100" s="1" t="s">
        <v>113</v>
      </c>
      <c r="B100" s="7">
        <f>VLOOKUP(Table2[[#This Row], [Titre]],Table1[[#All],[Title]:[Nbr Pages]],2,0)</f>
      </c>
      <c r="C100" s="8"/>
      <c r="D100" s="8">
        <v>43492</v>
      </c>
      <c r="E100" s="9">
        <f>VLOOKUP(Table2[[#This Row], [Titre]],Table1[[#All],[Title]:[Nbr Pages]],9,0)</f>
      </c>
      <c r="F100" s="2" t="s">
        <v>12</v>
      </c>
      <c r="G100" s="6" t="s">
        <v>36</v>
      </c>
    </row>
    <row x14ac:dyDescent="0.25" r="101" customHeight="1" ht="18.75">
      <c r="A101" s="1" t="s">
        <v>114</v>
      </c>
      <c r="B101" s="7">
        <f>VLOOKUP(Table2[[#This Row], [Titre]],Table1[[#All],[Title]:[Nbr Pages]],2,0)</f>
      </c>
      <c r="C101" s="8"/>
      <c r="D101" s="8">
        <v>44526</v>
      </c>
      <c r="E101" s="9">
        <f>VLOOKUP(Table2[[#This Row], [Titre]],Table1[[#All],[Title]:[Nbr Pages]],9,0)</f>
      </c>
      <c r="F101" s="2" t="s">
        <v>12</v>
      </c>
      <c r="G101" s="6" t="s">
        <v>36</v>
      </c>
    </row>
    <row x14ac:dyDescent="0.25" r="102" customHeight="1" ht="18.75">
      <c r="A102" s="1" t="s">
        <v>115</v>
      </c>
      <c r="B102" s="7">
        <f>VLOOKUP(Table2[[#This Row], [Titre]],Table1[[#All],[Title]:[Nbr Pages]],2,0)</f>
      </c>
      <c r="C102" s="8"/>
      <c r="D102" s="8">
        <v>44198</v>
      </c>
      <c r="E102" s="9">
        <f>VLOOKUP(Table2[[#This Row], [Titre]],Table1[[#All],[Title]:[Nbr Pages]],9,0)</f>
      </c>
      <c r="F102" s="2" t="s">
        <v>12</v>
      </c>
      <c r="G102" s="6" t="s">
        <v>36</v>
      </c>
    </row>
    <row x14ac:dyDescent="0.25" r="103" customHeight="1" ht="18.75">
      <c r="A103" s="1" t="s">
        <v>116</v>
      </c>
      <c r="B103" s="7">
        <f>VLOOKUP(Table2[[#This Row], [Titre]],Table1[[#All],[Title]:[Nbr Pages]],2,0)</f>
      </c>
      <c r="C103" s="8"/>
      <c r="D103" s="3"/>
      <c r="E103" s="9">
        <f>VLOOKUP(Table2[[#This Row], [Titre]],Table1[[#All],[Title]:[Nbr Pages]],9,0)</f>
      </c>
      <c r="F103" s="2" t="s">
        <v>12</v>
      </c>
      <c r="G103" s="6" t="s">
        <v>36</v>
      </c>
    </row>
    <row x14ac:dyDescent="0.25" r="104" customHeight="1" ht="18.75">
      <c r="A104" s="1" t="s">
        <v>117</v>
      </c>
      <c r="B104" s="7">
        <f>VLOOKUP(Table2[[#This Row], [Titre]],Table1[[#All],[Title]:[Nbr Pages]],2,0)</f>
      </c>
      <c r="C104" s="8"/>
      <c r="D104" s="8">
        <v>43401</v>
      </c>
      <c r="E104" s="9">
        <f>VLOOKUP(Table2[[#This Row], [Titre]],Table1[[#All],[Title]:[Nbr Pages]],9,0)</f>
      </c>
      <c r="F104" s="2" t="s">
        <v>12</v>
      </c>
      <c r="G104" s="6" t="s">
        <v>36</v>
      </c>
    </row>
    <row x14ac:dyDescent="0.25" r="105" customHeight="1" ht="18.75">
      <c r="A105" s="1" t="s">
        <v>118</v>
      </c>
      <c r="B105" s="7">
        <f>VLOOKUP(Table2[[#This Row], [Titre]],Table1[[#All],[Title]:[Nbr Pages]],2,0)</f>
      </c>
      <c r="C105" s="8"/>
      <c r="D105" s="8">
        <v>42817</v>
      </c>
      <c r="E105" s="9">
        <f>VLOOKUP(Table2[[#This Row], [Titre]],Table1[[#All],[Title]:[Nbr Pages]],9,0)</f>
      </c>
      <c r="F105" s="2" t="s">
        <v>12</v>
      </c>
      <c r="G105" s="6" t="s">
        <v>36</v>
      </c>
    </row>
    <row x14ac:dyDescent="0.25" r="106" customHeight="1" ht="18.75">
      <c r="A106" s="1" t="s">
        <v>119</v>
      </c>
      <c r="B106" s="7">
        <f>VLOOKUP(Table2[[#This Row], [Titre]],Table1[[#All],[Title]:[Nbr Pages]],2,0)</f>
      </c>
      <c r="C106" s="8"/>
      <c r="D106" s="8">
        <v>43599</v>
      </c>
      <c r="E106" s="9">
        <f>VLOOKUP(Table2[[#This Row], [Titre]],Table1[[#All],[Title]:[Nbr Pages]],9,0)</f>
      </c>
      <c r="F106" s="2" t="s">
        <v>12</v>
      </c>
      <c r="G106" s="6" t="s">
        <v>36</v>
      </c>
    </row>
    <row x14ac:dyDescent="0.25" r="107" customHeight="1" ht="18.75">
      <c r="A107" s="1" t="s">
        <v>120</v>
      </c>
      <c r="B107" s="7">
        <f>VLOOKUP(Table2[[#This Row], [Titre]],Table1[[#All],[Title]:[Nbr Pages]],2,0)</f>
      </c>
      <c r="C107" s="8"/>
      <c r="D107" s="8">
        <v>41640</v>
      </c>
      <c r="E107" s="9">
        <f>VLOOKUP(Table2[[#This Row], [Titre]],Table1[[#All],[Title]:[Nbr Pages]],9,0)</f>
      </c>
      <c r="F107" s="2" t="s">
        <v>12</v>
      </c>
      <c r="G107" s="6" t="s">
        <v>36</v>
      </c>
    </row>
    <row x14ac:dyDescent="0.25" r="108" customHeight="1" ht="18.75">
      <c r="A108" s="1" t="s">
        <v>121</v>
      </c>
      <c r="B108" s="7">
        <f>VLOOKUP(Table2[[#This Row], [Titre]],Table1[[#All],[Title]:[Nbr Pages]],2,0)</f>
      </c>
      <c r="C108" s="8"/>
      <c r="D108" s="8">
        <v>41640</v>
      </c>
      <c r="E108" s="9">
        <f>VLOOKUP(Table2[[#This Row], [Titre]],Table1[[#All],[Title]:[Nbr Pages]],9,0)</f>
      </c>
      <c r="F108" s="2" t="s">
        <v>12</v>
      </c>
      <c r="G108" s="6" t="s">
        <v>36</v>
      </c>
    </row>
    <row x14ac:dyDescent="0.25" r="109" customHeight="1" ht="18.75">
      <c r="A109" s="1" t="s">
        <v>122</v>
      </c>
      <c r="B109" s="7">
        <f>VLOOKUP(Table2[[#This Row], [Titre]],Table1[[#All],[Title]:[Nbr Pages]],2,0)</f>
      </c>
      <c r="C109" s="8"/>
      <c r="D109" s="8">
        <v>41640</v>
      </c>
      <c r="E109" s="9">
        <f>VLOOKUP(Table2[[#This Row], [Titre]],Table1[[#All],[Title]:[Nbr Pages]],9,0)</f>
      </c>
      <c r="F109" s="2" t="s">
        <v>12</v>
      </c>
      <c r="G109" s="6" t="s">
        <v>36</v>
      </c>
    </row>
    <row x14ac:dyDescent="0.25" r="110" customHeight="1" ht="18.75">
      <c r="A110" s="1" t="s">
        <v>123</v>
      </c>
      <c r="B110" s="7">
        <f>VLOOKUP(Table2[[#This Row], [Titre]],Table1[[#All],[Title]:[Nbr Pages]],2,0)</f>
      </c>
      <c r="C110" s="8"/>
      <c r="D110" s="8">
        <v>41640</v>
      </c>
      <c r="E110" s="9">
        <f>VLOOKUP(Table2[[#This Row], [Titre]],Table1[[#All],[Title]:[Nbr Pages]],9,0)</f>
      </c>
      <c r="F110" s="2" t="s">
        <v>12</v>
      </c>
      <c r="G110" s="6" t="s">
        <v>36</v>
      </c>
    </row>
    <row x14ac:dyDescent="0.25" r="111" customHeight="1" ht="18.75">
      <c r="A111" s="1" t="s">
        <v>124</v>
      </c>
      <c r="B111" s="7">
        <f>VLOOKUP(Table2[[#This Row], [Titre]],Table1[[#All],[Title]:[Nbr Pages]],2,0)</f>
      </c>
      <c r="C111" s="8"/>
      <c r="D111" s="8">
        <v>41640</v>
      </c>
      <c r="E111" s="9">
        <f>VLOOKUP(Table2[[#This Row], [Titre]],Table1[[#All],[Title]:[Nbr Pages]],9,0)</f>
      </c>
      <c r="F111" s="2" t="s">
        <v>12</v>
      </c>
      <c r="G111" s="6" t="s">
        <v>36</v>
      </c>
    </row>
    <row x14ac:dyDescent="0.25" r="112" customHeight="1" ht="18.75">
      <c r="A112" s="1" t="s">
        <v>125</v>
      </c>
      <c r="B112" s="7">
        <f>VLOOKUP(Table2[[#This Row], [Titre]],Table1[[#All],[Title]:[Nbr Pages]],2,0)</f>
      </c>
      <c r="C112" s="8"/>
      <c r="D112" s="8">
        <v>44051</v>
      </c>
      <c r="E112" s="9">
        <f>VLOOKUP(Table2[[#This Row], [Titre]],Table1[[#All],[Title]:[Nbr Pages]],9,0)</f>
      </c>
      <c r="F112" s="2" t="s">
        <v>12</v>
      </c>
      <c r="G112" s="6" t="s">
        <v>36</v>
      </c>
    </row>
    <row x14ac:dyDescent="0.25" r="113" customHeight="1" ht="18.75">
      <c r="A113" s="1" t="s">
        <v>126</v>
      </c>
      <c r="B113" s="7">
        <f>VLOOKUP(Table2[[#This Row], [Titre]],Table1[[#All],[Title]:[Nbr Pages]],2,0)</f>
      </c>
      <c r="C113" s="8"/>
      <c r="D113" s="8">
        <v>44393</v>
      </c>
      <c r="E113" s="9">
        <f>VLOOKUP(Table2[[#This Row], [Titre]],Table1[[#All],[Title]:[Nbr Pages]],9,0)</f>
      </c>
      <c r="F113" s="2" t="s">
        <v>12</v>
      </c>
      <c r="G113" s="6" t="s">
        <v>36</v>
      </c>
    </row>
    <row x14ac:dyDescent="0.25" r="114" customHeight="1" ht="18.75">
      <c r="A114" s="1" t="s">
        <v>127</v>
      </c>
      <c r="B114" s="7">
        <f>VLOOKUP(Table2[[#This Row], [Titre]],Table1[[#All],[Title]:[Nbr Pages]],2,0)</f>
      </c>
      <c r="C114" s="8"/>
      <c r="D114" s="8">
        <v>42156</v>
      </c>
      <c r="E114" s="9">
        <f>VLOOKUP(Table2[[#This Row], [Titre]],Table1[[#All],[Title]:[Nbr Pages]],9,0)</f>
      </c>
      <c r="F114" s="2" t="s">
        <v>12</v>
      </c>
      <c r="G114" s="6" t="s">
        <v>36</v>
      </c>
    </row>
    <row x14ac:dyDescent="0.25" r="115" customHeight="1" ht="18.75">
      <c r="A115" s="1" t="s">
        <v>128</v>
      </c>
      <c r="B115" s="7">
        <f>VLOOKUP(Table2[[#This Row], [Titre]],Table1[[#All],[Title]:[Nbr Pages]],2,0)</f>
      </c>
      <c r="C115" s="8"/>
      <c r="D115" s="8">
        <v>42887</v>
      </c>
      <c r="E115" s="9">
        <f>VLOOKUP(Table2[[#This Row], [Titre]],Table1[[#All],[Title]:[Nbr Pages]],9,0)</f>
      </c>
      <c r="F115" s="2" t="s">
        <v>12</v>
      </c>
      <c r="G115" s="6" t="s">
        <v>36</v>
      </c>
    </row>
    <row x14ac:dyDescent="0.25" r="116" customHeight="1" ht="18.75">
      <c r="A116" s="1" t="s">
        <v>129</v>
      </c>
      <c r="B116" s="7">
        <f>VLOOKUP(Table2[[#This Row], [Titre]],Table1[[#All],[Title]:[Nbr Pages]],2,0)</f>
      </c>
      <c r="C116" s="8"/>
      <c r="D116" s="8">
        <v>42208</v>
      </c>
      <c r="E116" s="9">
        <f>VLOOKUP(Table2[[#This Row], [Titre]],Table1[[#All],[Title]:[Nbr Pages]],9,0)</f>
      </c>
      <c r="F116" s="2" t="s">
        <v>12</v>
      </c>
      <c r="G116" s="6" t="s">
        <v>36</v>
      </c>
    </row>
    <row x14ac:dyDescent="0.25" r="117" customHeight="1" ht="18.75">
      <c r="A117" s="1" t="s">
        <v>130</v>
      </c>
      <c r="B117" s="7">
        <f>VLOOKUP(Table2[[#This Row], [Titre]],Table1[[#All],[Title]:[Nbr Pages]],2,0)</f>
      </c>
      <c r="C117" s="8"/>
      <c r="D117" s="8">
        <v>42208</v>
      </c>
      <c r="E117" s="9">
        <f>VLOOKUP(Table2[[#This Row], [Titre]],Table1[[#All],[Title]:[Nbr Pages]],9,0)</f>
      </c>
      <c r="F117" s="2" t="s">
        <v>12</v>
      </c>
      <c r="G117" s="6" t="s">
        <v>36</v>
      </c>
    </row>
    <row x14ac:dyDescent="0.25" r="118" customHeight="1" ht="18.75">
      <c r="A118" s="1" t="s">
        <v>131</v>
      </c>
      <c r="B118" s="7">
        <f>VLOOKUP(Table2[[#This Row], [Titre]],Table1[[#All],[Title]:[Nbr Pages]],2,0)</f>
      </c>
      <c r="C118" s="8"/>
      <c r="D118" s="8">
        <v>42256</v>
      </c>
      <c r="E118" s="9">
        <f>VLOOKUP(Table2[[#This Row], [Titre]],Table1[[#All],[Title]:[Nbr Pages]],9,0)</f>
      </c>
      <c r="F118" s="2" t="s">
        <v>12</v>
      </c>
      <c r="G118" s="6" t="s">
        <v>36</v>
      </c>
    </row>
    <row x14ac:dyDescent="0.25" r="119" customHeight="1" ht="18.75">
      <c r="A119" s="1" t="s">
        <v>132</v>
      </c>
      <c r="B119" s="7">
        <f>VLOOKUP(Table2[[#This Row], [Titre]],Table1[[#All],[Title]:[Nbr Pages]],2,0)</f>
      </c>
      <c r="C119" s="8"/>
      <c r="D119" s="8">
        <v>42298</v>
      </c>
      <c r="E119" s="9">
        <f>VLOOKUP(Table2[[#This Row], [Titre]],Table1[[#All],[Title]:[Nbr Pages]],9,0)</f>
      </c>
      <c r="F119" s="2" t="s">
        <v>12</v>
      </c>
      <c r="G119" s="6" t="s">
        <v>36</v>
      </c>
    </row>
    <row x14ac:dyDescent="0.25" r="120" customHeight="1" ht="18.75">
      <c r="A120" s="1" t="s">
        <v>133</v>
      </c>
      <c r="B120" s="7">
        <f>VLOOKUP(Table2[[#This Row], [Titre]],Table1[[#All],[Title]:[Nbr Pages]],2,0)</f>
      </c>
      <c r="C120" s="8"/>
      <c r="D120" s="3"/>
      <c r="E120" s="9">
        <f>VLOOKUP(Table2[[#This Row], [Titre]],Table1[[#All],[Title]:[Nbr Pages]],9,0)</f>
      </c>
      <c r="F120" s="2" t="s">
        <v>12</v>
      </c>
      <c r="G120" s="6" t="s">
        <v>36</v>
      </c>
    </row>
    <row x14ac:dyDescent="0.25" r="121" customHeight="1" ht="18.75">
      <c r="A121" s="1" t="s">
        <v>134</v>
      </c>
      <c r="B121" s="7">
        <f>VLOOKUP(Table2[[#This Row], [Titre]],Table1[[#All],[Title]:[Nbr Pages]],2,0)</f>
      </c>
      <c r="C121" s="8"/>
      <c r="D121" s="8">
        <v>43148</v>
      </c>
      <c r="E121" s="9">
        <f>VLOOKUP(Table2[[#This Row], [Titre]],Table1[[#All],[Title]:[Nbr Pages]],9,0)</f>
      </c>
      <c r="F121" s="2" t="s">
        <v>12</v>
      </c>
      <c r="G121" s="6" t="s">
        <v>36</v>
      </c>
    </row>
    <row x14ac:dyDescent="0.25" r="122" customHeight="1" ht="18.75">
      <c r="A122" s="1" t="s">
        <v>135</v>
      </c>
      <c r="B122" s="7">
        <f>VLOOKUP(Table2[[#This Row], [Titre]],Table1[[#All],[Title]:[Nbr Pages]],2,0)</f>
      </c>
      <c r="C122" s="8"/>
      <c r="D122" s="3"/>
      <c r="E122" s="9">
        <f>VLOOKUP(Table2[[#This Row], [Titre]],Table1[[#All],[Title]:[Nbr Pages]],9,0)</f>
      </c>
      <c r="F122" s="2" t="s">
        <v>12</v>
      </c>
      <c r="G122" s="6" t="s">
        <v>36</v>
      </c>
    </row>
    <row x14ac:dyDescent="0.25" r="123" customHeight="1" ht="18.75">
      <c r="A123" s="1" t="s">
        <v>136</v>
      </c>
      <c r="B123" s="7">
        <f>VLOOKUP(Table2[[#This Row], [Titre]],Table1[[#All],[Title]:[Nbr Pages]],2,0)</f>
      </c>
      <c r="C123" s="8"/>
      <c r="D123" s="8">
        <v>43101</v>
      </c>
      <c r="E123" s="9">
        <f>VLOOKUP(Table2[[#This Row], [Titre]],Table1[[#All],[Title]:[Nbr Pages]],9,0)</f>
      </c>
      <c r="F123" s="2" t="s">
        <v>12</v>
      </c>
      <c r="G123" s="6" t="s">
        <v>36</v>
      </c>
    </row>
    <row x14ac:dyDescent="0.25" r="124" customHeight="1" ht="18.75">
      <c r="A124" s="1" t="s">
        <v>137</v>
      </c>
      <c r="B124" s="7">
        <f>VLOOKUP(Table2[[#This Row], [Titre]],Table1[[#All],[Title]:[Nbr Pages]],2,0)</f>
      </c>
      <c r="C124" s="8"/>
      <c r="D124" s="8">
        <v>43693</v>
      </c>
      <c r="E124" s="9">
        <f>VLOOKUP(Table2[[#This Row], [Titre]],Table1[[#All],[Title]:[Nbr Pages]],9,0)</f>
      </c>
      <c r="F124" s="2" t="s">
        <v>12</v>
      </c>
      <c r="G124" s="6" t="s">
        <v>36</v>
      </c>
    </row>
    <row x14ac:dyDescent="0.25" r="125" customHeight="1" ht="18.75">
      <c r="A125" s="1" t="s">
        <v>138</v>
      </c>
      <c r="B125" s="7">
        <f>VLOOKUP(Table2[[#This Row], [Titre]],Table1[[#All],[Title]:[Nbr Pages]],2,0)</f>
      </c>
      <c r="C125" s="8"/>
      <c r="D125" s="8">
        <v>43693</v>
      </c>
      <c r="E125" s="9">
        <f>VLOOKUP(Table2[[#This Row], [Titre]],Table1[[#All],[Title]:[Nbr Pages]],9,0)</f>
      </c>
      <c r="F125" s="2" t="s">
        <v>12</v>
      </c>
      <c r="G125" s="6" t="s">
        <v>36</v>
      </c>
    </row>
    <row x14ac:dyDescent="0.25" r="126" customHeight="1" ht="18.75">
      <c r="A126" s="1" t="s">
        <v>139</v>
      </c>
      <c r="B126" s="7">
        <f>VLOOKUP(Table2[[#This Row], [Titre]],Table1[[#All],[Title]:[Nbr Pages]],2,0)</f>
      </c>
      <c r="C126" s="8"/>
      <c r="D126" s="8">
        <v>43466</v>
      </c>
      <c r="E126" s="9">
        <f>VLOOKUP(Table2[[#This Row], [Titre]],Table1[[#All],[Title]:[Nbr Pages]],9,0)</f>
      </c>
      <c r="F126" s="2" t="s">
        <v>12</v>
      </c>
      <c r="G126" s="6" t="s">
        <v>36</v>
      </c>
    </row>
    <row x14ac:dyDescent="0.25" r="127" customHeight="1" ht="18.75">
      <c r="A127" s="1" t="s">
        <v>140</v>
      </c>
      <c r="B127" s="7">
        <f>VLOOKUP(Table2[[#This Row], [Titre]],Table1[[#All],[Title]:[Nbr Pages]],2,0)</f>
      </c>
      <c r="C127" s="8"/>
      <c r="D127" s="8">
        <v>43724</v>
      </c>
      <c r="E127" s="9">
        <f>VLOOKUP(Table2[[#This Row], [Titre]],Table1[[#All],[Title]:[Nbr Pages]],9,0)</f>
      </c>
      <c r="F127" s="2" t="s">
        <v>12</v>
      </c>
      <c r="G127" s="6" t="s">
        <v>36</v>
      </c>
    </row>
    <row x14ac:dyDescent="0.25" r="128" customHeight="1" ht="18.75">
      <c r="A128" s="1" t="s">
        <v>141</v>
      </c>
      <c r="B128" s="7">
        <f>VLOOKUP(Table2[[#This Row], [Titre]],Table1[[#All],[Title]:[Nbr Pages]],2,0)</f>
      </c>
      <c r="C128" s="8"/>
      <c r="D128" s="8">
        <v>43863</v>
      </c>
      <c r="E128" s="9">
        <f>VLOOKUP(Table2[[#This Row], [Titre]],Table1[[#All],[Title]:[Nbr Pages]],9,0)</f>
      </c>
      <c r="F128" s="2" t="s">
        <v>12</v>
      </c>
      <c r="G128" s="6" t="s">
        <v>36</v>
      </c>
    </row>
    <row x14ac:dyDescent="0.25" r="129" customHeight="1" ht="18.75">
      <c r="A129" s="1" t="s">
        <v>142</v>
      </c>
      <c r="B129" s="7">
        <f>VLOOKUP(Table2[[#This Row], [Titre]],Table1[[#All],[Title]:[Nbr Pages]],2,0)</f>
      </c>
      <c r="C129" s="8"/>
      <c r="D129" s="8">
        <v>43922</v>
      </c>
      <c r="E129" s="9">
        <f>VLOOKUP(Table2[[#This Row], [Titre]],Table1[[#All],[Title]:[Nbr Pages]],9,0)</f>
      </c>
      <c r="F129" s="2" t="s">
        <v>12</v>
      </c>
      <c r="G129" s="6" t="s">
        <v>36</v>
      </c>
    </row>
    <row x14ac:dyDescent="0.25" r="130" customHeight="1" ht="18.75">
      <c r="A130" s="1" t="s">
        <v>143</v>
      </c>
      <c r="B130" s="7">
        <f>VLOOKUP(Table2[[#This Row], [Titre]],Table1[[#All],[Title]:[Nbr Pages]],2,0)</f>
      </c>
      <c r="C130" s="8"/>
      <c r="D130" s="8">
        <v>44099</v>
      </c>
      <c r="E130" s="9">
        <f>VLOOKUP(Table2[[#This Row], [Titre]],Table1[[#All],[Title]:[Nbr Pages]],9,0)</f>
      </c>
      <c r="F130" s="2" t="s">
        <v>12</v>
      </c>
      <c r="G130" s="6" t="s">
        <v>36</v>
      </c>
    </row>
    <row x14ac:dyDescent="0.25" r="131" customHeight="1" ht="18.75">
      <c r="A131" s="1" t="s">
        <v>144</v>
      </c>
      <c r="B131" s="7">
        <f>VLOOKUP(Table2[[#This Row], [Titre]],Table1[[#All],[Title]:[Nbr Pages]],2,0)</f>
      </c>
      <c r="C131" s="8"/>
      <c r="D131" s="8">
        <v>42005</v>
      </c>
      <c r="E131" s="9">
        <f>VLOOKUP(Table2[[#This Row], [Titre]],Table1[[#All],[Title]:[Nbr Pages]],9,0)</f>
      </c>
      <c r="F131" s="2" t="s">
        <v>12</v>
      </c>
      <c r="G131" s="6" t="s">
        <v>36</v>
      </c>
    </row>
    <row x14ac:dyDescent="0.25" r="132" customHeight="1" ht="18.75">
      <c r="A132" s="1" t="s">
        <v>145</v>
      </c>
      <c r="B132" s="7">
        <f>VLOOKUP(Table2[[#This Row], [Titre]],Table1[[#All],[Title]:[Nbr Pages]],2,0)</f>
      </c>
      <c r="C132" s="8"/>
      <c r="D132" s="3"/>
      <c r="E132" s="9">
        <f>VLOOKUP(Table2[[#This Row], [Titre]],Table1[[#All],[Title]:[Nbr Pages]],9,0)</f>
      </c>
      <c r="F132" s="2" t="s">
        <v>12</v>
      </c>
      <c r="G132" s="6" t="s">
        <v>36</v>
      </c>
    </row>
    <row x14ac:dyDescent="0.25" r="133" customHeight="1" ht="18.75">
      <c r="A133" s="1" t="s">
        <v>146</v>
      </c>
      <c r="B133" s="7">
        <f>VLOOKUP(Table2[[#This Row], [Titre]],Table1[[#All],[Title]:[Nbr Pages]],2,0)</f>
      </c>
      <c r="C133" s="8"/>
      <c r="D133" s="8">
        <v>43504</v>
      </c>
      <c r="E133" s="9">
        <f>VLOOKUP(Table2[[#This Row], [Titre]],Table1[[#All],[Title]:[Nbr Pages]],9,0)</f>
      </c>
      <c r="F133" s="2" t="s">
        <v>12</v>
      </c>
      <c r="G133" s="6" t="s">
        <v>36</v>
      </c>
    </row>
    <row x14ac:dyDescent="0.25" r="134" customHeight="1" ht="18.75">
      <c r="A134" s="1" t="s">
        <v>147</v>
      </c>
      <c r="B134" s="7">
        <f>VLOOKUP(Table2[[#This Row], [Titre]],Table1[[#All],[Title]:[Nbr Pages]],2,0)</f>
      </c>
      <c r="C134" s="8"/>
      <c r="D134" s="8">
        <v>43605</v>
      </c>
      <c r="E134" s="9">
        <f>VLOOKUP(Table2[[#This Row], [Titre]],Table1[[#All],[Title]:[Nbr Pages]],9,0)</f>
      </c>
      <c r="F134" s="2" t="s">
        <v>12</v>
      </c>
      <c r="G134" s="6" t="s">
        <v>36</v>
      </c>
    </row>
    <row x14ac:dyDescent="0.25" r="135" customHeight="1" ht="18.75">
      <c r="A135" s="1" t="s">
        <v>148</v>
      </c>
      <c r="B135" s="7">
        <f>VLOOKUP(Table2[[#This Row], [Titre]],Table1[[#All],[Title]:[Nbr Pages]],2,0)</f>
      </c>
      <c r="C135" s="8"/>
      <c r="D135" s="8">
        <v>43479</v>
      </c>
      <c r="E135" s="9">
        <f>VLOOKUP(Table2[[#This Row], [Titre]],Table1[[#All],[Title]:[Nbr Pages]],9,0)</f>
      </c>
      <c r="F135" s="2" t="s">
        <v>12</v>
      </c>
      <c r="G135" s="6" t="s">
        <v>36</v>
      </c>
    </row>
    <row x14ac:dyDescent="0.25" r="136" customHeight="1" ht="18.75">
      <c r="A136" s="1" t="s">
        <v>149</v>
      </c>
      <c r="B136" s="7">
        <f>VLOOKUP(Table2[[#This Row], [Titre]],Table1[[#All],[Title]:[Nbr Pages]],2,0)</f>
      </c>
      <c r="C136" s="8"/>
      <c r="D136" s="8">
        <v>42736</v>
      </c>
      <c r="E136" s="9">
        <f>VLOOKUP(Table2[[#This Row], [Titre]],Table1[[#All],[Title]:[Nbr Pages]],9,0)</f>
      </c>
      <c r="F136" s="2" t="s">
        <v>12</v>
      </c>
      <c r="G136" s="6" t="s">
        <v>36</v>
      </c>
    </row>
    <row x14ac:dyDescent="0.25" r="137" customHeight="1" ht="18.75">
      <c r="A137" s="1" t="s">
        <v>150</v>
      </c>
      <c r="B137" s="7">
        <f>VLOOKUP(Table2[[#This Row], [Titre]],Table1[[#All],[Title]:[Nbr Pages]],2,0)</f>
      </c>
      <c r="C137" s="8"/>
      <c r="D137" s="8">
        <v>44203</v>
      </c>
      <c r="E137" s="9">
        <f>VLOOKUP(Table2[[#This Row], [Titre]],Table1[[#All],[Title]:[Nbr Pages]],9,0)</f>
      </c>
      <c r="F137" s="2" t="s">
        <v>12</v>
      </c>
      <c r="G137" s="6" t="s">
        <v>36</v>
      </c>
    </row>
    <row x14ac:dyDescent="0.25" r="138" customHeight="1" ht="18.75">
      <c r="A138" s="1" t="s">
        <v>151</v>
      </c>
      <c r="B138" s="7">
        <f>VLOOKUP(Table2[[#This Row], [Titre]],Table1[[#All],[Title]:[Nbr Pages]],2,0)</f>
      </c>
      <c r="C138" s="8"/>
      <c r="D138" s="3"/>
      <c r="E138" s="9">
        <f>VLOOKUP(Table2[[#This Row], [Titre]],Table1[[#All],[Title]:[Nbr Pages]],9,0)</f>
      </c>
      <c r="F138" s="2" t="s">
        <v>12</v>
      </c>
      <c r="G138" s="6" t="s">
        <v>36</v>
      </c>
    </row>
    <row x14ac:dyDescent="0.25" r="139" customHeight="1" ht="18.75">
      <c r="A139" s="1" t="s">
        <v>152</v>
      </c>
      <c r="B139" s="7">
        <f>VLOOKUP(Table2[[#This Row], [Titre]],Table1[[#All],[Title]:[Nbr Pages]],2,0)</f>
      </c>
      <c r="C139" s="8"/>
      <c r="D139" s="3"/>
      <c r="E139" s="9">
        <f>VLOOKUP(Table2[[#This Row], [Titre]],Table1[[#All],[Title]:[Nbr Pages]],9,0)</f>
      </c>
      <c r="F139" s="2" t="s">
        <v>12</v>
      </c>
      <c r="G139" s="6" t="s">
        <v>36</v>
      </c>
    </row>
    <row x14ac:dyDescent="0.25" r="140" customHeight="1" ht="18.75">
      <c r="A140" s="1" t="s">
        <v>153</v>
      </c>
      <c r="B140" s="7">
        <f>VLOOKUP(Table2[[#This Row], [Titre]],Table1[[#All],[Title]:[Nbr Pages]],2,0)</f>
      </c>
      <c r="C140" s="8"/>
      <c r="D140" s="8">
        <v>43802</v>
      </c>
      <c r="E140" s="9">
        <f>VLOOKUP(Table2[[#This Row], [Titre]],Table1[[#All],[Title]:[Nbr Pages]],9,0)</f>
      </c>
      <c r="F140" s="2" t="s">
        <v>12</v>
      </c>
      <c r="G140" s="6" t="s">
        <v>36</v>
      </c>
    </row>
    <row x14ac:dyDescent="0.25" r="141" customHeight="1" ht="18.75">
      <c r="A141" s="1" t="s">
        <v>154</v>
      </c>
      <c r="B141" s="7">
        <f>VLOOKUP(Table2[[#This Row], [Titre]],Table1[[#All],[Title]:[Nbr Pages]],2,0)</f>
      </c>
      <c r="C141" s="8"/>
      <c r="D141" s="8">
        <v>42887</v>
      </c>
      <c r="E141" s="9">
        <f>VLOOKUP(Table2[[#This Row], [Titre]],Table1[[#All],[Title]:[Nbr Pages]],9,0)</f>
      </c>
      <c r="F141" s="2" t="s">
        <v>12</v>
      </c>
      <c r="G141" s="6" t="s">
        <v>36</v>
      </c>
    </row>
    <row x14ac:dyDescent="0.25" r="142" customHeight="1" ht="18.75">
      <c r="A142" s="1" t="s">
        <v>155</v>
      </c>
      <c r="B142" s="7">
        <f>VLOOKUP(Table2[[#This Row], [Titre]],Table1[[#All],[Title]:[Nbr Pages]],2,0)</f>
      </c>
      <c r="C142" s="8"/>
      <c r="D142" s="8">
        <v>42887</v>
      </c>
      <c r="E142" s="9">
        <f>VLOOKUP(Table2[[#This Row], [Titre]],Table1[[#All],[Title]:[Nbr Pages]],9,0)</f>
      </c>
      <c r="F142" s="2" t="s">
        <v>12</v>
      </c>
      <c r="G142" s="6" t="s">
        <v>36</v>
      </c>
    </row>
    <row x14ac:dyDescent="0.25" r="143" customHeight="1" ht="18.75">
      <c r="A143" s="1" t="s">
        <v>156</v>
      </c>
      <c r="B143" s="7">
        <f>VLOOKUP(Table2[[#This Row], [Titre]],Table1[[#All],[Title]:[Nbr Pages]],2,0)</f>
      </c>
      <c r="C143" s="8"/>
      <c r="D143" s="8">
        <v>43070</v>
      </c>
      <c r="E143" s="9">
        <f>VLOOKUP(Table2[[#This Row], [Titre]],Table1[[#All],[Title]:[Nbr Pages]],9,0)</f>
      </c>
      <c r="F143" s="2" t="s">
        <v>12</v>
      </c>
      <c r="G143" s="6" t="s">
        <v>36</v>
      </c>
    </row>
    <row x14ac:dyDescent="0.25" r="144" customHeight="1" ht="18.75">
      <c r="A144" s="1" t="s">
        <v>157</v>
      </c>
      <c r="B144" s="7">
        <f>VLOOKUP(Table2[[#This Row], [Titre]],Table1[[#All],[Title]:[Nbr Pages]],2,0)</f>
      </c>
      <c r="C144" s="8"/>
      <c r="D144" s="8">
        <v>43628</v>
      </c>
      <c r="E144" s="9">
        <f>VLOOKUP(Table2[[#This Row], [Titre]],Table1[[#All],[Title]:[Nbr Pages]],9,0)</f>
      </c>
      <c r="F144" s="2" t="s">
        <v>12</v>
      </c>
      <c r="G144" s="6" t="s">
        <v>36</v>
      </c>
    </row>
    <row x14ac:dyDescent="0.25" r="145" customHeight="1" ht="18.75">
      <c r="A145" s="1" t="s">
        <v>158</v>
      </c>
      <c r="B145" s="7">
        <f>VLOOKUP(Table2[[#This Row], [Titre]],Table1[[#All],[Title]:[Nbr Pages]],2,0)</f>
      </c>
      <c r="C145" s="8"/>
      <c r="D145" s="8">
        <v>43671</v>
      </c>
      <c r="E145" s="9">
        <f>VLOOKUP(Table2[[#This Row], [Titre]],Table1[[#All],[Title]:[Nbr Pages]],9,0)</f>
      </c>
      <c r="F145" s="2" t="s">
        <v>12</v>
      </c>
      <c r="G145" s="6" t="s">
        <v>36</v>
      </c>
    </row>
    <row x14ac:dyDescent="0.25" r="146" customHeight="1" ht="18.75">
      <c r="A146" s="1" t="s">
        <v>159</v>
      </c>
      <c r="B146" s="7">
        <f>VLOOKUP(Table2[[#This Row], [Titre]],Table1[[#All],[Title]:[Nbr Pages]],2,0)</f>
      </c>
      <c r="C146" s="8"/>
      <c r="D146" s="8">
        <v>43676</v>
      </c>
      <c r="E146" s="9">
        <f>VLOOKUP(Table2[[#This Row], [Titre]],Table1[[#All],[Title]:[Nbr Pages]],9,0)</f>
      </c>
      <c r="F146" s="2" t="s">
        <v>12</v>
      </c>
      <c r="G146" s="6" t="s">
        <v>36</v>
      </c>
    </row>
    <row x14ac:dyDescent="0.25" r="147" customHeight="1" ht="18.75">
      <c r="A147" s="1" t="s">
        <v>160</v>
      </c>
      <c r="B147" s="7">
        <f>VLOOKUP(Table2[[#This Row], [Titre]],Table1[[#All],[Title]:[Nbr Pages]],2,0)</f>
      </c>
      <c r="C147" s="8"/>
      <c r="D147" s="8">
        <v>43690</v>
      </c>
      <c r="E147" s="9">
        <f>VLOOKUP(Table2[[#This Row], [Titre]],Table1[[#All],[Title]:[Nbr Pages]],9,0)</f>
      </c>
      <c r="F147" s="2" t="s">
        <v>12</v>
      </c>
      <c r="G147" s="6" t="s">
        <v>36</v>
      </c>
    </row>
    <row x14ac:dyDescent="0.25" r="148" customHeight="1" ht="18.75">
      <c r="A148" s="1" t="s">
        <v>161</v>
      </c>
      <c r="B148" s="7">
        <f>VLOOKUP(Table2[[#This Row], [Titre]],Table1[[#All],[Title]:[Nbr Pages]],2,0)</f>
      </c>
      <c r="C148" s="8"/>
      <c r="D148" s="8">
        <v>43706</v>
      </c>
      <c r="E148" s="9">
        <f>VLOOKUP(Table2[[#This Row], [Titre]],Table1[[#All],[Title]:[Nbr Pages]],9,0)</f>
      </c>
      <c r="F148" s="2" t="s">
        <v>12</v>
      </c>
      <c r="G148" s="6" t="s">
        <v>36</v>
      </c>
    </row>
    <row x14ac:dyDescent="0.25" r="149" customHeight="1" ht="18.75">
      <c r="A149" s="1" t="s">
        <v>162</v>
      </c>
      <c r="B149" s="7">
        <f>VLOOKUP(Table2[[#This Row], [Titre]],Table1[[#All],[Title]:[Nbr Pages]],2,0)</f>
      </c>
      <c r="C149" s="8"/>
      <c r="D149" s="3"/>
      <c r="E149" s="9">
        <f>VLOOKUP(Table2[[#This Row], [Titre]],Table1[[#All],[Title]:[Nbr Pages]],9,0)</f>
      </c>
      <c r="F149" s="2" t="s">
        <v>12</v>
      </c>
      <c r="G149" s="6" t="s">
        <v>36</v>
      </c>
    </row>
    <row x14ac:dyDescent="0.25" r="150" customHeight="1" ht="18.75">
      <c r="A150" s="1" t="s">
        <v>163</v>
      </c>
      <c r="B150" s="7">
        <f>VLOOKUP(Table2[[#This Row], [Titre]],Table1[[#All],[Title]:[Nbr Pages]],2,0)</f>
      </c>
      <c r="C150" s="8"/>
      <c r="D150" s="3"/>
      <c r="E150" s="9">
        <f>VLOOKUP(Table2[[#This Row], [Titre]],Table1[[#All],[Title]:[Nbr Pages]],9,0)</f>
      </c>
      <c r="F150" s="2" t="s">
        <v>12</v>
      </c>
      <c r="G150" s="6" t="s">
        <v>36</v>
      </c>
    </row>
    <row x14ac:dyDescent="0.25" r="151" customHeight="1" ht="18.75">
      <c r="A151" s="1" t="s">
        <v>164</v>
      </c>
      <c r="B151" s="7">
        <f>VLOOKUP(Table2[[#This Row], [Titre]],Table1[[#All],[Title]:[Nbr Pages]],2,0)</f>
      </c>
      <c r="C151" s="8"/>
      <c r="D151" s="8">
        <v>42829</v>
      </c>
      <c r="E151" s="9">
        <f>VLOOKUP(Table2[[#This Row], [Titre]],Table1[[#All],[Title]:[Nbr Pages]],9,0)</f>
      </c>
      <c r="F151" s="2" t="s">
        <v>12</v>
      </c>
      <c r="G151" s="6" t="s">
        <v>36</v>
      </c>
    </row>
    <row x14ac:dyDescent="0.25" r="152" customHeight="1" ht="18.75">
      <c r="A152" s="1" t="s">
        <v>165</v>
      </c>
      <c r="B152" s="7">
        <f>VLOOKUP(Table2[[#This Row], [Titre]],Table1[[#All],[Title]:[Nbr Pages]],2,0)</f>
      </c>
      <c r="C152" s="8"/>
      <c r="D152" s="8">
        <v>39083</v>
      </c>
      <c r="E152" s="9">
        <f>VLOOKUP(Table2[[#This Row], [Titre]],Table1[[#All],[Title]:[Nbr Pages]],9,0)</f>
      </c>
      <c r="F152" s="2" t="s">
        <v>12</v>
      </c>
      <c r="G152" s="6" t="s">
        <v>36</v>
      </c>
    </row>
    <row x14ac:dyDescent="0.25" r="153" customHeight="1" ht="18.75">
      <c r="A153" s="1" t="s">
        <v>166</v>
      </c>
      <c r="B153" s="7">
        <f>VLOOKUP(Table2[[#This Row], [Titre]],Table1[[#All],[Title]:[Nbr Pages]],2,0)</f>
      </c>
      <c r="C153" s="8"/>
      <c r="D153" s="3"/>
      <c r="E153" s="9">
        <f>VLOOKUP(Table2[[#This Row], [Titre]],Table1[[#All],[Title]:[Nbr Pages]],9,0)</f>
      </c>
      <c r="F153" s="2" t="s">
        <v>12</v>
      </c>
      <c r="G153" s="6" t="s">
        <v>36</v>
      </c>
    </row>
    <row x14ac:dyDescent="0.25" r="154" customHeight="1" ht="18.75">
      <c r="A154" s="1" t="s">
        <v>167</v>
      </c>
      <c r="B154" s="7">
        <f>VLOOKUP(Table2[[#This Row], [Titre]],Table1[[#All],[Title]:[Nbr Pages]],2,0)</f>
      </c>
      <c r="C154" s="8"/>
      <c r="D154" s="8">
        <v>39083</v>
      </c>
      <c r="E154" s="9">
        <f>VLOOKUP(Table2[[#This Row], [Titre]],Table1[[#All],[Title]:[Nbr Pages]],9,0)</f>
      </c>
      <c r="F154" s="2" t="s">
        <v>12</v>
      </c>
      <c r="G154" s="6" t="s">
        <v>36</v>
      </c>
    </row>
    <row x14ac:dyDescent="0.25" r="155" customHeight="1" ht="18.75">
      <c r="A155" s="1" t="s">
        <v>168</v>
      </c>
      <c r="B155" s="7">
        <f>VLOOKUP(Table2[[#This Row], [Titre]],Table1[[#All],[Title]:[Nbr Pages]],2,0)</f>
      </c>
      <c r="C155" s="8"/>
      <c r="D155" s="8">
        <v>39083</v>
      </c>
      <c r="E155" s="9">
        <f>VLOOKUP(Table2[[#This Row], [Titre]],Table1[[#All],[Title]:[Nbr Pages]],9,0)</f>
      </c>
      <c r="F155" s="2" t="s">
        <v>12</v>
      </c>
      <c r="G155" s="6" t="s">
        <v>36</v>
      </c>
    </row>
    <row x14ac:dyDescent="0.25" r="156" customHeight="1" ht="18.75">
      <c r="A156" s="1" t="s">
        <v>169</v>
      </c>
      <c r="B156" s="7">
        <f>VLOOKUP(Table2[[#This Row], [Titre]],Table1[[#All],[Title]:[Nbr Pages]],2,0)</f>
      </c>
      <c r="C156" s="8"/>
      <c r="D156" s="8">
        <v>39083</v>
      </c>
      <c r="E156" s="9">
        <f>VLOOKUP(Table2[[#This Row], [Titre]],Table1[[#All],[Title]:[Nbr Pages]],9,0)</f>
      </c>
      <c r="F156" s="2" t="s">
        <v>12</v>
      </c>
      <c r="G156" s="6" t="s">
        <v>36</v>
      </c>
    </row>
    <row x14ac:dyDescent="0.25" r="157" customHeight="1" ht="18.75">
      <c r="A157" s="1" t="s">
        <v>170</v>
      </c>
      <c r="B157" s="7">
        <f>VLOOKUP(Table2[[#This Row], [Titre]],Table1[[#All],[Title]:[Nbr Pages]],2,0)</f>
      </c>
      <c r="C157" s="8"/>
      <c r="D157" s="3"/>
      <c r="E157" s="9">
        <f>VLOOKUP(Table2[[#This Row], [Titre]],Table1[[#All],[Title]:[Nbr Pages]],9,0)</f>
      </c>
      <c r="F157" s="2" t="s">
        <v>12</v>
      </c>
      <c r="G157" s="6" t="s">
        <v>36</v>
      </c>
    </row>
    <row x14ac:dyDescent="0.25" r="158" customHeight="1" ht="18.75">
      <c r="A158" s="1" t="s">
        <v>171</v>
      </c>
      <c r="B158" s="7">
        <f>VLOOKUP(Table2[[#This Row], [Titre]],Table1[[#All],[Title]:[Nbr Pages]],2,0)</f>
      </c>
      <c r="C158" s="8"/>
      <c r="D158" s="3"/>
      <c r="E158" s="9">
        <f>VLOOKUP(Table2[[#This Row], [Titre]],Table1[[#All],[Title]:[Nbr Pages]],9,0)</f>
      </c>
      <c r="F158" s="2" t="s">
        <v>12</v>
      </c>
      <c r="G158" s="6" t="s">
        <v>36</v>
      </c>
    </row>
    <row x14ac:dyDescent="0.25" r="159" customHeight="1" ht="18.75">
      <c r="A159" s="1" t="s">
        <v>172</v>
      </c>
      <c r="B159" s="7">
        <f>VLOOKUP(Table2[[#This Row], [Titre]],Table1[[#All],[Title]:[Nbr Pages]],2,0)</f>
      </c>
      <c r="C159" s="8"/>
      <c r="D159" s="8">
        <v>44146</v>
      </c>
      <c r="E159" s="9">
        <f>VLOOKUP(Table2[[#This Row], [Titre]],Table1[[#All],[Title]:[Nbr Pages]],9,0)</f>
      </c>
      <c r="F159" s="2" t="s">
        <v>12</v>
      </c>
      <c r="G159" s="6" t="s">
        <v>36</v>
      </c>
    </row>
    <row x14ac:dyDescent="0.25" r="160" customHeight="1" ht="18.75">
      <c r="A160" s="1" t="s">
        <v>173</v>
      </c>
      <c r="B160" s="7">
        <f>VLOOKUP(Table2[[#This Row], [Titre]],Table1[[#All],[Title]:[Nbr Pages]],2,0)</f>
      </c>
      <c r="C160" s="8"/>
      <c r="D160" s="8">
        <v>43467</v>
      </c>
      <c r="E160" s="9">
        <f>VLOOKUP(Table2[[#This Row], [Titre]],Table1[[#All],[Title]:[Nbr Pages]],9,0)</f>
      </c>
      <c r="F160" s="2" t="s">
        <v>12</v>
      </c>
      <c r="G160" s="6" t="s">
        <v>36</v>
      </c>
    </row>
    <row x14ac:dyDescent="0.25" r="161" customHeight="1" ht="18.75">
      <c r="A161" s="1" t="s">
        <v>174</v>
      </c>
      <c r="B161" s="7">
        <f>VLOOKUP(Table2[[#This Row], [Titre]],Table1[[#All],[Title]:[Nbr Pages]],2,0)</f>
      </c>
      <c r="C161" s="8"/>
      <c r="D161" s="3"/>
      <c r="E161" s="9">
        <f>VLOOKUP(Table2[[#This Row], [Titre]],Table1[[#All],[Title]:[Nbr Pages]],9,0)</f>
      </c>
      <c r="F161" s="2" t="s">
        <v>12</v>
      </c>
      <c r="G161" s="6" t="s">
        <v>36</v>
      </c>
    </row>
    <row x14ac:dyDescent="0.25" r="162" customHeight="1" ht="18.75">
      <c r="A162" s="1" t="s">
        <v>175</v>
      </c>
      <c r="B162" s="7">
        <f>VLOOKUP(Table2[[#This Row], [Titre]],Table1[[#All],[Title]:[Nbr Pages]],2,0)</f>
      </c>
      <c r="C162" s="8"/>
      <c r="D162" s="8">
        <v>42727</v>
      </c>
      <c r="E162" s="9">
        <f>VLOOKUP(Table2[[#This Row], [Titre]],Table1[[#All],[Title]:[Nbr Pages]],9,0)</f>
      </c>
      <c r="F162" s="2" t="s">
        <v>12</v>
      </c>
      <c r="G162" s="6" t="s">
        <v>36</v>
      </c>
    </row>
    <row x14ac:dyDescent="0.25" r="163" customHeight="1" ht="18.75">
      <c r="A163" s="1" t="s">
        <v>176</v>
      </c>
      <c r="B163" s="7">
        <f>VLOOKUP(Table2[[#This Row], [Titre]],Table1[[#All],[Title]:[Nbr Pages]],2,0)</f>
      </c>
      <c r="C163" s="8"/>
      <c r="D163" s="8">
        <v>42201</v>
      </c>
      <c r="E163" s="9">
        <f>VLOOKUP(Table2[[#This Row], [Titre]],Table1[[#All],[Title]:[Nbr Pages]],9,0)</f>
      </c>
      <c r="F163" s="2" t="s">
        <v>12</v>
      </c>
      <c r="G163" s="6" t="s">
        <v>36</v>
      </c>
    </row>
    <row x14ac:dyDescent="0.25" r="164" customHeight="1" ht="18.75">
      <c r="A164" s="1" t="s">
        <v>177</v>
      </c>
      <c r="B164" s="7">
        <f>VLOOKUP(Table2[[#This Row], [Titre]],Table1[[#All],[Title]:[Nbr Pages]],2,0)</f>
      </c>
      <c r="C164" s="8"/>
      <c r="D164" s="8">
        <v>42326</v>
      </c>
      <c r="E164" s="9">
        <f>VLOOKUP(Table2[[#This Row], [Titre]],Table1[[#All],[Title]:[Nbr Pages]],9,0)</f>
      </c>
      <c r="F164" s="2" t="s">
        <v>12</v>
      </c>
      <c r="G164" s="6" t="s">
        <v>36</v>
      </c>
    </row>
    <row x14ac:dyDescent="0.25" r="165" customHeight="1" ht="18.75">
      <c r="A165" s="1" t="s">
        <v>178</v>
      </c>
      <c r="B165" s="7">
        <f>VLOOKUP(Table2[[#This Row], [Titre]],Table1[[#All],[Title]:[Nbr Pages]],2,0)</f>
      </c>
      <c r="C165" s="8"/>
      <c r="D165" s="8">
        <v>42202</v>
      </c>
      <c r="E165" s="9">
        <f>VLOOKUP(Table2[[#This Row], [Titre]],Table1[[#All],[Title]:[Nbr Pages]],9,0)</f>
      </c>
      <c r="F165" s="2" t="s">
        <v>12</v>
      </c>
      <c r="G165" s="6" t="s">
        <v>36</v>
      </c>
    </row>
    <row x14ac:dyDescent="0.25" r="166" customHeight="1" ht="18.75">
      <c r="A166" s="1" t="s">
        <v>179</v>
      </c>
      <c r="B166" s="7">
        <f>VLOOKUP(Table2[[#This Row], [Titre]],Table1[[#All],[Title]:[Nbr Pages]],2,0)</f>
      </c>
      <c r="C166" s="8"/>
      <c r="D166" s="8">
        <v>42005</v>
      </c>
      <c r="E166" s="9">
        <f>VLOOKUP(Table2[[#This Row], [Titre]],Table1[[#All],[Title]:[Nbr Pages]],9,0)</f>
      </c>
      <c r="F166" s="2" t="s">
        <v>12</v>
      </c>
      <c r="G166" s="6" t="s">
        <v>36</v>
      </c>
    </row>
    <row x14ac:dyDescent="0.25" r="167" customHeight="1" ht="18.75">
      <c r="A167" s="1" t="s">
        <v>180</v>
      </c>
      <c r="B167" s="7">
        <f>VLOOKUP(Table2[[#This Row], [Titre]],Table1[[#All],[Title]:[Nbr Pages]],2,0)</f>
      </c>
      <c r="C167" s="8"/>
      <c r="D167" s="8">
        <v>42005</v>
      </c>
      <c r="E167" s="9">
        <f>VLOOKUP(Table2[[#This Row], [Titre]],Table1[[#All],[Title]:[Nbr Pages]],9,0)</f>
      </c>
      <c r="F167" s="2" t="s">
        <v>12</v>
      </c>
      <c r="G167" s="6" t="s">
        <v>36</v>
      </c>
    </row>
    <row x14ac:dyDescent="0.25" r="168" customHeight="1" ht="18.75">
      <c r="A168" s="1" t="s">
        <v>181</v>
      </c>
      <c r="B168" s="7">
        <f>VLOOKUP(Table2[[#This Row], [Titre]],Table1[[#All],[Title]:[Nbr Pages]],2,0)</f>
      </c>
      <c r="C168" s="8"/>
      <c r="D168" s="3"/>
      <c r="E168" s="9">
        <f>VLOOKUP(Table2[[#This Row], [Titre]],Table1[[#All],[Title]:[Nbr Pages]],9,0)</f>
      </c>
      <c r="F168" s="2" t="s">
        <v>12</v>
      </c>
      <c r="G168" s="6" t="s">
        <v>36</v>
      </c>
    </row>
    <row x14ac:dyDescent="0.25" r="169" customHeight="1" ht="18.75">
      <c r="A169" s="1" t="s">
        <v>182</v>
      </c>
      <c r="B169" s="7">
        <f>VLOOKUP(Table2[[#This Row], [Titre]],Table1[[#All],[Title]:[Nbr Pages]],2,0)</f>
      </c>
      <c r="C169" s="8"/>
      <c r="D169" s="3"/>
      <c r="E169" s="9">
        <f>VLOOKUP(Table2[[#This Row], [Titre]],Table1[[#All],[Title]:[Nbr Pages]],9,0)</f>
      </c>
      <c r="F169" s="2" t="s">
        <v>12</v>
      </c>
      <c r="G169" s="6" t="s">
        <v>36</v>
      </c>
    </row>
    <row x14ac:dyDescent="0.25" r="170" customHeight="1" ht="18.75">
      <c r="A170" s="1" t="s">
        <v>183</v>
      </c>
      <c r="B170" s="7">
        <f>VLOOKUP(Table2[[#This Row], [Titre]],Table1[[#All],[Title]:[Nbr Pages]],2,0)</f>
      </c>
      <c r="C170" s="8"/>
      <c r="D170" s="8">
        <v>42789</v>
      </c>
      <c r="E170" s="9">
        <f>VLOOKUP(Table2[[#This Row], [Titre]],Table1[[#All],[Title]:[Nbr Pages]],9,0)</f>
      </c>
      <c r="F170" s="2" t="s">
        <v>12</v>
      </c>
      <c r="G170" s="6" t="s">
        <v>36</v>
      </c>
    </row>
    <row x14ac:dyDescent="0.25" r="171" customHeight="1" ht="18.75">
      <c r="A171" s="1" t="s">
        <v>184</v>
      </c>
      <c r="B171" s="7">
        <f>VLOOKUP(Table2[[#This Row], [Titre]],Table1[[#All],[Title]:[Nbr Pages]],2,0)</f>
      </c>
      <c r="C171" s="8"/>
      <c r="D171" s="8">
        <v>42816</v>
      </c>
      <c r="E171" s="9">
        <f>VLOOKUP(Table2[[#This Row], [Titre]],Table1[[#All],[Title]:[Nbr Pages]],9,0)</f>
      </c>
      <c r="F171" s="2" t="s">
        <v>12</v>
      </c>
      <c r="G171" s="6" t="s">
        <v>36</v>
      </c>
    </row>
    <row x14ac:dyDescent="0.25" r="172" customHeight="1" ht="18.75">
      <c r="A172" s="1" t="s">
        <v>185</v>
      </c>
      <c r="B172" s="7">
        <f>VLOOKUP(Table2[[#This Row], [Titre]],Table1[[#All],[Title]:[Nbr Pages]],2,0)</f>
      </c>
      <c r="C172" s="8"/>
      <c r="D172" s="8">
        <v>43745</v>
      </c>
      <c r="E172" s="9">
        <f>VLOOKUP(Table2[[#This Row], [Titre]],Table1[[#All],[Title]:[Nbr Pages]],9,0)</f>
      </c>
      <c r="F172" s="2" t="s">
        <v>12</v>
      </c>
      <c r="G172" s="6" t="s">
        <v>36</v>
      </c>
    </row>
    <row x14ac:dyDescent="0.25" r="173" customHeight="1" ht="18.75">
      <c r="A173" s="1" t="s">
        <v>186</v>
      </c>
      <c r="B173" s="7">
        <f>VLOOKUP(Table2[[#This Row], [Titre]],Table1[[#All],[Title]:[Nbr Pages]],2,0)</f>
      </c>
      <c r="C173" s="8"/>
      <c r="D173" s="8">
        <v>43853</v>
      </c>
      <c r="E173" s="9">
        <f>VLOOKUP(Table2[[#This Row], [Titre]],Table1[[#All],[Title]:[Nbr Pages]],9,0)</f>
      </c>
      <c r="F173" s="2" t="s">
        <v>12</v>
      </c>
      <c r="G173" s="6" t="s">
        <v>36</v>
      </c>
    </row>
    <row x14ac:dyDescent="0.25" r="174" customHeight="1" ht="18.75">
      <c r="A174" s="1" t="s">
        <v>187</v>
      </c>
      <c r="B174" s="7">
        <f>VLOOKUP(Table2[[#This Row], [Titre]],Table1[[#All],[Title]:[Nbr Pages]],2,0)</f>
      </c>
      <c r="C174" s="8"/>
      <c r="D174" s="8">
        <v>44013</v>
      </c>
      <c r="E174" s="9">
        <f>VLOOKUP(Table2[[#This Row], [Titre]],Table1[[#All],[Title]:[Nbr Pages]],9,0)</f>
      </c>
      <c r="F174" s="2" t="s">
        <v>12</v>
      </c>
      <c r="G174" s="6" t="s">
        <v>36</v>
      </c>
    </row>
    <row x14ac:dyDescent="0.25" r="175" customHeight="1" ht="18.75">
      <c r="A175" s="1" t="s">
        <v>188</v>
      </c>
      <c r="B175" s="7">
        <f>VLOOKUP(Table2[[#This Row], [Titre]],Table1[[#All],[Title]:[Nbr Pages]],2,0)</f>
      </c>
      <c r="C175" s="8"/>
      <c r="D175" s="8">
        <v>44040</v>
      </c>
      <c r="E175" s="9">
        <f>VLOOKUP(Table2[[#This Row], [Titre]],Table1[[#All],[Title]:[Nbr Pages]],9,0)</f>
      </c>
      <c r="F175" s="2" t="s">
        <v>12</v>
      </c>
      <c r="G175" s="6" t="s">
        <v>36</v>
      </c>
    </row>
    <row x14ac:dyDescent="0.25" r="176" customHeight="1" ht="18.75">
      <c r="A176" s="1" t="s">
        <v>189</v>
      </c>
      <c r="B176" s="7">
        <f>VLOOKUP(Table2[[#This Row], [Titre]],Table1[[#All],[Title]:[Nbr Pages]],2,0)</f>
      </c>
      <c r="C176" s="8"/>
      <c r="D176" s="8">
        <v>44136</v>
      </c>
      <c r="E176" s="9">
        <f>VLOOKUP(Table2[[#This Row], [Titre]],Table1[[#All],[Title]:[Nbr Pages]],9,0)</f>
      </c>
      <c r="F176" s="2" t="s">
        <v>12</v>
      </c>
      <c r="G176" s="6" t="s">
        <v>36</v>
      </c>
    </row>
    <row x14ac:dyDescent="0.25" r="177" customHeight="1" ht="18.75">
      <c r="A177" s="1" t="s">
        <v>190</v>
      </c>
      <c r="B177" s="7">
        <f>VLOOKUP(Table2[[#This Row], [Titre]],Table1[[#All],[Title]:[Nbr Pages]],2,0)</f>
      </c>
      <c r="C177" s="8"/>
      <c r="D177" s="8">
        <v>44501</v>
      </c>
      <c r="E177" s="9">
        <f>VLOOKUP(Table2[[#This Row], [Titre]],Table1[[#All],[Title]:[Nbr Pages]],9,0)</f>
      </c>
      <c r="F177" s="2" t="s">
        <v>12</v>
      </c>
      <c r="G177" s="6" t="s">
        <v>36</v>
      </c>
    </row>
    <row x14ac:dyDescent="0.25" r="178" customHeight="1" ht="18.75">
      <c r="A178" s="1" t="s">
        <v>191</v>
      </c>
      <c r="B178" s="7">
        <f>VLOOKUP(Table2[[#This Row], [Titre]],Table1[[#All],[Title]:[Nbr Pages]],2,0)</f>
      </c>
      <c r="C178" s="8"/>
      <c r="D178" s="8">
        <v>43686</v>
      </c>
      <c r="E178" s="9">
        <f>VLOOKUP(Table2[[#This Row], [Titre]],Table1[[#All],[Title]:[Nbr Pages]],9,0)</f>
      </c>
      <c r="F178" s="2" t="s">
        <v>12</v>
      </c>
      <c r="G178" s="6" t="s">
        <v>36</v>
      </c>
    </row>
    <row x14ac:dyDescent="0.25" r="179" customHeight="1" ht="18.75">
      <c r="A179" s="1" t="s">
        <v>192</v>
      </c>
      <c r="B179" s="7">
        <f>VLOOKUP(Table2[[#This Row], [Titre]],Table1[[#All],[Title]:[Nbr Pages]],2,0)</f>
      </c>
      <c r="C179" s="8"/>
      <c r="D179" s="8">
        <v>42239</v>
      </c>
      <c r="E179" s="9">
        <f>VLOOKUP(Table2[[#This Row], [Titre]],Table1[[#All],[Title]:[Nbr Pages]],9,0)</f>
      </c>
      <c r="F179" s="2" t="s">
        <v>12</v>
      </c>
      <c r="G179" s="6" t="s">
        <v>36</v>
      </c>
    </row>
    <row x14ac:dyDescent="0.25" r="180" customHeight="1" ht="18.75">
      <c r="A180" s="1" t="s">
        <v>193</v>
      </c>
      <c r="B180" s="7">
        <f>VLOOKUP(Table2[[#This Row], [Titre]],Table1[[#All],[Title]:[Nbr Pages]],2,0)</f>
      </c>
      <c r="C180" s="8"/>
      <c r="D180" s="8">
        <v>43790</v>
      </c>
      <c r="E180" s="9">
        <f>VLOOKUP(Table2[[#This Row], [Titre]],Table1[[#All],[Title]:[Nbr Pages]],9,0)</f>
      </c>
      <c r="F180" s="2" t="s">
        <v>12</v>
      </c>
      <c r="G180" s="6" t="s">
        <v>36</v>
      </c>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Dimension</vt:lpstr>
      <vt:lpstr>Fait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2024-10-22T19:02:26.544Z</dcterms:created>
  <dcterms:modified xsi:type="dcterms:W3CDTF">2024-10-22T19:02:26.544Z</dcterms:modified>
</cp:coreProperties>
</file>